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<sst xmlns="http://schemas.openxmlformats.org/spreadsheetml/2006/main" count="11500" uniqueCount="11500">
  <si>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</si>
  <si>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</si>
  <si>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</si>
  <si>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</si>
  <si>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</si>
  <si>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</si>
  <si>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</si>
  <si>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04/08/2024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</si>
  <si>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</si>
  <si>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</si>
  <si>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</si>
  <si>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</si>
  <si>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</si>
  <si>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</si>
  <si>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</si>
  <si>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</si>
  <si>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</si>
  <si>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</si>
  <si>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</si>
  <si>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</si>
  <si>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</si>
  <si>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</si>
  <si>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</si>
  <si>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</si>
  <si>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</si>
  <si>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</si>
  <si>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</si>
  <si>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</si>
  <si>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</si>
  <si>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</si>
  <si>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</si>
  <si>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</si>
  <si>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</si>
  <si>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</si>
  <si>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</si>
  <si>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</si>
  <si>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</si>
  <si>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</si>
  <si>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</si>
  <si>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</si>
  <si>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</si>
  <si>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</si>
  <si>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</si>
  <si>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</si>
  <si>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</si>
  <si>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</si>
  <si>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</si>
  <si>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</si>
  <si>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</si>
  <si>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</si>
  <si>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</si>
  <si>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</si>
  <si>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</si>
  <si>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</si>
  <si>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</si>
  <si>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</si>
  <si>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</si>
  <si>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</si>
  <si>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</si>
  <si>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</si>
  <si>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</si>
  <si>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</si>
  <si>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</si>
  <si>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</si>
  <si>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</si>
  <si>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</si>
  <si>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</si>
  <si>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</si>
  <si>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</si>
  <si>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</si>
  <si>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</si>
  <si>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</si>
  <si>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</si>
  <si>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</si>
  <si>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</si>
  <si>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</si>
  <si>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</si>
  <si>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</si>
  <si>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</si>
  <si>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</si>
  <si>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</si>
  <si>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</si>
  <si>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</si>
  <si>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</si>
  <si>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</si>
  <si>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</si>
  <si>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</si>
  <si>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</si>
  <si>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</si>
  <si>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</si>
  <si>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</si>
  <si>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</si>
  <si>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</si>
  <si>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</si>
  <si>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</si>
  <si>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</si>
  <si>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</si>
  <si>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</si>
  <si>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</si>
  <si>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</si>
  <si>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</si>
  <si>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</si>
  <si>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</si>
  <si>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</si>
  <si>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</si>
  <si>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</si>
  <si>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</si>
  <si>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</si>
  <si>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</si>
  <si>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02/26/2024</t>
  </si>
  <si>
    <t>03/16/2024</t>
  </si>
  <si>
    <t>03/23/2024</t>
  </si>
  <si>
    <t>03/26/2024</t>
  </si>
  <si>
    <t>03/27/2024</t>
  </si>
  <si>
    <t>03/29/2024</t>
  </si>
  <si>
    <t>04/01/2024</t>
  </si>
  <si>
    <t>04/02/2024</t>
  </si>
  <si>
    <t>04/04/2024</t>
  </si>
  <si>
    <t>04/05/2024</t>
  </si>
  <si>
    <t>04/06/2024</t>
  </si>
  <si>
    <t>04/07/2024</t>
  </si>
  <si>
    <t>04/13/2024</t>
  </si>
  <si>
    <t>04/15/2024</t>
  </si>
  <si>
    <t>04/17/2024</t>
  </si>
  <si>
    <t>04/18/2024</t>
  </si>
  <si>
    <t>04/19/2024</t>
  </si>
  <si>
    <t>04/20/2024</t>
  </si>
  <si>
    <t>04/22/2024</t>
  </si>
  <si>
    <t>04/25/2024</t>
  </si>
  <si>
    <t>04/26/2024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</si>
  <si>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</si>
  <si>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</si>
  <si>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</si>
  <si>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</si>
  <si>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</si>
  <si>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</si>
  <si>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</si>
  <si>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05/05/2024</t>
  </si>
  <si>
    <t>05/06/2024</t>
  </si>
  <si>
    <t>05/07/2024</t>
  </si>
  <si>
    <t>05/08/2024</t>
  </si>
  <si>
    <t>05/09/2024</t>
  </si>
  <si>
    <t>05/10/2024</t>
  </si>
  <si>
    <t>05/11/2024</t>
  </si>
  <si>
    <t>05/12/2024</t>
  </si>
  <si>
    <t>05/13/2024</t>
  </si>
  <si>
    <t>05/14/2024</t>
  </si>
  <si>
    <t>05/15/2024</t>
  </si>
  <si>
    <t>05/16/2024</t>
  </si>
  <si>
    <t>05/17/2024</t>
  </si>
  <si>
    <t>05/18/2024</t>
  </si>
  <si>
    <t>05/19/2024</t>
  </si>
  <si>
    <t>05/20/2024</t>
  </si>
  <si>
    <t>05/21/2024</t>
  </si>
  <si>
    <t>05/22/2024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</si>
  <si>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</si>
  <si>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</si>
  <si>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</si>
  <si>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</si>
  <si>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</si>
  <si>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</si>
  <si>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</si>
  <si>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05/30/2024</t>
  </si>
  <si>
    <t>05/31/2024</t>
  </si>
  <si>
    <t>06/01/2024</t>
  </si>
  <si>
    <t>06/02/2024</t>
  </si>
  <si>
    <t>06/03/2024</t>
  </si>
  <si>
    <t>06/04/2024</t>
  </si>
  <si>
    <t>06/05/2024</t>
  </si>
  <si>
    <t>06/06/2024</t>
  </si>
  <si>
    <t>06/07/2024</t>
  </si>
  <si>
    <t>06/08/2024</t>
  </si>
  <si>
    <t>06/09/2024</t>
  </si>
  <si>
    <t>06/10/2024</t>
  </si>
  <si>
    <t>06/11/2024</t>
  </si>
  <si>
    <t>06/12/2024</t>
  </si>
  <si>
    <t>06/14/2024</t>
  </si>
  <si>
    <t>06/16/2024</t>
  </si>
  <si>
    <t>06/17/2024</t>
  </si>
  <si>
    <t>06/18/2024</t>
  </si>
  <si>
    <t>06/19/2024</t>
  </si>
  <si>
    <t>06/20/2024</t>
  </si>
  <si>
    <t>06/21/2024</t>
  </si>
  <si>
    <t>06/23/2024</t>
  </si>
  <si>
    <t>06/24/2024</t>
  </si>
  <si>
    <t>06/25/2024</t>
  </si>
  <si>
    <t>06/26/2024</t>
  </si>
  <si>
    <t>06/28/2024</t>
  </si>
  <si>
    <t>06/29/2024</t>
  </si>
  <si>
    <t>06/30/2024</t>
  </si>
  <si>
    <t>07/01/2024</t>
  </si>
  <si>
    <t>07/02/2024</t>
  </si>
  <si>
    <t>07/03/2024</t>
  </si>
  <si>
    <t>07/05/2024</t>
  </si>
  <si>
    <t>07/07/2024</t>
  </si>
  <si>
    <t>07/08/2024</t>
  </si>
  <si>
    <t>07/09/2024</t>
  </si>
  <si>
    <t>07/10/2024</t>
  </si>
  <si>
    <t>07/11/2024</t>
  </si>
  <si>
    <t>07/12/2024</t>
  </si>
  <si>
    <t>07/13/2024</t>
  </si>
  <si>
    <t>07/15/2024</t>
  </si>
  <si>
    <t>07/16/2024</t>
  </si>
  <si>
    <t>07/17/2024</t>
  </si>
  <si>
    <t>07/18/2024</t>
  </si>
  <si>
    <t>07/19/2024</t>
  </si>
  <si>
    <t>07/20/2024</t>
  </si>
  <si>
    <t>07/22/2024</t>
  </si>
  <si>
    <t>07/23/2024</t>
  </si>
  <si>
    <t>07/24/2024</t>
  </si>
  <si>
    <t>07/25/2024</t>
  </si>
  <si>
    <t>07/26/2024</t>
  </si>
  <si>
    <t>07/27/2024</t>
  </si>
  <si>
    <t>07/28/2024</t>
  </si>
  <si>
    <t>07/30/2024</t>
  </si>
  <si>
    <t>07/31/2024</t>
  </si>
  <si>
    <t>08/01/2024</t>
  </si>
  <si>
    <t>08/02/2024</t>
  </si>
  <si>
    <t>08/04/2024</t>
  </si>
  <si>
    <t>08/05/2024</t>
  </si>
  <si>
    <t>08/07/2024</t>
  </si>
  <si>
    <t>08/09/2024</t>
  </si>
  <si>
    <t>08/12/2024</t>
  </si>
  <si>
    <t>08/14/2024</t>
  </si>
  <si>
    <t>08/15/2024</t>
  </si>
  <si>
    <t>08/21/2024</t>
  </si>
  <si>
    <t>04/24/2024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</si>
  <si>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</si>
  <si>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</si>
  <si>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</si>
  <si>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</si>
  <si>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</si>
  <si>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</si>
  <si>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</si>
  <si>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</si>
  <si>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</si>
  <si>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</si>
  <si>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Close-out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</si>
  <si>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</si>
  <si>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</si>
  <si>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</si>
  <si>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</si>
  <si>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</si>
  <si>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</si>
  <si>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</si>
  <si>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</si>
  <si>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</si>
  <si>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</si>
  <si>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</si>
  <si>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</si>
  <si>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</si>
  <si>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</si>
  <si>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Donation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</si>
  <si>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</si>
  <si>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</si>
  <si>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</si>
  <si>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</si>
  <si>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</si>
  <si>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</si>
  <si>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</si>
  <si>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</si>
  <si>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</si>
  <si>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</si>
  <si>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</si>
  <si>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</si>
  <si>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</si>
  <si>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</si>
  <si>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</si>
  <si>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</si>
  <si>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</si>
  <si>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</si>
  <si>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</si>
  <si>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B</t>
  </si>
  <si>
    <t>PF002105</t>
  </si>
  <si>
    <t>Foam</t>
  </si>
  <si>
    <t>Casual</t>
  </si>
  <si>
    <t>4/2/2017</t>
  </si>
  <si>
    <t>5/7/2024</t>
  </si>
  <si>
    <t>AMAZON,AMAZONDS,BBBDROP,JCPENNEY01,KOHLDSN,MACY02,TGTDVS,WALMARTDS</t>
  </si>
  <si>
    <t>17764100-000-000</t>
  </si>
  <si>
    <t>Setup</t>
  </si>
  <si>
    <t>7/30/2016</t>
  </si>
  <si>
    <t>8/5/2016</t>
  </si>
  <si>
    <t>BASI16-0416</t>
  </si>
  <si>
    <t>Twin XL</t>
  </si>
  <si>
    <t>AMAZON,AMAZONDS,BBBDROP,BLK01,KOHLDSN,MACY02,NRTPORT,TGTDVS,WALMARTDS</t>
  </si>
  <si>
    <t>17764100-000-005</t>
  </si>
  <si>
    <t>8/27/2016</t>
  </si>
  <si>
    <t>1/31/2017</t>
  </si>
  <si>
    <t>BASI16-0382</t>
  </si>
  <si>
    <t>Full</t>
  </si>
  <si>
    <t>AMAZON,AMAZONDS,BBBDROP,BLK01,JCPENNEY01,KOHLDSN,MACY02,TGTDVS,WALMARTDS</t>
  </si>
  <si>
    <t>17764100-000-001</t>
  </si>
  <si>
    <t>7/15/2016</t>
  </si>
  <si>
    <t>BASI16-0386</t>
  </si>
  <si>
    <t>2" Gel Memory Foam with 3M Cover</t>
  </si>
  <si>
    <t>Mattress Topper</t>
  </si>
  <si>
    <t>White</t>
  </si>
  <si>
    <t>PF002107</t>
  </si>
  <si>
    <t>5/9/2024</t>
  </si>
  <si>
    <t>JCPENNEY01,KOHLDSN,MACY02,OLLIIX,TGTDVS</t>
  </si>
  <si>
    <t>17764099-000-000</t>
  </si>
  <si>
    <t>7/3/2017</t>
  </si>
  <si>
    <t>BASI16-0387</t>
  </si>
  <si>
    <t>BBBDROP,BLK01,KOHLDSN,MACY02,ZOLA</t>
  </si>
  <si>
    <t>17764099-000-001</t>
  </si>
  <si>
    <t>10/9/2017</t>
  </si>
  <si>
    <t>BASI16-0469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</si>
  <si>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</si>
  <si>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</si>
  <si>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</si>
  <si>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</si>
  <si>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</si>
  <si>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BBBDROP,BLK01,KOHLDSN,MACY02,OLLIIX,TGTDVS</t>
  </si>
  <si>
    <t>19965443-000-000</t>
  </si>
  <si>
    <t>11/1/2016</t>
  </si>
  <si>
    <t>5/10/2017</t>
  </si>
  <si>
    <t>BASI16-0470</t>
  </si>
  <si>
    <t>6/1/2017</t>
  </si>
  <si>
    <t>5/3/2024</t>
  </si>
  <si>
    <t>BBBDROP,JCPENNEY01,KOHLDSN,MACY02,TGTDVS</t>
  </si>
  <si>
    <t>19965443-000-001</t>
  </si>
  <si>
    <t>6/5/2017</t>
  </si>
  <si>
    <t>BASI16-0471</t>
  </si>
  <si>
    <t>BBBDROP,BLK01,KOHLDSN,TGTDVS</t>
  </si>
  <si>
    <t>19965443-000-002</t>
  </si>
  <si>
    <t>2/2/2017</t>
  </si>
  <si>
    <t>BASI16-0473</t>
  </si>
  <si>
    <t>King</t>
  </si>
  <si>
    <t>BBBDROP,BLK01,MACY02,OLLIIX</t>
  </si>
  <si>
    <t>19965443-000-004</t>
  </si>
  <si>
    <t>2/9/2017</t>
  </si>
  <si>
    <t>MPE20-1044</t>
  </si>
  <si>
    <t>SHET</t>
  </si>
  <si>
    <t>Madison Park Essentials</t>
  </si>
  <si>
    <t>SHEET/SHEET SET</t>
  </si>
  <si>
    <t>Sheet/Sheet Set</t>
  </si>
  <si>
    <t>200 Thread Count Printed Cotton</t>
  </si>
  <si>
    <t>Sheet Set</t>
  </si>
  <si>
    <t>Black Island</t>
  </si>
  <si>
    <t>PP001858;PF006130</t>
  </si>
  <si>
    <t>Cotton</t>
  </si>
  <si>
    <t>4</t>
  </si>
  <si>
    <t>Coastal</t>
  </si>
  <si>
    <t>4/6/2024</t>
  </si>
  <si>
    <t>6/7/2024</t>
  </si>
  <si>
    <t>Ready To Offer</t>
  </si>
  <si>
    <t>MPE20-1045</t>
  </si>
  <si>
    <t>Queen</t>
  </si>
  <si>
    <t>MPE20-1046</t>
  </si>
  <si>
    <t>4/2/2024</t>
  </si>
  <si>
    <t>MPE20-1041</t>
  </si>
  <si>
    <t>Blue Palmetto</t>
  </si>
  <si>
    <t>PP001858;PF006129</t>
  </si>
  <si>
    <t>MPE20-1042</t>
  </si>
  <si>
    <t>MPE20-1043</t>
  </si>
  <si>
    <t>MPE20-1014</t>
  </si>
  <si>
    <t>Blue Stripe</t>
  </si>
  <si>
    <t>PP001858;PF005942</t>
  </si>
  <si>
    <t>Stripe</t>
  </si>
  <si>
    <t>3/22/2023</t>
  </si>
  <si>
    <t>5/18/2024</t>
  </si>
  <si>
    <t>AMAZON,CSNSTORES,KOHLDSN,MACY02,NRTPORT,OLLIIX</t>
  </si>
  <si>
    <t>42128528-000-007</t>
  </si>
  <si>
    <t>8/17/2023</t>
  </si>
  <si>
    <t>1/23/2024</t>
  </si>
  <si>
    <t>MPE20-1015</t>
  </si>
  <si>
    <t>Grey Stripe</t>
  </si>
  <si>
    <t>PP001858;PF005943</t>
  </si>
  <si>
    <t>JCPENNEY01,KOHLDSN,OLLIIX,TGTDVS</t>
  </si>
  <si>
    <t>42128528-000-000</t>
  </si>
  <si>
    <t>9/28/2023</t>
  </si>
  <si>
    <t>MPE20-1016</t>
  </si>
  <si>
    <t>CSNSTORES,KOHLDSN,MACY02,TGTDVS</t>
  </si>
  <si>
    <t>42128528-000-011</t>
  </si>
  <si>
    <t>12/18/2023</t>
  </si>
  <si>
    <t>MPE20-1009</t>
  </si>
  <si>
    <t>Tan Leaves</t>
  </si>
  <si>
    <t>PP001858;PF005941</t>
  </si>
  <si>
    <t>Botanical</t>
  </si>
  <si>
    <t>DESINC,MACY02,TGTDVS</t>
  </si>
  <si>
    <t>42128528-000-009</t>
  </si>
  <si>
    <t>MPE20-1010</t>
  </si>
  <si>
    <t>CSNSTORES,DESINC,FINGERHUTDS,JCPENNEY01,KOHLDSN,MACY02,TGTDVS</t>
  </si>
  <si>
    <t>42128528-000-006</t>
  </si>
  <si>
    <t>1/10/2024</t>
  </si>
  <si>
    <t>MPE20-1011</t>
  </si>
  <si>
    <t>AMAZON,BLK01,CSNSTORES,KOHLDSN,MACY02</t>
  </si>
  <si>
    <t>42128528-000-001</t>
  </si>
  <si>
    <t>BASI16-0591</t>
  </si>
  <si>
    <t>Mattress Pad</t>
  </si>
  <si>
    <t>2-in-1</t>
  </si>
  <si>
    <t>Cool/Warm Reversible Waterproof and Stain Release Mattress Pad</t>
  </si>
  <si>
    <t>B-</t>
  </si>
  <si>
    <t>PP001897;PF006054</t>
  </si>
  <si>
    <t>Microfiber</t>
  </si>
  <si>
    <t>1</t>
  </si>
  <si>
    <t>Modern/Contemporary</t>
  </si>
  <si>
    <t>9/13/2023</t>
  </si>
  <si>
    <t>BLK01,JCPENNEY01,KOHLDSN,NRTPORT,TGTDVS</t>
  </si>
  <si>
    <t>42656846-000-000</t>
  </si>
  <si>
    <t>9/18/2023</t>
  </si>
  <si>
    <t>BASI16-0593</t>
  </si>
  <si>
    <t>AMAZON,AMAZONDS,BLK01,JCPENNEY01,KOHLDSN,MACY02,NRTPORT,TGTDVS</t>
  </si>
  <si>
    <t>42656846-000-001</t>
  </si>
  <si>
    <t>10/9/2023</t>
  </si>
  <si>
    <t>BASI16-0417</t>
  </si>
  <si>
    <t>3" Gel Memory Foam</t>
  </si>
  <si>
    <t>PF002106</t>
  </si>
  <si>
    <t>AMAZON,AMAZONDS,BBBDROP,BIGLOTSDS,HSNDS,KOHLDSN,MACY02,TGTDVS,WALMARTDS,Zulily</t>
  </si>
  <si>
    <t>19524730-000-000</t>
  </si>
  <si>
    <t>9/15/2016</t>
  </si>
  <si>
    <t>12/9/2016</t>
  </si>
  <si>
    <t>BASI16-0418</t>
  </si>
  <si>
    <t>7/24/2024</t>
  </si>
  <si>
    <t>AMAZON,AMAZONDS,BBBDROP,BIGLOTSDS,KOHLDSN,MACY02,OLLIIX,TGTDVS</t>
  </si>
  <si>
    <t>19524730-000-001</t>
  </si>
  <si>
    <t>11/16/2016</t>
  </si>
  <si>
    <t>BASI16-0420</t>
  </si>
  <si>
    <t>AMAZON,AMAZONDS,BBBDROP,BIGLOTSDS,HSNDS,KOHLDSN,MACY02,TGTDVS,WALMARTDS,ZOLA</t>
  </si>
  <si>
    <t>19524730-000-003</t>
  </si>
  <si>
    <t>9/30/2016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</si>
  <si>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</si>
  <si>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</si>
  <si>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</si>
  <si>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</si>
  <si>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</si>
  <si>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AMAZON,BEALLSDS,BLK01,JCPENNEY01,KOHLDSN,OLLIIX,TGTDVS</t>
  </si>
  <si>
    <t>19965442-000-000</t>
  </si>
  <si>
    <t>7/7/2017</t>
  </si>
  <si>
    <t>BASI16-0476</t>
  </si>
  <si>
    <t>BBBDROP,BLK01,JCPENNEY01,KOHLDSN,MACY02,OLLIIX,TGTDVS</t>
  </si>
  <si>
    <t>19965442-000-001</t>
  </si>
  <si>
    <t>12/21/2016</t>
  </si>
  <si>
    <t>BASI16-0477</t>
  </si>
  <si>
    <t>BBBDROP,BLK01,JCPENNEY01,MACY02,OLLIIX,TGTDVS</t>
  </si>
  <si>
    <t>19965442-000-002</t>
  </si>
  <si>
    <t>8/2/2017</t>
  </si>
  <si>
    <t>BASI16-0478</t>
  </si>
  <si>
    <t>AMAZONDS,BBBDROP,BEALLSDS,JCPENNEY01,KOHLDSN,MACY02,OLLIIX,TGTDVS,WALMARTDS,ZOLA</t>
  </si>
  <si>
    <t>19965442-000-003</t>
  </si>
  <si>
    <t>1/30/2017</t>
  </si>
  <si>
    <t>BASI16-0479</t>
  </si>
  <si>
    <t>AMAZONDS,BBBDROP,BLK01,KOHLDSN,MACY02,OLLIIX,TGTDVS</t>
  </si>
  <si>
    <t>19965442-000-004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</si>
  <si>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</si>
  <si>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</si>
  <si>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</si>
  <si>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</si>
  <si>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</si>
  <si>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PP001781;PF005729</t>
  </si>
  <si>
    <t>Transitional</t>
  </si>
  <si>
    <t>8/18/2022</t>
  </si>
  <si>
    <t>MACY02,TGTDVS</t>
  </si>
  <si>
    <t>40289713-000-002</t>
  </si>
  <si>
    <t>8/23/2022</t>
  </si>
  <si>
    <t>CSP16-1529</t>
  </si>
  <si>
    <t>AMAZONDS,JCPENNEY01,MACY02,TGTDVS,Zulily</t>
  </si>
  <si>
    <t>40289713-000-003</t>
  </si>
  <si>
    <t>12/7/2022</t>
  </si>
  <si>
    <t>CSP20-1509</t>
  </si>
  <si>
    <t>300TC BCI Cotton</t>
  </si>
  <si>
    <t>300TC BCI Cotton Sheet Set</t>
  </si>
  <si>
    <t>PF005684;PP001750</t>
  </si>
  <si>
    <t>5/26/2022</t>
  </si>
  <si>
    <t>KOHLDSN,TGTDVS</t>
  </si>
  <si>
    <t>40014637-000-003</t>
  </si>
  <si>
    <t>5/31/2022</t>
  </si>
  <si>
    <t>CSP20-1511</t>
  </si>
  <si>
    <t>KOHLDSN</t>
  </si>
  <si>
    <t>40014637-000-004</t>
  </si>
  <si>
    <t>5/30/2022</t>
  </si>
  <si>
    <t>7/21/2023</t>
  </si>
  <si>
    <t>CSP20-1514</t>
  </si>
  <si>
    <t>PP001750;PF005685</t>
  </si>
  <si>
    <t>3</t>
  </si>
  <si>
    <t>40014637-000-006</t>
  </si>
  <si>
    <t>5/28/2022</t>
  </si>
  <si>
    <t>12/4/2023</t>
  </si>
  <si>
    <t>CSP20-1515</t>
  </si>
  <si>
    <t>40014637-000-002</t>
  </si>
  <si>
    <t>12/12/2023</t>
  </si>
  <si>
    <t>CSP20-1517</t>
  </si>
  <si>
    <t>JCPENNEY01,OLLIIX,TGTDVS,Zulily</t>
  </si>
  <si>
    <t>40014637-000-001</t>
  </si>
  <si>
    <t>9/1/2023</t>
  </si>
  <si>
    <t>CSP21-1519</t>
  </si>
  <si>
    <t>PILLOWCASE</t>
  </si>
  <si>
    <t>Pillowcase</t>
  </si>
  <si>
    <t>300TC 2PK BCI Cotton Pillowcase</t>
  </si>
  <si>
    <t>King Case</t>
  </si>
  <si>
    <t>2</t>
  </si>
  <si>
    <t>KOHLDSN,MACY02</t>
  </si>
  <si>
    <t>40014636-000-002</t>
  </si>
  <si>
    <t>CSP21-1518</t>
  </si>
  <si>
    <t>Standard Case</t>
  </si>
  <si>
    <t>JCPENNEY01,KOHLDSN,MACY02</t>
  </si>
  <si>
    <t>40014636-000-000</t>
  </si>
  <si>
    <t>CSP20-1521</t>
  </si>
  <si>
    <t>Seafoam</t>
  </si>
  <si>
    <t>PP001750;PF005686</t>
  </si>
  <si>
    <t>JCPENNEY01,KOHLDSN,TGTDVS</t>
  </si>
  <si>
    <t>40014637-000-011</t>
  </si>
  <si>
    <t>2/20/2024</t>
  </si>
  <si>
    <t>CSP20-1522</t>
  </si>
  <si>
    <t>DESINC,JCPENNEY01,KOHLDSN,MACY02,OLLIIX,TGTDVS</t>
  </si>
  <si>
    <t>40014637-000-008</t>
  </si>
  <si>
    <t>6/2/2022</t>
  </si>
  <si>
    <t>CSP20-1523</t>
  </si>
  <si>
    <t>BLK01,KOHLDSN,TGTDVS,Zulily</t>
  </si>
  <si>
    <t>40014637-000-015</t>
  </si>
  <si>
    <t>CSP20-1503</t>
  </si>
  <si>
    <t>PF005683;PP001750</t>
  </si>
  <si>
    <t>JCPENNEY01,MACY02,OLLIIX,TGTDVS</t>
  </si>
  <si>
    <t>40014637-000-013</t>
  </si>
  <si>
    <t>CSP20-1504</t>
  </si>
  <si>
    <t>CSNSTORES,JCPENNEY01,KOHLDSN,MACY02,OLLIIX,TGTDVS</t>
  </si>
  <si>
    <t>40014637-000-005</t>
  </si>
  <si>
    <t>9/29/2022</t>
  </si>
  <si>
    <t>CSP20-1505</t>
  </si>
  <si>
    <t>40014637-000-012</t>
  </si>
  <si>
    <t>4/1/2024</t>
  </si>
  <si>
    <t>SHET21-259</t>
  </si>
  <si>
    <t>300TC Liquid Cotton</t>
  </si>
  <si>
    <t>Pillowcases</t>
  </si>
  <si>
    <t>Silver</t>
  </si>
  <si>
    <t>PF001738</t>
  </si>
  <si>
    <t>17924343-000-017</t>
  </si>
  <si>
    <t>1/2/2015</t>
  </si>
  <si>
    <t>MP20-1185</t>
  </si>
  <si>
    <t>Madison Park</t>
  </si>
  <si>
    <t>3M Microcell</t>
  </si>
  <si>
    <t>Luxurious Brushed Microfiber Deep Pocket Sheet Set</t>
  </si>
  <si>
    <t>PF001786</t>
  </si>
  <si>
    <t>BLK01,HSNDS,JCPENNEY01,KOHLDSN,MACY02,OLLIIX,TGTDVS</t>
  </si>
  <si>
    <t>16596275-000-010</t>
  </si>
  <si>
    <t>6/1/2015</t>
  </si>
  <si>
    <t>MP20-2447</t>
  </si>
  <si>
    <t>BBBDROP,CSNSTORES,HSNDS,JCPENNEY01,KOHLDSN,MACY02</t>
  </si>
  <si>
    <t>16596275-000-039</t>
  </si>
  <si>
    <t>5/17/2016</t>
  </si>
  <si>
    <t>MP20-1186</t>
  </si>
  <si>
    <t>BBBDROP,BEALLSDS,BLK01,CSNSTORES,HSNDS,JCPENNEY01,KOHLDSN,MACY02,TGTDVS,WALMARTDS</t>
  </si>
  <si>
    <t>16596275-000-011</t>
  </si>
  <si>
    <t>6/5/2015</t>
  </si>
  <si>
    <t>MP20-1189</t>
  </si>
  <si>
    <t>Cal King</t>
  </si>
  <si>
    <t>5/29/2024</t>
  </si>
  <si>
    <t>BBBDROP,HDDS,JCPENNEY01,KOHLDSN,MACY02,TGTDVS,ZOLA</t>
  </si>
  <si>
    <t>16596275-000-014</t>
  </si>
  <si>
    <t>12/7/2015</t>
  </si>
  <si>
    <t>MP20-4389</t>
  </si>
  <si>
    <t>Blush</t>
  </si>
  <si>
    <t>PF001792</t>
  </si>
  <si>
    <t>5/17/2017</t>
  </si>
  <si>
    <t>AMAZON,BEALLSDS,CSNSTORES,HDDS,JCPENNEY01,KOHLDSN,MACY02,WALMARTDS</t>
  </si>
  <si>
    <t>16596275-000-041</t>
  </si>
  <si>
    <t>4/25/2017</t>
  </si>
  <si>
    <t>6/8/2017</t>
  </si>
  <si>
    <t>MP20-2383</t>
  </si>
  <si>
    <t>PF001789</t>
  </si>
  <si>
    <t>BBBDROP,BLK01,CSNSTORES,HDDS,JCPENNEY01,KOHLDSN,MACY02,OLLIIX,WALMARTDS</t>
  </si>
  <si>
    <t>16596275-000-025</t>
  </si>
  <si>
    <t>5/10/2016</t>
  </si>
  <si>
    <t>MP20-2387</t>
  </si>
  <si>
    <t>AMAZON,BEALLSDS,BLK01,CSNSTORES,JCPENNEY01,KOHLDSN,MACY02,OLLIIX,ZOLA</t>
  </si>
  <si>
    <t>16596275-000-030</t>
  </si>
  <si>
    <t>4/22/2016</t>
  </si>
  <si>
    <t>MP20-1180</t>
  </si>
  <si>
    <t>Ivory</t>
  </si>
  <si>
    <t>PF001785</t>
  </si>
  <si>
    <t>16596275-000-005</t>
  </si>
  <si>
    <t>2/17/2015</t>
  </si>
  <si>
    <t>MP20-2446</t>
  </si>
  <si>
    <t>BBBDROP,CSNSTORES,HSNDS,JCPENNEY01,KOHLDSN,MACY02,OLLIIX</t>
  </si>
  <si>
    <t>16596275-000-038</t>
  </si>
  <si>
    <t>7/5/2016</t>
  </si>
  <si>
    <t>MP20-1184</t>
  </si>
  <si>
    <t>HDDS,HSNDS,JCPENNEY01,KOHLDSN,MACY02,OLLIIX</t>
  </si>
  <si>
    <t>16596275-000-009</t>
  </si>
  <si>
    <t>5/12/2015</t>
  </si>
  <si>
    <t>MP20-1190</t>
  </si>
  <si>
    <t>Khaki</t>
  </si>
  <si>
    <t>PF001787</t>
  </si>
  <si>
    <t>KOHLDSN,MACY02,TGTDVS</t>
  </si>
  <si>
    <t>16596275-000-015</t>
  </si>
  <si>
    <t>3/20/2015</t>
  </si>
  <si>
    <t>MP20-1194</t>
  </si>
  <si>
    <t>16596275-000-019</t>
  </si>
  <si>
    <t>MP20-6338</t>
  </si>
  <si>
    <t>Purple</t>
  </si>
  <si>
    <t>PP001177;PF004673</t>
  </si>
  <si>
    <t>5/4/2019</t>
  </si>
  <si>
    <t>HDDS,KOHLDSN</t>
  </si>
  <si>
    <t>16596275-000-052</t>
  </si>
  <si>
    <t>Tier 4</t>
  </si>
  <si>
    <t>5/23/2019</t>
  </si>
  <si>
    <t>4/17/2020</t>
  </si>
  <si>
    <t>MP20-2388</t>
  </si>
  <si>
    <t>PF001791</t>
  </si>
  <si>
    <t>AMAZON,HDDS,JCPENNEY01,KOHLDSN,MACY02,OLLIIX</t>
  </si>
  <si>
    <t>16596275-000-031</t>
  </si>
  <si>
    <t>6/23/2016</t>
  </si>
  <si>
    <t>MP20-2444</t>
  </si>
  <si>
    <t>AMAZON,HDDS,HSNDS,JCPENNEY01,KOHLDSN,MACY02</t>
  </si>
  <si>
    <t>16596275-000-032</t>
  </si>
  <si>
    <t>4/13/2016</t>
  </si>
  <si>
    <t>MP20-2389</t>
  </si>
  <si>
    <t>AMAZON,AMAZONDS,CSNSTORES,HSNDS,JCPENNEY01,KOHLDSN,MACY02,OLLIIX</t>
  </si>
  <si>
    <t>16596275-000-033</t>
  </si>
  <si>
    <t>7/20/2016</t>
  </si>
  <si>
    <t>MP20-2391</t>
  </si>
  <si>
    <t>AMAZON,AMAZONDS,BEALLSDS,BLK01,CSNSTORES,HSNDS,JCPENNEY01,KOHLDSN,MACY02,WALMARTDS,ZOLA</t>
  </si>
  <si>
    <t>16596275-000-035</t>
  </si>
  <si>
    <t>4/5/2016</t>
  </si>
  <si>
    <t>MP20-2392</t>
  </si>
  <si>
    <t>AMAZON,AMAZONDS,BEALLSDS,HDDS,HSNDS,JCPENNEY01,KOHLDSN</t>
  </si>
  <si>
    <t>16596275-000-036</t>
  </si>
  <si>
    <t>3/24/2016</t>
  </si>
  <si>
    <t>MP20-6339</t>
  </si>
  <si>
    <t>Teal</t>
  </si>
  <si>
    <t>PP001177;PF004674</t>
  </si>
  <si>
    <t>HDDS,KOHLDSN,MACY02</t>
  </si>
  <si>
    <t>16596275-000-051</t>
  </si>
  <si>
    <t>7/30/2019</t>
  </si>
  <si>
    <t>MP20-6344</t>
  </si>
  <si>
    <t>KOHLDSN,MACY02,Zulily</t>
  </si>
  <si>
    <t>16596275-000-049</t>
  </si>
  <si>
    <t>8/11/2020</t>
  </si>
  <si>
    <t>MP20-1175</t>
  </si>
  <si>
    <t>PF001784</t>
  </si>
  <si>
    <t>HDDS,JCPENNEY01,KOHLDSN,MACY02,OLLIIX,TGTDVS</t>
  </si>
  <si>
    <t>16596275-000-000</t>
  </si>
  <si>
    <t>1/6/2015</t>
  </si>
  <si>
    <t>MP20-2445</t>
  </si>
  <si>
    <t>BLK01,JCPENNEY01,KOHLDSN,MACY02,OLLIIX</t>
  </si>
  <si>
    <t>16596275-000-037</t>
  </si>
  <si>
    <t>MP20-1178</t>
  </si>
  <si>
    <t>BLK01,HDDS,JCPENNEY01,KOHLDSN,MACY02,OLLIIX,TGTDVS,WALMARTDS</t>
  </si>
  <si>
    <t>16596275-000-003</t>
  </si>
  <si>
    <t>2/23/2015</t>
  </si>
  <si>
    <t>SHET20-733</t>
  </si>
  <si>
    <t>Peak Performance</t>
  </si>
  <si>
    <t>3M Scotchgard Micro Fleece</t>
  </si>
  <si>
    <t>Anti-Pill Sheet Set</t>
  </si>
  <si>
    <t>Black</t>
  </si>
  <si>
    <t>PF001798</t>
  </si>
  <si>
    <t>Fleece</t>
  </si>
  <si>
    <t>4/12/2017</t>
  </si>
  <si>
    <t>AMAZON,KOHLDSN</t>
  </si>
  <si>
    <t>16620311-000-022</t>
  </si>
  <si>
    <t>7/22/2015</t>
  </si>
  <si>
    <t>SHET20-734</t>
  </si>
  <si>
    <t>AMAZON,AMAZONDS,BBBDROP,KOHLDSN,MACY02</t>
  </si>
  <si>
    <t>16620311-000-023</t>
  </si>
  <si>
    <t>10/16/2015</t>
  </si>
  <si>
    <t>SHET20-590</t>
  </si>
  <si>
    <t>PF001795</t>
  </si>
  <si>
    <t>AMAZONDS,MACY02,WALMARTDS</t>
  </si>
  <si>
    <t>16620311-000-008</t>
  </si>
  <si>
    <t>1/7/2015</t>
  </si>
  <si>
    <t>SHET20-592</t>
  </si>
  <si>
    <t>CSNSTORES,KOHLDSN</t>
  </si>
  <si>
    <t>16620311-000-010</t>
  </si>
  <si>
    <t>6/15/2015</t>
  </si>
  <si>
    <t>SHET20-594</t>
  </si>
  <si>
    <t>PF001796</t>
  </si>
  <si>
    <t>4/7/2017</t>
  </si>
  <si>
    <t>AMAZONDS,WALMARTDS</t>
  </si>
  <si>
    <t>16620311-000-012</t>
  </si>
  <si>
    <t>1/5/2015</t>
  </si>
  <si>
    <t>SHET20-727</t>
  </si>
  <si>
    <t>Mink</t>
  </si>
  <si>
    <t>PF001797</t>
  </si>
  <si>
    <t>AMAZON,WALMARTDS</t>
  </si>
  <si>
    <t>16620311-000-016</t>
  </si>
  <si>
    <t>11/9/2015</t>
  </si>
  <si>
    <t>SHET20-728</t>
  </si>
  <si>
    <t>AMAZON,CSNSTORES,WALMARTDS</t>
  </si>
  <si>
    <t>16620311-000-017</t>
  </si>
  <si>
    <t>9/8/2015</t>
  </si>
  <si>
    <t>SHET20-729</t>
  </si>
  <si>
    <t>AMAZON,BBBDROP,CSNSTORES,KOHLDSN,WALMARTDS</t>
  </si>
  <si>
    <t>16620311-000-018</t>
  </si>
  <si>
    <t>8/15/2015</t>
  </si>
  <si>
    <t>SHET20-586</t>
  </si>
  <si>
    <t>PF001794</t>
  </si>
  <si>
    <t>5/12/2017</t>
  </si>
  <si>
    <t>CSNSTORES,WALMARTDS</t>
  </si>
  <si>
    <t>16620311-000-004</t>
  </si>
  <si>
    <t>SHET20-587</t>
  </si>
  <si>
    <t>CSNSTORES,MACY02</t>
  </si>
  <si>
    <t>16620311-000-005</t>
  </si>
  <si>
    <t>SHET20-588</t>
  </si>
  <si>
    <t>BLK01,CSNSTORES,KOHLDSN,MACY02,TGTDVS,WALMARTDS</t>
  </si>
  <si>
    <t>16620311-000-006</t>
  </si>
  <si>
    <t>1/4/2015</t>
  </si>
  <si>
    <t>SHET20-589</t>
  </si>
  <si>
    <t>BBBDROP,CSNSTORES,MACY02,OLLIIX</t>
  </si>
  <si>
    <t>16620311-000-007</t>
  </si>
  <si>
    <t>BR20-0979</t>
  </si>
  <si>
    <t>Beautyrest</t>
  </si>
  <si>
    <t>400 Thread Count</t>
  </si>
  <si>
    <t>Wrinkle Resistant Cotton Sateen Sheet Set</t>
  </si>
  <si>
    <t>PF004691;PP001187</t>
  </si>
  <si>
    <t>Glam/Luxury</t>
  </si>
  <si>
    <t>4/29/2019</t>
  </si>
  <si>
    <t>5/27/2024</t>
  </si>
  <si>
    <t>BBBDROP,JCPENNEY01,KOHLDSN,NORDSTRACKDS,WALMARTDS</t>
  </si>
  <si>
    <t>33380903-000-002</t>
  </si>
  <si>
    <t>6/4/2019</t>
  </si>
  <si>
    <t>8/4/2020</t>
  </si>
  <si>
    <t>BR20-0981</t>
  </si>
  <si>
    <t>JCPENNEY01,MACY02</t>
  </si>
  <si>
    <t>33380903-000-010</t>
  </si>
  <si>
    <t>6/11/2019</t>
  </si>
  <si>
    <t>10/16/2023</t>
  </si>
  <si>
    <t>BR20-0977</t>
  </si>
  <si>
    <t>PF004690;PP001187</t>
  </si>
  <si>
    <t>CSNSTORES,JCPENNEY01,MACY02,NORDSTRACKDS,OLLIIX</t>
  </si>
  <si>
    <t>33380903-000-015</t>
  </si>
  <si>
    <t>6/19/2019</t>
  </si>
  <si>
    <t>12/30/2019</t>
  </si>
  <si>
    <t>BR20-0982</t>
  </si>
  <si>
    <t>PF004692;PP001187</t>
  </si>
  <si>
    <t>BBBDROP,BLK01,HOUZZ,JCPENNEY01,KOHLDSN,MACY02,NORDSTRACKDS</t>
  </si>
  <si>
    <t>33380903-000-006</t>
  </si>
  <si>
    <t>4/8/2020</t>
  </si>
  <si>
    <t>BR20-0985</t>
  </si>
  <si>
    <t>BBBDROP,JCPENNEY01,MACY02</t>
  </si>
  <si>
    <t>33380903-000-007</t>
  </si>
  <si>
    <t>6/13/2019</t>
  </si>
  <si>
    <t>BR20-0973</t>
  </si>
  <si>
    <t>PF004689;PP001187</t>
  </si>
  <si>
    <t>CSNSTORES,MACY02,NORDSTRACKDS</t>
  </si>
  <si>
    <t>33380903-000-009</t>
  </si>
  <si>
    <t>6/10/2019</t>
  </si>
  <si>
    <t>4/28/2020</t>
  </si>
  <si>
    <t>MP20-8229</t>
  </si>
  <si>
    <t>500 Thread Count Egyptian Cotton</t>
  </si>
  <si>
    <t>Deep Pocket Sheet Set</t>
  </si>
  <si>
    <t>B+</t>
  </si>
  <si>
    <t>PP001884;PF006013</t>
  </si>
  <si>
    <t>8/26/2023</t>
  </si>
  <si>
    <t>OLLIIX</t>
  </si>
  <si>
    <t>42171344-000-001</t>
  </si>
  <si>
    <t>8/29/2023</t>
  </si>
  <si>
    <t>9/11/2023</t>
  </si>
  <si>
    <t>MP20-8230</t>
  </si>
  <si>
    <t>42171344-000-003</t>
  </si>
  <si>
    <t>9/6/2023</t>
  </si>
  <si>
    <t>MP20-8225</t>
  </si>
  <si>
    <t>PP001884;PF006012</t>
  </si>
  <si>
    <t>42171344-000-007</t>
  </si>
  <si>
    <t>10/12/2023</t>
  </si>
  <si>
    <t>MP20-8226</t>
  </si>
  <si>
    <t>42171344-000-006</t>
  </si>
  <si>
    <t>MP20-8233</t>
  </si>
  <si>
    <t>Lilac</t>
  </si>
  <si>
    <t>PP001884;PF006014</t>
  </si>
  <si>
    <t>42171344-000-000</t>
  </si>
  <si>
    <t>9/29/2023</t>
  </si>
  <si>
    <t>MP20-8221</t>
  </si>
  <si>
    <t>A</t>
  </si>
  <si>
    <t>PP001884;PF006011</t>
  </si>
  <si>
    <t>42171344-000-005</t>
  </si>
  <si>
    <t>9/27/2023</t>
  </si>
  <si>
    <t>MP20-8222</t>
  </si>
  <si>
    <t>ZOLA</t>
  </si>
  <si>
    <t>42171344-000-002</t>
  </si>
  <si>
    <t>MP20-6508</t>
  </si>
  <si>
    <t>525 Thread Count</t>
  </si>
  <si>
    <t>Cotton Blend Sheet Set</t>
  </si>
  <si>
    <t>Charcoal</t>
  </si>
  <si>
    <t>PP001317;PF004755</t>
  </si>
  <si>
    <t>CVC</t>
  </si>
  <si>
    <t>Traditional</t>
  </si>
  <si>
    <t>8/12/2019</t>
  </si>
  <si>
    <t>CSNSTORES,JCPENNEY01,KOHLDSN,MACY02,TGTDVS</t>
  </si>
  <si>
    <t>33907832-000-008</t>
  </si>
  <si>
    <t>9/26/2019</t>
  </si>
  <si>
    <t>MP20-6519</t>
  </si>
  <si>
    <t>PP001317;PF004758</t>
  </si>
  <si>
    <t>33907832-000-001</t>
  </si>
  <si>
    <t>11/24/2019</t>
  </si>
  <si>
    <t>MP20-6521</t>
  </si>
  <si>
    <t>BLK01,JCPENNEY01,KOHLDSN,OLLIIX,TGTDVS</t>
  </si>
  <si>
    <t>33907832-000-004</t>
  </si>
  <si>
    <t>8/11/2019</t>
  </si>
  <si>
    <t>10/7/2019</t>
  </si>
  <si>
    <t>BR20-1006</t>
  </si>
  <si>
    <t>600 Thread Count</t>
  </si>
  <si>
    <t>Cooling Cotton Blend 4 PC Sheet Set</t>
  </si>
  <si>
    <t>PP001188;PF004698</t>
  </si>
  <si>
    <t>5/14/2019</t>
  </si>
  <si>
    <t>4/4/2024</t>
  </si>
  <si>
    <t>AMAZON,BBBDROP,BEALLSDS,CSNSTORES,FINGERHUTDS,JCPENNEY01,KOHLDSN,MACY02,OLLIIX,TGTDVS</t>
  </si>
  <si>
    <t>33381532-000-019</t>
  </si>
  <si>
    <t>Tier 1</t>
  </si>
  <si>
    <t>7/10/2019</t>
  </si>
  <si>
    <t>11/7/2019</t>
  </si>
  <si>
    <t>BR20-1914</t>
  </si>
  <si>
    <t>PP001188;PF005144</t>
  </si>
  <si>
    <t>8/18/2020</t>
  </si>
  <si>
    <t>BLK01,CSNSTORES,FINGERHUTDS,JCPENNEY01,KOHLDSN,MACY02,NORDSTRACKDS,TGTDVS,WALMARTDS,Zulily</t>
  </si>
  <si>
    <t>33381532-000-029</t>
  </si>
  <si>
    <t>9/23/2020</t>
  </si>
  <si>
    <t>10/13/2020</t>
  </si>
  <si>
    <t>MP20-8004</t>
  </si>
  <si>
    <t>Pima Cotton Sheet Set</t>
  </si>
  <si>
    <t>Rose Gold</t>
  </si>
  <si>
    <t>PF005754</t>
  </si>
  <si>
    <t>7/19/2022</t>
  </si>
  <si>
    <t>5/17/2024</t>
  </si>
  <si>
    <t>CSNSTORES,JCPENNEY01,KOHLDSN,OLLIIX,TGTDVS</t>
  </si>
  <si>
    <t>15389857-000-041</t>
  </si>
  <si>
    <t>8/9/2022</t>
  </si>
  <si>
    <t>9/7/2022</t>
  </si>
  <si>
    <t>MP20-8005</t>
  </si>
  <si>
    <t>8/14/2024</t>
  </si>
  <si>
    <t>15389857-000-040</t>
  </si>
  <si>
    <t>9/1/2022</t>
  </si>
  <si>
    <t>MP20-7997</t>
  </si>
  <si>
    <t>Sand</t>
  </si>
  <si>
    <t>PF005752</t>
  </si>
  <si>
    <t>7/10/2024</t>
  </si>
  <si>
    <t>15389857-000-036</t>
  </si>
  <si>
    <t>12/13/2022</t>
  </si>
  <si>
    <t>BR20-1901</t>
  </si>
  <si>
    <t>700 Thread Count</t>
  </si>
  <si>
    <t>Cotton Tri-Blend 4 PC Sheet Set</t>
  </si>
  <si>
    <t>PP001512;PF005137</t>
  </si>
  <si>
    <t>10/30/2020</t>
  </si>
  <si>
    <t>BBBDROP,BLK01,FINGERHUTDS,HDDS,JCPENNEY01,KOHLDSN,MACY02</t>
  </si>
  <si>
    <t>36909435-000-008</t>
  </si>
  <si>
    <t>1/10/2021</t>
  </si>
  <si>
    <t>BR20-1902</t>
  </si>
  <si>
    <t>BBBDROP,HDDS,JCPENNEY01,KOHLDSN,MACY02</t>
  </si>
  <si>
    <t>36909435-000-005</t>
  </si>
  <si>
    <t>3/25/2021</t>
  </si>
  <si>
    <t>BR20-1903</t>
  </si>
  <si>
    <t>PP001512;PF005138</t>
  </si>
  <si>
    <t>BBBDROP,CSNSTORES,FINGERHUTDS,JCPENNEY01,KOHLDSN,MACY02</t>
  </si>
  <si>
    <t>36909435-000-015</t>
  </si>
  <si>
    <t>2/14/2021</t>
  </si>
  <si>
    <t>BR20-1905</t>
  </si>
  <si>
    <t>BBBDROP,BLK01,HDDS,JCPENNEY01,KOHLDSN,MACY02,NORDSTRACKDS</t>
  </si>
  <si>
    <t>36909435-000-001</t>
  </si>
  <si>
    <t>11/21/2020</t>
  </si>
  <si>
    <t>BR20-1906</t>
  </si>
  <si>
    <t>36909435-000-012</t>
  </si>
  <si>
    <t>8/2/2021</t>
  </si>
  <si>
    <t>BR20-1910</t>
  </si>
  <si>
    <t>Light Grey</t>
  </si>
  <si>
    <t>PP001512;PF005139</t>
  </si>
  <si>
    <t>BBBDROP,BLK01,JCPENNEY01,MACY02</t>
  </si>
  <si>
    <t>36909435-000-000</t>
  </si>
  <si>
    <t>11/16/2020</t>
  </si>
  <si>
    <t>BR20-1895</t>
  </si>
  <si>
    <t>PP001512;PF005136</t>
  </si>
  <si>
    <t>BLK01,CSNSTORES,JCPENNEY01,MACY02</t>
  </si>
  <si>
    <t>36909435-000-003</t>
  </si>
  <si>
    <t>11/3/2020</t>
  </si>
  <si>
    <t>BR20-1898</t>
  </si>
  <si>
    <t>BBBDROP,JCPENNEY01,KOHLDSN,MACY02</t>
  </si>
  <si>
    <t>36909435-000-013</t>
  </si>
  <si>
    <t>1/4/2021</t>
  </si>
  <si>
    <t>MP20-6424</t>
  </si>
  <si>
    <t>800 Thread Count</t>
  </si>
  <si>
    <t>Cotton Blend Sateen Sheet Set</t>
  </si>
  <si>
    <t>PP001297;PF004729</t>
  </si>
  <si>
    <t>6</t>
  </si>
  <si>
    <t>8/15/2019</t>
  </si>
  <si>
    <t>6/26/2024</t>
  </si>
  <si>
    <t>BBBDROP,CSNSTORES,FINGERHUTDS,JCPENNEY01,KOHLDSN,MACY02,TGTDVS,WALMARTDS</t>
  </si>
  <si>
    <t>25547637-000-024</t>
  </si>
  <si>
    <t>10/17/2019</t>
  </si>
  <si>
    <t>MPH20-0018</t>
  </si>
  <si>
    <t>PF004074</t>
  </si>
  <si>
    <t>11/27/2017</t>
  </si>
  <si>
    <t>7/8/2024</t>
  </si>
  <si>
    <t>CSNSTORES,FINGERHUTDS,JCPENNEY01,KOHLDSN,MACY02,OLLIIX,TGTDVS,WALMARTDS</t>
  </si>
  <si>
    <t>25547637-000-017</t>
  </si>
  <si>
    <t>12/29/2017</t>
  </si>
  <si>
    <t>1/3/2018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</si>
  <si>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</si>
  <si>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</si>
  <si>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</si>
  <si>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</si>
  <si>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</si>
  <si>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</si>
  <si>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</si>
  <si>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</si>
  <si>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Other</t>
  </si>
  <si>
    <t>Mid-Century</t>
  </si>
  <si>
    <t>5/16/2022</t>
  </si>
  <si>
    <t>CSNSTORES,OLLIIX,ZOLA</t>
  </si>
  <si>
    <t>39979879-000-000</t>
  </si>
  <si>
    <t>5/25/2022</t>
  </si>
  <si>
    <t>1/20/2023</t>
  </si>
  <si>
    <t>II150-0130</t>
  </si>
  <si>
    <t>INK+IVY</t>
  </si>
  <si>
    <t>Abbott</t>
  </si>
  <si>
    <t>4-Light Metal Shade Chandelier</t>
  </si>
  <si>
    <t>Black/Gold</t>
  </si>
  <si>
    <t>9/8/2022</t>
  </si>
  <si>
    <t>40565603-000-000</t>
  </si>
  <si>
    <t>10/6/2022</t>
  </si>
  <si>
    <t>11/6/2023</t>
  </si>
  <si>
    <t>ID12-2116</t>
  </si>
  <si>
    <t>YOUT</t>
  </si>
  <si>
    <t xml:space="preserve">Intelligent Design </t>
  </si>
  <si>
    <t>DUVET&amp;DUVET SET</t>
  </si>
  <si>
    <t>Duvet&amp;Duvet Set</t>
  </si>
  <si>
    <t>Abby</t>
  </si>
  <si>
    <t>Lara</t>
  </si>
  <si>
    <t>Nicole</t>
  </si>
  <si>
    <t>Metallic Printed and Pintucked Duvet Cover Set</t>
  </si>
  <si>
    <t>Twin/Twin XL</t>
  </si>
  <si>
    <t>Aqua blue</t>
  </si>
  <si>
    <t>PP001741;PF005662</t>
  </si>
  <si>
    <t>Abstract</t>
  </si>
  <si>
    <t>2/19/2022</t>
  </si>
  <si>
    <t>BBBDROP,KOHLDSN,TGTDVS,Zulily</t>
  </si>
  <si>
    <t>32471385-000-002</t>
  </si>
  <si>
    <t>3/2/2022</t>
  </si>
  <si>
    <t>8/31/2022</t>
  </si>
  <si>
    <t>MP95G-0299</t>
  </si>
  <si>
    <t>ART</t>
  </si>
  <si>
    <t>FRAMED GRAPHICS</t>
  </si>
  <si>
    <t>Wall Decor</t>
  </si>
  <si>
    <t>Abstract Ambit</t>
  </si>
  <si>
    <t>Framed Glass Wall Art</t>
  </si>
  <si>
    <t>PP001779</t>
  </si>
  <si>
    <t>6/1/2022</t>
  </si>
  <si>
    <t>JCPENNEY01,OLLIIX</t>
  </si>
  <si>
    <t>40050443-000-000</t>
  </si>
  <si>
    <t>6/14/2022</t>
  </si>
  <si>
    <t>MP95G-0313</t>
  </si>
  <si>
    <t>Framed Graphics</t>
  </si>
  <si>
    <t>Abstract Talon</t>
  </si>
  <si>
    <t>Framed Glass and Single Matted Foiled Deckle Edge Wall Art</t>
  </si>
  <si>
    <t>4/24/2023</t>
  </si>
  <si>
    <t>AMAZON,CSNSTORES,MACY02,OLLIIX</t>
  </si>
  <si>
    <t>41708138-000-000</t>
  </si>
  <si>
    <t>6/7/2023</t>
  </si>
  <si>
    <t>MT95G-0029</t>
  </si>
  <si>
    <t>Martha Stewart</t>
  </si>
  <si>
    <t>Across The Plains 1</t>
  </si>
  <si>
    <t>Framed Glass and Double Matted Abstract Landscape Wall Art</t>
  </si>
  <si>
    <t>Multi</t>
  </si>
  <si>
    <t>PP001448;PF005015</t>
  </si>
  <si>
    <t>Landscape</t>
  </si>
  <si>
    <t>MT Bedford</t>
  </si>
  <si>
    <t>11/13/2019</t>
  </si>
  <si>
    <t>5/16/2024</t>
  </si>
  <si>
    <t>AMAZON,BLK01,CSNSTORES,HDDS,KIRKLANDDS,KOHLDSN,OLLIIX,TGTDVS</t>
  </si>
  <si>
    <t>35147144-000-000</t>
  </si>
  <si>
    <t>11/21/2019</t>
  </si>
  <si>
    <t>4/21/2020</t>
  </si>
  <si>
    <t>MT95C-0023</t>
  </si>
  <si>
    <t>CANVAS</t>
  </si>
  <si>
    <t>Across The Plains 2</t>
  </si>
  <si>
    <t>Abstract Landscape Framed Canvas Wall Art</t>
  </si>
  <si>
    <t>PP001442;PF005009</t>
  </si>
  <si>
    <t>AMAZON,AMAZONDS,BLK01,DESINC,KOHLDSN,LAMPDS,OLLIIX,TGTDVS,ZOLA</t>
  </si>
  <si>
    <t>35145499-000-000</t>
  </si>
  <si>
    <t>5/20/2020</t>
  </si>
  <si>
    <t>MP10-8392</t>
  </si>
  <si>
    <t>COMFORTER (SET)</t>
  </si>
  <si>
    <t>Comforter Mini Set</t>
  </si>
  <si>
    <t>Adair</t>
  </si>
  <si>
    <t>Indra</t>
  </si>
  <si>
    <t>Striped Comforter Set</t>
  </si>
  <si>
    <t>NEW</t>
  </si>
  <si>
    <t>PP001945;PF006198</t>
  </si>
  <si>
    <t>Faux Fur</t>
  </si>
  <si>
    <t>Farm House</t>
  </si>
  <si>
    <t>Lodge/Cabin</t>
  </si>
  <si>
    <t>7/15/2024</t>
  </si>
  <si>
    <t>MP10-8393</t>
  </si>
  <si>
    <t>Full/Queen</t>
  </si>
  <si>
    <t>MP10-8394</t>
  </si>
  <si>
    <t>MP10-8389</t>
  </si>
  <si>
    <t>Brown</t>
  </si>
  <si>
    <t>PP001945;PF006197</t>
  </si>
  <si>
    <t>MP10-8390</t>
  </si>
  <si>
    <t>MP10-8391</t>
  </si>
  <si>
    <t>CC73-0015</t>
  </si>
  <si>
    <t>TOWL</t>
  </si>
  <si>
    <t>Croscill</t>
  </si>
  <si>
    <t>BATH TOWEL</t>
  </si>
  <si>
    <t>Bath Towel</t>
  </si>
  <si>
    <t>Adana</t>
  </si>
  <si>
    <t>Ultra Soft Turkish Towel</t>
  </si>
  <si>
    <t>Hand</t>
  </si>
  <si>
    <t>C+</t>
  </si>
  <si>
    <t>9/27/2022</t>
  </si>
  <si>
    <t>DLCROSCILL,JCPENNEY01,MACY02</t>
  </si>
  <si>
    <t>42102911-000-004</t>
  </si>
  <si>
    <t>8/11/2023</t>
  </si>
  <si>
    <t>11/28/2023</t>
  </si>
  <si>
    <t>CC73-0016</t>
  </si>
  <si>
    <t>Washcloth</t>
  </si>
  <si>
    <t>42102911-000-000</t>
  </si>
  <si>
    <t>CC73-0008</t>
  </si>
  <si>
    <t>Bath</t>
  </si>
  <si>
    <t>DLCROSCILL,MACY02,OLLIIX</t>
  </si>
  <si>
    <t>42102911-000-007</t>
  </si>
  <si>
    <t>10/27/2023</t>
  </si>
  <si>
    <t>CC73-0009</t>
  </si>
  <si>
    <t>42102911-000-011</t>
  </si>
  <si>
    <t>11/7/2023</t>
  </si>
  <si>
    <t>CC73-0010</t>
  </si>
  <si>
    <t>DLCROSCILL,MACY02,NRTPORT</t>
  </si>
  <si>
    <t>42102911-000-009</t>
  </si>
  <si>
    <t>CC72-0049</t>
  </si>
  <si>
    <t>BATH</t>
  </si>
  <si>
    <t>BATH RUG</t>
  </si>
  <si>
    <t>Bath Rug</t>
  </si>
  <si>
    <t>Premium Reversible Rug</t>
  </si>
  <si>
    <t>24x72"</t>
  </si>
  <si>
    <t>11/4/2022</t>
  </si>
  <si>
    <t>CSNSTORES,OLLIIX</t>
  </si>
  <si>
    <t>42057060-000-003</t>
  </si>
  <si>
    <t>8/1/2023</t>
  </si>
  <si>
    <t>9/8/2023</t>
  </si>
  <si>
    <t>CC72-0047</t>
  </si>
  <si>
    <t>CSNSTORES</t>
  </si>
  <si>
    <t>42057060-000-000</t>
  </si>
  <si>
    <t>9/7/2023</t>
  </si>
  <si>
    <t>CC73-0011</t>
  </si>
  <si>
    <t>Wheat</t>
  </si>
  <si>
    <t>42102911-000-002</t>
  </si>
  <si>
    <t>9/14/2023</t>
  </si>
  <si>
    <t>CC73-0012</t>
  </si>
  <si>
    <t>42102911-000-005</t>
  </si>
  <si>
    <t>CC73-0013</t>
  </si>
  <si>
    <t>DLCROSCILL,JCPENNEY01,MACY02,NRTPORT</t>
  </si>
  <si>
    <t>42102911-000-010</t>
  </si>
  <si>
    <t>CC73-0005</t>
  </si>
  <si>
    <t>DLCROSCILL,JCPENNEY01,MACY02,OLLIIX</t>
  </si>
  <si>
    <t>42102911-000-001</t>
  </si>
  <si>
    <t>CC73-0006</t>
  </si>
  <si>
    <t>42102911-000-008</t>
  </si>
  <si>
    <t>CC72-0050</t>
  </si>
  <si>
    <t>24x40"</t>
  </si>
  <si>
    <t>42057060-000-001</t>
  </si>
  <si>
    <t>10/4/2023</t>
  </si>
  <si>
    <t>TN10-0437</t>
  </si>
  <si>
    <t>True North by Sleep Philosophy</t>
  </si>
  <si>
    <t>Addison</t>
  </si>
  <si>
    <t>Kate</t>
  </si>
  <si>
    <t>Pintuck Sherpa Down Alternative Comforter Set</t>
  </si>
  <si>
    <t>PP001516;PF005149</t>
  </si>
  <si>
    <t>Berber</t>
  </si>
  <si>
    <t>Cottage/Country</t>
  </si>
  <si>
    <t>8/24/2020</t>
  </si>
  <si>
    <t>ASHFURNDS,BBBDROP,CSNSTORES,JCPENNEY01,KOHLDSN,MACY02,OLLIIX,TGTDVS</t>
  </si>
  <si>
    <t>36610205-000-000</t>
  </si>
  <si>
    <t>9/9/2020</t>
  </si>
  <si>
    <t>TN10-0438</t>
  </si>
  <si>
    <t>ASHFURNDS,BLK01,CSNSTORES,HDDS,JCPENNEY01,KOHLDSN,MACY02,TGTDVS</t>
  </si>
  <si>
    <t>36610205-000-001</t>
  </si>
  <si>
    <t>8/31/2020</t>
  </si>
  <si>
    <t>FPF18-0472</t>
  </si>
  <si>
    <t>FUR</t>
  </si>
  <si>
    <t>ACCENT CHAIR</t>
  </si>
  <si>
    <t>Lounge Chair</t>
  </si>
  <si>
    <t>Addy</t>
  </si>
  <si>
    <t>Preston</t>
  </si>
  <si>
    <t>Conway</t>
  </si>
  <si>
    <t>Wing Chair</t>
  </si>
  <si>
    <t>PF000726;PP000074</t>
  </si>
  <si>
    <t>CASTLEGATE,CSNSTORES,HOUZZ,OLLIIX</t>
  </si>
  <si>
    <t>18344590-000-000</t>
  </si>
  <si>
    <t>2/23/2016</t>
  </si>
  <si>
    <t>ID10-747</t>
  </si>
  <si>
    <t>Comforter (Set)</t>
  </si>
  <si>
    <t>Adel</t>
  </si>
  <si>
    <t>Kennedy</t>
  </si>
  <si>
    <t>Amanda</t>
  </si>
  <si>
    <t>Comforter Set</t>
  </si>
  <si>
    <t>Aqua</t>
  </si>
  <si>
    <t>PF001672;PP000366</t>
  </si>
  <si>
    <t>Geometric</t>
  </si>
  <si>
    <t>AMAZON,CSNSTORES,KOHLDSN,MACY02,TGTDVS,WALMARTDS</t>
  </si>
  <si>
    <t>18412661-000-000</t>
  </si>
  <si>
    <t>3/28/2016</t>
  </si>
  <si>
    <t>MP122-0923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</si>
  <si>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</si>
  <si>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</si>
  <si>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</si>
  <si>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</si>
  <si>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</si>
  <si>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</si>
  <si>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</si>
  <si>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</si>
  <si>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35543253-000-000</t>
  </si>
  <si>
    <t>4/1/2020</t>
  </si>
  <si>
    <t>MP95F-0318</t>
  </si>
  <si>
    <t>DEC. MIRROR</t>
  </si>
  <si>
    <t>Decor Mirror</t>
  </si>
  <si>
    <t>Adelaide</t>
  </si>
  <si>
    <t>Gold Scalloped Wood Wall Mirror</t>
  </si>
  <si>
    <t>Gold</t>
  </si>
  <si>
    <t>10/31/2023</t>
  </si>
  <si>
    <t>4/18/2024</t>
  </si>
  <si>
    <t>42877235-000-000</t>
  </si>
  <si>
    <t>11/20/2023</t>
  </si>
  <si>
    <t>MP103-1234</t>
  </si>
  <si>
    <t>MOTION</t>
  </si>
  <si>
    <t>Swivel</t>
  </si>
  <si>
    <t>Adele</t>
  </si>
  <si>
    <t>Jayne</t>
  </si>
  <si>
    <t>Findlay</t>
  </si>
  <si>
    <t>Swivel Chair Set of 2</t>
  </si>
  <si>
    <t>Spice</t>
  </si>
  <si>
    <t>SET</t>
  </si>
  <si>
    <t>PF001097</t>
  </si>
  <si>
    <t>5/13/2021</t>
  </si>
  <si>
    <t>II151-0114</t>
  </si>
  <si>
    <t>LGT-PENDANTS</t>
  </si>
  <si>
    <t>Pendants</t>
  </si>
  <si>
    <t>Farmhouse Metal Pendant</t>
  </si>
  <si>
    <t>White/Black</t>
  </si>
  <si>
    <t>1/21/2022</t>
  </si>
  <si>
    <t>39583461-000-000</t>
  </si>
  <si>
    <t>2/9/2022</t>
  </si>
  <si>
    <t>UH10-2527</t>
  </si>
  <si>
    <t>Urban Habitat</t>
  </si>
  <si>
    <t>Adrian</t>
  </si>
  <si>
    <t>Blaire</t>
  </si>
  <si>
    <t>Maren</t>
  </si>
  <si>
    <t>Botanical Cotton Comforter Set</t>
  </si>
  <si>
    <t>PF006182</t>
  </si>
  <si>
    <t>4/5/2024</t>
  </si>
  <si>
    <t>5/6/2024</t>
  </si>
  <si>
    <t>UH12-2529</t>
  </si>
  <si>
    <t>Duvet Mini Set</t>
  </si>
  <si>
    <t>Botanical Cotton Duvet Cover Set</t>
  </si>
  <si>
    <t>UH10-2528</t>
  </si>
  <si>
    <t>King/Cal King</t>
  </si>
  <si>
    <t>UH12-2530</t>
  </si>
  <si>
    <t>MPE73-667</t>
  </si>
  <si>
    <t>Adrien</t>
  </si>
  <si>
    <t>Remy</t>
  </si>
  <si>
    <t>Roman</t>
  </si>
  <si>
    <t>Super Soft Cotton Quick Dry Bath Towel 6 Piece Set</t>
  </si>
  <si>
    <t>6-Piece</t>
  </si>
  <si>
    <t>10/18/2017</t>
  </si>
  <si>
    <t>7/16/2024</t>
  </si>
  <si>
    <t>AMAZON,AMAZONDS,ASHFURNDS,BBBDROP,BEALLSDS,BIGLOTSDS,BLK01,CSNSTORES,JCPENNEY01,KOHLDSN,MACY02,TGTDVS,Zulily</t>
  </si>
  <si>
    <t>25423983-000-005</t>
  </si>
  <si>
    <t>12/7/2017</t>
  </si>
  <si>
    <t>3/2/2018</t>
  </si>
  <si>
    <t>5DS73-0232</t>
  </si>
  <si>
    <t>510 Design</t>
  </si>
  <si>
    <t>Aegean</t>
  </si>
  <si>
    <t>100% Turkish Cotton 6 Piece Towel Set</t>
  </si>
  <si>
    <t>PP001568;PF005264</t>
  </si>
  <si>
    <t>11/28/2020</t>
  </si>
  <si>
    <t>5/30/2024</t>
  </si>
  <si>
    <t>BBBDROP,BIGLOTSDS,BLK01,FINGERHUTDS,JCPENNEY01,KOHLDSN,MACY02,OLLIIX,TGTDVS,WALMARTDS</t>
  </si>
  <si>
    <t>37124868-000-001</t>
  </si>
  <si>
    <t>1/21/2021</t>
  </si>
  <si>
    <t>MT153-0078</t>
  </si>
  <si>
    <t>LGT-TABLE LAMPS</t>
  </si>
  <si>
    <t>Table Task Lamps</t>
  </si>
  <si>
    <t>Aelorian</t>
  </si>
  <si>
    <t>Table Lamp 28"H</t>
  </si>
  <si>
    <t>Antique Brass</t>
  </si>
  <si>
    <t>4/28/2024</t>
  </si>
  <si>
    <t>MP40-7935</t>
  </si>
  <si>
    <t>WIN</t>
  </si>
  <si>
    <t>WINDOW PANEL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</si>
  <si>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</si>
  <si>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</si>
  <si>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</si>
  <si>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</si>
  <si>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</si>
  <si>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</si>
  <si>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</si>
  <si>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8/30/2022</t>
  </si>
  <si>
    <t>AMAZONDS,JCPENNEY01,KOHLDSN,MACY02</t>
  </si>
  <si>
    <t>40368441-000-000</t>
  </si>
  <si>
    <t>9/6/2022</t>
  </si>
  <si>
    <t>1/5/2024</t>
  </si>
  <si>
    <t>II153-0156</t>
  </si>
  <si>
    <t>Alarid</t>
  </si>
  <si>
    <t>16" Ceramic Table Lamp</t>
  </si>
  <si>
    <t>Cream</t>
  </si>
  <si>
    <t>5/1/2024</t>
  </si>
  <si>
    <t>MP30-1841</t>
  </si>
  <si>
    <t>NORMAL PILLOW</t>
  </si>
  <si>
    <t>Other Pillows</t>
  </si>
  <si>
    <t>Alban</t>
  </si>
  <si>
    <t>Reiss</t>
  </si>
  <si>
    <t>Hayes</t>
  </si>
  <si>
    <t>Stud Trim Microsuede Square Pillow</t>
  </si>
  <si>
    <t>20x20"</t>
  </si>
  <si>
    <t>Tan</t>
  </si>
  <si>
    <t>PF003359</t>
  </si>
  <si>
    <t>17702996-000-002</t>
  </si>
  <si>
    <t>11/24/2015</t>
  </si>
  <si>
    <t>ID40-555</t>
  </si>
  <si>
    <t>Panel Pair</t>
  </si>
  <si>
    <t>Alex</t>
  </si>
  <si>
    <t>Rayna</t>
  </si>
  <si>
    <t>Elaine</t>
  </si>
  <si>
    <t>Chevron Printed Room Darkening Grommet Top Panel Pair</t>
  </si>
  <si>
    <t>42x84"</t>
  </si>
  <si>
    <t>PF003720;PP000465</t>
  </si>
  <si>
    <t>AMAZON,AMAZONDS,JCPENNEY01,MACY02,TGTDVS,WALMARTDS</t>
  </si>
  <si>
    <t>18539534-000-002</t>
  </si>
  <si>
    <t>5/27/2016</t>
  </si>
  <si>
    <t>ID40-554</t>
  </si>
  <si>
    <t>42x63"</t>
  </si>
  <si>
    <t>Yellow</t>
  </si>
  <si>
    <t>PF003719;PP000465</t>
  </si>
  <si>
    <t>AMAZON,CSNSTORES,KOHLDSN,TGTDVS,WALMARTDS</t>
  </si>
  <si>
    <t>18539534-000-001</t>
  </si>
  <si>
    <t>5/6/2016</t>
  </si>
  <si>
    <t>FB150-1162</t>
  </si>
  <si>
    <t>Alexis</t>
  </si>
  <si>
    <t>6-Light Metal Chandelier</t>
  </si>
  <si>
    <t>Antique Brass/Black</t>
  </si>
  <si>
    <t>3/4/2022</t>
  </si>
  <si>
    <t>39980195-000-000</t>
  </si>
  <si>
    <t>5/20/2022</t>
  </si>
  <si>
    <t>TN10-0348</t>
  </si>
  <si>
    <t>Down Comforter Filler</t>
  </si>
  <si>
    <t>All Season Warmth</t>
  </si>
  <si>
    <t>Oversized 100% Cotton Down Comforter</t>
  </si>
  <si>
    <t>PP000931;PF004345</t>
  </si>
  <si>
    <t>Classic</t>
  </si>
  <si>
    <t>7/13/2018</t>
  </si>
  <si>
    <t>BBBDROP,CSNSTORES,JCPENNEY01,KOHLDSN,MACY02,OLLIIX,TGTDVS</t>
  </si>
  <si>
    <t>28159096-000-002</t>
  </si>
  <si>
    <t>7/12/2018</t>
  </si>
  <si>
    <t>12/4/2018</t>
  </si>
  <si>
    <t>MP12-7875</t>
  </si>
  <si>
    <t>ADUL</t>
  </si>
  <si>
    <t>Allegany</t>
  </si>
  <si>
    <t>Levi</t>
  </si>
  <si>
    <t>3 Piece Jacquard Duvet Cover Set</t>
  </si>
  <si>
    <t>PP001752;PF005692</t>
  </si>
  <si>
    <t>Farm House|Modern/Contemporary</t>
  </si>
  <si>
    <t>6/21/2022</t>
  </si>
  <si>
    <t>BBBDROP,CSNSTORES,MACY02,TGTDVS</t>
  </si>
  <si>
    <t>40104456-000-001</t>
  </si>
  <si>
    <t>6/22/2022</t>
  </si>
  <si>
    <t>9/12/2022</t>
  </si>
  <si>
    <t>MP12-7876</t>
  </si>
  <si>
    <t>BBBDROP,CSNSTORES,JCPENNEY01,KOHLDSN,MACY02,TGTDVS</t>
  </si>
  <si>
    <t>40104456-000-003</t>
  </si>
  <si>
    <t>7/17/2022</t>
  </si>
  <si>
    <t>LCN16-0035</t>
  </si>
  <si>
    <t>Allergen Barrier</t>
  </si>
  <si>
    <t>Mattress and Pillow Protector Set</t>
  </si>
  <si>
    <t>PP001583</t>
  </si>
  <si>
    <t>2/10/2021</t>
  </si>
  <si>
    <t>BBBDROP,JCPENNEY01,KOHLDSN,MACY02,TGTDVS,ZOLA</t>
  </si>
  <si>
    <t>37389927-000-001</t>
  </si>
  <si>
    <t>1/25/2022</t>
  </si>
  <si>
    <t>MZ12-371</t>
  </si>
  <si>
    <t>Mi Zone</t>
  </si>
  <si>
    <t>Allison</t>
  </si>
  <si>
    <t>Mackenzie</t>
  </si>
  <si>
    <t>Kelly</t>
  </si>
  <si>
    <t>Floral Duvet Cover Set</t>
  </si>
  <si>
    <t>PF000013</t>
  </si>
  <si>
    <t>Floral</t>
  </si>
  <si>
    <t>17632896-000-000</t>
  </si>
  <si>
    <t>9/17/2015</t>
  </si>
  <si>
    <t>PET63PC6183-MD</t>
  </si>
  <si>
    <t>PETB</t>
  </si>
  <si>
    <t>Friends Forever</t>
  </si>
  <si>
    <t>PET BEDS</t>
  </si>
  <si>
    <t>Pet Beds</t>
  </si>
  <si>
    <t>Ally</t>
  </si>
  <si>
    <t>Medium All Foam Pet Couch</t>
  </si>
  <si>
    <t>M</t>
  </si>
  <si>
    <t>8/10/2023</t>
  </si>
  <si>
    <t>6/10/2024</t>
  </si>
  <si>
    <t>PET63PC6183-LG</t>
  </si>
  <si>
    <t>Large All Foam Pet Couch</t>
  </si>
  <si>
    <t>L</t>
  </si>
  <si>
    <t>PET63PC6183-XL</t>
  </si>
  <si>
    <t>XLarge All Foam Pet Couch</t>
  </si>
  <si>
    <t>XL</t>
  </si>
  <si>
    <t>PET63PC6184-MD</t>
  </si>
  <si>
    <t>AMAZON</t>
  </si>
  <si>
    <t>PET63PC6184-LG</t>
  </si>
  <si>
    <t>PET63PC6184-XL</t>
  </si>
  <si>
    <t>PET63PC6185-MD</t>
  </si>
  <si>
    <t>PET63PC6185-LG</t>
  </si>
  <si>
    <t>PET63PC6185-XL</t>
  </si>
  <si>
    <t>II12-934</t>
  </si>
  <si>
    <t>Alpine</t>
  </si>
  <si>
    <t>Cotton Duvet Cover Mini Set</t>
  </si>
  <si>
    <t>PP000342</t>
  </si>
  <si>
    <t>Ikat</t>
  </si>
  <si>
    <t>Casual|Modern/Contemporary</t>
  </si>
  <si>
    <t>AMAZON,CSNSTORES,JCPENNEY01,KOHLDSN,TGTDVS</t>
  </si>
  <si>
    <t>25458735-000-001</t>
  </si>
  <si>
    <t>12/13/2017</t>
  </si>
  <si>
    <t>II12-554</t>
  </si>
  <si>
    <t>3 Piece Duvet Cover Mini Set</t>
  </si>
  <si>
    <t>PF001636;PP000371</t>
  </si>
  <si>
    <t>6/8/2024</t>
  </si>
  <si>
    <t>AMAZON,BBBDROP,BEALLSDS,CSNSTORES,KOHLDSN,OLLIIX</t>
  </si>
  <si>
    <t>17516399-000-000</t>
  </si>
  <si>
    <t>9/3/2015</t>
  </si>
  <si>
    <t>II12-788</t>
  </si>
  <si>
    <t>PF001638;PP000371</t>
  </si>
  <si>
    <t>AMAZON,BLK01,CSNSTORES,JCPENNEY01,MACY02,TGTDVS</t>
  </si>
  <si>
    <t>19427075-000-001</t>
  </si>
  <si>
    <t>9/7/2016</t>
  </si>
  <si>
    <t>12/8/2016</t>
  </si>
  <si>
    <t>MPS115-0261B</t>
  </si>
  <si>
    <t>Madison Park Signature</t>
  </si>
  <si>
    <t>BED</t>
  </si>
  <si>
    <t>Alston</t>
  </si>
  <si>
    <t>Rails:81"L X 3"W X 2"T; Support Legs:2"W X 2"D" X 8"H</t>
  </si>
  <si>
    <t>UH154-0051</t>
  </si>
  <si>
    <t>LGT-FLOOR LAMPS</t>
  </si>
  <si>
    <t>Floor Lamps</t>
  </si>
  <si>
    <t>Alta</t>
  </si>
  <si>
    <t>3-Light Metal Floor Lamp</t>
  </si>
  <si>
    <t>10/5/2017</t>
  </si>
  <si>
    <t>24366787-000-000</t>
  </si>
  <si>
    <t>11/1/2017</t>
  </si>
  <si>
    <t>11/14/2017</t>
  </si>
  <si>
    <t>WR10-3105</t>
  </si>
  <si>
    <t>Woolrich</t>
  </si>
  <si>
    <t>Alton</t>
  </si>
  <si>
    <t>Plush to Sherpa Down Alternative Comforter Set</t>
  </si>
  <si>
    <t>Brown/Black</t>
  </si>
  <si>
    <t>PP001363;PF005165</t>
  </si>
  <si>
    <t>Plaid</t>
  </si>
  <si>
    <t>7/3/2024</t>
  </si>
  <si>
    <t>23298030-000-021</t>
  </si>
  <si>
    <t>9/8/2020</t>
  </si>
  <si>
    <t>WR10-2887</t>
  </si>
  <si>
    <t>Charcoal/Ivory</t>
  </si>
  <si>
    <t>PP001363;PF004860</t>
  </si>
  <si>
    <t>23298030-000-013</t>
  </si>
  <si>
    <t>WR10-2888</t>
  </si>
  <si>
    <t>10/18/2019</t>
  </si>
  <si>
    <t>23298030-000-012</t>
  </si>
  <si>
    <t>11/4/2019</t>
  </si>
  <si>
    <t>WR10-3885</t>
  </si>
  <si>
    <t>Green/Ivory</t>
  </si>
  <si>
    <t>PP001363;PF005807</t>
  </si>
  <si>
    <t>11/10/2022</t>
  </si>
  <si>
    <t>23298030-000-032</t>
  </si>
  <si>
    <t>11/15/2022</t>
  </si>
  <si>
    <t>11/23/2022</t>
  </si>
  <si>
    <t>WR10-3886</t>
  </si>
  <si>
    <t>23298030-000-030</t>
  </si>
  <si>
    <t>11/17/2022</t>
  </si>
  <si>
    <t>WR10-3887</t>
  </si>
  <si>
    <t>23298030-000-031</t>
  </si>
  <si>
    <t>WR10-2062</t>
  </si>
  <si>
    <t>Grey/Ivory</t>
  </si>
  <si>
    <t>A+</t>
  </si>
  <si>
    <t>PF002182</t>
  </si>
  <si>
    <t>8/8/2017</t>
  </si>
  <si>
    <t>23298030-000-001</t>
  </si>
  <si>
    <t>7/27/2017</t>
  </si>
  <si>
    <t>8/14/2017</t>
  </si>
  <si>
    <t>WR10-2415</t>
  </si>
  <si>
    <t>Navy/Ivory</t>
  </si>
  <si>
    <t>10/31/2018</t>
  </si>
  <si>
    <t>AMAZON,KOHLDSN,OLLIIX,TGTDVS</t>
  </si>
  <si>
    <t>23298030-000-007</t>
  </si>
  <si>
    <t>11/6/2018</t>
  </si>
  <si>
    <t>11/12/2018</t>
  </si>
  <si>
    <t>WR10-3102</t>
  </si>
  <si>
    <t>Red Plaid</t>
  </si>
  <si>
    <t>PP001363;PF005164</t>
  </si>
  <si>
    <t>23298030-000-026</t>
  </si>
  <si>
    <t>9/2/2020</t>
  </si>
  <si>
    <t>WR10-3103</t>
  </si>
  <si>
    <t>23298030-000-023</t>
  </si>
  <si>
    <t>10/23/2020</t>
  </si>
  <si>
    <t>WR10-2065</t>
  </si>
  <si>
    <t>Red/Black</t>
  </si>
  <si>
    <t>PF002181</t>
  </si>
  <si>
    <t>BBBDROP,KOHLDSN,MACY02,OLLIIX,TGTDVS</t>
  </si>
  <si>
    <t>23298030-000-004</t>
  </si>
  <si>
    <t>9/11/2017</t>
  </si>
  <si>
    <t>WR10-3326</t>
  </si>
  <si>
    <t>Tan Plaid</t>
  </si>
  <si>
    <t>PP001363;PF005525</t>
  </si>
  <si>
    <t>8/27/2021</t>
  </si>
  <si>
    <t>23298030-000-029</t>
  </si>
  <si>
    <t>9/1/2021</t>
  </si>
  <si>
    <t>9/7/2021</t>
  </si>
  <si>
    <t>WR10-3327</t>
  </si>
  <si>
    <t>23298030-000-027</t>
  </si>
  <si>
    <t>9/2/2021</t>
  </si>
  <si>
    <t>WR10-3328</t>
  </si>
  <si>
    <t>8/26/2021</t>
  </si>
  <si>
    <t>23298030-000-028</t>
  </si>
  <si>
    <t>9/13/2021</t>
  </si>
  <si>
    <t>WR10-2417</t>
  </si>
  <si>
    <t>Taupe/Ivory</t>
  </si>
  <si>
    <t>23298030-000-009</t>
  </si>
  <si>
    <t>11/26/2018</t>
  </si>
  <si>
    <t>WR10-2418</t>
  </si>
  <si>
    <t>23298030-000-006</t>
  </si>
  <si>
    <t>MP35-7595</t>
  </si>
  <si>
    <t>RUG</t>
  </si>
  <si>
    <t>Renae</t>
  </si>
  <si>
    <t>Allie</t>
  </si>
  <si>
    <t>Black &amp; Ivory Modern Area Rug</t>
  </si>
  <si>
    <t>5x7'</t>
  </si>
  <si>
    <t>Black/Ivory</t>
  </si>
  <si>
    <t>7/10/2021</t>
  </si>
  <si>
    <t>AMAZON,BIGLOTSDS,CSNSTORES,OLLIIX</t>
  </si>
  <si>
    <t>38658432-000-000</t>
  </si>
  <si>
    <t>8/9/2021</t>
  </si>
  <si>
    <t>8/24/2023</t>
  </si>
  <si>
    <t>MP35-7596</t>
  </si>
  <si>
    <t>6x9'</t>
  </si>
  <si>
    <t>AMAZON,AMAZONDS,BIGLOTSDS,CSNSTORES,HDDS,JCPENNEY01,NRTPORT,OLLIIX</t>
  </si>
  <si>
    <t>38658432-000-002</t>
  </si>
  <si>
    <t>9/23/2021</t>
  </si>
  <si>
    <t>MP10-7683</t>
  </si>
  <si>
    <t>Amara</t>
  </si>
  <si>
    <t>Eve</t>
  </si>
  <si>
    <t>Faux Fur Comforter Set</t>
  </si>
  <si>
    <t>PP001673;PF005564</t>
  </si>
  <si>
    <t>10/28/2021</t>
  </si>
  <si>
    <t>39048940-000-000</t>
  </si>
  <si>
    <t>11/1/2021</t>
  </si>
  <si>
    <t>1/4/2022</t>
  </si>
  <si>
    <t>MP10-7684</t>
  </si>
  <si>
    <t>39048940-000-001</t>
  </si>
  <si>
    <t>10/29/2021</t>
  </si>
  <si>
    <t>12/21/2021</t>
  </si>
  <si>
    <t>MP10-7686</t>
  </si>
  <si>
    <t>PP001673;PF005565</t>
  </si>
  <si>
    <t>39048940-000-003</t>
  </si>
  <si>
    <t>SS40-0205</t>
  </si>
  <si>
    <t>SunSmart</t>
  </si>
  <si>
    <t>Window Panel</t>
  </si>
  <si>
    <t>Amelia</t>
  </si>
  <si>
    <t>Loraine</t>
  </si>
  <si>
    <t>Enid</t>
  </si>
  <si>
    <t>Knitted Jacquard Paisley Total Blackout Grommet Top Curtain Panel</t>
  </si>
  <si>
    <t>50x108"</t>
  </si>
  <si>
    <t>Champagne</t>
  </si>
  <si>
    <t>PP001613;PF005415</t>
  </si>
  <si>
    <t>Damask</t>
  </si>
  <si>
    <t>Total Blackout</t>
  </si>
  <si>
    <t>4/26/2021</t>
  </si>
  <si>
    <t>AMAZONDS,BBBDROP,CSNSTORES,HDDS,JCPENNEY01,MACY02,TGTDVS</t>
  </si>
  <si>
    <t>37896246-000-001</t>
  </si>
  <si>
    <t>4/23/2021</t>
  </si>
  <si>
    <t>5/31/2021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</si>
  <si>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</si>
  <si>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</si>
  <si>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</si>
  <si>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</si>
  <si>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</si>
  <si>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</si>
  <si>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</si>
  <si>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5/26/2017</t>
  </si>
  <si>
    <t>5/15/2024</t>
  </si>
  <si>
    <t>AMAZONDS,ASHFURNDS,CASTLEGATE,CSNSTORES,KOHLDSN,MACY02F,OLLIIX</t>
  </si>
  <si>
    <t>22669390-000-000</t>
  </si>
  <si>
    <t>6/14/2017</t>
  </si>
  <si>
    <t>7/28/2017</t>
  </si>
  <si>
    <t>MP10-8377</t>
  </si>
  <si>
    <t>Willow</t>
  </si>
  <si>
    <t>Clara</t>
  </si>
  <si>
    <t>5 Piece Textured Jacquard Stripe Comforter Set with Throw Pillows</t>
  </si>
  <si>
    <t>PP001932;PF006164</t>
  </si>
  <si>
    <t>Polyester</t>
  </si>
  <si>
    <t>5</t>
  </si>
  <si>
    <t>Pieced</t>
  </si>
  <si>
    <t>4/12/2024</t>
  </si>
  <si>
    <t>3/26/2024</t>
  </si>
  <si>
    <t>43800401-000-001</t>
  </si>
  <si>
    <t>MP10-8378</t>
  </si>
  <si>
    <t>43800401-000-000</t>
  </si>
  <si>
    <t>SS40-0198</t>
  </si>
  <si>
    <t>50x95"</t>
  </si>
  <si>
    <t>PP001613;PF005413</t>
  </si>
  <si>
    <t>5/8/2024</t>
  </si>
  <si>
    <t>AMAZONDS,BBBDROP,CSNSTORES,HDDS,JCPENNEY01,KOHLDSN,MACY02,TGTDVS</t>
  </si>
  <si>
    <t>37896246-000-011</t>
  </si>
  <si>
    <t>4/25/2021</t>
  </si>
  <si>
    <t>7/27/2021</t>
  </si>
  <si>
    <t>SS40-0199</t>
  </si>
  <si>
    <t>CSNSTORES,HDDS,JCPENNEY01,OLLIIX,TGTDVS</t>
  </si>
  <si>
    <t>37896246-000-004</t>
  </si>
  <si>
    <t>1/23/2023</t>
  </si>
  <si>
    <t>MP10-2980</t>
  </si>
  <si>
    <t>Amherst</t>
  </si>
  <si>
    <t>Eastridge</t>
  </si>
  <si>
    <t>Salem</t>
  </si>
  <si>
    <t>7 Piece Comforter Set</t>
  </si>
  <si>
    <t>PF002417;PP000373</t>
  </si>
  <si>
    <t>7</t>
  </si>
  <si>
    <t>Color Block</t>
  </si>
  <si>
    <t>Modern/Contemporary|Casual</t>
  </si>
  <si>
    <t>AMAZON,BEALLSDS,BLK01,CSNSTORES,FINGERHUTDS,JCPENNEY01,KOHLDSN,MACY02,OLLIIX,TGTDVS</t>
  </si>
  <si>
    <t>18836873-000-001</t>
  </si>
  <si>
    <t>6/14/2016</t>
  </si>
  <si>
    <t>MP10-2981</t>
  </si>
  <si>
    <t>5/14/2024</t>
  </si>
  <si>
    <t>AMAZON,BEALLSDS,BLK01,CSNSTORES,FINGERHUTDS,JCPENNEY01,KOHLDSN,MACY02</t>
  </si>
  <si>
    <t>18836873-000-002</t>
  </si>
  <si>
    <t>6/20/2016</t>
  </si>
  <si>
    <t>MP10-044</t>
  </si>
  <si>
    <t>PP000373</t>
  </si>
  <si>
    <t>13267098-000-002</t>
  </si>
  <si>
    <t>12/16/2015</t>
  </si>
  <si>
    <t>MP40-2223</t>
  </si>
  <si>
    <t>Polyoni Pintuck Curtain Panel</t>
  </si>
  <si>
    <t>50x84"</t>
  </si>
  <si>
    <t>PF001363;PP000524</t>
  </si>
  <si>
    <t>Light Filtering</t>
  </si>
  <si>
    <t>AMAZON,AMAZONDS,ASHFURNDS,BBBDROP,BEALLSDS,CASTLEGATE,CSNSTORES,JCPENNEY01,TGTDVS</t>
  </si>
  <si>
    <t>17924347-000-000</t>
  </si>
  <si>
    <t>12/15/2015</t>
  </si>
  <si>
    <t>MP40-4373</t>
  </si>
  <si>
    <t>PF002411</t>
  </si>
  <si>
    <t>7/4/2017</t>
  </si>
  <si>
    <t>AMAZON,AMAZONDS,ASHFURNDS,BIGLOTSDS,CSNSTORES,FINGERHUTDS,JCPENNEY01,KIRKLANDDS,KOHLDSN</t>
  </si>
  <si>
    <t>17924352-000-005</t>
  </si>
  <si>
    <t>9/5/2017</t>
  </si>
  <si>
    <t>MP10-2586</t>
  </si>
  <si>
    <t>Natural</t>
  </si>
  <si>
    <t>PF002412;PP000373</t>
  </si>
  <si>
    <t>13652244-000-003</t>
  </si>
  <si>
    <t>6/10/2016</t>
  </si>
  <si>
    <t>MP10-121</t>
  </si>
  <si>
    <t>AMAZON,AMAZONDS,BBBDROP,CSNSTORES,FINGERHUTDS,JCPENNEY01,KOHLDSN,MACY02,OLLIIX,ROOMECOM,TGTDVS</t>
  </si>
  <si>
    <t>13652244-000-000</t>
  </si>
  <si>
    <t>MP10-123</t>
  </si>
  <si>
    <t>AMAZON,AMAZONDS,CSNSTORES,FINGERHUTDS,JCPENNEY01,KOHLDSN,MACY02,NRTPORT,OLLIIX,TGTDVS</t>
  </si>
  <si>
    <t>13652244-000-002</t>
  </si>
  <si>
    <t>MP72-6204</t>
  </si>
  <si>
    <t>Cotton Tufted Bath Rug</t>
  </si>
  <si>
    <t>20x30"</t>
  </si>
  <si>
    <t>PP000524;PF004654</t>
  </si>
  <si>
    <t>4/9/2019</t>
  </si>
  <si>
    <t>AMAZON,AMAZONDS,BBBDROP,BLK01,CSNSTORES,HDDS,JCPENNEY01,KIRKLANDDS,KOHLDSN,MACY02,OLLIIX,TGTDVS,Zulily</t>
  </si>
  <si>
    <t>16629267-000-004</t>
  </si>
  <si>
    <t>4/25/2019</t>
  </si>
  <si>
    <t>5/2/2019</t>
  </si>
  <si>
    <t>MP72-6205</t>
  </si>
  <si>
    <t>27x45"</t>
  </si>
  <si>
    <t>AMAZON,AMAZONDS,ASHFURNDS,BBBDROP,BLK01,CSNSTORES,JCPENNEY01,KIRKLANDDS,KOHLDSN,MACY02,OLLIIX,TGTDVS,Zulily</t>
  </si>
  <si>
    <t>16629267-000-007</t>
  </si>
  <si>
    <t>MP10-039</t>
  </si>
  <si>
    <t>Red</t>
  </si>
  <si>
    <t>AMAZON,BLK01,CSNSTORES,FINGERHUTDS</t>
  </si>
  <si>
    <t>13267078-000-002</t>
  </si>
  <si>
    <t>MP70-221</t>
  </si>
  <si>
    <t>SHOWER CURTAIN</t>
  </si>
  <si>
    <t>Shower Curtain</t>
  </si>
  <si>
    <t>Faux Silk Shower Curtain</t>
  </si>
  <si>
    <t>72x72"</t>
  </si>
  <si>
    <t>PF001362;PP000524</t>
  </si>
  <si>
    <t>AMAZON,AMAZONDS,BLK01,CSNSTORES,JCPENNEY01,KOHLDSN,MACY02,OLLIIX,TGTDVS,WALMARTDS</t>
  </si>
  <si>
    <t>14941994-000-000</t>
  </si>
  <si>
    <t>2/12/2016</t>
  </si>
  <si>
    <t>MP40-8295</t>
  </si>
  <si>
    <t>Anaheim</t>
  </si>
  <si>
    <t>Salford</t>
  </si>
  <si>
    <t>Plaid Rod Pocket and Back Tab Curtain Panel with Fleece Lining</t>
  </si>
  <si>
    <t>PP001397;PF006073</t>
  </si>
  <si>
    <t>Mid-Century|Lodge/Cabin</t>
  </si>
  <si>
    <t>9/22/2023</t>
  </si>
  <si>
    <t>3/27/2024</t>
  </si>
  <si>
    <t>35137210-000-006</t>
  </si>
  <si>
    <t>10/24/2023</t>
  </si>
  <si>
    <t>MP40-8297</t>
  </si>
  <si>
    <t>Plaid Faux Leather Tab Top Curtain Panel with Fleece Lining</t>
  </si>
  <si>
    <t>35137209-000-003</t>
  </si>
  <si>
    <t>MP40-8274</t>
  </si>
  <si>
    <t>PP001397;PF006072</t>
  </si>
  <si>
    <t>CSNSTORES,JCPENNEY01</t>
  </si>
  <si>
    <t>35137210-000-007</t>
  </si>
  <si>
    <t>12/8/2023</t>
  </si>
  <si>
    <t>MP40-8276</t>
  </si>
  <si>
    <t>JCPENNEY01</t>
  </si>
  <si>
    <t>35137209-000-004</t>
  </si>
  <si>
    <t>MP40-8275</t>
  </si>
  <si>
    <t>CSNSTORES,NRTPORT,OLLIIX</t>
  </si>
  <si>
    <t>35137210-000-009</t>
  </si>
  <si>
    <t>CC51-0023</t>
  </si>
  <si>
    <t>Andaz</t>
  </si>
  <si>
    <t>Solid Cotton Blanket</t>
  </si>
  <si>
    <t>11/25/2022</t>
  </si>
  <si>
    <t>5/24/2024</t>
  </si>
  <si>
    <t>DLCROSCILL</t>
  </si>
  <si>
    <t>42031427-000-002</t>
  </si>
  <si>
    <t>7/26/2023</t>
  </si>
  <si>
    <t>8/20/2023</t>
  </si>
  <si>
    <t>CCA12-0001</t>
  </si>
  <si>
    <t>Croscill Casual</t>
  </si>
  <si>
    <t>Anders</t>
  </si>
  <si>
    <t>3 Piece Duvet Set</t>
  </si>
  <si>
    <t>10/14/2022</t>
  </si>
  <si>
    <t>CSNSTORES,DLCROSCILL,JCPENNEY01,OLLIIX</t>
  </si>
  <si>
    <t>42062616-000-000</t>
  </si>
  <si>
    <t>8/3/2023</t>
  </si>
  <si>
    <t>10/5/2023</t>
  </si>
  <si>
    <t>WR50-1350</t>
  </si>
  <si>
    <t>THROW</t>
  </si>
  <si>
    <t>Filled Throw</t>
  </si>
  <si>
    <t>Anderson</t>
  </si>
  <si>
    <t>Print Mink Down Alternative Filled Throw</t>
  </si>
  <si>
    <t>50x70"</t>
  </si>
  <si>
    <t>PF002058</t>
  </si>
  <si>
    <t>Plush</t>
  </si>
  <si>
    <t>AMAZON,HSNDS,KOHLDSN,MACY02,OLLIIX,WALMARTDS</t>
  </si>
  <si>
    <t>16606693-000-000</t>
  </si>
  <si>
    <t>12/31/2015</t>
  </si>
  <si>
    <t>MP40-717</t>
  </si>
  <si>
    <t>Andora</t>
  </si>
  <si>
    <t>Eliza</t>
  </si>
  <si>
    <t>Aden</t>
  </si>
  <si>
    <t>Curtain Panel</t>
  </si>
  <si>
    <t>Chocolate</t>
  </si>
  <si>
    <t>PF003806</t>
  </si>
  <si>
    <t>AMAZON,ASHFURNDS,CSNSTORES,DESINC,HDDS,JCPENNEY01,KOHLDSN,MACY02,TGTDVS</t>
  </si>
  <si>
    <t>15478285-000-004</t>
  </si>
  <si>
    <t>MP40-1782</t>
  </si>
  <si>
    <t>PF003840</t>
  </si>
  <si>
    <t>AMAZON,AMAZONDS,ASHFURNDS,CSNSTORES,DESINC,JCPENNEY01,KOHLDSN,MACY02,OLLIIX</t>
  </si>
  <si>
    <t>15478285-000-014</t>
  </si>
  <si>
    <t>8/29/2016</t>
  </si>
  <si>
    <t>WIN40-098</t>
  </si>
  <si>
    <t>PF003798</t>
  </si>
  <si>
    <t>AMAZON,BEALLSDS,BLK01,CSNSTORES,JCPENNEY01,KOHLDSN,MACY02,TGTDVS,WALMARTDS</t>
  </si>
  <si>
    <t>15478285-000-000</t>
  </si>
  <si>
    <t>MP40-716</t>
  </si>
  <si>
    <t>AMAZON,ASHFURNDS,BLK01,CSNSTORES,HSNDS,JCPENNEY01,KOHLDSN,MACY02,TGTDVS,WALMARTDS</t>
  </si>
  <si>
    <t>15478285-000-003</t>
  </si>
  <si>
    <t>WIN40-100</t>
  </si>
  <si>
    <t>PF003816</t>
  </si>
  <si>
    <t>AMAZON,BBBDROP,BLK01,CSNSTORES,HDDS,HSNDS,JCPENNEY01,KOHLDSN,MACY02,TGTDVS</t>
  </si>
  <si>
    <t>15478285-000-002</t>
  </si>
  <si>
    <t>MP40-718</t>
  </si>
  <si>
    <t>ASHFURNDS,CSNSTORES,HDDS,JCPENNEY01,KOHLDSN,MACY02,TGTDVS</t>
  </si>
  <si>
    <t>15478285-000-005</t>
  </si>
  <si>
    <t>II40-196</t>
  </si>
  <si>
    <t>Ankara</t>
  </si>
  <si>
    <t>Cotton Window Panel</t>
  </si>
  <si>
    <t>PF004010</t>
  </si>
  <si>
    <t>Print</t>
  </si>
  <si>
    <t>17218049-000-002</t>
  </si>
  <si>
    <t>4/27/2015</t>
  </si>
  <si>
    <t>MT100-0155</t>
  </si>
  <si>
    <t>Anna</t>
  </si>
  <si>
    <t>Arm Accent Chair</t>
  </si>
  <si>
    <t>MT Perry Street</t>
  </si>
  <si>
    <t>7/14/2022</t>
  </si>
  <si>
    <t>AMAZONDS,ASHFURNDS,CSNSTORES,OLLIIX,TGTDVS</t>
  </si>
  <si>
    <t>34092816-000-001</t>
  </si>
  <si>
    <t>7/18/2022</t>
  </si>
  <si>
    <t>10/26/2022</t>
  </si>
  <si>
    <t>MT100-0173</t>
  </si>
  <si>
    <t>Arm Accent Chair Set of 2</t>
  </si>
  <si>
    <t>PP001261</t>
  </si>
  <si>
    <t>41353962-000-000</t>
  </si>
  <si>
    <t>4/10/2023</t>
  </si>
  <si>
    <t>7/3/2023</t>
  </si>
  <si>
    <t>BR10-3844</t>
  </si>
  <si>
    <t>Apollo</t>
  </si>
  <si>
    <t>3 Piece Striped Seersucker Oversized Comforter Set</t>
  </si>
  <si>
    <t>PP001825;PF005863</t>
  </si>
  <si>
    <t>11/28/2022</t>
  </si>
  <si>
    <t>CSNSTORES,JCPENNEY01,KIRKLANDDS,KOHLDSN,MACY02,OLLIIX,TGTDVS</t>
  </si>
  <si>
    <t>40848672-000-001</t>
  </si>
  <si>
    <t>12/5/2022</t>
  </si>
  <si>
    <t>1/3/2023</t>
  </si>
  <si>
    <t>BR12-3846</t>
  </si>
  <si>
    <t>3 Piece Striped Seersucker Oversized Duvet Cover Set</t>
  </si>
  <si>
    <t>MACY02,OLLIIX,TGTDVS</t>
  </si>
  <si>
    <t>40848833-000-002</t>
  </si>
  <si>
    <t>BR10-3845</t>
  </si>
  <si>
    <t>AMAZON,AMAZONDS,CSNSTORES,JCPENNEY01,KIRKLANDDS,KOHLDSN,MACY02,OLLIIX,TGTDVS,ZOLA</t>
  </si>
  <si>
    <t>40848672-000-002</t>
  </si>
  <si>
    <t>BR12-3843</t>
  </si>
  <si>
    <t>PP001825;PF005862</t>
  </si>
  <si>
    <t>40848833-000-001</t>
  </si>
  <si>
    <t>4/5/2023</t>
  </si>
  <si>
    <t>II153-0159</t>
  </si>
  <si>
    <t>Aquaviva</t>
  </si>
  <si>
    <t xml:space="preserve">Aquaviva </t>
  </si>
  <si>
    <t>Confetti Glass Table Lamp</t>
  </si>
  <si>
    <t>Artisan</t>
  </si>
  <si>
    <t>5/4/2024</t>
  </si>
  <si>
    <t>II72-1237</t>
  </si>
  <si>
    <t>Arbor</t>
  </si>
  <si>
    <t>Stripe Tassel Cotton Tufted Rug</t>
  </si>
  <si>
    <t>20x32"</t>
  </si>
  <si>
    <t>PP001728;PF005645</t>
  </si>
  <si>
    <t>2/2/2022</t>
  </si>
  <si>
    <t>AMAZONDS,BBBDROP,CSNSTORES,JCPENNEY01,KOHLDSN,MACY02,OLLIIX,TGTDVS,ZOLA</t>
  </si>
  <si>
    <t>39608003-000-000</t>
  </si>
  <si>
    <t>2/18/2022</t>
  </si>
  <si>
    <t>3/16/2022</t>
  </si>
  <si>
    <t>II105-0546</t>
  </si>
  <si>
    <t>ACCENT BENCH</t>
  </si>
  <si>
    <t>Bench</t>
  </si>
  <si>
    <t>Arcadia</t>
  </si>
  <si>
    <t>Accent Bench with Storage and Upholstered Cushion</t>
  </si>
  <si>
    <t>Walnut Brown</t>
  </si>
  <si>
    <t>10/7/2023</t>
  </si>
  <si>
    <t>5/11/2024</t>
  </si>
  <si>
    <t>42800761-000-000</t>
  </si>
  <si>
    <t>11/19/2023</t>
  </si>
  <si>
    <t>215227136</t>
  </si>
  <si>
    <t>Recliner</t>
  </si>
  <si>
    <t>Archdale</t>
  </si>
  <si>
    <t>Brydon</t>
  </si>
  <si>
    <t>Palmer</t>
  </si>
  <si>
    <t>Bent Arm Push Back Recliner</t>
  </si>
  <si>
    <t>PF000564;PP000081</t>
  </si>
  <si>
    <t>19530878-000-000</t>
  </si>
  <si>
    <t>9/20/2016</t>
  </si>
  <si>
    <t>3/23/2018</t>
  </si>
  <si>
    <t>BASI50-0414</t>
  </si>
  <si>
    <t>Arctic</t>
  </si>
  <si>
    <t>Polar</t>
  </si>
  <si>
    <t>Ultra Plush Down Alternative Throw</t>
  </si>
  <si>
    <t>50x60"</t>
  </si>
  <si>
    <t>PF002120;PP000376</t>
  </si>
  <si>
    <t>4/15/2017</t>
  </si>
  <si>
    <t>6/4/2024</t>
  </si>
  <si>
    <t>BIGLOTSDS,JCPENNEY01,KOHLDSN,MACY02,OLLIIX,TGTDVS</t>
  </si>
  <si>
    <t>19257555-000-001</t>
  </si>
  <si>
    <t>8/17/2016</t>
  </si>
  <si>
    <t>8/22/2016</t>
  </si>
  <si>
    <t>BASI50-0413</t>
  </si>
  <si>
    <t>4/8/2017</t>
  </si>
  <si>
    <t>BLK01,CSNSTORES,KOHLDSN,MACY02,OLLIIX,TGTDVS,WALMARTDS</t>
  </si>
  <si>
    <t>19257555-000-000</t>
  </si>
  <si>
    <t>8/30/2016</t>
  </si>
  <si>
    <t>CH10-011</t>
  </si>
  <si>
    <t xml:space="preserve">Chapel Hill </t>
  </si>
  <si>
    <t>Arlo</t>
  </si>
  <si>
    <t>Oversized Comforter Set</t>
  </si>
  <si>
    <t>PF006290</t>
  </si>
  <si>
    <t>7/5/2024</t>
  </si>
  <si>
    <t>CH10-012</t>
  </si>
  <si>
    <t>MP95B-0259</t>
  </si>
  <si>
    <t>AWD</t>
  </si>
  <si>
    <t>Arwen</t>
  </si>
  <si>
    <t>Two-tone Medallion Carved Wood 4-piece Wall Decor Set</t>
  </si>
  <si>
    <t>Natural/White</t>
  </si>
  <si>
    <t>PF005260</t>
  </si>
  <si>
    <t>Medallion</t>
  </si>
  <si>
    <t>Global Inspired</t>
  </si>
  <si>
    <t>AMAZON,AMERSIGNDS,JCPENNEY01,KOHLDSN,OLLIIX,ROOMECOM,TGTDVS</t>
  </si>
  <si>
    <t>37109609-000-000</t>
  </si>
  <si>
    <t>11/30/2020</t>
  </si>
  <si>
    <t>12/10/2020</t>
  </si>
  <si>
    <t>MP10-7634</t>
  </si>
  <si>
    <t>Arya</t>
  </si>
  <si>
    <t>Nova</t>
  </si>
  <si>
    <t>Alivia</t>
  </si>
  <si>
    <t>Embroidered Medallion Faux Fur Ultra Plush Comforter Mini Set</t>
  </si>
  <si>
    <t>PF005508;PP001650</t>
  </si>
  <si>
    <t>BOHO</t>
  </si>
  <si>
    <t>6/23/2021</t>
  </si>
  <si>
    <t>AMAZONDS,BBBDROP,CSNSTORES,JCPENNEY01,MACY02,OLLIIX,TGTDVS</t>
  </si>
  <si>
    <t>24156897-000-006</t>
  </si>
  <si>
    <t>7/28/2021</t>
  </si>
  <si>
    <t>8/1/2021</t>
  </si>
  <si>
    <t>HH120-0255</t>
  </si>
  <si>
    <t>Harbor House</t>
  </si>
  <si>
    <t>OCCASIONL TABLE</t>
  </si>
  <si>
    <t>End Table</t>
  </si>
  <si>
    <t>Ashby</t>
  </si>
  <si>
    <t>Side Table</t>
  </si>
  <si>
    <t>Chestnut</t>
  </si>
  <si>
    <t>9/6/2018</t>
  </si>
  <si>
    <t>MP35-8059</t>
  </si>
  <si>
    <t>Asher</t>
  </si>
  <si>
    <t>Caroline</t>
  </si>
  <si>
    <t>Mandy</t>
  </si>
  <si>
    <t>Distressed Medallion Woven Area Rug</t>
  </si>
  <si>
    <t>3x8' Runner</t>
  </si>
  <si>
    <t>Cream/Grey</t>
  </si>
  <si>
    <t>PP001799;PF005787</t>
  </si>
  <si>
    <t>8/29/2022</t>
  </si>
  <si>
    <t>CSNSTORES,HDDS,KIRKLANDDS,OLLIIX</t>
  </si>
  <si>
    <t>40574187-000-001</t>
  </si>
  <si>
    <t>10/10/2022</t>
  </si>
  <si>
    <t>4/11/2023</t>
  </si>
  <si>
    <t>MP35-8058</t>
  </si>
  <si>
    <t>KOHLDSN,OLLIIX</t>
  </si>
  <si>
    <t>40574187-000-003</t>
  </si>
  <si>
    <t>MP35-8060</t>
  </si>
  <si>
    <t>40574187-000-000</t>
  </si>
  <si>
    <t>4/13/2023</t>
  </si>
  <si>
    <t>MP35-8061</t>
  </si>
  <si>
    <t>8x10'</t>
  </si>
  <si>
    <t>KIRKLANDDS,OLLIIX</t>
  </si>
  <si>
    <t>40574187-000-002</t>
  </si>
  <si>
    <t>II151-0137</t>
  </si>
  <si>
    <t>Bell Shaped Rope Pendant</t>
  </si>
  <si>
    <t>Farm House|Transitional</t>
  </si>
  <si>
    <t>AMAZONDS,CSNSTORES,OLLIIX</t>
  </si>
  <si>
    <t>40632364-000-000</t>
  </si>
  <si>
    <t>10/18/2022</t>
  </si>
  <si>
    <t>2/2/2023</t>
  </si>
  <si>
    <t>MP95G-0307</t>
  </si>
  <si>
    <t>Ashlar</t>
  </si>
  <si>
    <t>Hand Painted Abstract Framed Glass and Matted Wall Art</t>
  </si>
  <si>
    <t>6/9/2024</t>
  </si>
  <si>
    <t>AMAZON,AMERSIGNDS,ASHFURNDS,BLK01,CSNSTORES,DESINC,JCPENNEY01,KIRKLANDDS,KOHLDSN,MACY02,OLLIIX,TGTDVS,Zulily</t>
  </si>
  <si>
    <t>40692221-000-000</t>
  </si>
  <si>
    <t>10/28/2022</t>
  </si>
  <si>
    <t>MP35-7186</t>
  </si>
  <si>
    <t>Ashley</t>
  </si>
  <si>
    <t>Abigail</t>
  </si>
  <si>
    <t>Hannah</t>
  </si>
  <si>
    <t>Terni Pebble Indoor Area Rug</t>
  </si>
  <si>
    <t>Gray/Cream</t>
  </si>
  <si>
    <t>6/25/2020</t>
  </si>
  <si>
    <t>36357434-000-001</t>
  </si>
  <si>
    <t>7/1/2020</t>
  </si>
  <si>
    <t>8/20/2020</t>
  </si>
  <si>
    <t>MP103-1245</t>
  </si>
  <si>
    <t>Ashton</t>
  </si>
  <si>
    <t>Upholstered Swivel Chair with Wood Base</t>
  </si>
  <si>
    <t>3/13/2024</t>
  </si>
  <si>
    <t>4/15/2024</t>
  </si>
  <si>
    <t>MZ12-268</t>
  </si>
  <si>
    <t>Garrett</t>
  </si>
  <si>
    <t>Cody</t>
  </si>
  <si>
    <t>Duvet Cover Set</t>
  </si>
  <si>
    <t>Khaki/Navy</t>
  </si>
  <si>
    <t>PF000057</t>
  </si>
  <si>
    <t>AMAZON,AMAZONDS,CSNSTORES,JCPENNEY01,KOHLDSN,MACY02,NRTPORT,TGTDVS</t>
  </si>
  <si>
    <t>16557307-000-000</t>
  </si>
  <si>
    <t>1/8/2015</t>
  </si>
  <si>
    <t>MP103-1246</t>
  </si>
  <si>
    <t>FPF18-0256</t>
  </si>
  <si>
    <t>OTTOMAN</t>
  </si>
  <si>
    <t>Ottoman</t>
  </si>
  <si>
    <t>Aspen</t>
  </si>
  <si>
    <t>Lucas</t>
  </si>
  <si>
    <t>Isaac</t>
  </si>
  <si>
    <t>Soft Close Storage Ottoman</t>
  </si>
  <si>
    <t>PF000680;PP000088</t>
  </si>
  <si>
    <t>AMERSIGNDS,CSNSTORES,KOHLDSN,LAMPDS,MACY02F,OLLIIX,ROOMECOM</t>
  </si>
  <si>
    <t>17161691-000-001</t>
  </si>
  <si>
    <t>3/23/2015</t>
  </si>
  <si>
    <t>MP13-7639</t>
  </si>
  <si>
    <t>COVERLET&amp;BEDSPR</t>
  </si>
  <si>
    <t>Coverlet Mini Set</t>
  </si>
  <si>
    <t>Aster</t>
  </si>
  <si>
    <t>Elsa</t>
  </si>
  <si>
    <t>Bylur</t>
  </si>
  <si>
    <t>3 Piece Embroidered Faux Fur Coverlet Set</t>
  </si>
  <si>
    <t>PP001650;PF005519</t>
  </si>
  <si>
    <t>Vintage</t>
  </si>
  <si>
    <t>8/30/2021</t>
  </si>
  <si>
    <t>38759767-000-000</t>
  </si>
  <si>
    <t>2/10/2022</t>
  </si>
  <si>
    <t>ID10-2162</t>
  </si>
  <si>
    <t>Astoria</t>
  </si>
  <si>
    <t>Esther</t>
  </si>
  <si>
    <t>Clip Jacquard Comforter Set</t>
  </si>
  <si>
    <t>PF005812</t>
  </si>
  <si>
    <t>12/19/2022</t>
  </si>
  <si>
    <t>CSNSTORES,KOHLDSN,NRTPORT,OLLIIX</t>
  </si>
  <si>
    <t>40932454-000-001</t>
  </si>
  <si>
    <t>1/4/2023</t>
  </si>
  <si>
    <t>11/22/2023</t>
  </si>
  <si>
    <t>ID12-2164</t>
  </si>
  <si>
    <t>Clip Jacquard Duvet Cover Set</t>
  </si>
  <si>
    <t>BBBDROP,JCPENNEY01</t>
  </si>
  <si>
    <t>40928834-000-001</t>
  </si>
  <si>
    <t>ID10-2163</t>
  </si>
  <si>
    <t>AMAZON,BBBDROP,CSNSTORES,KOHLDSN,OLLIIX,TGTDVS</t>
  </si>
  <si>
    <t>40932454-000-000</t>
  </si>
  <si>
    <t>II151-0135</t>
  </si>
  <si>
    <t>Astrid</t>
  </si>
  <si>
    <t>Bowl Shaped Bamboo Pendant</t>
  </si>
  <si>
    <t>AMAZON,AMAZONDS,OLLIIX</t>
  </si>
  <si>
    <t>40632342-000-000</t>
  </si>
  <si>
    <t>1/19/2023</t>
  </si>
  <si>
    <t>MP103-0908</t>
  </si>
  <si>
    <t>Athena</t>
  </si>
  <si>
    <t>Jimmy</t>
  </si>
  <si>
    <t>Cranberry</t>
  </si>
  <si>
    <t>Push Back Recliner</t>
  </si>
  <si>
    <t>1/7/2020</t>
  </si>
  <si>
    <t>ASHFURNDS,JCPENNEY01,MACY02F,OLLIIX,TGTDVS</t>
  </si>
  <si>
    <t>35430553-000-000</t>
  </si>
  <si>
    <t>4/7/2020</t>
  </si>
  <si>
    <t>FB154-1172</t>
  </si>
  <si>
    <t>Attwell</t>
  </si>
  <si>
    <t>Arched Metal Floor Lamp</t>
  </si>
  <si>
    <t>CSNSTORES,KOHLDSN,OLLIIX,TGTDVS</t>
  </si>
  <si>
    <t>40625525-000-000</t>
  </si>
  <si>
    <t>10/17/2022</t>
  </si>
  <si>
    <t>12/26/2022</t>
  </si>
  <si>
    <t>5DS105-0051</t>
  </si>
  <si>
    <t>Other Bench</t>
  </si>
  <si>
    <t>Aubrey</t>
  </si>
  <si>
    <t>Upholstered Storage Bench</t>
  </si>
  <si>
    <t>TBU</t>
  </si>
  <si>
    <t>6/28/2024</t>
  </si>
  <si>
    <t>5DS104-0049</t>
  </si>
  <si>
    <t>BAR STOOL</t>
  </si>
  <si>
    <t>Counter Stool</t>
  </si>
  <si>
    <t>Upholstered Counter Stool with Nailhead Trim Set of 2</t>
  </si>
  <si>
    <t>5DS108-0046</t>
  </si>
  <si>
    <t>DINING CHAIR</t>
  </si>
  <si>
    <t>Dining Chair</t>
  </si>
  <si>
    <t>Upholstered Dining Chair with Nailhead Trim Set of 2</t>
  </si>
  <si>
    <t>MP40-2679</t>
  </si>
  <si>
    <t>Whitman</t>
  </si>
  <si>
    <t>Charlotte</t>
  </si>
  <si>
    <t>Jacquard Curtain Panel Pair</t>
  </si>
  <si>
    <t>Blue/Brown</t>
  </si>
  <si>
    <t>PF003389;PP000381</t>
  </si>
  <si>
    <t>Paisley</t>
  </si>
  <si>
    <t>AMAZON,AMAZONDS,BBBDROP,BLK01,CSNSTORES,HDDS,KOHLDSN</t>
  </si>
  <si>
    <t>15478287-000-008</t>
  </si>
  <si>
    <t>7/8/2016</t>
  </si>
  <si>
    <t>5DS105-0052</t>
  </si>
  <si>
    <t>5DS104-0048</t>
  </si>
  <si>
    <t>Light Blue</t>
  </si>
  <si>
    <t>5DS108-0045</t>
  </si>
  <si>
    <t>5DS105-0050</t>
  </si>
  <si>
    <t>5DS104-0047</t>
  </si>
  <si>
    <t>5DS108-0044</t>
  </si>
  <si>
    <t>MP13-8314</t>
  </si>
  <si>
    <t>Bedspread</t>
  </si>
  <si>
    <t>5 Piece Jacquard Bedspread Set with Throw Pillows</t>
  </si>
  <si>
    <t>PP001909;PF006091</t>
  </si>
  <si>
    <t>6/5/2024</t>
  </si>
  <si>
    <t>AMAZON,CSNSTORES,JCPENNEY01,KOHLDSN,OLLIIX</t>
  </si>
  <si>
    <t>21580991-000-008</t>
  </si>
  <si>
    <t>11/26/2023</t>
  </si>
  <si>
    <t>12/15/2023</t>
  </si>
  <si>
    <t>MP154-0200</t>
  </si>
  <si>
    <t>Auburn</t>
  </si>
  <si>
    <t>Arched Floor Lamp with Marble Base</t>
  </si>
  <si>
    <t>10/14/2019</t>
  </si>
  <si>
    <t>ASHFURNDS,CSNSTORES,OLLIIX,ZOLA</t>
  </si>
  <si>
    <t>35111860-000-000</t>
  </si>
  <si>
    <t>11/18/2019</t>
  </si>
  <si>
    <t>FB153-1175</t>
  </si>
  <si>
    <t>24" H Table Lamp with Marble Base</t>
  </si>
  <si>
    <t>41029984-000-000</t>
  </si>
  <si>
    <t>1/30/2023</t>
  </si>
  <si>
    <t>2/14/2023</t>
  </si>
  <si>
    <t>FB151-1188</t>
  </si>
  <si>
    <t>Bell Shaped Glass Pendant</t>
  </si>
  <si>
    <t>Dia.9"</t>
  </si>
  <si>
    <t>Gold/Amber</t>
  </si>
  <si>
    <t>II109-0493</t>
  </si>
  <si>
    <t>OFFICE CHAIR</t>
  </si>
  <si>
    <t>Office Chair</t>
  </si>
  <si>
    <t>Augusta</t>
  </si>
  <si>
    <t>Faux Leather Armless Office Chair</t>
  </si>
  <si>
    <t>MP103-0825</t>
  </si>
  <si>
    <t>Swivel Glider</t>
  </si>
  <si>
    <t>Augustine</t>
  </si>
  <si>
    <t>Caddy</t>
  </si>
  <si>
    <t>Bewick</t>
  </si>
  <si>
    <t>Swivel Glider Chair</t>
  </si>
  <si>
    <t>Grey/Taupe</t>
  </si>
  <si>
    <t>6/21/2019</t>
  </si>
  <si>
    <t>AMERSIGNDS,CSNSTORES,OLLIIX</t>
  </si>
  <si>
    <t>33955914-000-000</t>
  </si>
  <si>
    <t>7/31/2019</t>
  </si>
  <si>
    <t>9/14/2019</t>
  </si>
  <si>
    <t>CCL30-0029</t>
  </si>
  <si>
    <t>Croscill Classics</t>
  </si>
  <si>
    <t>Normal Pillow</t>
  </si>
  <si>
    <t>Aumont</t>
  </si>
  <si>
    <t>Oblong Decor Pillow</t>
  </si>
  <si>
    <t>22x15"</t>
  </si>
  <si>
    <t>42067840-000-001</t>
  </si>
  <si>
    <t>11/8/2023</t>
  </si>
  <si>
    <t>CCL30-0028</t>
  </si>
  <si>
    <t>Burgundy</t>
  </si>
  <si>
    <t>10/24/2022</t>
  </si>
  <si>
    <t>CSNSTORES,DLCROSCILL,MACY02,OLLIIX</t>
  </si>
  <si>
    <t>42067840-000-003</t>
  </si>
  <si>
    <t>8/21/2023</t>
  </si>
  <si>
    <t>CCL30-0061</t>
  </si>
  <si>
    <t>CSNSTORES,DLCROSCILL,JCPENNEY01,MACY02,OLLIIX</t>
  </si>
  <si>
    <t>42067840-000-004</t>
  </si>
  <si>
    <t>8/15/2023</t>
  </si>
  <si>
    <t>II151-0133</t>
  </si>
  <si>
    <t>Aurelia</t>
  </si>
  <si>
    <t>5-Light Chandelier with Frosted Glass Globe Bulbs</t>
  </si>
  <si>
    <t>5-Light</t>
  </si>
  <si>
    <t>40624677-000-000</t>
  </si>
  <si>
    <t>11/7/2022</t>
  </si>
  <si>
    <t>II151-0134</t>
  </si>
  <si>
    <t>3-Light Chandelier with Frosted Glass Globe Bulbs</t>
  </si>
  <si>
    <t>3-Light</t>
  </si>
  <si>
    <t>11/18/2022</t>
  </si>
  <si>
    <t>40806287-000-000</t>
  </si>
  <si>
    <t>2/28/2023</t>
  </si>
  <si>
    <t>MP95F-0359</t>
  </si>
  <si>
    <t>Rectangle Metal Frame Fluted Wall Mirror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</si>
  <si>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</si>
  <si>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</si>
  <si>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</si>
  <si>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</si>
  <si>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</si>
  <si>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</si>
  <si>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AMAZON,AMERSIGNDS,JCPENNEY01,KIRKLANDDS,KOHLDSN,OLLIIX,TGTDVS,Zulily</t>
  </si>
  <si>
    <t>39266366-000-000</t>
  </si>
  <si>
    <t>11/27/2021</t>
  </si>
  <si>
    <t>1/19/2022</t>
  </si>
  <si>
    <t>MP95C-0207</t>
  </si>
  <si>
    <t>Canvas</t>
  </si>
  <si>
    <t>Autumn Forest</t>
  </si>
  <si>
    <t>Triptych 3-piece Textured Canvas Wall Art Set</t>
  </si>
  <si>
    <t>4/17/2019</t>
  </si>
  <si>
    <t>AMAZON,AMAZONDS,BLK01,KIRKLANDDS,KOHLDSN,ROOMECOM,TGTDVS,Zulily</t>
  </si>
  <si>
    <t>33368285-000-000</t>
  </si>
  <si>
    <t>5/24/2019</t>
  </si>
  <si>
    <t>12/11/2019</t>
  </si>
  <si>
    <t>MP106-0383</t>
  </si>
  <si>
    <t>LOVESEAT &amp; SOFA</t>
  </si>
  <si>
    <t>Settee</t>
  </si>
  <si>
    <t>Avalon</t>
  </si>
  <si>
    <t>Calla</t>
  </si>
  <si>
    <t>Delaney</t>
  </si>
  <si>
    <t>Swoop Arm Settee</t>
  </si>
  <si>
    <t>PF001132;PP000091</t>
  </si>
  <si>
    <t>6/27/2017</t>
  </si>
  <si>
    <t>CSNSTORES,OLLIIX,TGTDVS</t>
  </si>
  <si>
    <t>23224677-000-000</t>
  </si>
  <si>
    <t>7/21/2017</t>
  </si>
  <si>
    <t>8/16/2017</t>
  </si>
  <si>
    <t>MP35-8114</t>
  </si>
  <si>
    <t>Averie</t>
  </si>
  <si>
    <t>Bianca</t>
  </si>
  <si>
    <t>Suzy</t>
  </si>
  <si>
    <t>Trellis Geometric Woven Area Rug</t>
  </si>
  <si>
    <t>3x5' Scatter</t>
  </si>
  <si>
    <t>Black/Cream</t>
  </si>
  <si>
    <t>PP001800;PF005788</t>
  </si>
  <si>
    <t>BIGLOTSDS,KIRKLANDDS,OLLIIX</t>
  </si>
  <si>
    <t>40689046-000-002</t>
  </si>
  <si>
    <t>10/27/2022</t>
  </si>
  <si>
    <t>MP35-8062</t>
  </si>
  <si>
    <t>40689046-000-003</t>
  </si>
  <si>
    <t>5/9/2023</t>
  </si>
  <si>
    <t>MP35-8063</t>
  </si>
  <si>
    <t>KIRKLANDDS</t>
  </si>
  <si>
    <t>40689046-000-001</t>
  </si>
  <si>
    <t>MP35-8064</t>
  </si>
  <si>
    <t>40689046-000-000</t>
  </si>
  <si>
    <t>MP40-7510</t>
  </si>
  <si>
    <t>Sheer</t>
  </si>
  <si>
    <t>Avery</t>
  </si>
  <si>
    <t>Kaisley</t>
  </si>
  <si>
    <t>Alaia</t>
  </si>
  <si>
    <t>Yarn Dyed Slub Grommet Top Sheer Window Curtain</t>
  </si>
  <si>
    <t>PP001637;PF005479</t>
  </si>
  <si>
    <t>5/24/2021</t>
  </si>
  <si>
    <t>38031529-000-004</t>
  </si>
  <si>
    <t>5/26/2021</t>
  </si>
  <si>
    <t>ID10-869</t>
  </si>
  <si>
    <t>Ava</t>
  </si>
  <si>
    <t>Seersucker Down Alternative Comforter Mini Set</t>
  </si>
  <si>
    <t>PF002161</t>
  </si>
  <si>
    <t>Modern/Contemporary|Transitional</t>
  </si>
  <si>
    <t>ASHFURNDS,CSNSTORES,KOHLDSN,TGTDVS</t>
  </si>
  <si>
    <t>18774256-000-004</t>
  </si>
  <si>
    <t>5/23/2016</t>
  </si>
  <si>
    <t>CCL40-0048</t>
  </si>
  <si>
    <t>Avignon</t>
  </si>
  <si>
    <t>Pleat Curtain Panel with Tieback (Single)</t>
  </si>
  <si>
    <t>52x96"</t>
  </si>
  <si>
    <t>11/14/2022</t>
  </si>
  <si>
    <t>42036995-000-007</t>
  </si>
  <si>
    <t>7/27/2023</t>
  </si>
  <si>
    <t>CCL40-0047</t>
  </si>
  <si>
    <t>52x84"</t>
  </si>
  <si>
    <t>42036995-000-001</t>
  </si>
  <si>
    <t>11/2/2023</t>
  </si>
  <si>
    <t>CCL40-0049</t>
  </si>
  <si>
    <t>Waterfall Valance (Single)</t>
  </si>
  <si>
    <t>38x46"</t>
  </si>
  <si>
    <t>42037171-000-002</t>
  </si>
  <si>
    <t>CCL40-0045</t>
  </si>
  <si>
    <t>7/31/2024</t>
  </si>
  <si>
    <t>42036995-000-000</t>
  </si>
  <si>
    <t>CCL40-0044</t>
  </si>
  <si>
    <t>42036995-000-005</t>
  </si>
  <si>
    <t>CCL40-0046</t>
  </si>
  <si>
    <t>42037171-000-001</t>
  </si>
  <si>
    <t>CCL40-0051</t>
  </si>
  <si>
    <t>42036995-000-006</t>
  </si>
  <si>
    <t>CCL40-0052</t>
  </si>
  <si>
    <t>42037171-000-003</t>
  </si>
  <si>
    <t>11/10/2023</t>
  </si>
  <si>
    <t>CCL40-0042</t>
  </si>
  <si>
    <t>42036995-000-004</t>
  </si>
  <si>
    <t>8/14/2023</t>
  </si>
  <si>
    <t>CCL40-0041</t>
  </si>
  <si>
    <t>DLCROSCILL,JCPENNEY01</t>
  </si>
  <si>
    <t>42036995-000-002</t>
  </si>
  <si>
    <t>9/20/2023</t>
  </si>
  <si>
    <t>CCL40-0043</t>
  </si>
  <si>
    <t>42037171-000-000</t>
  </si>
  <si>
    <t>FPF20-0532</t>
  </si>
  <si>
    <t>Avila</t>
  </si>
  <si>
    <t>Saffron</t>
  </si>
  <si>
    <t>Tufted Back Counter Stool</t>
  </si>
  <si>
    <t>PF000802;PP000092</t>
  </si>
  <si>
    <t>AMAZON,AMAZONDS,BBBDROP,CASTLEGATE,CSNSTORES,KIRKLANDDS,LAMPDS,ROOMECOM</t>
  </si>
  <si>
    <t>18681835-000-000</t>
  </si>
  <si>
    <t>5/5/2016</t>
  </si>
  <si>
    <t>MT120-1200</t>
  </si>
  <si>
    <t>Coffee Table</t>
  </si>
  <si>
    <t>Ayanna</t>
  </si>
  <si>
    <t>Oval Coffee Table with Shelf</t>
  </si>
  <si>
    <t>Reclaimed Greige</t>
  </si>
  <si>
    <t>Farm House|Cottage/Country|MT Bedford</t>
  </si>
  <si>
    <t>2/28/2024</t>
  </si>
  <si>
    <t>43639317-000-000</t>
  </si>
  <si>
    <t>2/29/2024</t>
  </si>
  <si>
    <t>MT130-1212</t>
  </si>
  <si>
    <t>ACCENT CHEST</t>
  </si>
  <si>
    <t>Chest</t>
  </si>
  <si>
    <t>Accent Cabinet with Lower Shelf</t>
  </si>
  <si>
    <t>Reclaimed Wheat</t>
  </si>
  <si>
    <t>AM10-0161</t>
  </si>
  <si>
    <t>Comfort Spaces</t>
  </si>
  <si>
    <t>Bailey</t>
  </si>
  <si>
    <t>Darby</t>
  </si>
  <si>
    <t>Niro/Malani</t>
  </si>
  <si>
    <t>Pinch Pleat Woven Textured Comforter Set</t>
  </si>
  <si>
    <t>PP001966;PF006263</t>
  </si>
  <si>
    <t>AM12-0170</t>
  </si>
  <si>
    <t>Pinch Pleat Woven Textured Duvet Cover Set</t>
  </si>
  <si>
    <t>AM10-0162</t>
  </si>
  <si>
    <t>AM12-0171</t>
  </si>
  <si>
    <t>AM10-0163</t>
  </si>
  <si>
    <t>AM12-0172</t>
  </si>
  <si>
    <t>AM10-0164</t>
  </si>
  <si>
    <t>Sage</t>
  </si>
  <si>
    <t>PP001966;PF006264</t>
  </si>
  <si>
    <t>AM12-0173</t>
  </si>
  <si>
    <t>AM10-0165</t>
  </si>
  <si>
    <t>AM12-0174</t>
  </si>
  <si>
    <t>AM10-0166</t>
  </si>
  <si>
    <t>AM12-0175</t>
  </si>
  <si>
    <t>AM10-0158</t>
  </si>
  <si>
    <t>PP001966;PF006262</t>
  </si>
  <si>
    <t>AM12-0167</t>
  </si>
  <si>
    <t>AM10-0159</t>
  </si>
  <si>
    <t>AM12-0168</t>
  </si>
  <si>
    <t>AM10-0160</t>
  </si>
  <si>
    <t>AM12-0169</t>
  </si>
  <si>
    <t>FPF18-0419</t>
  </si>
  <si>
    <t>Barton</t>
  </si>
  <si>
    <t>Weston</t>
  </si>
  <si>
    <t>Colette</t>
  </si>
  <si>
    <t>PF000703;PP000093</t>
  </si>
  <si>
    <t>CASTLEGATE,CSNSTORES,MACY02F,OLLIIX,ROOMECOM</t>
  </si>
  <si>
    <t>18298232-000-000</t>
  </si>
  <si>
    <t>4/29/2016</t>
  </si>
  <si>
    <t>FPF18-0151</t>
  </si>
  <si>
    <t>Dark Gray</t>
  </si>
  <si>
    <t>PF000615;PP000093</t>
  </si>
  <si>
    <t>6/19/2024</t>
  </si>
  <si>
    <t>CASTLEGATE,CSNSTORES,ROOMECOM</t>
  </si>
  <si>
    <t>17880174-000-000</t>
  </si>
  <si>
    <t>3/21/2017</t>
  </si>
  <si>
    <t>FPF18-0078</t>
  </si>
  <si>
    <t>Linen</t>
  </si>
  <si>
    <t>PF000593;PP000093</t>
  </si>
  <si>
    <t>CASTLEGATE,CSNSTORES,KOHLDSN,MACY02F,OLLIIX,ROOMECOM,TGTDVS</t>
  </si>
  <si>
    <t>19530870-000-000</t>
  </si>
  <si>
    <t>12/2/2016</t>
  </si>
  <si>
    <t>FPF18-0417</t>
  </si>
  <si>
    <t>PF000701;PP000093</t>
  </si>
  <si>
    <t>18297801-000-000</t>
  </si>
  <si>
    <t>FPF18-0152</t>
  </si>
  <si>
    <t>Taupe</t>
  </si>
  <si>
    <t>PF000616;PP000093</t>
  </si>
  <si>
    <t>CASTLEGATE,CSNSTORES,OLLIIX,ROOMECOM</t>
  </si>
  <si>
    <t>17880173-000-000</t>
  </si>
  <si>
    <t>6/4/2018</t>
  </si>
  <si>
    <t>5DS153-0041</t>
  </si>
  <si>
    <t>Bayard</t>
  </si>
  <si>
    <t>Embossed Ceramic Table Lamp</t>
  </si>
  <si>
    <t>12/23/2021</t>
  </si>
  <si>
    <t>AMERSIGNDS,KOHLDSN,NRTPORT,OLLIIX,TGTDVS</t>
  </si>
  <si>
    <t>39463511-000-000</t>
  </si>
  <si>
    <t>1/5/2022</t>
  </si>
  <si>
    <t>4/25/2022</t>
  </si>
  <si>
    <t>II30-1209</t>
  </si>
  <si>
    <t>Bea</t>
  </si>
  <si>
    <t>Embroidered Cotton Oblong Pillow with Tassels</t>
  </si>
  <si>
    <t>Oblong</t>
  </si>
  <si>
    <t>PP001691;PF005602</t>
  </si>
  <si>
    <t>Casual|Farm House</t>
  </si>
  <si>
    <t>5/6/2021</t>
  </si>
  <si>
    <t>AMAZONDS,CSNSTORES,KOHLDSN,MACY02,TGTDVS</t>
  </si>
  <si>
    <t>25547607-000-001</t>
  </si>
  <si>
    <t>1/17/2022</t>
  </si>
  <si>
    <t>1/20/2022</t>
  </si>
  <si>
    <t>ID95C-0059</t>
  </si>
  <si>
    <t>Beach Dogs</t>
  </si>
  <si>
    <t>Chihuahua Canvas Wall Art</t>
  </si>
  <si>
    <t>Chihuahua/Blue Multi</t>
  </si>
  <si>
    <t>Animal</t>
  </si>
  <si>
    <t>42721561-000-005</t>
  </si>
  <si>
    <t>10/8/2023</t>
  </si>
  <si>
    <t>ID95C-0054</t>
  </si>
  <si>
    <t>Corgi Canvas Wall Art</t>
  </si>
  <si>
    <t>Corgi/Blue Multi</t>
  </si>
  <si>
    <t>10/6/2023</t>
  </si>
  <si>
    <t>AMAZON,MACY02,OLLIIX</t>
  </si>
  <si>
    <t>42721561-000-003</t>
  </si>
  <si>
    <t>1/22/2024</t>
  </si>
  <si>
    <t>ID95C-0056</t>
  </si>
  <si>
    <t>Frenchie Canvas Wall Art</t>
  </si>
  <si>
    <t>Frenchie/Blue Multi</t>
  </si>
  <si>
    <t>42721561-000-001</t>
  </si>
  <si>
    <t>ID95C-0058</t>
  </si>
  <si>
    <t>Golden Retriever Canvas Wall Art</t>
  </si>
  <si>
    <t>Golden Retriever/Blue Multi</t>
  </si>
  <si>
    <t>42721561-000-004</t>
  </si>
  <si>
    <t>ID95C-0057</t>
  </si>
  <si>
    <t>Pomeranian Canvas Wall Art</t>
  </si>
  <si>
    <t>Pomeranian/Blue Multi</t>
  </si>
  <si>
    <t>MACY02,OLLIIX</t>
  </si>
  <si>
    <t>42721561-000-000</t>
  </si>
  <si>
    <t>ID95C-0055</t>
  </si>
  <si>
    <t>Yorkie Canvas Wall Art</t>
  </si>
  <si>
    <t>Yorkie/Blue Multi</t>
  </si>
  <si>
    <t>42721561-000-002</t>
  </si>
  <si>
    <t>II154-0123</t>
  </si>
  <si>
    <t>Beacon</t>
  </si>
  <si>
    <t>Arched Metal Floor Lamp with Chimney Shade</t>
  </si>
  <si>
    <t>Matte Black</t>
  </si>
  <si>
    <t>5/4/2022</t>
  </si>
  <si>
    <t>CSNSTORES,KOHLDSN,MACY02,OLLIIX</t>
  </si>
  <si>
    <t>39936236-000-000</t>
  </si>
  <si>
    <t>5/11/2022</t>
  </si>
  <si>
    <t>8/16/2022</t>
  </si>
  <si>
    <t>UH12-2451</t>
  </si>
  <si>
    <t>Beck</t>
  </si>
  <si>
    <t>Zane</t>
  </si>
  <si>
    <t>Jasper</t>
  </si>
  <si>
    <t>Cotton Chenille Duvet Cover Set</t>
  </si>
  <si>
    <t>PF005680;PP001748</t>
  </si>
  <si>
    <t>39941026-000-004</t>
  </si>
  <si>
    <t>5/10/2022</t>
  </si>
  <si>
    <t>UH12-2445</t>
  </si>
  <si>
    <t>PP001748;PF005681</t>
  </si>
  <si>
    <t>39941026-000-003</t>
  </si>
  <si>
    <t>12/6/2022</t>
  </si>
  <si>
    <t>MPS105-0307</t>
  </si>
  <si>
    <t>Beckett</t>
  </si>
  <si>
    <t>Tufted Storage Bench</t>
  </si>
  <si>
    <t>Antique Cream/Light Grey</t>
  </si>
  <si>
    <t>7/27/2024</t>
  </si>
  <si>
    <t>MPS115-0304</t>
  </si>
  <si>
    <t>Bed</t>
  </si>
  <si>
    <t>MPS115-0308</t>
  </si>
  <si>
    <t>Yes</t>
  </si>
  <si>
    <t>MPS130-0306</t>
  </si>
  <si>
    <t>2 Drawer Accent Chest</t>
  </si>
  <si>
    <t>MPS136-0305</t>
  </si>
  <si>
    <t>NIGHTSTAND</t>
  </si>
  <si>
    <t>Nightstand</t>
  </si>
  <si>
    <t>BASI16-0315</t>
  </si>
  <si>
    <t>Bed Guardian</t>
  </si>
  <si>
    <t>3M Scotchgard Waterproof Mattress Protector</t>
  </si>
  <si>
    <t>PF002095</t>
  </si>
  <si>
    <t>BBBDROP,DESINC,JCPENNEY01,KOHLDSN,MACY02,OLLIIX,TGTDVS</t>
  </si>
  <si>
    <t>17688681-000-000</t>
  </si>
  <si>
    <t>12/21/2015</t>
  </si>
  <si>
    <t>BASI16-0317</t>
  </si>
  <si>
    <t>Mattress Pad|Protector</t>
  </si>
  <si>
    <t>17688681-000-002</t>
  </si>
  <si>
    <t>5/16/2016</t>
  </si>
  <si>
    <t>BASI16-0319</t>
  </si>
  <si>
    <t>BBBDROP,BLK01,JCPENNEY01,KOHLDSN,MACY02,OLLIIX,ZOLA</t>
  </si>
  <si>
    <t>17688681-000-004</t>
  </si>
  <si>
    <t>11/12/2015</t>
  </si>
  <si>
    <t>BASI30-0321</t>
  </si>
  <si>
    <t>3M Scotchgard 2-Pack Pillow Protector Set</t>
  </si>
  <si>
    <t>Standard/Queen</t>
  </si>
  <si>
    <t>BBBDROP,BLK01,CSNSTORES,DESINC,KOHLDSN,MACY02,OLLIIX,TGTDVS,ZOLA</t>
  </si>
  <si>
    <t>17688680-000-000</t>
  </si>
  <si>
    <t>11/17/2015</t>
  </si>
  <si>
    <t>MP120-1206</t>
  </si>
  <si>
    <t>Occasional Table</t>
  </si>
  <si>
    <t>Belfast</t>
  </si>
  <si>
    <t>Nomad</t>
  </si>
  <si>
    <t>Westly</t>
  </si>
  <si>
    <t>Occasional Table with 2 Drawers</t>
  </si>
  <si>
    <t>Reclaimed Natural</t>
  </si>
  <si>
    <t>6/5/2023</t>
  </si>
  <si>
    <t>42052604-000-000</t>
  </si>
  <si>
    <t>7/30/2023</t>
  </si>
  <si>
    <t>MP10-8404</t>
  </si>
  <si>
    <t>Bella</t>
  </si>
  <si>
    <t>Florence</t>
  </si>
  <si>
    <t>6 Piece Jacquard Comforter Set with Throw Pillows</t>
  </si>
  <si>
    <t>PF006213;PP001949</t>
  </si>
  <si>
    <t>MP10-8405</t>
  </si>
  <si>
    <t>MZ10-0578</t>
  </si>
  <si>
    <t>Diana</t>
  </si>
  <si>
    <t>Ashlyn</t>
  </si>
  <si>
    <t>Reversible Ruched Seersucker to Plush Comforter Set</t>
  </si>
  <si>
    <t>PP000986;PF004450</t>
  </si>
  <si>
    <t>9/25/2018</t>
  </si>
  <si>
    <t>29057436-000-003</t>
  </si>
  <si>
    <t>9/30/2018</t>
  </si>
  <si>
    <t>MT121-1195</t>
  </si>
  <si>
    <t>DINING TABLE</t>
  </si>
  <si>
    <t>Dining Table</t>
  </si>
  <si>
    <t>Parsons Dining Table</t>
  </si>
  <si>
    <t>1/9/2024</t>
  </si>
  <si>
    <t>43615759-000-000</t>
  </si>
  <si>
    <t>2/22/2024</t>
  </si>
  <si>
    <t>UH10-2472</t>
  </si>
  <si>
    <t>Bennett</t>
  </si>
  <si>
    <t>Silas</t>
  </si>
  <si>
    <t>Atlas</t>
  </si>
  <si>
    <t>3 Piece Chenille Comforter Set</t>
  </si>
  <si>
    <t>Off-White</t>
  </si>
  <si>
    <t>PF005951</t>
  </si>
  <si>
    <t>5/1/2023</t>
  </si>
  <si>
    <t>41492926-000-000</t>
  </si>
  <si>
    <t>5/5/2023</t>
  </si>
  <si>
    <t>6/29/2023</t>
  </si>
  <si>
    <t>UH12-2475</t>
  </si>
  <si>
    <t>3 Piece Chenille Duvet Cover Set</t>
  </si>
  <si>
    <t>JCPENNEY01,MACY02,TGTDVS</t>
  </si>
  <si>
    <t>41492927-000-001</t>
  </si>
  <si>
    <t>7/25/2023</t>
  </si>
  <si>
    <t>II108-0523</t>
  </si>
  <si>
    <t>Benson</t>
  </si>
  <si>
    <t>Upholstered Dining Chairs with Arms (Set of 2)</t>
  </si>
  <si>
    <t>Beige</t>
  </si>
  <si>
    <t>8/12/2024</t>
  </si>
  <si>
    <t>41774172-000-000</t>
  </si>
  <si>
    <t>6/19/2023</t>
  </si>
  <si>
    <t>8/2/2023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</si>
  <si>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</si>
  <si>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</si>
  <si>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</si>
  <si>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</si>
  <si>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</si>
  <si>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</si>
  <si>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</si>
  <si>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42788053-000-001</t>
  </si>
  <si>
    <t>12/13/2023</t>
  </si>
  <si>
    <t>UH10-2491</t>
  </si>
  <si>
    <t>10/11/2023</t>
  </si>
  <si>
    <t>42788053-000-000</t>
  </si>
  <si>
    <t>SS40-0147</t>
  </si>
  <si>
    <t>Abel</t>
  </si>
  <si>
    <t>Byron</t>
  </si>
  <si>
    <t>Ogee Knitted Jacquard Total Blackout Curtain Panel</t>
  </si>
  <si>
    <t>PP000358;PF005185</t>
  </si>
  <si>
    <t>AMAZONDS,CSNSTORES,JCPENNEY01,KOHLDSN,MACY02,TGTDVS</t>
  </si>
  <si>
    <t>25504572-000-010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</si>
  <si>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</si>
  <si>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</si>
  <si>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</si>
  <si>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</si>
  <si>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</si>
  <si>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</si>
  <si>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4/30/2024</t>
  </si>
  <si>
    <t>BLK01,HOUZZ,KOHLDSN,MACY02,OLLIIX,TGTDVS</t>
  </si>
  <si>
    <t>16417683-000-000</t>
  </si>
  <si>
    <t>7/16/2015</t>
  </si>
  <si>
    <t>BASI10-0400</t>
  </si>
  <si>
    <t>Bernard</t>
  </si>
  <si>
    <t>Bengston</t>
  </si>
  <si>
    <t>3M Scotchgard Down Alternative Comforter Mini Set</t>
  </si>
  <si>
    <t>PF002159</t>
  </si>
  <si>
    <t>AMAZON,BLK01,CSNSTORES,JCPENNEY01,KOHLDSN,MACY02,OLLIIX,TGTDVS</t>
  </si>
  <si>
    <t>18775150-000-002</t>
  </si>
  <si>
    <t>WR9201030822-04</t>
  </si>
  <si>
    <t>Bernston</t>
  </si>
  <si>
    <t>Faux Wool to Faux Fur Down Alternative Comforter Set</t>
  </si>
  <si>
    <t>Gray Plaid</t>
  </si>
  <si>
    <t>PP001883;PF006005</t>
  </si>
  <si>
    <t>TGTDVS</t>
  </si>
  <si>
    <t>41067410-000-004</t>
  </si>
  <si>
    <t>2/7/2023</t>
  </si>
  <si>
    <t>11/30/2023</t>
  </si>
  <si>
    <t>WR9201030822-05</t>
  </si>
  <si>
    <t>41067410-000-008</t>
  </si>
  <si>
    <t>WR9201030822-06</t>
  </si>
  <si>
    <t>WALMARTDS</t>
  </si>
  <si>
    <t>41067410-000-002</t>
  </si>
  <si>
    <t>WR9201030822-07</t>
  </si>
  <si>
    <t>Green Plaid</t>
  </si>
  <si>
    <t>PP001883;PF006006</t>
  </si>
  <si>
    <t>41067410-000-001</t>
  </si>
  <si>
    <t>WR9201030822-08</t>
  </si>
  <si>
    <t>8/15/2022</t>
  </si>
  <si>
    <t>KOHLDSN,TGTDVS,WALMARTDS</t>
  </si>
  <si>
    <t>41067410-000-007</t>
  </si>
  <si>
    <t>WR9201030822-09</t>
  </si>
  <si>
    <t>41067410-000-005</t>
  </si>
  <si>
    <t>9/5/2023</t>
  </si>
  <si>
    <t>WR9201030822-01</t>
  </si>
  <si>
    <t>Red Buffalo Check</t>
  </si>
  <si>
    <t>PP001883;PF006004</t>
  </si>
  <si>
    <t>TGTDVS,WALMARTDS</t>
  </si>
  <si>
    <t>41067410-000-000</t>
  </si>
  <si>
    <t>WR9201030822-02</t>
  </si>
  <si>
    <t>41067410-000-003</t>
  </si>
  <si>
    <t>7/31/2023</t>
  </si>
  <si>
    <t>WR9201030822-03</t>
  </si>
  <si>
    <t>41067410-000-006</t>
  </si>
  <si>
    <t>8/22/2023</t>
  </si>
  <si>
    <t>II101-0288</t>
  </si>
  <si>
    <t>Beverly</t>
  </si>
  <si>
    <t>Round stool</t>
  </si>
  <si>
    <t>Tan/Gold</t>
  </si>
  <si>
    <t>1/31/2018</t>
  </si>
  <si>
    <t>CSNSTORES,KOHLDSN,OLLIIX,TGTDVS,Zulily</t>
  </si>
  <si>
    <t>26778241-000-000</t>
  </si>
  <si>
    <t>4/13/2018</t>
  </si>
  <si>
    <t>7/24/2018</t>
  </si>
  <si>
    <t>MP100-0152</t>
  </si>
  <si>
    <t>Bexley</t>
  </si>
  <si>
    <t>Larkin</t>
  </si>
  <si>
    <t>Oda</t>
  </si>
  <si>
    <t>Rounded Back Dining Chair</t>
  </si>
  <si>
    <t>PF001053;PP000096</t>
  </si>
  <si>
    <t>CASTLEGATE,CSNSTORES,HOUZZ,JCPENNEY01,KIRKLANDDS,KOHLDSN,LAMPDS,MACY02F,OLLIIX</t>
  </si>
  <si>
    <t>20985770-000-000</t>
  </si>
  <si>
    <t>2/22/2017</t>
  </si>
  <si>
    <t>5/19/2017</t>
  </si>
  <si>
    <t>5DS73-0217</t>
  </si>
  <si>
    <t>Big Bundle</t>
  </si>
  <si>
    <t>100% Cotton Quick Dry 12 Piece Bath Towel Set</t>
  </si>
  <si>
    <t>PP001159;PF006347</t>
  </si>
  <si>
    <t>12</t>
  </si>
  <si>
    <t>7/3/2019</t>
  </si>
  <si>
    <t>AMAZONDS,BBBDROP,BIGLOTSDS,BLK01,FINGERHUTDS,JCPENNEY01,KIRKLANDDS,KOHLDSN,MACY02,TGTDVS,WALMARTDS</t>
  </si>
  <si>
    <t>33127889-000-003</t>
  </si>
  <si>
    <t>5DS73-0289</t>
  </si>
  <si>
    <t>PP001159;PF006348</t>
  </si>
  <si>
    <t>2/10/2024</t>
  </si>
  <si>
    <t>AMAZON,FINGERHUTDS,TGTDVS</t>
  </si>
  <si>
    <t>33127889-000-005</t>
  </si>
  <si>
    <t>3/29/2024</t>
  </si>
  <si>
    <t>5DS73-0201</t>
  </si>
  <si>
    <t>PP001159;PF006346</t>
  </si>
  <si>
    <t>AAFESDS,AMAZONDS,BBBDROP,BEALLSDS,BLK01,CSNSTORES,FINGERHUTDS,JCPENNEY01,KOHLDSN,MACY02,OLLIIX,TGTDVS,WALMARTDS</t>
  </si>
  <si>
    <t>33127889-000-000</t>
  </si>
  <si>
    <t>6/15/2019</t>
  </si>
  <si>
    <t>1/20/2020</t>
  </si>
  <si>
    <t>5DS73-0202</t>
  </si>
  <si>
    <t>Indigo</t>
  </si>
  <si>
    <t>PP001159;PF006343</t>
  </si>
  <si>
    <t>AAFESDS,BBBDROP,BEALLSDS,BLK01,CSNSTORES,FINGERHUTDS,JCPENNEY01,KOHLDSN,MACY02,OLLIIX,TGTDVS</t>
  </si>
  <si>
    <t>33127889-000-002</t>
  </si>
  <si>
    <t>7/15/2019</t>
  </si>
  <si>
    <t>5DS73-0261</t>
  </si>
  <si>
    <t>PP001159;PF006345</t>
  </si>
  <si>
    <t>12/2/2022</t>
  </si>
  <si>
    <t>AMAZONDS,BLK01,FINGERHUTDS,JCPENNEY01,KOHLDSN,MACY02,OLLIIX,TGTDVS</t>
  </si>
  <si>
    <t>33127889-000-004</t>
  </si>
  <si>
    <t>8/8/2023</t>
  </si>
  <si>
    <t>MP10-3734</t>
  </si>
  <si>
    <t>Biloxi</t>
  </si>
  <si>
    <t>Morris</t>
  </si>
  <si>
    <t>Hudson</t>
  </si>
  <si>
    <t>PF002684;PP000388</t>
  </si>
  <si>
    <t>Glam/Luxuey|Modern/Contemporary</t>
  </si>
  <si>
    <t>AMAZON,AMAZONDS,BBBDROP,CSNSTORES,KOHLDSN,MACY02,OLLIIX</t>
  </si>
  <si>
    <t>19428914-000-001</t>
  </si>
  <si>
    <t>12/18/2016</t>
  </si>
  <si>
    <t>CCL30-0033</t>
  </si>
  <si>
    <t>Biron</t>
  </si>
  <si>
    <t>Square Decor Pillow</t>
  </si>
  <si>
    <t>18x18"</t>
  </si>
  <si>
    <t>42067836-000-002</t>
  </si>
  <si>
    <t>CCL30-0032</t>
  </si>
  <si>
    <t>DLCROSCILL,OLLIIX</t>
  </si>
  <si>
    <t>42067836-000-003</t>
  </si>
  <si>
    <t>1/3/2024</t>
  </si>
  <si>
    <t>II150-0121</t>
  </si>
  <si>
    <t>6-light Ombre Glass Globe Chandelier</t>
  </si>
  <si>
    <t>Antique Brass/Amber</t>
  </si>
  <si>
    <t>CSNSTORES,KIRKLANDDS,OLLIIX,ZOLA</t>
  </si>
  <si>
    <t>40002940-000-000</t>
  </si>
  <si>
    <t>5/24/2022</t>
  </si>
  <si>
    <t>5DS105-0036</t>
  </si>
  <si>
    <t>Flip-top Upholstered Storage Bench</t>
  </si>
  <si>
    <t>1/27/2024</t>
  </si>
  <si>
    <t>AMAZONDS</t>
  </si>
  <si>
    <t>Declined</t>
  </si>
  <si>
    <t>5DS105-0053</t>
  </si>
  <si>
    <t>Light Grey 2</t>
  </si>
  <si>
    <t>5DS105-0043</t>
  </si>
  <si>
    <t>Light Taupe</t>
  </si>
  <si>
    <t>6/14/2024</t>
  </si>
  <si>
    <t>5DS105-0029</t>
  </si>
  <si>
    <t>6/20/2023</t>
  </si>
  <si>
    <t>AMAZONDS,CSNSTORES,KIRKLANDDS,TGTDVS</t>
  </si>
  <si>
    <t>41984295-000-000</t>
  </si>
  <si>
    <t>7/16/2023</t>
  </si>
  <si>
    <t>AM10-0131</t>
  </si>
  <si>
    <t>Blake</t>
  </si>
  <si>
    <t>Calvin</t>
  </si>
  <si>
    <t>Owain/Erik</t>
  </si>
  <si>
    <t>Stripe Textured Print Comforter Set</t>
  </si>
  <si>
    <t>Black/Grey</t>
  </si>
  <si>
    <t>PP001959;PF006237</t>
  </si>
  <si>
    <t>2/2/2024</t>
  </si>
  <si>
    <t>4/13/2024</t>
  </si>
  <si>
    <t>43667554-000-000</t>
  </si>
  <si>
    <t>3/8/2024</t>
  </si>
  <si>
    <t>AM10-0132</t>
  </si>
  <si>
    <t>DESINC,KOHLDSN</t>
  </si>
  <si>
    <t>43667554-000-005</t>
  </si>
  <si>
    <t>AM10-0133</t>
  </si>
  <si>
    <t>3/9/2024</t>
  </si>
  <si>
    <t>43667554-000-004</t>
  </si>
  <si>
    <t>II100-0495</t>
  </si>
  <si>
    <t>Chair</t>
  </si>
  <si>
    <t>Handcrafted Rattan Upholstered Accent Arm Chair</t>
  </si>
  <si>
    <t>2/23/2023</t>
  </si>
  <si>
    <t>40538795-000-000</t>
  </si>
  <si>
    <t>2/22/2023</t>
  </si>
  <si>
    <t>AM10-0128</t>
  </si>
  <si>
    <t>Navy/Blue</t>
  </si>
  <si>
    <t>PP001959;PF006236</t>
  </si>
  <si>
    <t>DESINC,KOHLDSN,MACY02</t>
  </si>
  <si>
    <t>43667554-000-002</t>
  </si>
  <si>
    <t>AM10-0130</t>
  </si>
  <si>
    <t>MACY02</t>
  </si>
  <si>
    <t>43667554-000-003</t>
  </si>
  <si>
    <t>ID10-2332</t>
  </si>
  <si>
    <t>Liam</t>
  </si>
  <si>
    <t>Reeve</t>
  </si>
  <si>
    <t>Plaid Comforter Set</t>
  </si>
  <si>
    <t>Tan/Gray</t>
  </si>
  <si>
    <t>PF006203</t>
  </si>
  <si>
    <t>3/16/2024</t>
  </si>
  <si>
    <t>43735708-000-000</t>
  </si>
  <si>
    <t>3/21/2024</t>
  </si>
  <si>
    <t>ID12-2334</t>
  </si>
  <si>
    <t>Plaid Duvet Cover Set</t>
  </si>
  <si>
    <t>43736509-000-001</t>
  </si>
  <si>
    <t>3/22/2024</t>
  </si>
  <si>
    <t>ID10-2333</t>
  </si>
  <si>
    <t>43735708-000-001</t>
  </si>
  <si>
    <t>ID12-2335</t>
  </si>
  <si>
    <t>43736509-000-000</t>
  </si>
  <si>
    <t>MP13-8133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</si>
  <si>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</si>
  <si>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</si>
  <si>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</si>
  <si>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</si>
  <si>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</si>
  <si>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</si>
  <si>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AMAZONDS,JCPENNEY01,KOHLDSN,TGTDVS</t>
  </si>
  <si>
    <t>40762911-000-000</t>
  </si>
  <si>
    <t>2/12/2024</t>
  </si>
  <si>
    <t>SS40-0070</t>
  </si>
  <si>
    <t>Blakesly</t>
  </si>
  <si>
    <t>Kagen</t>
  </si>
  <si>
    <t>Etro</t>
  </si>
  <si>
    <t>Printed Ikat Blackout Curtain Panel</t>
  </si>
  <si>
    <t>PP000592;PF004055</t>
  </si>
  <si>
    <t>Blackout</t>
  </si>
  <si>
    <t>CSNSTORES,HDDS,JCPENNEY01,KOHLDSN,OLLIIX,TGTDVS</t>
  </si>
  <si>
    <t>25450234-000-005</t>
  </si>
  <si>
    <t>7/2/2018</t>
  </si>
  <si>
    <t>SS40-0186</t>
  </si>
  <si>
    <t>PP000592;PF005325</t>
  </si>
  <si>
    <t>1/27/2021</t>
  </si>
  <si>
    <t>25450234-000-014</t>
  </si>
  <si>
    <t>4/1/2021</t>
  </si>
  <si>
    <t>WR50-3969</t>
  </si>
  <si>
    <t>Throw</t>
  </si>
  <si>
    <t>Bloomington</t>
  </si>
  <si>
    <t>Faux Mohair to Sherpa Throw</t>
  </si>
  <si>
    <t>PP001878;PF005994</t>
  </si>
  <si>
    <t>8/25/2023</t>
  </si>
  <si>
    <t>AMAZON,TGTDVS</t>
  </si>
  <si>
    <t>42171499-000-002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</si>
  <si>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</si>
  <si>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</si>
  <si>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</si>
  <si>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</si>
  <si>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</si>
  <si>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</si>
  <si>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AMAZON,AMERSIGNDS,ASHFURNDS,CSNSTORES,Zulily</t>
  </si>
  <si>
    <t>32539435-000-000</t>
  </si>
  <si>
    <t>2/25/2019</t>
  </si>
  <si>
    <t>3/15/2019</t>
  </si>
  <si>
    <t>MP95C-0133</t>
  </si>
  <si>
    <t>Blue Lagoon 2</t>
  </si>
  <si>
    <t>Abstract 2-piece Framed Canvas Wall Art Set</t>
  </si>
  <si>
    <t>PP000609</t>
  </si>
  <si>
    <t>10/12/2017</t>
  </si>
  <si>
    <t>AMAZON,AMERSIGNDS,ASHFURNDS,BEALLSDS,DESINC,KIRKLANDDS,KOHLDSN,OLLIIX,TGTDVS</t>
  </si>
  <si>
    <t>25582615-000-000</t>
  </si>
  <si>
    <t>1/5/2018</t>
  </si>
  <si>
    <t>2/12/2018</t>
  </si>
  <si>
    <t>MP95C-0058</t>
  </si>
  <si>
    <t>Blue Print Botanicals</t>
  </si>
  <si>
    <t>3-piece Framed Canvas Wall Art Set</t>
  </si>
  <si>
    <t>PF001948</t>
  </si>
  <si>
    <t>4/19/2017</t>
  </si>
  <si>
    <t>BBBDROP,BEALLSDS,BIGLOTSDS,HOUZZ,KIRKLANDDS,KOHLDSN,MACY02,OLLIIX,ROOMECOM,TGTDVS,Zulily</t>
  </si>
  <si>
    <t>19303782-000-000</t>
  </si>
  <si>
    <t>8/31/2016</t>
  </si>
  <si>
    <t>MPS95C-0020</t>
  </si>
  <si>
    <t>Blue Seascape</t>
  </si>
  <si>
    <t>Framed Canvas Wall Art</t>
  </si>
  <si>
    <t>PF001995</t>
  </si>
  <si>
    <t>4/21/2017</t>
  </si>
  <si>
    <t>CSNSTORES,DESINC,OLLIIX,TGTDVS</t>
  </si>
  <si>
    <t>22661269-000-000</t>
  </si>
  <si>
    <t>6/9/2017</t>
  </si>
  <si>
    <t>7/31/2017</t>
  </si>
  <si>
    <t>II103-0564</t>
  </si>
  <si>
    <t>Bonn</t>
  </si>
  <si>
    <t>Upholstered 360 Degree Swivel Chair</t>
  </si>
  <si>
    <t>41285717-000-002</t>
  </si>
  <si>
    <t>II103-0563</t>
  </si>
  <si>
    <t>41285717-000-001</t>
  </si>
  <si>
    <t>II100-0219</t>
  </si>
  <si>
    <t>Boomerang</t>
  </si>
  <si>
    <t>Accent Chair</t>
  </si>
  <si>
    <t>PF000109</t>
  </si>
  <si>
    <t>Industrial</t>
  </si>
  <si>
    <t>1/9/2018</t>
  </si>
  <si>
    <t>ASHFURNDS,CSNSTORES,HDDS,MACY02F,OLLIIX</t>
  </si>
  <si>
    <t>25898951-000-000</t>
  </si>
  <si>
    <t>2/7/2018</t>
  </si>
  <si>
    <t>5/14/2018</t>
  </si>
  <si>
    <t>II100-0044</t>
  </si>
  <si>
    <t>Mustard Yellow/Pecan</t>
  </si>
  <si>
    <t>PF000109;PP000013</t>
  </si>
  <si>
    <t>ASHFURNDS,CSNSTORES,HOUZZ,OLLIIX,Zulily</t>
  </si>
  <si>
    <t>20693855-000-000</t>
  </si>
  <si>
    <t>1/13/2017</t>
  </si>
  <si>
    <t>5/22/2017</t>
  </si>
  <si>
    <t>UH153-0057</t>
  </si>
  <si>
    <t>Borel</t>
  </si>
  <si>
    <t>Ombre Glass Table Lamp</t>
  </si>
  <si>
    <t>10/4/2017</t>
  </si>
  <si>
    <t>BBBDROP,CSNSTORES,HOUZZ,JCPENNEY01,KOHLDSN,MACY02,OLLIIX,TGTDVS</t>
  </si>
  <si>
    <t>24339012-000-000</t>
  </si>
  <si>
    <t>2/14/2018</t>
  </si>
  <si>
    <t>AM10-0290</t>
  </si>
  <si>
    <t>Boulder Stripe</t>
  </si>
  <si>
    <t>Cascade Stripe</t>
  </si>
  <si>
    <t>Highland Stripe</t>
  </si>
  <si>
    <t>Pieced Faux Suede Comforter Set</t>
  </si>
  <si>
    <t>Brick</t>
  </si>
  <si>
    <t>PP001926;PF006375</t>
  </si>
  <si>
    <t>7/1/2024</t>
  </si>
  <si>
    <t>AM10-0291</t>
  </si>
  <si>
    <t>AM10-0292</t>
  </si>
  <si>
    <t>AM10-0296</t>
  </si>
  <si>
    <t>PP001926;PF006377</t>
  </si>
  <si>
    <t>AM10-0297</t>
  </si>
  <si>
    <t>AM10-0298</t>
  </si>
  <si>
    <t>AM10-0293</t>
  </si>
  <si>
    <t>PP001926;PF006376</t>
  </si>
  <si>
    <t>AM10-0294</t>
  </si>
  <si>
    <t>AM10-0295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</si>
  <si>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</si>
  <si>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</si>
  <si>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</si>
  <si>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</si>
  <si>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</si>
  <si>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</si>
  <si>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</si>
  <si>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</si>
  <si>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</si>
  <si>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</si>
  <si>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</si>
  <si>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43658580-000-003</t>
  </si>
  <si>
    <t>BR04-479</t>
  </si>
  <si>
    <t>43658580-000-006</t>
  </si>
  <si>
    <t>BR04-480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</si>
  <si>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</si>
  <si>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</si>
  <si>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</si>
  <si>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</si>
  <si>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</si>
  <si>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</si>
  <si>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</si>
  <si>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</si>
  <si>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</si>
  <si>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</si>
  <si>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WR10-3974</t>
  </si>
  <si>
    <t>Breckenridge</t>
  </si>
  <si>
    <t>Chenille Oversized Comforter Set</t>
  </si>
  <si>
    <t>PF006169</t>
  </si>
  <si>
    <t>Southwestern</t>
  </si>
  <si>
    <t>Lodge/Cabin|Casual</t>
  </si>
  <si>
    <t>5/19/2024</t>
  </si>
  <si>
    <t>43734676-000-002</t>
  </si>
  <si>
    <t>WR10-3975</t>
  </si>
  <si>
    <t>2/27/2024</t>
  </si>
  <si>
    <t>43734676-000-000</t>
  </si>
  <si>
    <t>WR10-3976</t>
  </si>
  <si>
    <t>43734676-000-001</t>
  </si>
  <si>
    <t>ID10-2166</t>
  </si>
  <si>
    <t>Bree</t>
  </si>
  <si>
    <t>Mabel</t>
  </si>
  <si>
    <t>Laurel</t>
  </si>
  <si>
    <t>Embroidered Comforter Set</t>
  </si>
  <si>
    <t>PF005813</t>
  </si>
  <si>
    <t>40944827-000-000</t>
  </si>
  <si>
    <t>1/8/2024</t>
  </si>
  <si>
    <t>ID12-2168</t>
  </si>
  <si>
    <t>Embroidered Duvet Cover Set</t>
  </si>
  <si>
    <t>40918824-000-000</t>
  </si>
  <si>
    <t>12/30/2022</t>
  </si>
  <si>
    <t>ID12-2169</t>
  </si>
  <si>
    <t>JCPENNEY01,KOHLDSN,MACY02,TGTDVS</t>
  </si>
  <si>
    <t>40918824-000-001</t>
  </si>
  <si>
    <t>2/20/2023</t>
  </si>
  <si>
    <t>II21-1304</t>
  </si>
  <si>
    <t>Bree Knit</t>
  </si>
  <si>
    <t>Oblong Pillow Cover</t>
  </si>
  <si>
    <t>12x20"</t>
  </si>
  <si>
    <t>PP001571;PF006068</t>
  </si>
  <si>
    <t>Acrylic</t>
  </si>
  <si>
    <t>AMAZON,CSNSTORES,OLLIIX</t>
  </si>
  <si>
    <t>19510041-000-006</t>
  </si>
  <si>
    <t>II21-1301</t>
  </si>
  <si>
    <t>Square Pillow Cover</t>
  </si>
  <si>
    <t>19510042-000-007</t>
  </si>
  <si>
    <t>II21-1307</t>
  </si>
  <si>
    <t>Euro Pillow Cover</t>
  </si>
  <si>
    <t>26x26"</t>
  </si>
  <si>
    <t>21015342-000-006</t>
  </si>
  <si>
    <t>II21-1306</t>
  </si>
  <si>
    <t>PP001571;PF006067</t>
  </si>
  <si>
    <t>21015342-000-007</t>
  </si>
  <si>
    <t>1/29/2024</t>
  </si>
  <si>
    <t>II51-1136</t>
  </si>
  <si>
    <t>PP001571;PF005282</t>
  </si>
  <si>
    <t>1/16/2021</t>
  </si>
  <si>
    <t>7/17/2024</t>
  </si>
  <si>
    <t>AMAZON,ASHFURNDS,CSNSTORES,JCPENNEY01,KOHLDSN,MACY02,OLLIIX,TGTDVS</t>
  </si>
  <si>
    <t>18986582-000-015</t>
  </si>
  <si>
    <t>1/17/2021</t>
  </si>
  <si>
    <t>3/23/2021</t>
  </si>
  <si>
    <t>II51-1137</t>
  </si>
  <si>
    <t>AMAZON,BBBDROP,CSNSTORES,JCPENNEY01,KIRKLANDDS,KOHLDSN,MACY02,OLLIIX,TGTDVS</t>
  </si>
  <si>
    <t>18986582-000-016</t>
  </si>
  <si>
    <t>II51-1142</t>
  </si>
  <si>
    <t>PP001571;PF005283</t>
  </si>
  <si>
    <t>AMAZON,CSNSTORES,JCPENNEY01,KIRKLANDDS,MACY02,TGTDVS</t>
  </si>
  <si>
    <t>18986582-000-017</t>
  </si>
  <si>
    <t>1/28/2021</t>
  </si>
  <si>
    <t>II51-1143</t>
  </si>
  <si>
    <t>AMAZON,ASHFURNDS,BBBDROP,CSNSTORES,JCPENNEY01,KIRKLANDDS,KOHLDSN,MACY02,OLLIIX,TGTDVS</t>
  </si>
  <si>
    <t>18986582-000-013</t>
  </si>
  <si>
    <t>1/22/2021</t>
  </si>
  <si>
    <t>II51-725</t>
  </si>
  <si>
    <t>PF003487</t>
  </si>
  <si>
    <t>AMAZON,BLK01,CSNSTORES,KOHLDSN,MACY02,OLLIIX,TGTDVS</t>
  </si>
  <si>
    <t>18986582-000-001</t>
  </si>
  <si>
    <t>II51-726</t>
  </si>
  <si>
    <t>AMAZON,AMAZONDS,BBBDROP,CSNSTORES,KOHLDSN,MACY02,OLLIIX,TGTDVS</t>
  </si>
  <si>
    <t>18986582-000-002</t>
  </si>
  <si>
    <t>8/4/2016</t>
  </si>
  <si>
    <t>II51-1308</t>
  </si>
  <si>
    <t>PP001571;PF006066</t>
  </si>
  <si>
    <t>AMAZON,CSNSTORES,TGTDVS</t>
  </si>
  <si>
    <t>18986582-000-019</t>
  </si>
  <si>
    <t>10/25/2023</t>
  </si>
  <si>
    <t>11/29/2023</t>
  </si>
  <si>
    <t>II51-1310</t>
  </si>
  <si>
    <t>18986582-000-018</t>
  </si>
  <si>
    <t>11/24/2023</t>
  </si>
  <si>
    <t>II21-1299</t>
  </si>
  <si>
    <t>19510042-000-006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</si>
  <si>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</si>
  <si>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</si>
  <si>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</si>
  <si>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</si>
  <si>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</si>
  <si>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</si>
  <si>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5/30/2018</t>
  </si>
  <si>
    <t>BBBDROP,BEALLSDS,BLK01,CSNSTORES,FINGERHUTDS,HDDS,JCPENNEY01,KOHLDSN,OLLIIX,TGTDVS</t>
  </si>
  <si>
    <t>27404812-000-000</t>
  </si>
  <si>
    <t>5/24/2018</t>
  </si>
  <si>
    <t>11/19/2018</t>
  </si>
  <si>
    <t>FPF18-0442</t>
  </si>
  <si>
    <t>Brentwood</t>
  </si>
  <si>
    <t>Cole</t>
  </si>
  <si>
    <t>Exposed Wood Arm Chair</t>
  </si>
  <si>
    <t>Grey/White</t>
  </si>
  <si>
    <t>PF000020;PP000101</t>
  </si>
  <si>
    <t>5/26/2024</t>
  </si>
  <si>
    <t>AMAZON,AMAZONDS,CSNSTORES,HDDS,OLLIIX,ROOMECOM</t>
  </si>
  <si>
    <t>18121092-000-000</t>
  </si>
  <si>
    <t>6/2/2016</t>
  </si>
  <si>
    <t>MP50N-7097</t>
  </si>
  <si>
    <t>Brianne</t>
  </si>
  <si>
    <t>100% Cotton Tufted Chenille Lightweight Throw With Fringe Tassel 50" x 60"</t>
  </si>
  <si>
    <t>PP001458;PF005035</t>
  </si>
  <si>
    <t>2/24/2020</t>
  </si>
  <si>
    <t>35754357-000-000</t>
  </si>
  <si>
    <t>2/28/2020</t>
  </si>
  <si>
    <t>3/31/2020</t>
  </si>
  <si>
    <t>MP103-1229</t>
  </si>
  <si>
    <t>Betty</t>
  </si>
  <si>
    <t>Mitchell</t>
  </si>
  <si>
    <t>Wide Seat Swivel Arm Chair Set of 2</t>
  </si>
  <si>
    <t>PF001101</t>
  </si>
  <si>
    <t>5/5/2021</t>
  </si>
  <si>
    <t>MP12-8369</t>
  </si>
  <si>
    <t>Brielle</t>
  </si>
  <si>
    <t>Joyce</t>
  </si>
  <si>
    <t>Elsie</t>
  </si>
  <si>
    <t>3 Piece Floral Printed Cotton Duvet Cover Set</t>
  </si>
  <si>
    <t>PP001921;PF006136</t>
  </si>
  <si>
    <t>2/3/2024</t>
  </si>
  <si>
    <t>43642760-000-001</t>
  </si>
  <si>
    <t>3/3/2024</t>
  </si>
  <si>
    <t>MP12-8370</t>
  </si>
  <si>
    <t>43642760-000-000</t>
  </si>
  <si>
    <t>II154-0157</t>
  </si>
  <si>
    <t>Brillora</t>
  </si>
  <si>
    <t>Floor lamp</t>
  </si>
  <si>
    <t>Gold/Marble</t>
  </si>
  <si>
    <t>MP50-8017</t>
  </si>
  <si>
    <t>Bristol</t>
  </si>
  <si>
    <t>Sienna</t>
  </si>
  <si>
    <t>Solid Premium Faux Fur Throw</t>
  </si>
  <si>
    <t>PP001791;PF005768</t>
  </si>
  <si>
    <t>AMAZON,JCPENNEY01,KOHLDSN,MACY02,TGTDVS,ZOLA</t>
  </si>
  <si>
    <t>40666064-000-001</t>
  </si>
  <si>
    <t>II154-0124</t>
  </si>
  <si>
    <t>Arched Metal Floor Lamp with Frosted Glass Shade</t>
  </si>
  <si>
    <t>Matte Black Base/Frosted Shade</t>
  </si>
  <si>
    <t>KOHLDSN,OLLIIX,TGTDVS,ZOLA</t>
  </si>
  <si>
    <t>39936235-000-000</t>
  </si>
  <si>
    <t>5/12/2022</t>
  </si>
  <si>
    <t>5/3/2023</t>
  </si>
  <si>
    <t>MP104-0040</t>
  </si>
  <si>
    <t>Brody</t>
  </si>
  <si>
    <t>Victor</t>
  </si>
  <si>
    <t>Taye</t>
  </si>
  <si>
    <t>Wing Counter Stool</t>
  </si>
  <si>
    <t>PF000285;PP000104</t>
  </si>
  <si>
    <t>4/7/2024</t>
  </si>
  <si>
    <t>CSNSTORES,HOUZZ,OLLIIX,TGTDVS</t>
  </si>
  <si>
    <t>20549820-000-000</t>
  </si>
  <si>
    <t>4/28/2017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</si>
  <si>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</si>
  <si>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</si>
  <si>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</si>
  <si>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</si>
  <si>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</si>
  <si>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</si>
  <si>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Shabby Chic</t>
  </si>
  <si>
    <t>Cottage/Country|Farmhouse</t>
  </si>
  <si>
    <t>12/26/2017</t>
  </si>
  <si>
    <t>4/20/2024</t>
  </si>
  <si>
    <t>AMAZON,CSNSTORES,JCPENNEY01,ROOMECOM,TGTDVS</t>
  </si>
  <si>
    <t>22066584-000-010</t>
  </si>
  <si>
    <t>3/19/2018</t>
  </si>
  <si>
    <t>4/24/2018</t>
  </si>
  <si>
    <t>UH12-2158</t>
  </si>
  <si>
    <t>Cotton Jacquard Duvet Cover Set with Euro Shams and Throw Pillows</t>
  </si>
  <si>
    <t>AMAZON,AMAZONDS,BBBDROP,JCPENNEY01,KOHLDSN,TGTDVS</t>
  </si>
  <si>
    <t>22066583-000-016</t>
  </si>
  <si>
    <t>5/29/2018</t>
  </si>
  <si>
    <t>UH12-2258</t>
  </si>
  <si>
    <t>PP000834;PF004683</t>
  </si>
  <si>
    <t>22066583-000-007</t>
  </si>
  <si>
    <t>5/16/2019</t>
  </si>
  <si>
    <t>6/24/2019</t>
  </si>
  <si>
    <t>UH10-2256</t>
  </si>
  <si>
    <t>5/15/2019</t>
  </si>
  <si>
    <t>4/29/2024</t>
  </si>
  <si>
    <t>AMAZON,AMAZONDS,BLK01,CSNSTORES,JCPENNEY01,KOHLDSN,MACY02,OLLIIX,TGTDVS</t>
  </si>
  <si>
    <t>22066584-000-006</t>
  </si>
  <si>
    <t>6/2/2019</t>
  </si>
  <si>
    <t>6/12/2019</t>
  </si>
  <si>
    <t>UH12-2260</t>
  </si>
  <si>
    <t>AMAZON,BLK01,CSNSTORES,KOHLDSN,MACY02,TGTDVS</t>
  </si>
  <si>
    <t>22066583-000-003</t>
  </si>
  <si>
    <t>6/6/2019</t>
  </si>
  <si>
    <t>UH30-2378</t>
  </si>
  <si>
    <t>Cotton Jacquard Pom Pom Oblong Pillow</t>
  </si>
  <si>
    <t>14x20"</t>
  </si>
  <si>
    <t>4/8/2021</t>
  </si>
  <si>
    <t>CSNSTORES,KOHLDSN,OLLIIX</t>
  </si>
  <si>
    <t>26817827-000-010</t>
  </si>
  <si>
    <t>4/7/2021</t>
  </si>
  <si>
    <t>8/11/2021</t>
  </si>
  <si>
    <t>UH30-2377</t>
  </si>
  <si>
    <t>Cotton Jacquard Pom Pom Square Pillow</t>
  </si>
  <si>
    <t>26817827-000-011</t>
  </si>
  <si>
    <t>UH12-2164</t>
  </si>
  <si>
    <t>PP000834;PF004166</t>
  </si>
  <si>
    <t>AMAZON,AMERSIGNDS,KOHLDSN,MACY02,OLLIIX,TGTDVS</t>
  </si>
  <si>
    <t>22066583-000-012</t>
  </si>
  <si>
    <t>3/27/2018</t>
  </si>
  <si>
    <t>UH70-2312</t>
  </si>
  <si>
    <t>Cotton Jacquard Pom Pom Shower Curtain</t>
  </si>
  <si>
    <t>70x72"</t>
  </si>
  <si>
    <t>Indigo Blue</t>
  </si>
  <si>
    <t>PP000834;PF004684</t>
  </si>
  <si>
    <t>1/8/2020</t>
  </si>
  <si>
    <t>AMAZON,AMAZONDS,CSNSTORES,HDDS,JCPENNEY01,KIRKLANDDS,KOHLDSN,MACY02,OLLIIX,TGTDVS,WALMARTDS</t>
  </si>
  <si>
    <t>31010783-000-005</t>
  </si>
  <si>
    <t>1/10/2020</t>
  </si>
  <si>
    <t>3/17/2020</t>
  </si>
  <si>
    <t>UH12-2265</t>
  </si>
  <si>
    <t>AMAZON,CSNSTORES,KOHLDSN,MACY02,OLLIIX,TGTDVS</t>
  </si>
  <si>
    <t>22066583-000-005</t>
  </si>
  <si>
    <t>5/20/2019</t>
  </si>
  <si>
    <t>UH10-0206</t>
  </si>
  <si>
    <t>Pink</t>
  </si>
  <si>
    <t>A++</t>
  </si>
  <si>
    <t>PF002471</t>
  </si>
  <si>
    <t>4/22/2017</t>
  </si>
  <si>
    <t>AMAZON,BLK01,CSNSTORES,HSNDS,MACY02,TGTDVS</t>
  </si>
  <si>
    <t>22066584-000-017</t>
  </si>
  <si>
    <t>5/4/2017</t>
  </si>
  <si>
    <t>5/15/2017</t>
  </si>
  <si>
    <t>UH10-2494</t>
  </si>
  <si>
    <t>Rust</t>
  </si>
  <si>
    <t>PP000834;PF006097</t>
  </si>
  <si>
    <t>12/30/2023</t>
  </si>
  <si>
    <t>22066584-000-019</t>
  </si>
  <si>
    <t>1/2/2024</t>
  </si>
  <si>
    <t>UH10-2495</t>
  </si>
  <si>
    <t>22066584-000-018</t>
  </si>
  <si>
    <t>1/1/2024</t>
  </si>
  <si>
    <t>1/15/2024</t>
  </si>
  <si>
    <t>UH12-2499</t>
  </si>
  <si>
    <t>AMAZON,AMAZONDS,TGTDVS</t>
  </si>
  <si>
    <t>22066583-000-019</t>
  </si>
  <si>
    <t>1/21/2024</t>
  </si>
  <si>
    <t>PET66PT6198</t>
  </si>
  <si>
    <t>PET</t>
  </si>
  <si>
    <t>PET ACCESSORIES</t>
  </si>
  <si>
    <t>Pet Accessories</t>
  </si>
  <si>
    <t>Bumpi</t>
  </si>
  <si>
    <t>Avocado</t>
  </si>
  <si>
    <t>PET66PT6022</t>
  </si>
  <si>
    <t>Dino Rubber Toy 2PK</t>
  </si>
  <si>
    <t>Citron/Orange</t>
  </si>
  <si>
    <t>3/31/2023</t>
  </si>
  <si>
    <t>PET66PT6025-SM</t>
  </si>
  <si>
    <t>Kettlebell Rubber Toy SM</t>
  </si>
  <si>
    <t>Orange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</si>
  <si>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</si>
  <si>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</si>
  <si>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</si>
  <si>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</si>
  <si>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</si>
  <si>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</si>
  <si>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</si>
  <si>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</si>
  <si>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</si>
  <si>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</si>
  <si>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</si>
  <si>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</si>
  <si>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</si>
  <si>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</si>
  <si>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</si>
  <si>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</si>
  <si>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</si>
  <si>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UH13-2098</t>
  </si>
  <si>
    <t>Caden</t>
  </si>
  <si>
    <t>Mason</t>
  </si>
  <si>
    <t>Harper</t>
  </si>
  <si>
    <t>3 Piece Cotton Quilt Set</t>
  </si>
  <si>
    <t>PF002487</t>
  </si>
  <si>
    <t>8/4/2017</t>
  </si>
  <si>
    <t>BBBDROP,BEALLSDS,CSNSTORES,JCPENNEY01,KOHLDSN,MACY02,OLLIIX,TGTDVS</t>
  </si>
  <si>
    <t>23066203-000-000</t>
  </si>
  <si>
    <t>7/11/2017</t>
  </si>
  <si>
    <t>II10-1330</t>
  </si>
  <si>
    <t>Cairo</t>
  </si>
  <si>
    <t>3 Piece Cotton Jacquard Comforter Set</t>
  </si>
  <si>
    <t>PF006275;PP001968</t>
  </si>
  <si>
    <t>II12-1332</t>
  </si>
  <si>
    <t>3 Piece Cotton Jacquard Duvet Set</t>
  </si>
  <si>
    <t>II10-1331</t>
  </si>
  <si>
    <t>II12-1333</t>
  </si>
  <si>
    <t>MP130-1177</t>
  </si>
  <si>
    <t>Cali</t>
  </si>
  <si>
    <t>Allen</t>
  </si>
  <si>
    <t>Mallard</t>
  </si>
  <si>
    <t>3-Drawer Accent Chest</t>
  </si>
  <si>
    <t>2/15/2022</t>
  </si>
  <si>
    <t>CSNSTORES,HOUZZ,OLLIIX</t>
  </si>
  <si>
    <t>39669208-000-000</t>
  </si>
  <si>
    <t>3/7/2022</t>
  </si>
  <si>
    <t>6/13/2023</t>
  </si>
  <si>
    <t>II150-0153</t>
  </si>
  <si>
    <t>8-Light Metal Chandelier with Globe Bulbs</t>
  </si>
  <si>
    <t>Gold/Clear</t>
  </si>
  <si>
    <t>2/1/2024</t>
  </si>
  <si>
    <t>43652589-000-000</t>
  </si>
  <si>
    <t>3/4/2024</t>
  </si>
  <si>
    <t>CCA70-0021</t>
  </si>
  <si>
    <t>Calistoga</t>
  </si>
  <si>
    <t>Matelasse Shower Curtain</t>
  </si>
  <si>
    <t>One Size</t>
  </si>
  <si>
    <t>9/28/2022</t>
  </si>
  <si>
    <t>42057694-000-000</t>
  </si>
  <si>
    <t>10/13/2023</t>
  </si>
  <si>
    <t>CCA12-0005</t>
  </si>
  <si>
    <t>Callista</t>
  </si>
  <si>
    <t>10/20/2022</t>
  </si>
  <si>
    <t>CSNSTORES,DLCROSCILL,MACY02</t>
  </si>
  <si>
    <t>42062615-000-001</t>
  </si>
  <si>
    <t>CCA12-0006</t>
  </si>
  <si>
    <t>42062615-000-000</t>
  </si>
  <si>
    <t>11/13/2023</t>
  </si>
  <si>
    <t>UH10-2348</t>
  </si>
  <si>
    <t>Calum</t>
  </si>
  <si>
    <t>Charlie</t>
  </si>
  <si>
    <t>Corey</t>
  </si>
  <si>
    <t>Cotton Jacquard Comforter Set</t>
  </si>
  <si>
    <t>PP001337;PF005185</t>
  </si>
  <si>
    <t>BBBDROP,CSNSTORES,HDDS,JCPENNEY01,KOHLDSN,MACY02,NRTPORT,OLLIIX,TGTDVS</t>
  </si>
  <si>
    <t>34332643-000-008</t>
  </si>
  <si>
    <t>9/14/2020</t>
  </si>
  <si>
    <t>MP103-1233</t>
  </si>
  <si>
    <t>Gayla</t>
  </si>
  <si>
    <t>Galva</t>
  </si>
  <si>
    <t>PF001099</t>
  </si>
  <si>
    <t>6/17/2021</t>
  </si>
  <si>
    <t>MP51-2598</t>
  </si>
  <si>
    <t>Filled Blanket</t>
  </si>
  <si>
    <t>Cambria</t>
  </si>
  <si>
    <t>Parkman</t>
  </si>
  <si>
    <t>Oversized Down Alternative Blanket with Satin Trim</t>
  </si>
  <si>
    <t>PF002155;PP000919</t>
  </si>
  <si>
    <t>AMAZON,AMAZONDS,CSNSTORES,JCPENNEY01,KOHLDSN,MACY02,TGTDVS</t>
  </si>
  <si>
    <t>18666104-000-000</t>
  </si>
  <si>
    <t>7/28/2016</t>
  </si>
  <si>
    <t>MT151-0067</t>
  </si>
  <si>
    <t>Camden</t>
  </si>
  <si>
    <t>4-Light Glass Bowl Shaped Chandelier</t>
  </si>
  <si>
    <t>40806913-000-000</t>
  </si>
  <si>
    <t>MP35-7570</t>
  </si>
  <si>
    <t>Camdyn</t>
  </si>
  <si>
    <t>Ellie</t>
  </si>
  <si>
    <t>Wendy</t>
  </si>
  <si>
    <t>Super Soft Polyester Shag Area Rug</t>
  </si>
  <si>
    <t>7/12/2021</t>
  </si>
  <si>
    <t>BIGLOTSDS</t>
  </si>
  <si>
    <t>38687418-000-002</t>
  </si>
  <si>
    <t>8/12/2021</t>
  </si>
  <si>
    <t>MP35-7571</t>
  </si>
  <si>
    <t>BIGLOTSDS,OLLIIX</t>
  </si>
  <si>
    <t>38687418-000-006</t>
  </si>
  <si>
    <t>MP35-7568</t>
  </si>
  <si>
    <t>Scatter</t>
  </si>
  <si>
    <t>38687418-000-007</t>
  </si>
  <si>
    <t>MP35-7573</t>
  </si>
  <si>
    <t>4x6'</t>
  </si>
  <si>
    <t>38687418-000-003</t>
  </si>
  <si>
    <t>MP35-7574</t>
  </si>
  <si>
    <t>38687418-000-001</t>
  </si>
  <si>
    <t>MP35-7575</t>
  </si>
  <si>
    <t>AMAZON,BIGLOTSDS,JCPENNEY01</t>
  </si>
  <si>
    <t>38687418-000-000</t>
  </si>
  <si>
    <t>MP35-7572</t>
  </si>
  <si>
    <t>JCPENNEY01,KOHLDSN</t>
  </si>
  <si>
    <t>38687418-000-005</t>
  </si>
  <si>
    <t>ID10-2170</t>
  </si>
  <si>
    <t>Camila</t>
  </si>
  <si>
    <t>Zoe</t>
  </si>
  <si>
    <t>Isla</t>
  </si>
  <si>
    <t>Reversible Comforter Set</t>
  </si>
  <si>
    <t>Black/White</t>
  </si>
  <si>
    <t>PF005814</t>
  </si>
  <si>
    <t>Global</t>
  </si>
  <si>
    <t>Casual|Global Inspired</t>
  </si>
  <si>
    <t>10/11/2022</t>
  </si>
  <si>
    <t>AMAZONDS,MACY02</t>
  </si>
  <si>
    <t>40655568-000-001</t>
  </si>
  <si>
    <t>ID13-2174</t>
  </si>
  <si>
    <t>Reversible Quilt Set</t>
  </si>
  <si>
    <t>40656107-000-000</t>
  </si>
  <si>
    <t>5/30/2023</t>
  </si>
  <si>
    <t>ID12-2172</t>
  </si>
  <si>
    <t>Reversible Duvet Cover Set</t>
  </si>
  <si>
    <t>40656124-000-000</t>
  </si>
  <si>
    <t>11/5/2023</t>
  </si>
  <si>
    <t>ID10-2171</t>
  </si>
  <si>
    <t>AMAZONDS,KOHLDSN</t>
  </si>
  <si>
    <t>40655568-000-000</t>
  </si>
  <si>
    <t>9/10/2023</t>
  </si>
  <si>
    <t>ID13-2175</t>
  </si>
  <si>
    <t>40656107-000-001</t>
  </si>
  <si>
    <t>ID12-2173</t>
  </si>
  <si>
    <t>40656124-000-001</t>
  </si>
  <si>
    <t>SS40-0010</t>
  </si>
  <si>
    <t>Camille</t>
  </si>
  <si>
    <t>Tindra</t>
  </si>
  <si>
    <t>Jacquard Printed Room Darkening Curtain Panel</t>
  </si>
  <si>
    <t>PF003941;PP001627</t>
  </si>
  <si>
    <t>Room Darkening</t>
  </si>
  <si>
    <t>8/25/2017</t>
  </si>
  <si>
    <t>ASHFURNDS,CSNSTORES,JCPENNEY01,KOHLDSN,OLLIIX,TGTDVS</t>
  </si>
  <si>
    <t>23909104-000-001</t>
  </si>
  <si>
    <t>9/4/2017</t>
  </si>
  <si>
    <t>CHM30-0013</t>
  </si>
  <si>
    <t>Croscill Home</t>
  </si>
  <si>
    <t>Canova</t>
  </si>
  <si>
    <t>12x24"</t>
  </si>
  <si>
    <t>42067839-000-000</t>
  </si>
  <si>
    <t>MP103-1226</t>
  </si>
  <si>
    <t>Capstone</t>
  </si>
  <si>
    <t>Wilmette</t>
  </si>
  <si>
    <t>Milton</t>
  </si>
  <si>
    <t>Tufted Barrel Swivel Chair</t>
  </si>
  <si>
    <t>6/16/2024</t>
  </si>
  <si>
    <t>CSNSTORES,KIRKLANDDS,OLLIIX,TGTDVS</t>
  </si>
  <si>
    <t>22701323-000-002</t>
  </si>
  <si>
    <t>8/31/2023</t>
  </si>
  <si>
    <t>MP103-1077</t>
  </si>
  <si>
    <t>4/27/2021</t>
  </si>
  <si>
    <t>5/12/2024</t>
  </si>
  <si>
    <t>22701323-000-001</t>
  </si>
  <si>
    <t>5/3/2021</t>
  </si>
  <si>
    <t>II30-221</t>
  </si>
  <si>
    <t>Cario</t>
  </si>
  <si>
    <t>Embroidered Square Pillow</t>
  </si>
  <si>
    <t>PF003342;PP000371;PP000454;PP000478</t>
  </si>
  <si>
    <t>AMAZON,AMAZONDS,BBBDROP,BEALLSDS,KOHLDSN,MACY02</t>
  </si>
  <si>
    <t>17160777-000-000</t>
  </si>
  <si>
    <t>4/15/2015</t>
  </si>
  <si>
    <t>MPS10-499</t>
  </si>
  <si>
    <t>Carmel</t>
  </si>
  <si>
    <t>9 Piece Oversized Jacquard Comforter Set with Euro Shams and Throw Pillows</t>
  </si>
  <si>
    <t>Natural/Beige</t>
  </si>
  <si>
    <t>PF005937;PP001855</t>
  </si>
  <si>
    <t>9</t>
  </si>
  <si>
    <t>4/28/2023</t>
  </si>
  <si>
    <t>41480278-000-001</t>
  </si>
  <si>
    <t>5/4/2023</t>
  </si>
  <si>
    <t>5/10/2023</t>
  </si>
  <si>
    <t>MT120-1189</t>
  </si>
  <si>
    <t>Round Coffee Table with Interchangeable Wood and Glass Top</t>
  </si>
  <si>
    <t>HOUZZ,LAMPDS,TGTDVS</t>
  </si>
  <si>
    <t>40366098-000-000</t>
  </si>
  <si>
    <t>9/5/2022</t>
  </si>
  <si>
    <t>1/17/2024</t>
  </si>
  <si>
    <t>MP104-1261</t>
  </si>
  <si>
    <t>Carson</t>
  </si>
  <si>
    <t>Fillmore</t>
  </si>
  <si>
    <t>Troy</t>
  </si>
  <si>
    <t>Counter Stool with Swivel Seat Set of 2</t>
  </si>
  <si>
    <t>PP000620</t>
  </si>
  <si>
    <t>1/17/2018</t>
  </si>
  <si>
    <t>MP108-1264</t>
  </si>
  <si>
    <t>Upholstered Wingback Dining Chair Set of 2</t>
  </si>
  <si>
    <t>5/20/2024</t>
  </si>
  <si>
    <t>MP104-1262</t>
  </si>
  <si>
    <t>12/9/2019</t>
  </si>
  <si>
    <t>MP108-1265</t>
  </si>
  <si>
    <t>5/13/2024</t>
  </si>
  <si>
    <t>MP108-1266</t>
  </si>
  <si>
    <t>Light Sage Green</t>
  </si>
  <si>
    <t>12/4/2022</t>
  </si>
  <si>
    <t>MP104-1263</t>
  </si>
  <si>
    <t>MP51-8426</t>
  </si>
  <si>
    <t>Carved Plush</t>
  </si>
  <si>
    <t>PP001953;PF006224</t>
  </si>
  <si>
    <t>43785953-000-003</t>
  </si>
  <si>
    <t>MP51-8427</t>
  </si>
  <si>
    <t>3/30/2024</t>
  </si>
  <si>
    <t>43785953-000-006</t>
  </si>
  <si>
    <t>MP51-8428</t>
  </si>
  <si>
    <t>43785953-000-011</t>
  </si>
  <si>
    <t>MP51-8423</t>
  </si>
  <si>
    <t>PP001953;PF006223</t>
  </si>
  <si>
    <t>43785953-000-013</t>
  </si>
  <si>
    <t>MP51-8424</t>
  </si>
  <si>
    <t>43785953-000-001</t>
  </si>
  <si>
    <t>MP51-8425</t>
  </si>
  <si>
    <t>43785953-000-008</t>
  </si>
  <si>
    <t>MP51-8417</t>
  </si>
  <si>
    <t>PP001953;PF006221</t>
  </si>
  <si>
    <t>43785953-000-012</t>
  </si>
  <si>
    <t>MP51-8418</t>
  </si>
  <si>
    <t>43785953-000-010</t>
  </si>
  <si>
    <t>MP51-8419</t>
  </si>
  <si>
    <t>43785953-000-004</t>
  </si>
  <si>
    <t>MP51-8420</t>
  </si>
  <si>
    <t>PP001953;PF006222</t>
  </si>
  <si>
    <t>43785953-000-009</t>
  </si>
  <si>
    <t>MP51-8421</t>
  </si>
  <si>
    <t>43785953-000-000</t>
  </si>
  <si>
    <t>MP51-8422</t>
  </si>
  <si>
    <t>43785953-000-014</t>
  </si>
  <si>
    <t>MP51-8414</t>
  </si>
  <si>
    <t>PP001953;PF006220</t>
  </si>
  <si>
    <t>43785953-000-007</t>
  </si>
  <si>
    <t>MP51-8415</t>
  </si>
  <si>
    <t>43785953-000-005</t>
  </si>
  <si>
    <t>MP51-8416</t>
  </si>
  <si>
    <t>43785953-000-002</t>
  </si>
  <si>
    <t>MP130-1210</t>
  </si>
  <si>
    <t>Cabinet</t>
  </si>
  <si>
    <t>Casey</t>
  </si>
  <si>
    <t>Angelina</t>
  </si>
  <si>
    <t>Accent Cabinet with 2 Mirror Doors</t>
  </si>
  <si>
    <t>40873952-000-000</t>
  </si>
  <si>
    <t>12/14/2022</t>
  </si>
  <si>
    <t>12/29/2022</t>
  </si>
  <si>
    <t>MP95C-0297</t>
  </si>
  <si>
    <t>Cassia</t>
  </si>
  <si>
    <t>Embellished Floral 2-piece Canvas Wall Art Set</t>
  </si>
  <si>
    <t>PP001774</t>
  </si>
  <si>
    <t>4/12/2022</t>
  </si>
  <si>
    <t>AMAZONDS,CSNSTORES,JCPENNEY01,KOHLDSN,LAMPDS,OLLIIX,TGTDVS,ZOLA</t>
  </si>
  <si>
    <t>39841033-000-000</t>
  </si>
  <si>
    <t>4/15/2022</t>
  </si>
  <si>
    <t>10/19/2022</t>
  </si>
  <si>
    <t>ID12-2358</t>
  </si>
  <si>
    <t>Cassie</t>
  </si>
  <si>
    <t>Bridget</t>
  </si>
  <si>
    <t>Rachel</t>
  </si>
  <si>
    <t>Ombre Shaggy Faux Fur Duvet Cover Set</t>
  </si>
  <si>
    <t>Blush Multi</t>
  </si>
  <si>
    <t>PF005946;PP001917</t>
  </si>
  <si>
    <t>5/23/2024</t>
  </si>
  <si>
    <t>43794265-000-001</t>
  </si>
  <si>
    <t>4/3/2024</t>
  </si>
  <si>
    <t>ID12-2359</t>
  </si>
  <si>
    <t>43794265-000-002</t>
  </si>
  <si>
    <t>ID10-2357</t>
  </si>
  <si>
    <t>Ombre Shaggy Faux Fur Comforter Set</t>
  </si>
  <si>
    <t>BLK01,HDDS</t>
  </si>
  <si>
    <t>41294106-000-013</t>
  </si>
  <si>
    <t>ID12-2360</t>
  </si>
  <si>
    <t>43794265-000-000</t>
  </si>
  <si>
    <t>ID12-2262</t>
  </si>
  <si>
    <t>Cassiopeia</t>
  </si>
  <si>
    <t>Karissa</t>
  </si>
  <si>
    <t>Lisa</t>
  </si>
  <si>
    <t>Watercolor Tie Dye Printed Duvet Cover Set with Throw Pillow</t>
  </si>
  <si>
    <t>PF005394;PP001904</t>
  </si>
  <si>
    <t>AMAZON,CSNSTORES,JCPENNEY01</t>
  </si>
  <si>
    <t>38019805-000-005</t>
  </si>
  <si>
    <t>ID10-2385</t>
  </si>
  <si>
    <t>Watercolor Tie Dye Printed Comforter Set with Throw Pillow</t>
  </si>
  <si>
    <t>PP001904;PF006265</t>
  </si>
  <si>
    <t>6/17/2024</t>
  </si>
  <si>
    <t>ID12-2388</t>
  </si>
  <si>
    <t>ID10-2386</t>
  </si>
  <si>
    <t>ID12-2389</t>
  </si>
  <si>
    <t>ID10-2387</t>
  </si>
  <si>
    <t>ID12-2390</t>
  </si>
  <si>
    <t>ID10-2256</t>
  </si>
  <si>
    <t>Lavender</t>
  </si>
  <si>
    <t>PP001904;PF006071</t>
  </si>
  <si>
    <t>AMAZON,CSNSTORES,HDDS,JCPENNEY01,KOHLDSN,NRTPORT,TGTDVS</t>
  </si>
  <si>
    <t>37999199-000-003</t>
  </si>
  <si>
    <t>9/25/2023</t>
  </si>
  <si>
    <t>ID10-2257</t>
  </si>
  <si>
    <t>AMAZON,CSNSTORES,KOHLDSN,TGTDVS</t>
  </si>
  <si>
    <t>37999199-000-002</t>
  </si>
  <si>
    <t>SS40-0234</t>
  </si>
  <si>
    <t>Cassius</t>
  </si>
  <si>
    <t>Odessa</t>
  </si>
  <si>
    <t>Aurora</t>
  </si>
  <si>
    <t>Jacquard Lined Total Blackout Rod Pocket/Back Tab Curtain Panel</t>
  </si>
  <si>
    <t>PP001040;PF005830</t>
  </si>
  <si>
    <t>CSNSTORES,JCPENNEY01,KOHLDSN,OLLIIX</t>
  </si>
  <si>
    <t>24130527-000-009</t>
  </si>
  <si>
    <t>5/16/2023</t>
  </si>
  <si>
    <t>SS40-0235</t>
  </si>
  <si>
    <t>24130527-000-010</t>
  </si>
  <si>
    <t>SS41-0236</t>
  </si>
  <si>
    <t>VALANCE</t>
  </si>
  <si>
    <t>Valance</t>
  </si>
  <si>
    <t>Marble Jacquard Rod Pocket Valance Embellished Trim</t>
  </si>
  <si>
    <t>46x38"</t>
  </si>
  <si>
    <t>24130525-000-003</t>
  </si>
  <si>
    <t>MP40-8257</t>
  </si>
  <si>
    <t>Cecily</t>
  </si>
  <si>
    <t>Vera</t>
  </si>
  <si>
    <t>Rosalie</t>
  </si>
  <si>
    <t>Burnout Printed Curtain Panel Pair</t>
  </si>
  <si>
    <t>2-PK 50x84"</t>
  </si>
  <si>
    <t>PP001360;PF005422</t>
  </si>
  <si>
    <t>5/28/2024</t>
  </si>
  <si>
    <t>23119294-000-008</t>
  </si>
  <si>
    <t>11/1/2023</t>
  </si>
  <si>
    <t>MZK10-271</t>
  </si>
  <si>
    <t>Mi Zone Kids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</si>
  <si>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</si>
  <si>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</si>
  <si>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</si>
  <si>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</si>
  <si>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</si>
  <si>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</si>
  <si>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</si>
  <si>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38070768-000-003</t>
  </si>
  <si>
    <t>3/1/2024</t>
  </si>
  <si>
    <t>MZK10-272</t>
  </si>
  <si>
    <t>BLK01</t>
  </si>
  <si>
    <t>38070768-000-002</t>
  </si>
  <si>
    <t>MPE10-381</t>
  </si>
  <si>
    <t>BIAB</t>
  </si>
  <si>
    <t>Central Park</t>
  </si>
  <si>
    <t>Pelham Bay</t>
  </si>
  <si>
    <t>Prospect Park</t>
  </si>
  <si>
    <t>7 Piece Comforter Set with Cotton Bed Sheets</t>
  </si>
  <si>
    <t>Coral/Green</t>
  </si>
  <si>
    <t>PF003697</t>
  </si>
  <si>
    <t>AMAZON,BBBDROP,BLK01,CSNSTORES,MACY02,TGTDVS,WALMARTDS</t>
  </si>
  <si>
    <t>20941193-000-000</t>
  </si>
  <si>
    <t>2/14/2017</t>
  </si>
  <si>
    <t>MP35-8115</t>
  </si>
  <si>
    <t>Chadwick</t>
  </si>
  <si>
    <t>Earl</t>
  </si>
  <si>
    <t>Larry</t>
  </si>
  <si>
    <t>Distressed Vintage Persian Woven Area Rug</t>
  </si>
  <si>
    <t>PP001801;PF005789</t>
  </si>
  <si>
    <t>BIGLOTSDS,KIRKLANDDS,KOHLDSN</t>
  </si>
  <si>
    <t>40689047-000-001</t>
  </si>
  <si>
    <t>MP35-8065</t>
  </si>
  <si>
    <t>40689047-000-002</t>
  </si>
  <si>
    <t>MP35-8066</t>
  </si>
  <si>
    <t>HDDS</t>
  </si>
  <si>
    <t>40689047-000-000</t>
  </si>
  <si>
    <t>MP35-8067</t>
  </si>
  <si>
    <t>NRTPORT,OLLIIX</t>
  </si>
  <si>
    <t>40689047-000-003</t>
  </si>
  <si>
    <t>MP108-1244</t>
  </si>
  <si>
    <t>Hamilton</t>
  </si>
  <si>
    <t>Skirted Dining Arm Chair with Casters</t>
  </si>
  <si>
    <t>40538850-000-001</t>
  </si>
  <si>
    <t>MP108-1243</t>
  </si>
  <si>
    <t>MP35-7184</t>
  </si>
  <si>
    <t>Sophia</t>
  </si>
  <si>
    <t>Jacqueline</t>
  </si>
  <si>
    <t>Terni Geo Indoor Area Rug</t>
  </si>
  <si>
    <t>36356728-000-000</t>
  </si>
  <si>
    <t>10/8/2020</t>
  </si>
  <si>
    <t>MT154-0065</t>
  </si>
  <si>
    <t>Charlton</t>
  </si>
  <si>
    <t>Metal Floor Lamp with Glass Cylinder Shade</t>
  </si>
  <si>
    <t>40804273-000-000</t>
  </si>
  <si>
    <t>11/22/2022</t>
  </si>
  <si>
    <t>MP50-8237</t>
  </si>
  <si>
    <t>Chenille Chunky Knit</t>
  </si>
  <si>
    <t>PP001875;PF005975</t>
  </si>
  <si>
    <t>7/24/2023</t>
  </si>
  <si>
    <t>KOHLDSN,MACY02,OLLIIX,TGTDVS</t>
  </si>
  <si>
    <t>38792796-000-006</t>
  </si>
  <si>
    <t>9/19/2023</t>
  </si>
  <si>
    <t>MP50-8239</t>
  </si>
  <si>
    <t>Sage Green</t>
  </si>
  <si>
    <t>PP001875;PF005977</t>
  </si>
  <si>
    <t>BLK01,CSNSTORES,JCPENNEY01,KOHLDSN,MACY02,OLLIIX,TGTDVS</t>
  </si>
  <si>
    <t>38792796-000-004</t>
  </si>
  <si>
    <t>9/3/2023</t>
  </si>
  <si>
    <t>ID20-290</t>
  </si>
  <si>
    <t>Chevron</t>
  </si>
  <si>
    <t>Printed Microfiber Sheet Set</t>
  </si>
  <si>
    <t>PF001576</t>
  </si>
  <si>
    <t>AMAZONDS,CSNSTORES,JCPENNEY01,KOHLDSN,TGTDVS,WALMARTDS</t>
  </si>
  <si>
    <t>17218050-000-005</t>
  </si>
  <si>
    <t>4/16/2015</t>
  </si>
  <si>
    <t>ID20-295</t>
  </si>
  <si>
    <t>PF001577</t>
  </si>
  <si>
    <t>AMAZONDS,BEALLSDS,CSNSTORES,HSNDS,JCPENNEY01,KOHLDSN,OLLIIX</t>
  </si>
  <si>
    <t>17218050-000-010</t>
  </si>
  <si>
    <t>4/30/2015</t>
  </si>
  <si>
    <t>ID20-285</t>
  </si>
  <si>
    <t>PF001574</t>
  </si>
  <si>
    <t>BEALLSDS,CSNSTORES,KOHLDSN,OLLIIX</t>
  </si>
  <si>
    <t>17218050-000-000</t>
  </si>
  <si>
    <t>ID20-287</t>
  </si>
  <si>
    <t>AMAZON,BEALLSDS,CSNSTORES,HSNDS,JCPENNEY01,KOHLDSN,WALMARTDS</t>
  </si>
  <si>
    <t>17218050-000-002</t>
  </si>
  <si>
    <t>5DS153-0053</t>
  </si>
  <si>
    <t>Chique</t>
  </si>
  <si>
    <t>Accent Table Lamp</t>
  </si>
  <si>
    <t>ID10-2326</t>
  </si>
  <si>
    <t>Christa</t>
  </si>
  <si>
    <t>Kaia</t>
  </si>
  <si>
    <t>Lena</t>
  </si>
  <si>
    <t>Floral Striped Comforter Set</t>
  </si>
  <si>
    <t>PF006201</t>
  </si>
  <si>
    <t>43787444-000-000</t>
  </si>
  <si>
    <t>ID12-2328</t>
  </si>
  <si>
    <t>Floral Striped Duvet Cover Set</t>
  </si>
  <si>
    <t>43794270-000-000</t>
  </si>
  <si>
    <t>ID10-2327</t>
  </si>
  <si>
    <t>43787444-000-001</t>
  </si>
  <si>
    <t>ID12-2329</t>
  </si>
  <si>
    <t>43794270-000-001</t>
  </si>
  <si>
    <t>MT103-1208</t>
  </si>
  <si>
    <t>Christian</t>
  </si>
  <si>
    <t>Swivel Armchair</t>
  </si>
  <si>
    <t>41947431-000-001</t>
  </si>
  <si>
    <t>MP103-1111</t>
  </si>
  <si>
    <t>Circa</t>
  </si>
  <si>
    <t>Emerson</t>
  </si>
  <si>
    <t>Chloe</t>
  </si>
  <si>
    <t>Upholstered Swivel Chair</t>
  </si>
  <si>
    <t>HOUZZ,MACY02F</t>
  </si>
  <si>
    <t>39582783-000-000</t>
  </si>
  <si>
    <t>FPF17-0183</t>
  </si>
  <si>
    <t>Cirque</t>
  </si>
  <si>
    <t>Wells</t>
  </si>
  <si>
    <t>Dining Table with Metal Legs</t>
  </si>
  <si>
    <t>PF000538;PP000121</t>
  </si>
  <si>
    <t>18298380-000-000</t>
  </si>
  <si>
    <t>3/25/2016</t>
  </si>
  <si>
    <t>MP104-0037</t>
  </si>
  <si>
    <t>Counter Stool Set of 2</t>
  </si>
  <si>
    <t>PF000284;PP000121</t>
  </si>
  <si>
    <t>CSNSTORES,KOHLDSN,LAMPDS,OLLIIX,ROOMECOM,TGTDVS</t>
  </si>
  <si>
    <t>22279966-000-000</t>
  </si>
  <si>
    <t>MP108-1055</t>
  </si>
  <si>
    <t>Dining Chair Set of 2</t>
  </si>
  <si>
    <t>11/13/2020</t>
  </si>
  <si>
    <t>18078888-000-001</t>
  </si>
  <si>
    <t>12/4/2020</t>
  </si>
  <si>
    <t>FPF18-0187</t>
  </si>
  <si>
    <t>PF000006;PP000121</t>
  </si>
  <si>
    <t>7/7/2024</t>
  </si>
  <si>
    <t>18195352-000-000</t>
  </si>
  <si>
    <t>2/25/2016</t>
  </si>
  <si>
    <t>MP50-7692</t>
  </si>
  <si>
    <t>Claire</t>
  </si>
  <si>
    <t>Jane</t>
  </si>
  <si>
    <t>Luxury Basketweave Faux Fur Throw</t>
  </si>
  <si>
    <t>PP001679;PF005578</t>
  </si>
  <si>
    <t>38965275-000-001</t>
  </si>
  <si>
    <t>10/13/2021</t>
  </si>
  <si>
    <t>11/30/2022</t>
  </si>
  <si>
    <t>FPF20-0399</t>
  </si>
  <si>
    <t>Bar Stool</t>
  </si>
  <si>
    <t>Cleo</t>
  </si>
  <si>
    <t>Islia</t>
  </si>
  <si>
    <t>PF000052;PP000123</t>
  </si>
  <si>
    <t>CASTLEGATE,OLLIIX</t>
  </si>
  <si>
    <t>18195300-000-000</t>
  </si>
  <si>
    <t>CCL11-0024</t>
  </si>
  <si>
    <t>BED SKIRT&amp;SHAM</t>
  </si>
  <si>
    <t>Bed Skirt&amp;Sham</t>
  </si>
  <si>
    <t>Clermont</t>
  </si>
  <si>
    <t>European Pillow Sham</t>
  </si>
  <si>
    <t>42067463-000-000</t>
  </si>
  <si>
    <t>11/27/2023</t>
  </si>
  <si>
    <t>CCL11-0025</t>
  </si>
  <si>
    <t>42067463-000-001</t>
  </si>
  <si>
    <t>CCL11-0023</t>
  </si>
  <si>
    <t>42067463-000-003</t>
  </si>
  <si>
    <t>CCL11-0022</t>
  </si>
  <si>
    <t>42067463-000-002</t>
  </si>
  <si>
    <t>HH12-1546</t>
  </si>
  <si>
    <t>Coastline</t>
  </si>
  <si>
    <t>5 Piece Duvet Set</t>
  </si>
  <si>
    <t>PF003318</t>
  </si>
  <si>
    <t>CSNSTORES,DESINC,JCPENNEY01,KOHLDSN,OLLIIX</t>
  </si>
  <si>
    <t>18932342-000-001</t>
  </si>
  <si>
    <t>7/11/2016</t>
  </si>
  <si>
    <t>ID10-2199</t>
  </si>
  <si>
    <t>Cobi</t>
  </si>
  <si>
    <t>Miles</t>
  </si>
  <si>
    <t>Striped Reversible Comforter set</t>
  </si>
  <si>
    <t>PF005610</t>
  </si>
  <si>
    <t>12/9/2022</t>
  </si>
  <si>
    <t>39053022-000-002</t>
  </si>
  <si>
    <t>NS12-3660</t>
  </si>
  <si>
    <t>N Natori</t>
  </si>
  <si>
    <t>Cocoon</t>
  </si>
  <si>
    <t>3 Piece Quilt Top Duvet Cover Mini Set</t>
  </si>
  <si>
    <t>PP001696;PF005608</t>
  </si>
  <si>
    <t>11/2/2021</t>
  </si>
  <si>
    <t>AMAZON,CSNSTORES,KOHLDSN,MACY02,OLLIIX</t>
  </si>
  <si>
    <t>39081183-000-000</t>
  </si>
  <si>
    <t>11/10/2021</t>
  </si>
  <si>
    <t>4/19/2023</t>
  </si>
  <si>
    <t>NS10-3653</t>
  </si>
  <si>
    <t>3 Piece Quilt Top Comforter Mini Set</t>
  </si>
  <si>
    <t>PP001696;PF005609</t>
  </si>
  <si>
    <t>AMAZON,AMAZONDS,AMERSIGNDS,BBBDROP,CSNSTORES,JCPENNEY01,KOHLDSN,OLLIIX</t>
  </si>
  <si>
    <t>39081182-000-001</t>
  </si>
  <si>
    <t>11/22/2021</t>
  </si>
  <si>
    <t>NS11-3657</t>
  </si>
  <si>
    <t>Quilt Top Euro Sham</t>
  </si>
  <si>
    <t>Euro Sham</t>
  </si>
  <si>
    <t>AMAZONDS,CSNSTORES,KOHLDSN,MACY02,OLLIIX</t>
  </si>
  <si>
    <t>39072237-000-001</t>
  </si>
  <si>
    <t>MP51-8192</t>
  </si>
  <si>
    <t>Coleman</t>
  </si>
  <si>
    <t>Campbell</t>
  </si>
  <si>
    <t>Reversible HeiQ Smart Temperature Down Alternative Blanket</t>
  </si>
  <si>
    <t>PP001231;PF005947</t>
  </si>
  <si>
    <t>AMAZON,JCPENNEY01,KOHLDSN,MACY02,NRTPORT,TGTDVS</t>
  </si>
  <si>
    <t>33738174-000-023</t>
  </si>
  <si>
    <t>6/16/2023</t>
  </si>
  <si>
    <t>MP103-1217</t>
  </si>
  <si>
    <t>Sierra</t>
  </si>
  <si>
    <t>Glenroy</t>
  </si>
  <si>
    <t>Upholstered Manual Push Back Recliner</t>
  </si>
  <si>
    <t>2/27/2023</t>
  </si>
  <si>
    <t>41141642-000-000</t>
  </si>
  <si>
    <t>3/2/2023</t>
  </si>
  <si>
    <t>MP100-1235</t>
  </si>
  <si>
    <t>Halford</t>
  </si>
  <si>
    <t>Donner</t>
  </si>
  <si>
    <t>Accent Chair Set of 2</t>
  </si>
  <si>
    <t>PP000344</t>
  </si>
  <si>
    <t>4/15/2021</t>
  </si>
  <si>
    <t>41353963-000-000</t>
  </si>
  <si>
    <t>6/27/2023</t>
  </si>
  <si>
    <t>MP104-0060</t>
  </si>
  <si>
    <t>Colfax</t>
  </si>
  <si>
    <t>Weldon</t>
  </si>
  <si>
    <t>Lorsted</t>
  </si>
  <si>
    <t>30-Inch Bar Stool</t>
  </si>
  <si>
    <t>PF000303;PP000127</t>
  </si>
  <si>
    <t>20549821-000-000</t>
  </si>
  <si>
    <t>2/23/2017</t>
  </si>
  <si>
    <t>FPF20-0547</t>
  </si>
  <si>
    <t>Dining Chair (Set of 2)</t>
  </si>
  <si>
    <t>PF000075;PP000127</t>
  </si>
  <si>
    <t>5/9/2017</t>
  </si>
  <si>
    <t>4/19/2024</t>
  </si>
  <si>
    <t>JCPENNEY01,KOHLDSN,LAMPDS,MACY02F,ROOMECOM</t>
  </si>
  <si>
    <t>18938202-000-000</t>
  </si>
  <si>
    <t>MP104-0061</t>
  </si>
  <si>
    <t>PF000304;PP000127</t>
  </si>
  <si>
    <t>CSNSTORES,MACY02F</t>
  </si>
  <si>
    <t>20550198-000-000</t>
  </si>
  <si>
    <t>5DS40-0227</t>
  </si>
  <si>
    <t>Colt</t>
  </si>
  <si>
    <t>Garett</t>
  </si>
  <si>
    <t>Bryce</t>
  </si>
  <si>
    <t>Room Darkening Metallic Printed Poly Velvet Rod Pocket/Back Tab Window Panel Pair</t>
  </si>
  <si>
    <t>37x63"</t>
  </si>
  <si>
    <t>PP000910;PF005231</t>
  </si>
  <si>
    <t>Velvet</t>
  </si>
  <si>
    <t>10/7/2020</t>
  </si>
  <si>
    <t>28110688-000-015</t>
  </si>
  <si>
    <t>12/29/2020</t>
  </si>
  <si>
    <t>5DS40-0283</t>
  </si>
  <si>
    <t>37x84"</t>
  </si>
  <si>
    <t>PP000910;PF006007</t>
  </si>
  <si>
    <t>28110688-000-024</t>
  </si>
  <si>
    <t>6/26/2023</t>
  </si>
  <si>
    <t>5DS40-0284</t>
  </si>
  <si>
    <t>37x95"</t>
  </si>
  <si>
    <t>PP000910;PF006008</t>
  </si>
  <si>
    <t>CSNSTORES,DESINC,OLLIIX</t>
  </si>
  <si>
    <t>28110688-000-025</t>
  </si>
  <si>
    <t>9/12/2023</t>
  </si>
  <si>
    <t>5DS40-0287</t>
  </si>
  <si>
    <t>Grey/Copper</t>
  </si>
  <si>
    <t>PP000910;PF006132</t>
  </si>
  <si>
    <t>5DS40-0288</t>
  </si>
  <si>
    <t>5DS40-0151</t>
  </si>
  <si>
    <t>PP000910;PF004315</t>
  </si>
  <si>
    <t>7/10/2018</t>
  </si>
  <si>
    <t>28110688-000-011</t>
  </si>
  <si>
    <t>7/9/2018</t>
  </si>
  <si>
    <t>7/30/2018</t>
  </si>
  <si>
    <t>5DS40-0152</t>
  </si>
  <si>
    <t>28110688-000-005</t>
  </si>
  <si>
    <t>7/17/2018</t>
  </si>
  <si>
    <t>5DS40-0155</t>
  </si>
  <si>
    <t>CSNSTORES,JCPENNEY01,KOHLDSN,TGTDVS</t>
  </si>
  <si>
    <t>28110688-000-008</t>
  </si>
  <si>
    <t>5/30/2019</t>
  </si>
  <si>
    <t>5DS40-0160</t>
  </si>
  <si>
    <t>PP000910;PF004318</t>
  </si>
  <si>
    <t>BBBDROP,CSNSTORES,TGTDVS</t>
  </si>
  <si>
    <t>28110688-000-012</t>
  </si>
  <si>
    <t>9/12/2018</t>
  </si>
  <si>
    <t>5DS40-0285</t>
  </si>
  <si>
    <t>White/Gold</t>
  </si>
  <si>
    <t>PP000910;PF006131</t>
  </si>
  <si>
    <t>5DS40-0286</t>
  </si>
  <si>
    <t>FMY011JBH</t>
  </si>
  <si>
    <t>Colton</t>
  </si>
  <si>
    <t>Robin</t>
  </si>
  <si>
    <t>Track Arm Club Chair</t>
  </si>
  <si>
    <t>PF000577;PP000128</t>
  </si>
  <si>
    <t>AMAZONDS,AMERSIGNDS,ASHFURNDS,CASTLEGATE,CSNSTORES,MACY02F,OLLIIX,ROOMECOM</t>
  </si>
  <si>
    <t>17880180-000-000</t>
  </si>
  <si>
    <t>11/30/2015</t>
  </si>
  <si>
    <t>FPF18-0160</t>
  </si>
  <si>
    <t>PF000621;PP000128</t>
  </si>
  <si>
    <t>AMERSIGNDS,ASHFURNDS,CASTLEGATE,CSNSTORES,LAMPDS,MACY02F,OLLIIX,ROOMECOM</t>
  </si>
  <si>
    <t>17880187-000-000</t>
  </si>
  <si>
    <t>11/21/2015</t>
  </si>
  <si>
    <t>5060SND</t>
  </si>
  <si>
    <t>PF000571;PP000128</t>
  </si>
  <si>
    <t>6/12/2024</t>
  </si>
  <si>
    <t>CASTLEGATE,CSNSTORES,KOHLDSN,MACY02F,OLLIIX,ROOMECOM</t>
  </si>
  <si>
    <t>17880183-000-000</t>
  </si>
  <si>
    <t>1/7/2016</t>
  </si>
  <si>
    <t>UH20-2466</t>
  </si>
  <si>
    <t>Comfort Cool Jersey Knit</t>
  </si>
  <si>
    <t>Nylon Blend Sheet Set</t>
  </si>
  <si>
    <t>PP001859;PF005950</t>
  </si>
  <si>
    <t>Jersey</t>
  </si>
  <si>
    <t>4/18/2023</t>
  </si>
  <si>
    <t>41392078-000-007</t>
  </si>
  <si>
    <t>4/20/2023</t>
  </si>
  <si>
    <t>2/14/2024</t>
  </si>
  <si>
    <t>UH20-2468</t>
  </si>
  <si>
    <t>41392078-000-011</t>
  </si>
  <si>
    <t>UH20-2470</t>
  </si>
  <si>
    <t>AMAZON,BLK01,JCPENNEY01,MACY02,TGTDVS</t>
  </si>
  <si>
    <t>41392078-000-001</t>
  </si>
  <si>
    <t>UH20-2460</t>
  </si>
  <si>
    <t>PP001859;PF005949</t>
  </si>
  <si>
    <t>AMAZON,KOHLDSN,TGTDVS</t>
  </si>
  <si>
    <t>41392078-000-009</t>
  </si>
  <si>
    <t>6/25/2023</t>
  </si>
  <si>
    <t>UH20-2462</t>
  </si>
  <si>
    <t>41392078-000-008</t>
  </si>
  <si>
    <t>UH20-2454</t>
  </si>
  <si>
    <t>PP001859;PF005948</t>
  </si>
  <si>
    <t>41392078-000-003</t>
  </si>
  <si>
    <t>UH10-2503</t>
  </si>
  <si>
    <t>Oversized Down Alternative Comforter</t>
  </si>
  <si>
    <t>PP001912;PF006109</t>
  </si>
  <si>
    <t>12/5/2023</t>
  </si>
  <si>
    <t>6/18/2024</t>
  </si>
  <si>
    <t>43139341-000-004</t>
  </si>
  <si>
    <t>MP40-7928</t>
  </si>
  <si>
    <t>Roman Shade</t>
  </si>
  <si>
    <t>Como</t>
  </si>
  <si>
    <t>Leighton</t>
  </si>
  <si>
    <t>Aberdeen</t>
  </si>
  <si>
    <t>Printed Faux Silk Room Darkening Cordless Roman Shade</t>
  </si>
  <si>
    <t>27x64"</t>
  </si>
  <si>
    <t>PP001428;PF005323</t>
  </si>
  <si>
    <t>AMAZONDS,CSNSTORES,JCPENNEY01</t>
  </si>
  <si>
    <t>38024443-000-023</t>
  </si>
  <si>
    <t>MP40-7929</t>
  </si>
  <si>
    <t>31x64"</t>
  </si>
  <si>
    <t>AMAZONDS,CSNSTORES,KOHLDSN</t>
  </si>
  <si>
    <t>38024443-000-024</t>
  </si>
  <si>
    <t>5/15/2023</t>
  </si>
  <si>
    <t>MP40-7930</t>
  </si>
  <si>
    <t>33x64"</t>
  </si>
  <si>
    <t>AMAZONDS,JCPENNEY01</t>
  </si>
  <si>
    <t>38024443-000-020</t>
  </si>
  <si>
    <t>1/5/2023</t>
  </si>
  <si>
    <t>MP40-7932</t>
  </si>
  <si>
    <t>39x64"</t>
  </si>
  <si>
    <t>AMAZONDS,CSNSTORES,DESINC,JCPENNEY01</t>
  </si>
  <si>
    <t>38024443-000-022</t>
  </si>
  <si>
    <t>9/9/2022</t>
  </si>
  <si>
    <t>SS40-0232</t>
  </si>
  <si>
    <t>Tonal Printed Faux Silk Room Darkening Curtain Panel Pair</t>
  </si>
  <si>
    <t>42x95"</t>
  </si>
  <si>
    <t>PP001428;PF005726</t>
  </si>
  <si>
    <t>7/29/2022</t>
  </si>
  <si>
    <t>35381437-000-012</t>
  </si>
  <si>
    <t>8/1/2022</t>
  </si>
  <si>
    <t>MP40-7937</t>
  </si>
  <si>
    <t>7/7/2022</t>
  </si>
  <si>
    <t>38024443-000-015</t>
  </si>
  <si>
    <t>MP40-7938</t>
  </si>
  <si>
    <t>AMAZONDS,JCPENNEY01,KOHLDSN</t>
  </si>
  <si>
    <t>38024443-000-016</t>
  </si>
  <si>
    <t>12/29/2023</t>
  </si>
  <si>
    <t>MP40-7940</t>
  </si>
  <si>
    <t>35x64"</t>
  </si>
  <si>
    <t>AMAZONDS,DESINC,JCPENNEY01,KOHLDSN</t>
  </si>
  <si>
    <t>38024443-000-018</t>
  </si>
  <si>
    <t>11/16/2022</t>
  </si>
  <si>
    <t>MP40-7941</t>
  </si>
  <si>
    <t>AMAZONDS,CSNSTORES</t>
  </si>
  <si>
    <t>38024443-000-019</t>
  </si>
  <si>
    <t>MP40-7440</t>
  </si>
  <si>
    <t>PP001428;PF004984</t>
  </si>
  <si>
    <t>5/17/2021</t>
  </si>
  <si>
    <t>AMAZON,AMAZONDS,BBBDROP,HDDS,JCPENNEY01,MACY02,TGTDVS</t>
  </si>
  <si>
    <t>38024443-000-001</t>
  </si>
  <si>
    <t>5/15/2021</t>
  </si>
  <si>
    <t>7/21/2021</t>
  </si>
  <si>
    <t>MP40-7441</t>
  </si>
  <si>
    <t>38024443-000-009</t>
  </si>
  <si>
    <t>MP40-7442</t>
  </si>
  <si>
    <t>AMAZON,AMAZONDS,JCPENNEY01,OLLIIX,TGTDVS</t>
  </si>
  <si>
    <t>38024443-000-010</t>
  </si>
  <si>
    <t>7/26/2021</t>
  </si>
  <si>
    <t>MP40-7436</t>
  </si>
  <si>
    <t>PP001428;PF004982</t>
  </si>
  <si>
    <t>AMAZONDS,CSNSTORES,JCPENNEY01,TGTDVS</t>
  </si>
  <si>
    <t>38024443-000-003</t>
  </si>
  <si>
    <t>5/19/2021</t>
  </si>
  <si>
    <t>MP40-7439</t>
  </si>
  <si>
    <t>AMAZON,AMAZONDS,BBBDROP,CSNSTORES,JCPENNEY01,KOHLDSN,TGTDVS</t>
  </si>
  <si>
    <t>38024443-000-007</t>
  </si>
  <si>
    <t>6/3/2021</t>
  </si>
  <si>
    <t>MP40-7446</t>
  </si>
  <si>
    <t>PP001428;PF004983</t>
  </si>
  <si>
    <t>AMAZON,BBBDROP,CSNSTORES,HDDS,JCPENNEY01,OLLIIX,TGTDVS</t>
  </si>
  <si>
    <t>38024443-000-000</t>
  </si>
  <si>
    <t>WR13-3588</t>
  </si>
  <si>
    <t>Coverlet &amp; Bedspread</t>
  </si>
  <si>
    <t>Compass</t>
  </si>
  <si>
    <t>Cotton Quilt Mini Set</t>
  </si>
  <si>
    <t>PP001740;PF005659</t>
  </si>
  <si>
    <t>4/14/2022</t>
  </si>
  <si>
    <t>39840726-000-000</t>
  </si>
  <si>
    <t>4/21/2022</t>
  </si>
  <si>
    <t>CHM12-0001</t>
  </si>
  <si>
    <t>Contessa</t>
  </si>
  <si>
    <t>Blue Multi</t>
  </si>
  <si>
    <t>10/25/2022</t>
  </si>
  <si>
    <t>42062618-000-001</t>
  </si>
  <si>
    <t>11/3/2023</t>
  </si>
  <si>
    <t>BR9144409622-13</t>
  </si>
  <si>
    <t>10 Piece Comforter Set with Bed Sheets</t>
  </si>
  <si>
    <t>PP001823;PF005858</t>
  </si>
  <si>
    <t>10</t>
  </si>
  <si>
    <t>11/4/2021</t>
  </si>
  <si>
    <t>BBBDROP,BLK01,JCPENNEY01,KOHLDSN,OLLIIX,TGTDVS,WALMARTDS</t>
  </si>
  <si>
    <t>40067411-000-000</t>
  </si>
  <si>
    <t>6/9/2022</t>
  </si>
  <si>
    <t>12/20/2022</t>
  </si>
  <si>
    <t>BR9144409622-14</t>
  </si>
  <si>
    <t>11/5/2021</t>
  </si>
  <si>
    <t>BBBDROP,CSNSTORES,JCPENNEY01,KOHLDSN,OLLIIX,TGTDVS,WALMARTDS</t>
  </si>
  <si>
    <t>40067411-000-001</t>
  </si>
  <si>
    <t>6/15/2022</t>
  </si>
  <si>
    <t>FB155-1173</t>
  </si>
  <si>
    <t>LGT-SCONCES</t>
  </si>
  <si>
    <t>Sconces</t>
  </si>
  <si>
    <t>Metal Wall Sconce with Cylinder Shade, Set of 2</t>
  </si>
  <si>
    <t>40807174-000-000</t>
  </si>
  <si>
    <t>BR9144409622-15</t>
  </si>
  <si>
    <t>PP001823;PF005859</t>
  </si>
  <si>
    <t>CSNSTORES,JCPENNEY01,KOHLDSN,TGTDVS,WALMARTDS</t>
  </si>
  <si>
    <t>40067411-000-002</t>
  </si>
  <si>
    <t>4/25/2023</t>
  </si>
  <si>
    <t>BR9144409622-16</t>
  </si>
  <si>
    <t>JCPENNEY01,KOHLDSN,TGTDVS,WALMARTDS</t>
  </si>
  <si>
    <t>40067411-000-003</t>
  </si>
  <si>
    <t>BR55-4071</t>
  </si>
  <si>
    <t>ELEC MATT PAD</t>
  </si>
  <si>
    <t>Elect Matt Pad</t>
  </si>
  <si>
    <t>Cool Touch</t>
  </si>
  <si>
    <t>Heated Mattress Pad</t>
  </si>
  <si>
    <t>PP001881;PF005998</t>
  </si>
  <si>
    <t>7/5/2023</t>
  </si>
  <si>
    <t>AMAZON,JCPENNEY01,MACY02,TGTDVS</t>
  </si>
  <si>
    <t>41947656-000-002</t>
  </si>
  <si>
    <t>7/12/2023</t>
  </si>
  <si>
    <t>BR55-4073</t>
  </si>
  <si>
    <t>41947656-000-005</t>
  </si>
  <si>
    <t>BR55-4075</t>
  </si>
  <si>
    <t>41947656-000-003</t>
  </si>
  <si>
    <t>SI50-0024</t>
  </si>
  <si>
    <t>Sharper Image</t>
  </si>
  <si>
    <t>Cooling Touch</t>
  </si>
  <si>
    <t>Down Alternative Throw</t>
  </si>
  <si>
    <t>PP001964;PF006252</t>
  </si>
  <si>
    <t>Nylon</t>
  </si>
  <si>
    <t>6/20/2024</t>
  </si>
  <si>
    <t>SI50-0021</t>
  </si>
  <si>
    <t>PP001964;PF006249</t>
  </si>
  <si>
    <t>SI50-0023</t>
  </si>
  <si>
    <t>PP001964;PF006251</t>
  </si>
  <si>
    <t>SI50-0022</t>
  </si>
  <si>
    <t>PP001964;PF006250</t>
  </si>
  <si>
    <t>SI51-0011</t>
  </si>
  <si>
    <t>Down Alternative Blanket</t>
  </si>
  <si>
    <t>PP001965;PF006253</t>
  </si>
  <si>
    <t>SI16-0014</t>
  </si>
  <si>
    <t>Overfilled Deep Pocket Mattress Pad</t>
  </si>
  <si>
    <t>PP001963;PF006248</t>
  </si>
  <si>
    <t>SI10-0018</t>
  </si>
  <si>
    <t>PP001962;PF006247</t>
  </si>
  <si>
    <t>SI16-0015</t>
  </si>
  <si>
    <t>4/25/2024</t>
  </si>
  <si>
    <t>SI51-0012</t>
  </si>
  <si>
    <t>SI10-0019</t>
  </si>
  <si>
    <t>SI16-0016</t>
  </si>
  <si>
    <t>SI51-0013</t>
  </si>
  <si>
    <t>SI16-0017</t>
  </si>
  <si>
    <t>SI10-0020</t>
  </si>
  <si>
    <t>MP104-1086</t>
  </si>
  <si>
    <t>Copeland</t>
  </si>
  <si>
    <t>Jakoba</t>
  </si>
  <si>
    <t>Eros</t>
  </si>
  <si>
    <t>Counter stool</t>
  </si>
  <si>
    <t>Brown Multi</t>
  </si>
  <si>
    <t>JCPENNEY01,KIRKLANDDS</t>
  </si>
  <si>
    <t>37889869-000-000</t>
  </si>
  <si>
    <t>5/11/2021</t>
  </si>
  <si>
    <t>PET63OP6011</t>
  </si>
  <si>
    <t>Copper</t>
  </si>
  <si>
    <t>Ortho Napper</t>
  </si>
  <si>
    <t>AMAZON,CSNSTORES</t>
  </si>
  <si>
    <t>MZK10-267</t>
  </si>
  <si>
    <t>Cora</t>
  </si>
  <si>
    <t>Sophie</t>
  </si>
  <si>
    <t>Pompom Clip Jacquard Comforter Set</t>
  </si>
  <si>
    <t>Pink Multi</t>
  </si>
  <si>
    <t>PF006137</t>
  </si>
  <si>
    <t>Polka Dots</t>
  </si>
  <si>
    <t>43736332-000-000</t>
  </si>
  <si>
    <t>MZK12-269</t>
  </si>
  <si>
    <t>Pompom Clip Jacquard Duvet Cover Set</t>
  </si>
  <si>
    <t>43737943-000-001</t>
  </si>
  <si>
    <t>MZK10-268</t>
  </si>
  <si>
    <t>43736332-000-001</t>
  </si>
  <si>
    <t>MZK12-270</t>
  </si>
  <si>
    <t>43737943-000-000</t>
  </si>
  <si>
    <t>ST54-0290</t>
  </si>
  <si>
    <t>Serta</t>
  </si>
  <si>
    <t>ELECT BLANKET</t>
  </si>
  <si>
    <t>Electric Blanket</t>
  </si>
  <si>
    <t>Corded Plush</t>
  </si>
  <si>
    <t>Heated Blanket</t>
  </si>
  <si>
    <t>PP001892;PF006035</t>
  </si>
  <si>
    <t>42738934-000-004</t>
  </si>
  <si>
    <t>ST54-0291</t>
  </si>
  <si>
    <t>9/21/2023</t>
  </si>
  <si>
    <t>42738934-000-003</t>
  </si>
  <si>
    <t>1/16/2024</t>
  </si>
  <si>
    <t>ST54-0292</t>
  </si>
  <si>
    <t>42738934-000-007</t>
  </si>
  <si>
    <t>ST54-0293</t>
  </si>
  <si>
    <t>42738934-000-012</t>
  </si>
  <si>
    <t>11/18/2023</t>
  </si>
  <si>
    <t>ST54-0294</t>
  </si>
  <si>
    <t>PP001892;PF006036</t>
  </si>
  <si>
    <t>42738934-000-010</t>
  </si>
  <si>
    <t>ST54-0295</t>
  </si>
  <si>
    <t>42738934-000-000</t>
  </si>
  <si>
    <t>ST54-0297</t>
  </si>
  <si>
    <t>CSNSTORES,JCPENNEY01,KOHLDSN,MACY02</t>
  </si>
  <si>
    <t>42738934-000-008</t>
  </si>
  <si>
    <t>1/12/2024</t>
  </si>
  <si>
    <t>ST54-0287</t>
  </si>
  <si>
    <t>PP001892;PF006034</t>
  </si>
  <si>
    <t>42738934-000-009</t>
  </si>
  <si>
    <t>ST54-0288</t>
  </si>
  <si>
    <t>42738934-000-011</t>
  </si>
  <si>
    <t>CCL40-0056</t>
  </si>
  <si>
    <t>Cornelli</t>
  </si>
  <si>
    <t>Embroidery Curtain Panel (Single)</t>
  </si>
  <si>
    <t>42036994-000-001</t>
  </si>
  <si>
    <t>CCL40-0055</t>
  </si>
  <si>
    <t>42036994-000-000</t>
  </si>
  <si>
    <t>CCL40-0054</t>
  </si>
  <si>
    <t>42036994-000-003</t>
  </si>
  <si>
    <t>CCL40-0053</t>
  </si>
  <si>
    <t>42036994-000-002</t>
  </si>
  <si>
    <t>CC71-0037</t>
  </si>
  <si>
    <t>BATH ACCESSORIES</t>
  </si>
  <si>
    <t>Bath Accessory</t>
  </si>
  <si>
    <t>Corsica</t>
  </si>
  <si>
    <t>Gold Marbled Resin Lotion Pump</t>
  </si>
  <si>
    <t>42093669-000-004</t>
  </si>
  <si>
    <t>8/9/2023</t>
  </si>
  <si>
    <t>CC71-0039</t>
  </si>
  <si>
    <t>Gold Marbled Resin Tumbler</t>
  </si>
  <si>
    <t>42093669-000-005</t>
  </si>
  <si>
    <t>CC71-0041</t>
  </si>
  <si>
    <t>Gold Marbled Resin Jar</t>
  </si>
  <si>
    <t>42093669-000-001</t>
  </si>
  <si>
    <t>CC71-0040</t>
  </si>
  <si>
    <t>Silver Marbled Resin Tumbler</t>
  </si>
  <si>
    <t>42093669-000-002</t>
  </si>
  <si>
    <t>UH95C-0030</t>
  </si>
  <si>
    <t>Cosmic Curl</t>
  </si>
  <si>
    <t>Black/Taupe</t>
  </si>
  <si>
    <t>PP001611</t>
  </si>
  <si>
    <t>AMERSIGNDS,BBBDROP,JCPENNEY01,KIRKLANDDS,LAMPDS,OLLIIX,TGTDVS</t>
  </si>
  <si>
    <t>37419231-000-000</t>
  </si>
  <si>
    <t>2/11/2021</t>
  </si>
  <si>
    <t>2/25/2021</t>
  </si>
  <si>
    <t>BR55-0199</t>
  </si>
  <si>
    <t>Cotton Blend</t>
  </si>
  <si>
    <t>PF003436</t>
  </si>
  <si>
    <t>AMAZON,BBBDROP,BLK01,CSNSTORES,HDDS,HSNDS,JCPENNEY01,KOHLDSN,MACY02,OLLIIX,TGTDVS,WALMARTDS</t>
  </si>
  <si>
    <t>14027869-000-000</t>
  </si>
  <si>
    <t>3/2/2015</t>
  </si>
  <si>
    <t>ID20-697</t>
  </si>
  <si>
    <t>Cotton Blend Jersey Knit</t>
  </si>
  <si>
    <t>All Season Sheet Set</t>
  </si>
  <si>
    <t>PF002200</t>
  </si>
  <si>
    <t>AMAZON,BLK01,CSNSTORES,FINGERHUTDS,JCPENNEY01,KOHLDSN,MACY02,TGTDVS</t>
  </si>
  <si>
    <t>18526070-000-010</t>
  </si>
  <si>
    <t>ID20-704</t>
  </si>
  <si>
    <t>PF002202</t>
  </si>
  <si>
    <t>AMAZON,BBBDROP,CSNSTORES,JCPENNEY01,KOHLDSN,OLLIIX,TGTDVS</t>
  </si>
  <si>
    <t>18526070-000-017</t>
  </si>
  <si>
    <t>ID20-705</t>
  </si>
  <si>
    <t>4/4/2017</t>
  </si>
  <si>
    <t>AMAZON,JCPENNEY01,KOHLDSN,MACY02,TGTDVS</t>
  </si>
  <si>
    <t>18526070-000-018</t>
  </si>
  <si>
    <t>4/15/2016</t>
  </si>
  <si>
    <t>ID20-706</t>
  </si>
  <si>
    <t>AMAZON,AMAZONDS,BLK01,JCPENNEY01,TGTDVS</t>
  </si>
  <si>
    <t>18526070-000-019</t>
  </si>
  <si>
    <t>ID20-1237</t>
  </si>
  <si>
    <t>PF002204</t>
  </si>
  <si>
    <t>9/9/2017</t>
  </si>
  <si>
    <t>4/17/2024</t>
  </si>
  <si>
    <t>AMAZON,AMAZONDS,CSNSTORES,FINGERHUTDS,JCPENNEY01,KOHLDSN,MACY02,TGTDVS</t>
  </si>
  <si>
    <t>18526070-000-049</t>
  </si>
  <si>
    <t>9/26/2017</t>
  </si>
  <si>
    <t>ID20-688</t>
  </si>
  <si>
    <t>PF002198</t>
  </si>
  <si>
    <t>AMAZON,BLK01,CSNSTORES,KOHLDSN,TGTDVS,WALMARTDS</t>
  </si>
  <si>
    <t>18526070-000-001</t>
  </si>
  <si>
    <t>4/26/2016</t>
  </si>
  <si>
    <t>WR20-3958</t>
  </si>
  <si>
    <t>Cotton Flannel</t>
  </si>
  <si>
    <t>Black Pine Trees</t>
  </si>
  <si>
    <t>PP000952;PF006050</t>
  </si>
  <si>
    <t>Flannel</t>
  </si>
  <si>
    <t>Novelty</t>
  </si>
  <si>
    <t>19462540-000-065</t>
  </si>
  <si>
    <t>Tier 1-S</t>
  </si>
  <si>
    <t>WR20-3959</t>
  </si>
  <si>
    <t>19462540-000-066</t>
  </si>
  <si>
    <t>WR20-3960</t>
  </si>
  <si>
    <t>19462540-000-071</t>
  </si>
  <si>
    <t>WR20-3961</t>
  </si>
  <si>
    <t>19462540-000-072</t>
  </si>
  <si>
    <t>10/20/2023</t>
  </si>
  <si>
    <t>WR20-3962</t>
  </si>
  <si>
    <t>19462540-000-073</t>
  </si>
  <si>
    <t>WR20-3312</t>
  </si>
  <si>
    <t>Black/White Scottie Dogs</t>
  </si>
  <si>
    <t>PP001647;PF005505</t>
  </si>
  <si>
    <t>AMAZON,FINGERHUTDS,MACY02,TGTDVS</t>
  </si>
  <si>
    <t>19462540-000-059</t>
  </si>
  <si>
    <t>10/18/2021</t>
  </si>
  <si>
    <t>12/26/2021</t>
  </si>
  <si>
    <t>WR20-2067</t>
  </si>
  <si>
    <t>Blue Dog</t>
  </si>
  <si>
    <t>PF002310</t>
  </si>
  <si>
    <t>9/29/2017</t>
  </si>
  <si>
    <t>AMAZON,AMAZONDS,FINGERHUTDS,KOHLDSN,MACY02,WALMARTDS</t>
  </si>
  <si>
    <t>19462540-000-018</t>
  </si>
  <si>
    <t>10/19/2017</t>
  </si>
  <si>
    <t>10/26/2017</t>
  </si>
  <si>
    <t>WR20-2035</t>
  </si>
  <si>
    <t>PF002303</t>
  </si>
  <si>
    <t>AMAZON,FINGERHUTDS,MACY02,WALMARTDS</t>
  </si>
  <si>
    <t>19462540-000-021</t>
  </si>
  <si>
    <t>WR20-2043</t>
  </si>
  <si>
    <t>Blue Plaid</t>
  </si>
  <si>
    <t>PF002306</t>
  </si>
  <si>
    <t>9/28/2017</t>
  </si>
  <si>
    <t>AMAZON,JCPENNEY01,KOHLDSN,OLLIIX</t>
  </si>
  <si>
    <t>19462540-000-033</t>
  </si>
  <si>
    <t>10/30/2017</t>
  </si>
  <si>
    <t>WR20-2045</t>
  </si>
  <si>
    <t>AMAZON,AMAZONDS,KOHLDSN,MACY02,OLLIIX,TGTDVS</t>
  </si>
  <si>
    <t>19462540-000-035</t>
  </si>
  <si>
    <t>4/18/2018</t>
  </si>
  <si>
    <t>WR20-2280</t>
  </si>
  <si>
    <t>Blue Sheep</t>
  </si>
  <si>
    <t>PP000952;PF004384</t>
  </si>
  <si>
    <t>8/7/2018</t>
  </si>
  <si>
    <t>AMAZONDS,BBBDROP,FINGERHUTDS,MACY02,TGTDVS</t>
  </si>
  <si>
    <t>19462540-000-056</t>
  </si>
  <si>
    <t>8/31/2018</t>
  </si>
  <si>
    <t>9/10/2018</t>
  </si>
  <si>
    <t>WR20-2281</t>
  </si>
  <si>
    <t>PP000952;PF004385</t>
  </si>
  <si>
    <t>JCPENNEY01,MACY02,WALMARTDS</t>
  </si>
  <si>
    <t>19462540-000-055</t>
  </si>
  <si>
    <t>9/13/2018</t>
  </si>
  <si>
    <t>WR20-1787</t>
  </si>
  <si>
    <t>Blue Snowflake</t>
  </si>
  <si>
    <t>PF002274</t>
  </si>
  <si>
    <t>19462540-000-039</t>
  </si>
  <si>
    <t>9/13/2016</t>
  </si>
  <si>
    <t>9/19/2016</t>
  </si>
  <si>
    <t>WR20-1789</t>
  </si>
  <si>
    <t>19462540-000-041</t>
  </si>
  <si>
    <t>11/11/2016</t>
  </si>
  <si>
    <t>WR20-2031</t>
  </si>
  <si>
    <t>Blue Winter Frost</t>
  </si>
  <si>
    <t>PF002302</t>
  </si>
  <si>
    <t>19462540-000-015</t>
  </si>
  <si>
    <t>WR20-2032</t>
  </si>
  <si>
    <t>AMAZON,AMAZONDS,WALMARTDS</t>
  </si>
  <si>
    <t>19462540-000-016</t>
  </si>
  <si>
    <t>11/13/2017</t>
  </si>
  <si>
    <t>WR20-1796</t>
  </si>
  <si>
    <t>Brown Plaid</t>
  </si>
  <si>
    <t>PF002272</t>
  </si>
  <si>
    <t>4/6/2017</t>
  </si>
  <si>
    <t>19462540-000-003</t>
  </si>
  <si>
    <t>9/27/2016</t>
  </si>
  <si>
    <t>WR20-1797</t>
  </si>
  <si>
    <t>19462540-000-004</t>
  </si>
  <si>
    <t>WR20-1798</t>
  </si>
  <si>
    <t>AMAZON,AMAZONDS,KOHLDSN,MACY02,TGTDVS,WALMARTDS</t>
  </si>
  <si>
    <t>19462540-000-005</t>
  </si>
  <si>
    <t>10/5/2016</t>
  </si>
  <si>
    <t>WR20-1793</t>
  </si>
  <si>
    <t>PF002271</t>
  </si>
  <si>
    <t>19462540-000-000</t>
  </si>
  <si>
    <t>WR20-1794</t>
  </si>
  <si>
    <t>19462540-000-001</t>
  </si>
  <si>
    <t>10/6/2016</t>
  </si>
  <si>
    <t>WR20-3953</t>
  </si>
  <si>
    <t>Green Tree Trip</t>
  </si>
  <si>
    <t>PP000952;PF006049</t>
  </si>
  <si>
    <t>19462540-000-067</t>
  </si>
  <si>
    <t>WR20-3954</t>
  </si>
  <si>
    <t>19462540-000-068</t>
  </si>
  <si>
    <t>WR20-3955</t>
  </si>
  <si>
    <t>19462540-000-069</t>
  </si>
  <si>
    <t>9/4/2023</t>
  </si>
  <si>
    <t>WR20-3956</t>
  </si>
  <si>
    <t>19462540-000-070</t>
  </si>
  <si>
    <t>WR20-3957</t>
  </si>
  <si>
    <t>19462540-000-064</t>
  </si>
  <si>
    <t>WR20-2282</t>
  </si>
  <si>
    <t>Grey Moose</t>
  </si>
  <si>
    <t>19462540-000-054</t>
  </si>
  <si>
    <t>9/18/2018</t>
  </si>
  <si>
    <t>WR20-2283</t>
  </si>
  <si>
    <t>AMAZON,MACY02</t>
  </si>
  <si>
    <t>19462540-000-053</t>
  </si>
  <si>
    <t>8/30/2018</t>
  </si>
  <si>
    <t>9/11/2018</t>
  </si>
  <si>
    <t>WR20-2284</t>
  </si>
  <si>
    <t>AMAZON,AMAZONDS,BBBDROP,MACY02,Zulily</t>
  </si>
  <si>
    <t>19462540-000-050</t>
  </si>
  <si>
    <t>10/5/2018</t>
  </si>
  <si>
    <t>WR20-2047</t>
  </si>
  <si>
    <t>Grey Plaid</t>
  </si>
  <si>
    <t>PF002307</t>
  </si>
  <si>
    <t>AMAZON,BLK01,JCPENNEY01,MACY02,OLLIIX,Zulily</t>
  </si>
  <si>
    <t>19462540-000-037</t>
  </si>
  <si>
    <t>WR20-2048</t>
  </si>
  <si>
    <t>AMAZON,BBBDROP,KOHLDSN,MACY02,OLLIIX,TGTDVS</t>
  </si>
  <si>
    <t>19462540-000-038</t>
  </si>
  <si>
    <t>10/31/2017</t>
  </si>
  <si>
    <t>WR20-1799</t>
  </si>
  <si>
    <t>PF002273</t>
  </si>
  <si>
    <t>19462540-000-006</t>
  </si>
  <si>
    <t>WR20-1800</t>
  </si>
  <si>
    <t>BLK01,KOHLDSN,MACY02,OLLIIX,WALMARTDS</t>
  </si>
  <si>
    <t>19462540-000-007</t>
  </si>
  <si>
    <t>10/4/2016</t>
  </si>
  <si>
    <t>WR20-1801</t>
  </si>
  <si>
    <t>8/29/2017</t>
  </si>
  <si>
    <t>19462540-000-008</t>
  </si>
  <si>
    <t>WR20-2285</t>
  </si>
  <si>
    <t>Red/Black Buffalo Check</t>
  </si>
  <si>
    <t>19462540-000-049</t>
  </si>
  <si>
    <t>9/4/2018</t>
  </si>
  <si>
    <t>WR20-2287</t>
  </si>
  <si>
    <t>AMAZONDS,BBBDROP,MACY02,OLLIIX</t>
  </si>
  <si>
    <t>19462540-000-047</t>
  </si>
  <si>
    <t>10/1/2018</t>
  </si>
  <si>
    <t>WR20-2071</t>
  </si>
  <si>
    <t>Tan Cars</t>
  </si>
  <si>
    <t>PF002312</t>
  </si>
  <si>
    <t>19462540-000-028</t>
  </si>
  <si>
    <t>WR20-2072</t>
  </si>
  <si>
    <t>19462540-000-029</t>
  </si>
  <si>
    <t>WR20-2040</t>
  </si>
  <si>
    <t>PF002305</t>
  </si>
  <si>
    <t>AMAZON,AMAZONDS,FINGERHUTDS,JCPENNEY01,WALMARTDS</t>
  </si>
  <si>
    <t>19462540-000-030</t>
  </si>
  <si>
    <t>10/25/2017</t>
  </si>
  <si>
    <t>WR20-2041</t>
  </si>
  <si>
    <t>19462540-000-031</t>
  </si>
  <si>
    <t>WR20-2042</t>
  </si>
  <si>
    <t>19462540-000-032</t>
  </si>
  <si>
    <t>WR20-2069</t>
  </si>
  <si>
    <t>Tan Dog</t>
  </si>
  <si>
    <t>PF002311</t>
  </si>
  <si>
    <t>AMAZON,AMAZONDS,BLK01,KOHLDSN,MACY02,WALMARTDS</t>
  </si>
  <si>
    <t>19462540-000-023</t>
  </si>
  <si>
    <t>11/24/2017</t>
  </si>
  <si>
    <t>WR20-2070</t>
  </si>
  <si>
    <t>19462540-000-024</t>
  </si>
  <si>
    <t>10/27/2017</t>
  </si>
  <si>
    <t>WR20-2037</t>
  </si>
  <si>
    <t>PF002304</t>
  </si>
  <si>
    <t>9/21/2017</t>
  </si>
  <si>
    <t>AMAZON,FINGERHUTDS,JCPENNEY01,KOHLDSN,MACY02,TGTDVS,WALMARTDS</t>
  </si>
  <si>
    <t>19462540-000-025</t>
  </si>
  <si>
    <t>WR20-2038</t>
  </si>
  <si>
    <t>19462540-000-026</t>
  </si>
  <si>
    <t>10/23/2017</t>
  </si>
  <si>
    <t>WR20-1791</t>
  </si>
  <si>
    <t>Tan Snowflake</t>
  </si>
  <si>
    <t>PF002275</t>
  </si>
  <si>
    <t>19462540-000-043</t>
  </si>
  <si>
    <t>5DS153-0008</t>
  </si>
  <si>
    <t>Covey</t>
  </si>
  <si>
    <t>Curved Glass Table Lamp, Set of 2</t>
  </si>
  <si>
    <t>3/30/2018</t>
  </si>
  <si>
    <t>JCPENNEY01,OLLIIX,TGTDVS</t>
  </si>
  <si>
    <t>26787036-000-000</t>
  </si>
  <si>
    <t>4/17/2018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</si>
  <si>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</si>
  <si>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</si>
  <si>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</si>
  <si>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</si>
  <si>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</si>
  <si>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</si>
  <si>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</si>
  <si>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CSNSTORES,LAMPDS,MACY02F,OLLIIX</t>
  </si>
  <si>
    <t>32695090-000-000</t>
  </si>
  <si>
    <t>3/20/2019</t>
  </si>
  <si>
    <t>5/21/2019</t>
  </si>
  <si>
    <t>TN20-0359</t>
  </si>
  <si>
    <t>Cozy Cotton Flannel</t>
  </si>
  <si>
    <t>Printed Sheet Set</t>
  </si>
  <si>
    <t>Aqua Dots</t>
  </si>
  <si>
    <t>PP000954;PF004388</t>
  </si>
  <si>
    <t>8/29/2018</t>
  </si>
  <si>
    <t>19463070-000-148</t>
  </si>
  <si>
    <t>10/7/2018</t>
  </si>
  <si>
    <t>10/15/2018</t>
  </si>
  <si>
    <t>TN20-0361</t>
  </si>
  <si>
    <t>19463070-000-149</t>
  </si>
  <si>
    <t>10/3/2018</t>
  </si>
  <si>
    <t>10/8/2018</t>
  </si>
  <si>
    <t>TN20-0362</t>
  </si>
  <si>
    <t>19463070-000-151</t>
  </si>
  <si>
    <t>9/24/2018</t>
  </si>
  <si>
    <t>TN20-0363</t>
  </si>
  <si>
    <t>AMAZON,BBBDROP,CSNSTORES,KOHLDSN,MACY02,TGTDVS</t>
  </si>
  <si>
    <t>19463070-000-150</t>
  </si>
  <si>
    <t>10/11/2018</t>
  </si>
  <si>
    <t>TN20-0222</t>
  </si>
  <si>
    <t>Aqua French Bulldog</t>
  </si>
  <si>
    <t>PF002289</t>
  </si>
  <si>
    <t>AMAZON,AMAZONDS,FINGERHUTDS,KOHLDSN,MACY02,TGTDVS</t>
  </si>
  <si>
    <t>19463070-000-079</t>
  </si>
  <si>
    <t>10/13/2017</t>
  </si>
  <si>
    <t>TN20-0223</t>
  </si>
  <si>
    <t>19463070-000-080</t>
  </si>
  <si>
    <t>TN20-0224</t>
  </si>
  <si>
    <t>AMAZON,BBBDROP,MACY02,TGTDVS</t>
  </si>
  <si>
    <t>19463070-000-081</t>
  </si>
  <si>
    <t>11/7/2017</t>
  </si>
  <si>
    <t>TN20-0225</t>
  </si>
  <si>
    <t>19463070-000-082</t>
  </si>
  <si>
    <t>TN20-0226</t>
  </si>
  <si>
    <t>AMAZON,AMAZONDS,BBBDROP,JCPENNEY01,MACY02,TGTDVS</t>
  </si>
  <si>
    <t>19463070-000-083</t>
  </si>
  <si>
    <t>TN20-0281</t>
  </si>
  <si>
    <t>Aqua Geo</t>
  </si>
  <si>
    <t>PF002293</t>
  </si>
  <si>
    <t>19463070-000-102</t>
  </si>
  <si>
    <t>11/20/2017</t>
  </si>
  <si>
    <t>TN20-0282</t>
  </si>
  <si>
    <t>19463070-000-103</t>
  </si>
  <si>
    <t>9/19/2019</t>
  </si>
  <si>
    <t>TN20-0283</t>
  </si>
  <si>
    <t>19463070-000-104</t>
  </si>
  <si>
    <t>TN20-0410</t>
  </si>
  <si>
    <t>Bear</t>
  </si>
  <si>
    <t>PP000954;PF004714</t>
  </si>
  <si>
    <t>7/25/2019</t>
  </si>
  <si>
    <t>AMAZON,FINGERHUTDS,KOHLDSN,MACY02,TGTDVS</t>
  </si>
  <si>
    <t>19463070-000-160</t>
  </si>
  <si>
    <t>9/12/2019</t>
  </si>
  <si>
    <t>TN20-0411</t>
  </si>
  <si>
    <t>19463070-000-159</t>
  </si>
  <si>
    <t>10/10/2019</t>
  </si>
  <si>
    <t>TN20-0412</t>
  </si>
  <si>
    <t>AMAZON,BLK01,MACY02,TGTDVS</t>
  </si>
  <si>
    <t>19463070-000-162</t>
  </si>
  <si>
    <t>11/1/2019</t>
  </si>
  <si>
    <t>TN20-0467</t>
  </si>
  <si>
    <t>Blue Cars</t>
  </si>
  <si>
    <t>PP000954;PF005500</t>
  </si>
  <si>
    <t>FINGERHUTDS,KOHLDSN,TGTDVS</t>
  </si>
  <si>
    <t>19463070-000-178</t>
  </si>
  <si>
    <t>9/24/2021</t>
  </si>
  <si>
    <t>9/28/2021</t>
  </si>
  <si>
    <t>TN20-0468</t>
  </si>
  <si>
    <t>AMAZON,KOHLDSN,MACY02,TGTDVS</t>
  </si>
  <si>
    <t>19463070-000-177</t>
  </si>
  <si>
    <t>12/17/2021</t>
  </si>
  <si>
    <t>TN20-0469</t>
  </si>
  <si>
    <t>19463070-000-179</t>
  </si>
  <si>
    <t>10/27/2021</t>
  </si>
  <si>
    <t>TN20-0470</t>
  </si>
  <si>
    <t>AMAZON,CSNSTORES,KOHLDSN,MACY02,TGTDVS</t>
  </si>
  <si>
    <t>19463070-000-180</t>
  </si>
  <si>
    <t>TN20-0383</t>
  </si>
  <si>
    <t>Blue Forest</t>
  </si>
  <si>
    <t>PP000954;PF004392</t>
  </si>
  <si>
    <t>19463070-000-140</t>
  </si>
  <si>
    <t>TN20-0385</t>
  </si>
  <si>
    <t>19463070-000-141</t>
  </si>
  <si>
    <t>TN20-0386</t>
  </si>
  <si>
    <t>19463070-000-143</t>
  </si>
  <si>
    <t>10/4/2018</t>
  </si>
  <si>
    <t>TN20-0387</t>
  </si>
  <si>
    <t>AMAZON,HSNDS,MACY02,WALMARTDS</t>
  </si>
  <si>
    <t>19463070-000-142</t>
  </si>
  <si>
    <t>TN20-0245</t>
  </si>
  <si>
    <t>Blue Geo</t>
  </si>
  <si>
    <t>PF002292</t>
  </si>
  <si>
    <t>AMAZON,AMAZONDS,BBBDROP,CSNSTORES,FINGERHUTDS,JCPENNEY01,KOHLDSN,MACY02,TGTDVS,WALMARTDS</t>
  </si>
  <si>
    <t>19463070-000-096</t>
  </si>
  <si>
    <t>TN20-0246</t>
  </si>
  <si>
    <t>AMAZON,AMAZONDS,KOHLDSN,TGTDVS,WALMARTDS</t>
  </si>
  <si>
    <t>19463070-000-097</t>
  </si>
  <si>
    <t>TN20-0247</t>
  </si>
  <si>
    <t>AMAZON,BLK01,MACY02,OLLIIX,TGTDVS</t>
  </si>
  <si>
    <t>19463070-000-098</t>
  </si>
  <si>
    <t>TN20-0248</t>
  </si>
  <si>
    <t>AMAZONDS,BBBDROP,BLK01,FINGERHUTDS,KOHLDSN,MACY02,TGTDVS,WALMARTDS</t>
  </si>
  <si>
    <t>19463070-000-099</t>
  </si>
  <si>
    <t>TN20-0081</t>
  </si>
  <si>
    <t>PF002280</t>
  </si>
  <si>
    <t>19463070-000-040</t>
  </si>
  <si>
    <t>10/18/2016</t>
  </si>
  <si>
    <t>TN20-0212</t>
  </si>
  <si>
    <t>9/8/2017</t>
  </si>
  <si>
    <t>AMAZON,AMAZONDS,JCPENNEY01,KOHLDSN,MACY02,TGTDVS,WALMARTDS</t>
  </si>
  <si>
    <t>19463070-000-069</t>
  </si>
  <si>
    <t>9/14/2017</t>
  </si>
  <si>
    <t>11/15/2017</t>
  </si>
  <si>
    <t>TN20-0083</t>
  </si>
  <si>
    <t>19463070-000-042</t>
  </si>
  <si>
    <t>9/21/2016</t>
  </si>
  <si>
    <t>TN20-0084</t>
  </si>
  <si>
    <t>19463070-000-043</t>
  </si>
  <si>
    <t>11/14/2016</t>
  </si>
  <si>
    <t>TN20-0085</t>
  </si>
  <si>
    <t>JCPENNEY01,KOHLDSN,MACY02,TGTDVS,WALMARTDS</t>
  </si>
  <si>
    <t>19463070-000-044</t>
  </si>
  <si>
    <t>11/21/2016</t>
  </si>
  <si>
    <t>TN20-0263</t>
  </si>
  <si>
    <t>Blue Polar Bears</t>
  </si>
  <si>
    <t>PF002295</t>
  </si>
  <si>
    <t>19463070-000-114</t>
  </si>
  <si>
    <t>TN20-0264</t>
  </si>
  <si>
    <t>AMAZON,BBBDROP,DESINC,FINGERHUTDS,JCPENNEY01,KOHLDSN,MACY02</t>
  </si>
  <si>
    <t>19463070-000-115</t>
  </si>
  <si>
    <t>TN20-0266</t>
  </si>
  <si>
    <t>19463070-000-117</t>
  </si>
  <si>
    <t>TN20-0267</t>
  </si>
  <si>
    <t>19463070-000-118</t>
  </si>
  <si>
    <t>TN20-0121</t>
  </si>
  <si>
    <t>Blue Solid</t>
  </si>
  <si>
    <t>PF002288</t>
  </si>
  <si>
    <t>19463070-000-015</t>
  </si>
  <si>
    <t>TN20-0122</t>
  </si>
  <si>
    <t>19463070-000-016</t>
  </si>
  <si>
    <t>10/21/2016</t>
  </si>
  <si>
    <t>TN20-0124</t>
  </si>
  <si>
    <t>19463070-000-018</t>
  </si>
  <si>
    <t>10/26/2016</t>
  </si>
  <si>
    <t>TN20-0415</t>
  </si>
  <si>
    <t>Blush Dots</t>
  </si>
  <si>
    <t>PP000954;PF004715</t>
  </si>
  <si>
    <t>8/5/2019</t>
  </si>
  <si>
    <t>MACY02,TGTDVS,WALMARTDS</t>
  </si>
  <si>
    <t>19463070-000-163</t>
  </si>
  <si>
    <t>9/22/2019</t>
  </si>
  <si>
    <t>TN20-0418</t>
  </si>
  <si>
    <t>AMAZON,BLK01,CSNSTORES,JCPENNEY01,KOHLDSN,MACY02,TGTDVS,Zulily</t>
  </si>
  <si>
    <t>19463070-000-168</t>
  </si>
  <si>
    <t>8/19/2019</t>
  </si>
  <si>
    <t>TN20-0510</t>
  </si>
  <si>
    <t>Gray Skiers</t>
  </si>
  <si>
    <t>PP000954;PF006047</t>
  </si>
  <si>
    <t>8/30/2023</t>
  </si>
  <si>
    <t>AMAZON,MACY02,OLLIIX,TGTDVS</t>
  </si>
  <si>
    <t>19463070-000-181</t>
  </si>
  <si>
    <t>10/18/2023</t>
  </si>
  <si>
    <t>TN20-0511</t>
  </si>
  <si>
    <t>DESINC,JCPENNEY01,MACY02</t>
  </si>
  <si>
    <t>19463070-000-183</t>
  </si>
  <si>
    <t>TN20-0512</t>
  </si>
  <si>
    <t>19463070-000-182</t>
  </si>
  <si>
    <t>10/22/2023</t>
  </si>
  <si>
    <t>TN20-0513</t>
  </si>
  <si>
    <t>19463070-000-185</t>
  </si>
  <si>
    <t>TN20-0514</t>
  </si>
  <si>
    <t>19463070-000-184</t>
  </si>
  <si>
    <t>12/14/2023</t>
  </si>
  <si>
    <t>TN20-0515</t>
  </si>
  <si>
    <t>19463070-000-187</t>
  </si>
  <si>
    <t>11/16/2023</t>
  </si>
  <si>
    <t>TN20-0516</t>
  </si>
  <si>
    <t>Gray/Taupe Nordic</t>
  </si>
  <si>
    <t>PP000954;PF006048</t>
  </si>
  <si>
    <t>8/19/2023</t>
  </si>
  <si>
    <t>AMAZON,JCPENNEY01,KOHLDSN,MACY02</t>
  </si>
  <si>
    <t>19463070-000-186</t>
  </si>
  <si>
    <t>TN20-0517</t>
  </si>
  <si>
    <t>19463070-000-189</t>
  </si>
  <si>
    <t>TN20-0518</t>
  </si>
  <si>
    <t>19463070-000-188</t>
  </si>
  <si>
    <t>TN20-0519</t>
  </si>
  <si>
    <t>19463070-000-190</t>
  </si>
  <si>
    <t>TN20-0520</t>
  </si>
  <si>
    <t>19463070-000-192</t>
  </si>
  <si>
    <t>TN20-0377</t>
  </si>
  <si>
    <t>Grey Dogs</t>
  </si>
  <si>
    <t>PP000954;PF004390</t>
  </si>
  <si>
    <t>19463070-000-136</t>
  </si>
  <si>
    <t>TN20-0379</t>
  </si>
  <si>
    <t>19463070-000-137</t>
  </si>
  <si>
    <t>10/16/2018</t>
  </si>
  <si>
    <t>TN20-0380</t>
  </si>
  <si>
    <t>19463070-000-139</t>
  </si>
  <si>
    <t>TN20-0381</t>
  </si>
  <si>
    <t>AMAZON,BLK01,JCPENNEY01,KOHLDSN,MACY02,TGTDVS</t>
  </si>
  <si>
    <t>19463070-000-138</t>
  </si>
  <si>
    <t>TN20-0353</t>
  </si>
  <si>
    <t>Grey Dots</t>
  </si>
  <si>
    <t>PP000954;PF004387</t>
  </si>
  <si>
    <t>AMAZON,AMAZONDS,CSNSTORES,FINGERHUTDS,KOHLDSN,TGTDVS</t>
  </si>
  <si>
    <t>19463070-000-144</t>
  </si>
  <si>
    <t>10/23/2018</t>
  </si>
  <si>
    <t>TN20-0356</t>
  </si>
  <si>
    <t>19463070-000-145</t>
  </si>
  <si>
    <t>TN20-0239</t>
  </si>
  <si>
    <t>Grey Geo</t>
  </si>
  <si>
    <t>PF002291</t>
  </si>
  <si>
    <t>19463070-000-090</t>
  </si>
  <si>
    <t>TN20-0240</t>
  </si>
  <si>
    <t>19463070-000-091</t>
  </si>
  <si>
    <t>11/9/2018</t>
  </si>
  <si>
    <t>TN20-0241</t>
  </si>
  <si>
    <t>AMAZON,BLK01,KOHLDSN,TGTDVS</t>
  </si>
  <si>
    <t>19463070-000-092</t>
  </si>
  <si>
    <t>TN20-0242</t>
  </si>
  <si>
    <t>AMAZONDS,BLK01,CSNSTORES,JCPENNEY01,KOHLDSN,MACY02,OLLIIX,TGTDVS</t>
  </si>
  <si>
    <t>19463070-000-093</t>
  </si>
  <si>
    <t>11/6/2017</t>
  </si>
  <si>
    <t>TN20-0244</t>
  </si>
  <si>
    <t>19463070-000-095</t>
  </si>
  <si>
    <t>TN20-0365</t>
  </si>
  <si>
    <t>Grey Penguins</t>
  </si>
  <si>
    <t>PP000954;PF004389</t>
  </si>
  <si>
    <t>19463070-000-152</t>
  </si>
  <si>
    <t>TN20-0367</t>
  </si>
  <si>
    <t>AMAZONDS,KOHLDSN,MACY02,TGTDVS</t>
  </si>
  <si>
    <t>19463070-000-153</t>
  </si>
  <si>
    <t>TN20-0368</t>
  </si>
  <si>
    <t>AMAZON,AMAZONDS,BLK01,JCPENNEY01,KOHLDSN,MACY02,TGTDVS,WALMARTDS</t>
  </si>
  <si>
    <t>19463070-000-155</t>
  </si>
  <si>
    <t>TN20-0369</t>
  </si>
  <si>
    <t>AMAZONDS,KOHLDSN,MACY02,TGTDVS,WALMARTDS</t>
  </si>
  <si>
    <t>19463070-000-154</t>
  </si>
  <si>
    <t>TN20-0106</t>
  </si>
  <si>
    <t>Grey Solid</t>
  </si>
  <si>
    <t>PF002287</t>
  </si>
  <si>
    <t>19463070-000-000</t>
  </si>
  <si>
    <t>TN20-0107</t>
  </si>
  <si>
    <t>19463070-000-001</t>
  </si>
  <si>
    <t>1/9/2017</t>
  </si>
  <si>
    <t>TN20-0108</t>
  </si>
  <si>
    <t>19463070-000-002</t>
  </si>
  <si>
    <t>TN20-0110</t>
  </si>
  <si>
    <t>19463070-000-004</t>
  </si>
  <si>
    <t>1/3/2017</t>
  </si>
  <si>
    <t>TN20-0111</t>
  </si>
  <si>
    <t>Ivory Solid</t>
  </si>
  <si>
    <t>PF002286</t>
  </si>
  <si>
    <t>9/20/2017</t>
  </si>
  <si>
    <t>19463070-000-005</t>
  </si>
  <si>
    <t>TN20-0112</t>
  </si>
  <si>
    <t>19463070-000-006</t>
  </si>
  <si>
    <t>11/29/2016</t>
  </si>
  <si>
    <t>TN20-0113</t>
  </si>
  <si>
    <t>19463070-000-007</t>
  </si>
  <si>
    <t>TN20-0114</t>
  </si>
  <si>
    <t>BBBDROP,FINGERHUTDS,JCPENNEY01,KOHLDSN,MACY02,TGTDVS</t>
  </si>
  <si>
    <t>19463070-000-008</t>
  </si>
  <si>
    <t>11/10/2016</t>
  </si>
  <si>
    <t>TN20-0269</t>
  </si>
  <si>
    <t>Multi Forest Animals</t>
  </si>
  <si>
    <t>PF002296</t>
  </si>
  <si>
    <t>19463070-000-120</t>
  </si>
  <si>
    <t>TN20-0270</t>
  </si>
  <si>
    <t>19463070-000-121</t>
  </si>
  <si>
    <t>TN20-0271</t>
  </si>
  <si>
    <t>19463070-000-122</t>
  </si>
  <si>
    <t>TN20-0272</t>
  </si>
  <si>
    <t>19463070-000-123</t>
  </si>
  <si>
    <t>10/24/2017</t>
  </si>
  <si>
    <t>TN20-0273</t>
  </si>
  <si>
    <t>19463070-000-124</t>
  </si>
  <si>
    <t>11/3/2017</t>
  </si>
  <si>
    <t>TN20-0252</t>
  </si>
  <si>
    <t>Multi Leaves</t>
  </si>
  <si>
    <t>PF002294</t>
  </si>
  <si>
    <t>10/6/2017</t>
  </si>
  <si>
    <t>19463070-000-109</t>
  </si>
  <si>
    <t>TN20-0253</t>
  </si>
  <si>
    <t>AMAZONDS,CSNSTORES,MACY02</t>
  </si>
  <si>
    <t>19463070-000-110</t>
  </si>
  <si>
    <t>TN20-0254</t>
  </si>
  <si>
    <t>19463070-000-111</t>
  </si>
  <si>
    <t>TN20-0371</t>
  </si>
  <si>
    <t>Multi Sloth</t>
  </si>
  <si>
    <t>PP000954;PF004391</t>
  </si>
  <si>
    <t>AMAZON,BLK01,KOHLDSN,MACY02,TGTDVS</t>
  </si>
  <si>
    <t>19463070-000-132</t>
  </si>
  <si>
    <t>10/2/2018</t>
  </si>
  <si>
    <t>TN20-0373</t>
  </si>
  <si>
    <t>19463070-000-134</t>
  </si>
  <si>
    <t>TN20-0375</t>
  </si>
  <si>
    <t>AMAZON,BLK01,FINGERHUTDS,KOHLDSN,MACY02,TGTDVS,Zulily</t>
  </si>
  <si>
    <t>19463070-000-135</t>
  </si>
  <si>
    <t>9/26/2018</t>
  </si>
  <si>
    <t>TN20-0227</t>
  </si>
  <si>
    <t>Pink French Bulldog</t>
  </si>
  <si>
    <t>PF002290</t>
  </si>
  <si>
    <t>19463070-000-084</t>
  </si>
  <si>
    <t>TN20-0228</t>
  </si>
  <si>
    <t>19463070-000-085</t>
  </si>
  <si>
    <t>11/16/2017</t>
  </si>
  <si>
    <t>TN20-0229</t>
  </si>
  <si>
    <t>19463070-000-086</t>
  </si>
  <si>
    <t>TN20-0230</t>
  </si>
  <si>
    <t>AMAZON,BBBDROP,CSNSTORES,KOHLDSN,MACY02,TGTDVS,Zulily</t>
  </si>
  <si>
    <t>19463070-000-087</t>
  </si>
  <si>
    <t>TN20-0231</t>
  </si>
  <si>
    <t>19463070-000-088</t>
  </si>
  <si>
    <t>10/28/2017</t>
  </si>
  <si>
    <t>TN20-0275</t>
  </si>
  <si>
    <t>Pink Plaid</t>
  </si>
  <si>
    <t>PF002297</t>
  </si>
  <si>
    <t>19463070-000-126</t>
  </si>
  <si>
    <t>TN20-0276</t>
  </si>
  <si>
    <t>AMAZONDS,BBBDROP,JCPENNEY01,KOHLDSN,MACY02,TGTDVS,WALMARTDS</t>
  </si>
  <si>
    <t>19463070-000-127</t>
  </si>
  <si>
    <t>TN20-0277</t>
  </si>
  <si>
    <t>AMAZONDS,JCPENNEY01,KOHLDSN,MACY02,TGTDVS</t>
  </si>
  <si>
    <t>19463070-000-128</t>
  </si>
  <si>
    <t>TN20-0278</t>
  </si>
  <si>
    <t>AMAZON,CSNSTORES,JCPENNEY01,KOHLDSN,MACY02,TGTDVS</t>
  </si>
  <si>
    <t>19463070-000-129</t>
  </si>
  <si>
    <t>TN20-0279</t>
  </si>
  <si>
    <t>AMAZON,AMAZONDS,BBBDROP,BLK01,JCPENNEY01,KOHLDSN,MACY02,TGTDVS</t>
  </si>
  <si>
    <t>19463070-000-130</t>
  </si>
  <si>
    <t>5/1/2018</t>
  </si>
  <si>
    <t>TN20-0066</t>
  </si>
  <si>
    <t>Pink/Grey Snowflakes</t>
  </si>
  <si>
    <t>PF002277</t>
  </si>
  <si>
    <t>19463070-000-025</t>
  </si>
  <si>
    <t>11/8/2016</t>
  </si>
  <si>
    <t>TN20-0209</t>
  </si>
  <si>
    <t>19463070-000-066</t>
  </si>
  <si>
    <t>TN20-0067</t>
  </si>
  <si>
    <t>19463070-000-026</t>
  </si>
  <si>
    <t>10/31/2016</t>
  </si>
  <si>
    <t>TN20-0068</t>
  </si>
  <si>
    <t>19463070-000-027</t>
  </si>
  <si>
    <t>9/23/2016</t>
  </si>
  <si>
    <t>TN20-0069</t>
  </si>
  <si>
    <t>6/30/2017</t>
  </si>
  <si>
    <t>19463070-000-028</t>
  </si>
  <si>
    <t>10/19/2016</t>
  </si>
  <si>
    <t>TN20-0076</t>
  </si>
  <si>
    <t>PF002279</t>
  </si>
  <si>
    <t>19463070-000-035</t>
  </si>
  <si>
    <t>11/2/2016</t>
  </si>
  <si>
    <t>TN20-0211</t>
  </si>
  <si>
    <t>19463070-000-068</t>
  </si>
  <si>
    <t>TN20-0077</t>
  </si>
  <si>
    <t>AMAZON,CSNSTORES,DESINC,KOHLDSN,MACY02,TGTDVS</t>
  </si>
  <si>
    <t>19463070-000-036</t>
  </si>
  <si>
    <t>TN20-0079</t>
  </si>
  <si>
    <t>19463070-000-038</t>
  </si>
  <si>
    <t>TN20-0080</t>
  </si>
  <si>
    <t>19463070-000-039</t>
  </si>
  <si>
    <t>TN20-0424</t>
  </si>
  <si>
    <t>Reindeer</t>
  </si>
  <si>
    <t>PP000954;PF004716</t>
  </si>
  <si>
    <t>AMAZON,JCPENNEY01,MACY02</t>
  </si>
  <si>
    <t>19463070-000-172</t>
  </si>
  <si>
    <t>9/27/2019</t>
  </si>
  <si>
    <t>TN20-0406</t>
  </si>
  <si>
    <t>Seafoam Llama</t>
  </si>
  <si>
    <t>PP000954;PF004713</t>
  </si>
  <si>
    <t>19463070-000-174</t>
  </si>
  <si>
    <t>TN20-0408</t>
  </si>
  <si>
    <t>19463070-000-156</t>
  </si>
  <si>
    <t>8/26/2019</t>
  </si>
  <si>
    <t>TN20-0409</t>
  </si>
  <si>
    <t>19463070-000-158</t>
  </si>
  <si>
    <t>10/15/2019</t>
  </si>
  <si>
    <t>TN20-0210</t>
  </si>
  <si>
    <t>PF002278</t>
  </si>
  <si>
    <t>19463070-000-067</t>
  </si>
  <si>
    <t>TN20-0072</t>
  </si>
  <si>
    <t>AMAZON,CSNSTORES,DESINC,HSNDS,JCPENNEY01,KOHLDSN,MACY02,TGTDVS</t>
  </si>
  <si>
    <t>19463070-000-031</t>
  </si>
  <si>
    <t>TN20-0074</t>
  </si>
  <si>
    <t>19463070-000-033</t>
  </si>
  <si>
    <t>10/14/2016</t>
  </si>
  <si>
    <t>TN20-0075</t>
  </si>
  <si>
    <t>5/5/2017</t>
  </si>
  <si>
    <t>19463070-000-034</t>
  </si>
  <si>
    <t>10/27/2016</t>
  </si>
  <si>
    <t>TN20-0116</t>
  </si>
  <si>
    <t>Tan Solid</t>
  </si>
  <si>
    <t>PF002285</t>
  </si>
  <si>
    <t>19463070-000-010</t>
  </si>
  <si>
    <t>11/23/2016</t>
  </si>
  <si>
    <t>TN20-0117</t>
  </si>
  <si>
    <t>19463070-000-011</t>
  </si>
  <si>
    <t>12/1/2016</t>
  </si>
  <si>
    <t>TN20-0118</t>
  </si>
  <si>
    <t>19463070-000-012</t>
  </si>
  <si>
    <t>TN20-0120</t>
  </si>
  <si>
    <t>19463070-000-014</t>
  </si>
  <si>
    <t>TN20-0061</t>
  </si>
  <si>
    <t>Tan/Blue Snowflakes</t>
  </si>
  <si>
    <t>PF002276</t>
  </si>
  <si>
    <t>BLK01,FINGERHUTDS,MACY02,TGTDVS</t>
  </si>
  <si>
    <t>19463070-000-020</t>
  </si>
  <si>
    <t>11/28/2016</t>
  </si>
  <si>
    <t>TN20-0062</t>
  </si>
  <si>
    <t>CSNSTORES,KOHLDSN,MACY02,OLLIIX,TGTDVS</t>
  </si>
  <si>
    <t>19463070-000-021</t>
  </si>
  <si>
    <t>11/3/2016</t>
  </si>
  <si>
    <t>TN20-0063</t>
  </si>
  <si>
    <t>BBBDROP,MACY02,TGTDVS</t>
  </si>
  <si>
    <t>19463070-000-022</t>
  </si>
  <si>
    <t>TN20-0064</t>
  </si>
  <si>
    <t>AMAZON,JCPENNEY01,KOHLDSN,MACY02,TGTDVS,WALMARTDS</t>
  </si>
  <si>
    <t>19463070-000-023</t>
  </si>
  <si>
    <t>TN12-0431</t>
  </si>
  <si>
    <t>Cozy Flannel</t>
  </si>
  <si>
    <t>100% Cotton Flannel Printed Duvet Set</t>
  </si>
  <si>
    <t>Aqua Penguins</t>
  </si>
  <si>
    <t>PP000955;PF004711</t>
  </si>
  <si>
    <t>CSNSTORES,KOHLDSN,WALMARTDS</t>
  </si>
  <si>
    <t>28398925-000-004</t>
  </si>
  <si>
    <t>ID20-1757</t>
  </si>
  <si>
    <t>Cozy Soft</t>
  </si>
  <si>
    <t>Cotton Flannel Printed Sheet Set</t>
  </si>
  <si>
    <t>Blue Penguins</t>
  </si>
  <si>
    <t>PP000944;PF004719</t>
  </si>
  <si>
    <t>27441193-000-033</t>
  </si>
  <si>
    <t>9/21/2019</t>
  </si>
  <si>
    <t>ID20-1758</t>
  </si>
  <si>
    <t>27441193-000-034</t>
  </si>
  <si>
    <t>9/21/2020</t>
  </si>
  <si>
    <t>ID20-1759</t>
  </si>
  <si>
    <t>27441193-000-035</t>
  </si>
  <si>
    <t>ID20-1760</t>
  </si>
  <si>
    <t>AMAZON,BBBDROP,HSNDS,JCPENNEY01,KOHLDSN,MACY02,TGTDVS</t>
  </si>
  <si>
    <t>27441193-000-028</t>
  </si>
  <si>
    <t>9/13/2019</t>
  </si>
  <si>
    <t>ID20-1536</t>
  </si>
  <si>
    <t>Blue Stars</t>
  </si>
  <si>
    <t>PP000944;PF004352</t>
  </si>
  <si>
    <t>6/21/2018</t>
  </si>
  <si>
    <t>27441193-000-008</t>
  </si>
  <si>
    <t>5/28/2018</t>
  </si>
  <si>
    <t>7/16/2018</t>
  </si>
  <si>
    <t>ID20-1537</t>
  </si>
  <si>
    <t>27441193-000-027</t>
  </si>
  <si>
    <t>ID20-1538</t>
  </si>
  <si>
    <t>27441193-000-014</t>
  </si>
  <si>
    <t>8/3/2018</t>
  </si>
  <si>
    <t>ID20-1539</t>
  </si>
  <si>
    <t>27441193-000-000</t>
  </si>
  <si>
    <t>7/31/2018</t>
  </si>
  <si>
    <t>ID20-2048</t>
  </si>
  <si>
    <t>Green Cactus</t>
  </si>
  <si>
    <t>PP000944;PF005498</t>
  </si>
  <si>
    <t>9/15/2021</t>
  </si>
  <si>
    <t>27441193-000-043</t>
  </si>
  <si>
    <t>9/26/2021</t>
  </si>
  <si>
    <t>11/15/2021</t>
  </si>
  <si>
    <t>ID20-2044</t>
  </si>
  <si>
    <t>Grey Sloths</t>
  </si>
  <si>
    <t>PP000944;PF005497</t>
  </si>
  <si>
    <t>AMAZONDS,BBBDROP,JCPENNEY01,MACY02,TGTDVS</t>
  </si>
  <si>
    <t>27441193-000-045</t>
  </si>
  <si>
    <t>ID20-2045</t>
  </si>
  <si>
    <t>DESINC</t>
  </si>
  <si>
    <t>27441193-000-044</t>
  </si>
  <si>
    <t>11/8/2021</t>
  </si>
  <si>
    <t>ID20-2046</t>
  </si>
  <si>
    <t>AMAZONDS,CSNSTORES,FINGERHUTDS,KOHLDSN,MACY02,TGTDVS</t>
  </si>
  <si>
    <t>27441193-000-041</t>
  </si>
  <si>
    <t>11/9/2021</t>
  </si>
  <si>
    <t>ID20-2047</t>
  </si>
  <si>
    <t>AMAZONDS,BBBDROP,CSNSTORES,JCPENNEY01,KOHLDSN,MACY02,TGTDVS</t>
  </si>
  <si>
    <t>27441193-000-040</t>
  </si>
  <si>
    <t>11/16/2021</t>
  </si>
  <si>
    <t>ID20-1540</t>
  </si>
  <si>
    <t>Grey Stars</t>
  </si>
  <si>
    <t>PP000944;PF004353</t>
  </si>
  <si>
    <t>27441193-000-011</t>
  </si>
  <si>
    <t>8/1/2018</t>
  </si>
  <si>
    <t>ID20-1541</t>
  </si>
  <si>
    <t>27441193-000-022</t>
  </si>
  <si>
    <t>ID20-1542</t>
  </si>
  <si>
    <t>AMAZONDS,BBBDROP,KOHLDSN,OLLIIX,WALMARTDS</t>
  </si>
  <si>
    <t>27441193-000-007</t>
  </si>
  <si>
    <t>ID20-1552</t>
  </si>
  <si>
    <t>Grey/Pink Cats</t>
  </si>
  <si>
    <t>PP000944;PF004356</t>
  </si>
  <si>
    <t>27441193-000-019</t>
  </si>
  <si>
    <t>ID20-1553</t>
  </si>
  <si>
    <t>27441193-000-004</t>
  </si>
  <si>
    <t>8/2/2018</t>
  </si>
  <si>
    <t>ID20-1554</t>
  </si>
  <si>
    <t>27441193-000-001</t>
  </si>
  <si>
    <t>6/29/2018</t>
  </si>
  <si>
    <t>ID20-1555</t>
  </si>
  <si>
    <t>27441193-000-003</t>
  </si>
  <si>
    <t>7/25/2018</t>
  </si>
  <si>
    <t>ID20-1556</t>
  </si>
  <si>
    <t>Grey/Pink Dots</t>
  </si>
  <si>
    <t>PP000944;PF004357</t>
  </si>
  <si>
    <t>27441193-000-010</t>
  </si>
  <si>
    <t>8/23/2018</t>
  </si>
  <si>
    <t>ID20-1557</t>
  </si>
  <si>
    <t>27441193-000-017</t>
  </si>
  <si>
    <t>7/3/2018</t>
  </si>
  <si>
    <t>ID20-1558</t>
  </si>
  <si>
    <t>27441193-000-021</t>
  </si>
  <si>
    <t>ID20-1559</t>
  </si>
  <si>
    <t>AMAZON,CSNSTORES,JCPENNEY01,KOHLDSN,MACY02</t>
  </si>
  <si>
    <t>27441193-000-020</t>
  </si>
  <si>
    <t>ID20-1533</t>
  </si>
  <si>
    <t>Pink Llamas</t>
  </si>
  <si>
    <t>PP000944;PF004351</t>
  </si>
  <si>
    <t>27441193-000-023</t>
  </si>
  <si>
    <t>ID20-1535</t>
  </si>
  <si>
    <t>CSNSTORES,JCPENNEY01,KOHLDSN,MACY02,Zulily</t>
  </si>
  <si>
    <t>27441193-000-005</t>
  </si>
  <si>
    <t>7/6/2018</t>
  </si>
  <si>
    <t>ID20-1749</t>
  </si>
  <si>
    <t>Pink/Grey Hedgehogs</t>
  </si>
  <si>
    <t>PP000944;PF004717</t>
  </si>
  <si>
    <t>27441193-000-029</t>
  </si>
  <si>
    <t>8/30/2019</t>
  </si>
  <si>
    <t>ID20-1750</t>
  </si>
  <si>
    <t>27441193-000-030</t>
  </si>
  <si>
    <t>11/23/2020</t>
  </si>
  <si>
    <t>ID20-1751</t>
  </si>
  <si>
    <t>AMAZON,CSNSTORES,TGTDVS,WALMARTDS</t>
  </si>
  <si>
    <t>27441193-000-031</t>
  </si>
  <si>
    <t>11/30/2019</t>
  </si>
  <si>
    <t>ID20-1752</t>
  </si>
  <si>
    <t>AMAZON,BBBDROP,BLK01,CSNSTORES,MACY02,TGTDVS</t>
  </si>
  <si>
    <t>27441193-000-032</t>
  </si>
  <si>
    <t>8/13/2019</t>
  </si>
  <si>
    <t>ID20-1548</t>
  </si>
  <si>
    <t>Seafoam Foxes</t>
  </si>
  <si>
    <t>PP000944;PF004355</t>
  </si>
  <si>
    <t>27441193-000-002</t>
  </si>
  <si>
    <t>7/23/2018</t>
  </si>
  <si>
    <t>ID20-1549</t>
  </si>
  <si>
    <t>27441193-000-012</t>
  </si>
  <si>
    <t>ID20-1550</t>
  </si>
  <si>
    <t>27441193-000-009</t>
  </si>
  <si>
    <t>8/27/2018</t>
  </si>
  <si>
    <t>ID20-1551</t>
  </si>
  <si>
    <t>27441193-000-013</t>
  </si>
  <si>
    <t>8/6/2018</t>
  </si>
  <si>
    <t>ID20-1753</t>
  </si>
  <si>
    <t>Teal Dogs</t>
  </si>
  <si>
    <t>PP000944;PF004718</t>
  </si>
  <si>
    <t>27441193-000-036</t>
  </si>
  <si>
    <t>ID20-1754</t>
  </si>
  <si>
    <t>27441193-000-037</t>
  </si>
  <si>
    <t>2/12/2020</t>
  </si>
  <si>
    <t>ID20-1755</t>
  </si>
  <si>
    <t>AMAZON,TGTDVS,WALMARTDS,Zulily</t>
  </si>
  <si>
    <t>27441193-000-038</t>
  </si>
  <si>
    <t>9/15/2019</t>
  </si>
  <si>
    <t>ID20-1756</t>
  </si>
  <si>
    <t>27441193-000-039</t>
  </si>
  <si>
    <t>2/11/2020</t>
  </si>
  <si>
    <t>FPF18-0414</t>
  </si>
  <si>
    <t>Crackle</t>
  </si>
  <si>
    <t>PF000018;PP000022</t>
  </si>
  <si>
    <t>CSNSTORES,HDDS,LAMPDS,MACY02F,OLLIIX</t>
  </si>
  <si>
    <t>19889611-000-000</t>
  </si>
  <si>
    <t>IIF18-0054</t>
  </si>
  <si>
    <t>PF000207;PP000022</t>
  </si>
  <si>
    <t>6/21/2024</t>
  </si>
  <si>
    <t>AMERSIGNDS,CASTLEGATE,CSNSTORES,HDDS,LAMPDS,MACY02F,OLLIIX</t>
  </si>
  <si>
    <t>19586467-000-000</t>
  </si>
  <si>
    <t>9/26/2016</t>
  </si>
  <si>
    <t>5DS153-0045</t>
  </si>
  <si>
    <t>Crewe</t>
  </si>
  <si>
    <t>Textured Resin Table Lamp</t>
  </si>
  <si>
    <t>12/21/2022</t>
  </si>
  <si>
    <t>AMAZONDS,KOHLDSN,OLLIIX,TGTDVS</t>
  </si>
  <si>
    <t>40917635-000-000</t>
  </si>
  <si>
    <t>12/28/2022</t>
  </si>
  <si>
    <t>2/6/2023</t>
  </si>
  <si>
    <t>MP12-8358</t>
  </si>
  <si>
    <t>Dahlia</t>
  </si>
  <si>
    <t>Junia</t>
  </si>
  <si>
    <t>Blossom</t>
  </si>
  <si>
    <t>3 Piece Floral Cotton Duvet Cover Set</t>
  </si>
  <si>
    <t>Peach/Off-White</t>
  </si>
  <si>
    <t>PF006122;PP001916</t>
  </si>
  <si>
    <t>JCPENNEY01,TGTDVS</t>
  </si>
  <si>
    <t>43395720-000-000</t>
  </si>
  <si>
    <t>1/7/2024</t>
  </si>
  <si>
    <t>MP35-7557</t>
  </si>
  <si>
    <t>Dakota</t>
  </si>
  <si>
    <t>Mila</t>
  </si>
  <si>
    <t>Hanford</t>
  </si>
  <si>
    <t>Tiled Border Area Rug</t>
  </si>
  <si>
    <t>3x7' Runner</t>
  </si>
  <si>
    <t>Beige/Cream</t>
  </si>
  <si>
    <t>35376031-000-006</t>
  </si>
  <si>
    <t>MP35-7070</t>
  </si>
  <si>
    <t>12/13/2019</t>
  </si>
  <si>
    <t>BLK01,KOHLDSN,OLLIIX</t>
  </si>
  <si>
    <t>35376031-000-000</t>
  </si>
  <si>
    <t>1/6/2020</t>
  </si>
  <si>
    <t>MP35-7556</t>
  </si>
  <si>
    <t>AMAZON,BBBDROP,KOHLDSN</t>
  </si>
  <si>
    <t>35376031-000-002</t>
  </si>
  <si>
    <t>MP35-7071</t>
  </si>
  <si>
    <t>JCPENNEY01,KOHLDSN,OLLIIX</t>
  </si>
  <si>
    <t>35376031-000-001</t>
  </si>
  <si>
    <t>7/28/2020</t>
  </si>
  <si>
    <t>MP35-7561</t>
  </si>
  <si>
    <t>Blue/Cream</t>
  </si>
  <si>
    <t>35376031-000-003</t>
  </si>
  <si>
    <t>11/29/2022</t>
  </si>
  <si>
    <t>MP35-7558</t>
  </si>
  <si>
    <t>AMAZON,OLLIIX</t>
  </si>
  <si>
    <t>35376031-000-005</t>
  </si>
  <si>
    <t>MP35-7560</t>
  </si>
  <si>
    <t>AMAZONDS,BBBDROP</t>
  </si>
  <si>
    <t>35376031-000-004</t>
  </si>
  <si>
    <t>9/26/2023</t>
  </si>
  <si>
    <t>MP35-7559</t>
  </si>
  <si>
    <t>35376031-000-007</t>
  </si>
  <si>
    <t>5DS100-0026</t>
  </si>
  <si>
    <t>Dani</t>
  </si>
  <si>
    <t>Tufted back Accent Chair</t>
  </si>
  <si>
    <t>5DS100-0040</t>
  </si>
  <si>
    <t>5DS100-0039</t>
  </si>
  <si>
    <t>Denim Blue</t>
  </si>
  <si>
    <t>3/6/2024</t>
  </si>
  <si>
    <t>6/24/2024</t>
  </si>
  <si>
    <t>41846672-000-003</t>
  </si>
  <si>
    <t>5DS100-0028</t>
  </si>
  <si>
    <t>41846672-000-001</t>
  </si>
  <si>
    <t>5DS100-0038</t>
  </si>
  <si>
    <t>Grey 2</t>
  </si>
  <si>
    <t>2/24/2024</t>
  </si>
  <si>
    <t>41846672-000-002</t>
  </si>
  <si>
    <t>5DS100-0027</t>
  </si>
  <si>
    <t>Navy Blue</t>
  </si>
  <si>
    <t>41846672-000-000</t>
  </si>
  <si>
    <t>UH12-2437</t>
  </si>
  <si>
    <t>Emery</t>
  </si>
  <si>
    <t>Hailey</t>
  </si>
  <si>
    <t>3 Piece Cotton Gauze Waffle Weave Duvet Cover Set</t>
  </si>
  <si>
    <t>PF005678</t>
  </si>
  <si>
    <t>40085823-000-000</t>
  </si>
  <si>
    <t>8/3/2022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</si>
  <si>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</si>
  <si>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</si>
  <si>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</si>
  <si>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</si>
  <si>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</si>
  <si>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</si>
  <si>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</si>
  <si>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</si>
  <si>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</si>
  <si>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</si>
  <si>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1/19/2024</t>
  </si>
  <si>
    <t>GP35-0006</t>
  </si>
  <si>
    <t>Darya</t>
  </si>
  <si>
    <t>Maya</t>
  </si>
  <si>
    <t>Siesta</t>
  </si>
  <si>
    <t>Moroccan Indoor/Outdoor Rug</t>
  </si>
  <si>
    <t>2/21/2020</t>
  </si>
  <si>
    <t>AMAZON,BIGLOTSDS,JCPENNEY01,OLLIIX</t>
  </si>
  <si>
    <t>35974172-000-001</t>
  </si>
  <si>
    <t>MT100-0174</t>
  </si>
  <si>
    <t>Decker</t>
  </si>
  <si>
    <t>Accent Armchair Set of 2</t>
  </si>
  <si>
    <t>PP001268</t>
  </si>
  <si>
    <t>MP41-2114</t>
  </si>
  <si>
    <t>Delray Diamond</t>
  </si>
  <si>
    <t>Ella</t>
  </si>
  <si>
    <t>Natalie</t>
  </si>
  <si>
    <t>Printed Diamond Window Valance</t>
  </si>
  <si>
    <t>50x18"</t>
  </si>
  <si>
    <t>PF003884;PP000409</t>
  </si>
  <si>
    <t>17924345-000-000</t>
  </si>
  <si>
    <t>12/4/2015</t>
  </si>
  <si>
    <t>5DS150-0044</t>
  </si>
  <si>
    <t>Devon</t>
  </si>
  <si>
    <t>6-Light Chandelier with Bowl Shaped Glass Shades</t>
  </si>
  <si>
    <t xml:space="preserve"> 40565434-000-000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</si>
  <si>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</si>
  <si>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</si>
  <si>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</si>
  <si>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</si>
  <si>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</si>
  <si>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</si>
  <si>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</si>
  <si>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MP104-1239</t>
  </si>
  <si>
    <t>Cane Back Counter Stool</t>
  </si>
  <si>
    <t>42845868-000-000</t>
  </si>
  <si>
    <t>11/15/2023</t>
  </si>
  <si>
    <t>MP100-1228</t>
  </si>
  <si>
    <t>Donohue</t>
  </si>
  <si>
    <t>Sunnee</t>
  </si>
  <si>
    <t>Lyla</t>
  </si>
  <si>
    <t>Accent chair Set of 2</t>
  </si>
  <si>
    <t>MP100-1241</t>
  </si>
  <si>
    <t>Accent Arm Chair</t>
  </si>
  <si>
    <t>Light Grey/Antique Cream</t>
  </si>
  <si>
    <t>1/24/2024</t>
  </si>
  <si>
    <t>32715019-000-002</t>
  </si>
  <si>
    <t>FB155-1176</t>
  </si>
  <si>
    <t>Dove</t>
  </si>
  <si>
    <t>Double Tube 2-Light Wall Sconce</t>
  </si>
  <si>
    <t>Frosted glass/gold</t>
  </si>
  <si>
    <t>42120667-000-000</t>
  </si>
  <si>
    <t>ID10-2313</t>
  </si>
  <si>
    <t>Dream Puff</t>
  </si>
  <si>
    <t>Down Alternative Comforter Set</t>
  </si>
  <si>
    <t>PP001937;PF006180</t>
  </si>
  <si>
    <t>6/3/2024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</si>
  <si>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</si>
  <si>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</si>
  <si>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</si>
  <si>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</si>
  <si>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</si>
  <si>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</si>
  <si>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</si>
  <si>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</si>
  <si>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</si>
  <si>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</si>
  <si>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</si>
  <si>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</si>
  <si>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</si>
  <si>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</si>
  <si>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</si>
  <si>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Overfilled Down Alternative Mattress Pad</t>
  </si>
  <si>
    <t>PP001938;PF006181</t>
  </si>
  <si>
    <t>ID16-2317</t>
  </si>
  <si>
    <t>ID16-2318</t>
  </si>
  <si>
    <t>ID16-2319</t>
  </si>
  <si>
    <t>BR51-4440</t>
  </si>
  <si>
    <t>Dream Soft</t>
  </si>
  <si>
    <t>PP001948;PF006208</t>
  </si>
  <si>
    <t>43727975-000-008</t>
  </si>
  <si>
    <t>BR51-4441</t>
  </si>
  <si>
    <t>43727975-000-004</t>
  </si>
  <si>
    <t>BR51-4442</t>
  </si>
  <si>
    <t>43727975-000-011</t>
  </si>
  <si>
    <t>BR51-4446</t>
  </si>
  <si>
    <t>PP001948;PF006210</t>
  </si>
  <si>
    <t>43727975-000-007</t>
  </si>
  <si>
    <t>BR51-4447</t>
  </si>
  <si>
    <t>43727975-000-005</t>
  </si>
  <si>
    <t>BR51-4448</t>
  </si>
  <si>
    <t>43727975-000-000</t>
  </si>
  <si>
    <t>BR51-4443</t>
  </si>
  <si>
    <t>PP001948;PF006209</t>
  </si>
  <si>
    <t>43727975-000-001</t>
  </si>
  <si>
    <t>BR51-4444</t>
  </si>
  <si>
    <t>43727975-000-006</t>
  </si>
  <si>
    <t>BR51-4445</t>
  </si>
  <si>
    <t>43727975-000-010</t>
  </si>
  <si>
    <t>BR51-4437</t>
  </si>
  <si>
    <t>PP001948;PF006207</t>
  </si>
  <si>
    <t>43727975-000-009</t>
  </si>
  <si>
    <t>BR51-4438</t>
  </si>
  <si>
    <t>43727975-000-003</t>
  </si>
  <si>
    <t>BR51-4439</t>
  </si>
  <si>
    <t>43727975-000-002</t>
  </si>
  <si>
    <t>MP10-8161</t>
  </si>
  <si>
    <t>Hendry</t>
  </si>
  <si>
    <t>Knox</t>
  </si>
  <si>
    <t>5 Piece Clipped Jacquard Comforter Set with Throw Pillows</t>
  </si>
  <si>
    <t>PP001839;PF005895</t>
  </si>
  <si>
    <t>4/6/2023</t>
  </si>
  <si>
    <t>BLK01,JCPENNEY01,KOHLDSN,MACY02</t>
  </si>
  <si>
    <t>41353062-000-000</t>
  </si>
  <si>
    <t>11/14/2023</t>
  </si>
  <si>
    <t>MP30-2997</t>
  </si>
  <si>
    <t>Duke</t>
  </si>
  <si>
    <t>York</t>
  </si>
  <si>
    <t>Faux Fur Square Pillow</t>
  </si>
  <si>
    <t>PF003536;PP000412</t>
  </si>
  <si>
    <t>ASHFURNDS,BBBDROP,FINGERHUTDS,JCPENNEY01,KOHLDSN,MACY02,OLLIIX,TGTDVS,WALMARTDS</t>
  </si>
  <si>
    <t>18986986-000-000</t>
  </si>
  <si>
    <t>MP50-453</t>
  </si>
  <si>
    <t>Long Fur Throw</t>
  </si>
  <si>
    <t>AMAZON,AMAZONDS,BLK01,CSNSTORES,DESINC,FINGERHUTDS,JCPENNEY01,KOHLDSN,MACY02,OLLIIX,TGTDVS</t>
  </si>
  <si>
    <t>15574045-000-000</t>
  </si>
  <si>
    <t>MP30-4963</t>
  </si>
  <si>
    <t>PF003568</t>
  </si>
  <si>
    <t>8/18/2017</t>
  </si>
  <si>
    <t>ASHFURNDS,JCPENNEY01,KOHLDSN,MACY02,OLLIIX,TGTDVS,WALMARTDS</t>
  </si>
  <si>
    <t>18986986-000-004</t>
  </si>
  <si>
    <t>8/15/2017</t>
  </si>
  <si>
    <t>MP50-4823</t>
  </si>
  <si>
    <t>AMAZON,BLK01,CSNSTORES,DESINC,FINGERHUTDS,HSNDS,JCPENNEY01,KOHLDSN,MACY02,OLLIIX,TGTDVS</t>
  </si>
  <si>
    <t>15574045-000-004</t>
  </si>
  <si>
    <t>8/28/2017</t>
  </si>
  <si>
    <t>MP30-2999</t>
  </si>
  <si>
    <t>PF003558;PP000412</t>
  </si>
  <si>
    <t>5/31/2024</t>
  </si>
  <si>
    <t>BBBDROP,BLK01,FINGERHUTDS,JCPENNEY01,KOHLDSN,MACY02,OLLIIX,TGTDVS</t>
  </si>
  <si>
    <t>18986986-000-002</t>
  </si>
  <si>
    <t>7/13/2016</t>
  </si>
  <si>
    <t>MP50-455</t>
  </si>
  <si>
    <t>AMAZON,AMAZONDS,BBBDROP,CSNSTORES,DESINC,FINGERHUTDS,JCPENNEY01,KOHLDSN,MACY02,OLLIIX,TGTDVS,WALMARTDS</t>
  </si>
  <si>
    <t>15574045-000-002</t>
  </si>
  <si>
    <t>5/18/2015</t>
  </si>
  <si>
    <t>MP50-1593</t>
  </si>
  <si>
    <t>PF003567;PP000412</t>
  </si>
  <si>
    <t>AMAZON,BBBDROP,CSNSTORES,DESINC,FINGERHUTDS,JCPENNEY01,KOHLDSN,MACY02,TGTDVS</t>
  </si>
  <si>
    <t>15574045-000-003</t>
  </si>
  <si>
    <t>1/18/2016</t>
  </si>
  <si>
    <t>MP30-2998</t>
  </si>
  <si>
    <t>PF003547;PP000412</t>
  </si>
  <si>
    <t>FINGERHUTDS,JCPENNEY01,KOHLDSN,MACY02,OLLIIX,TGTDVS</t>
  </si>
  <si>
    <t>18986986-000-001</t>
  </si>
  <si>
    <t>7/10/2016</t>
  </si>
  <si>
    <t>MP50-454</t>
  </si>
  <si>
    <t>AMAZON,AMAZONDS,ASHFURNDS,BBBDROP,CSNSTORES,DESINC,FINGERHUTDS,KOHLDSN,MACY02,OLLIIX,TGTDVS</t>
  </si>
  <si>
    <t>15574045-000-001</t>
  </si>
  <si>
    <t>UH13-2522</t>
  </si>
  <si>
    <t>Dune</t>
  </si>
  <si>
    <t>Toren</t>
  </si>
  <si>
    <t>Ryland</t>
  </si>
  <si>
    <t>Poly Gauze Quilt Set</t>
  </si>
  <si>
    <t>PP001940;PF006185</t>
  </si>
  <si>
    <t>43786359-000-000</t>
  </si>
  <si>
    <t>UH13-2523</t>
  </si>
  <si>
    <t>43786359-000-001</t>
  </si>
  <si>
    <t>UH13-2525</t>
  </si>
  <si>
    <t>PP001940;PF006186</t>
  </si>
  <si>
    <t>43786359-000-002</t>
  </si>
  <si>
    <t>UH13-2526</t>
  </si>
  <si>
    <t>43786359-000-003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</si>
  <si>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</si>
  <si>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</si>
  <si>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</si>
  <si>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</si>
  <si>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</si>
  <si>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</si>
  <si>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</si>
  <si>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</si>
  <si>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4/5/2022</t>
  </si>
  <si>
    <t>AMAZONDS,BBBDROP,CSNSTORES,HDDS,JCPENNEY01,KOHLDSN,MACY02</t>
  </si>
  <si>
    <t>39828324-000-009</t>
  </si>
  <si>
    <t>4/11/2022</t>
  </si>
  <si>
    <t>MPS95F-0039</t>
  </si>
  <si>
    <t>Mirrors</t>
  </si>
  <si>
    <t>Eclipse</t>
  </si>
  <si>
    <t>Gold Trio Wall Mirror</t>
  </si>
  <si>
    <t>PP001769</t>
  </si>
  <si>
    <t>6/29/2022</t>
  </si>
  <si>
    <t>AMAZONDS,CSNSTORES,DESINC,KOHLDSN,MACY02,OLLIIX,ZOLA</t>
  </si>
  <si>
    <t>24185325-000-001</t>
  </si>
  <si>
    <t>7/5/2022</t>
  </si>
  <si>
    <t>8/22/2022</t>
  </si>
  <si>
    <t>MP40-3776</t>
  </si>
  <si>
    <t>Eden</t>
  </si>
  <si>
    <t>Laya</t>
  </si>
  <si>
    <t>Fretwork Burnout Sheer Curtain Panel</t>
  </si>
  <si>
    <t>50x63"</t>
  </si>
  <si>
    <t>PF003820</t>
  </si>
  <si>
    <t>AMAZONDS,CSNSTORES,FINGERHUTDS,JCPENNEY01,KOHLDSN,TGTDVS</t>
  </si>
  <si>
    <t>20741027-000-003</t>
  </si>
  <si>
    <t>1/19/2017</t>
  </si>
  <si>
    <t>3/10/2017</t>
  </si>
  <si>
    <t>MP40-3778</t>
  </si>
  <si>
    <t>8/7/2024</t>
  </si>
  <si>
    <t>AMAZON,BBBDROP,BLK01,CSNSTORES,DESINC,FINGERHUTDS,JCPENNEY01,KOHLDSN,TGTDVS</t>
  </si>
  <si>
    <t>20741027-000-005</t>
  </si>
  <si>
    <t>3/24/2017</t>
  </si>
  <si>
    <t>BR54-0411</t>
  </si>
  <si>
    <t>Electric Micro Fleece</t>
  </si>
  <si>
    <t>PF003425</t>
  </si>
  <si>
    <t>AMAZON,KOHLDSN,OLLIIX,TGTDVS,WALMARTDS</t>
  </si>
  <si>
    <t>14030863-000-025</t>
  </si>
  <si>
    <t>12/22/2015</t>
  </si>
  <si>
    <t>MP41-4955</t>
  </si>
  <si>
    <t>Elena</t>
  </si>
  <si>
    <t>Juline</t>
  </si>
  <si>
    <t>Gail</t>
  </si>
  <si>
    <t>Faux Silk Waterfall Embellished Valance</t>
  </si>
  <si>
    <t>Bronze</t>
  </si>
  <si>
    <t>PF003966</t>
  </si>
  <si>
    <t>8/5/2017</t>
  </si>
  <si>
    <t>AMAZON,CSNSTORES,FINGERHUTDS,JCPENNEY01,KOHLDSN,MACY02</t>
  </si>
  <si>
    <t>23314418-000-002</t>
  </si>
  <si>
    <t>8/9/2017</t>
  </si>
  <si>
    <t>MP41-7410</t>
  </si>
  <si>
    <t>PP001164;PF004651</t>
  </si>
  <si>
    <t>4/20/2021</t>
  </si>
  <si>
    <t>AMAZON,BLK01,CSNSTORES,JCPENNEY01,KOHLDSN,MACY02</t>
  </si>
  <si>
    <t>23314418-000-005</t>
  </si>
  <si>
    <t>6/22/2021</t>
  </si>
  <si>
    <t>II153-0154</t>
  </si>
  <si>
    <t>Elixir</t>
  </si>
  <si>
    <t>Gold Hourglass Metal Table Lamp</t>
  </si>
  <si>
    <t>MT101-0014</t>
  </si>
  <si>
    <t>Ellen</t>
  </si>
  <si>
    <t>Cocktail Ottoman</t>
  </si>
  <si>
    <t>PP001279</t>
  </si>
  <si>
    <t>BBBDROP,BLK01,CSNSTORES,KIRKLANDDS,OLLIIX,ZOLA,Zulily</t>
  </si>
  <si>
    <t>33732339-000-000</t>
  </si>
  <si>
    <t>7/8/2019</t>
  </si>
  <si>
    <t>3/16/2020</t>
  </si>
  <si>
    <t>MP130-1160</t>
  </si>
  <si>
    <t>Memphis</t>
  </si>
  <si>
    <t>Stanton</t>
  </si>
  <si>
    <t>3/31/2022</t>
  </si>
  <si>
    <t>CSNSTORES,KIRKLANDDS,OLLIIX</t>
  </si>
  <si>
    <t>39822004-000-000</t>
  </si>
  <si>
    <t>4/8/2022</t>
  </si>
  <si>
    <t>CCA12-0003</t>
  </si>
  <si>
    <t>Ellis</t>
  </si>
  <si>
    <t>Heathered Gray</t>
  </si>
  <si>
    <t>11/11/2022</t>
  </si>
  <si>
    <t>JCPENNEY01,MACY02,OLLIIX</t>
  </si>
  <si>
    <t>42127892-000-000</t>
  </si>
  <si>
    <t>CCA12-0004</t>
  </si>
  <si>
    <t>42127892-000-001</t>
  </si>
  <si>
    <t>10/17/2023</t>
  </si>
  <si>
    <t>FB151-1161</t>
  </si>
  <si>
    <t>Elm</t>
  </si>
  <si>
    <t>Bell-Shaped Glass Pendant</t>
  </si>
  <si>
    <t>Smoke Grey</t>
  </si>
  <si>
    <t>39918993-000-000</t>
  </si>
  <si>
    <t>MP108-0911</t>
  </si>
  <si>
    <t>Elmwood</t>
  </si>
  <si>
    <t>Bernardo</t>
  </si>
  <si>
    <t>Steven</t>
  </si>
  <si>
    <t>6/2/2024</t>
  </si>
  <si>
    <t>CSNSTORES,HOUZZ,KIRKLANDDS,LAMPDS,OLLIIX</t>
  </si>
  <si>
    <t>35543250-000-000</t>
  </si>
  <si>
    <t>8/19/2020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</si>
  <si>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</si>
  <si>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</si>
  <si>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</si>
  <si>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</si>
  <si>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</si>
  <si>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</si>
  <si>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MP20-8170</t>
  </si>
  <si>
    <t>Embroidered Microfiber</t>
  </si>
  <si>
    <t>4 PC Sheet Set</t>
  </si>
  <si>
    <t>Blue Blossom</t>
  </si>
  <si>
    <t>PP001840;PF005897</t>
  </si>
  <si>
    <t>Border</t>
  </si>
  <si>
    <t>12/15/2022</t>
  </si>
  <si>
    <t>40923839-000-006</t>
  </si>
  <si>
    <t>2/8/2024</t>
  </si>
  <si>
    <t>MP20-8171</t>
  </si>
  <si>
    <t>AMAZON,DESINC,JCPENNEY01,KIRKLANDDS,KOHLDSN,MACY02,OLLIIX,TGTDVS</t>
  </si>
  <si>
    <t>40923839-000-009</t>
  </si>
  <si>
    <t>MP20-8173</t>
  </si>
  <si>
    <t>Green Vine Leaves</t>
  </si>
  <si>
    <t>PP001840;PF005898</t>
  </si>
  <si>
    <t>AMAZON,KOHLDSN,MACY02,OLLIIX,TGTDVS</t>
  </si>
  <si>
    <t>40923839-000-008</t>
  </si>
  <si>
    <t>MP20-8174</t>
  </si>
  <si>
    <t>AMAZON,AMAZONDS,BLK01,JCPENNEY01,KOHLDSN,MACY02,OLLIIX,TGTDVS</t>
  </si>
  <si>
    <t>40923839-000-000</t>
  </si>
  <si>
    <t>MP20-8176</t>
  </si>
  <si>
    <t>Taupe Geo</t>
  </si>
  <si>
    <t>PP001840;PF005899</t>
  </si>
  <si>
    <t>40923839-000-011</t>
  </si>
  <si>
    <t>2/13/2023</t>
  </si>
  <si>
    <t>MP20-8178</t>
  </si>
  <si>
    <t>40923839-000-004</t>
  </si>
  <si>
    <t>MP20-8180</t>
  </si>
  <si>
    <t>Teal Medallion</t>
  </si>
  <si>
    <t>PP001840;PF005900</t>
  </si>
  <si>
    <t>AMAZON,KIRKLANDDS,KOHLDSN,MACY02,OLLIIX,TGTDVS</t>
  </si>
  <si>
    <t>40923839-000-002</t>
  </si>
  <si>
    <t>MP20-8181</t>
  </si>
  <si>
    <t>KIRKLANDDS,KOHLDSN,MACY02,TGTDVS</t>
  </si>
  <si>
    <t>40923839-000-010</t>
  </si>
  <si>
    <t>MP40-8330</t>
  </si>
  <si>
    <t>Emilia</t>
  </si>
  <si>
    <t>Lillian</t>
  </si>
  <si>
    <t>Twist Tab Lined Window Curtain Panel</t>
  </si>
  <si>
    <t>PP001164;PF006098</t>
  </si>
  <si>
    <t>AMAZON,AMAZONDS,CSNSTORES</t>
  </si>
  <si>
    <t>15855802-000-050</t>
  </si>
  <si>
    <t>Tier 2</t>
  </si>
  <si>
    <t>12/19/2023</t>
  </si>
  <si>
    <t>MP40-8331</t>
  </si>
  <si>
    <t>15855802-000-051</t>
  </si>
  <si>
    <t>MP40-8336</t>
  </si>
  <si>
    <t>Twist Tab Total Blackout Window Curtain Panel</t>
  </si>
  <si>
    <t>50x95" Blackout</t>
  </si>
  <si>
    <t>33704698-000-008</t>
  </si>
  <si>
    <t>MP40-6323</t>
  </si>
  <si>
    <t>PP001164;PF004652</t>
  </si>
  <si>
    <t>5/9/2019</t>
  </si>
  <si>
    <t>AMAZON,AMAZONDS,CSNSTORES,KOHLDSN,MACY02</t>
  </si>
  <si>
    <t>15855802-000-039</t>
  </si>
  <si>
    <t>6/25/2019</t>
  </si>
  <si>
    <t>MP40-6324</t>
  </si>
  <si>
    <t>50x120"</t>
  </si>
  <si>
    <t>AMAZON,CSNSTORES,JCPENNEY01,OLLIIX,TGTDVS</t>
  </si>
  <si>
    <t>15855802-000-038</t>
  </si>
  <si>
    <t>7/18/2019</t>
  </si>
  <si>
    <t>MP41-6325</t>
  </si>
  <si>
    <t>Lightweight Faux Silk Valance With Beads</t>
  </si>
  <si>
    <t>50x26"</t>
  </si>
  <si>
    <t>22670044-000-009</t>
  </si>
  <si>
    <t>WIN40-118</t>
  </si>
  <si>
    <t>AMAZON,AMAZONDS,AMERSIGNDS,BBBDROP,BLK01,CSNSTORES,FINGERHUTDS,HSNDS,JCPENNEY01,KOHLDSN</t>
  </si>
  <si>
    <t>15855802-000-006</t>
  </si>
  <si>
    <t>MP40-2686</t>
  </si>
  <si>
    <t>AMAZON,AMERSIGNDS,ASHFURNDS,CSNSTORES,HDDS,JCPENNEY01,KOHLDSN,OLLIIX</t>
  </si>
  <si>
    <t>15855802-000-020</t>
  </si>
  <si>
    <t>8/18/2016</t>
  </si>
  <si>
    <t>MP40-3561</t>
  </si>
  <si>
    <t>CSNSTORES,HDDS,HOUZZ,JCPENNEY01,KOHLDSN,OLLIIX</t>
  </si>
  <si>
    <t>15855802-000-030</t>
  </si>
  <si>
    <t>MP41-4456</t>
  </si>
  <si>
    <t>6/2/2017</t>
  </si>
  <si>
    <t>22670044-000-006</t>
  </si>
  <si>
    <t>7/18/2017</t>
  </si>
  <si>
    <t>MP40-6559</t>
  </si>
  <si>
    <t>PP001164;PF004762</t>
  </si>
  <si>
    <t>7/27/2019</t>
  </si>
  <si>
    <t>CSNSTORES,JCPENNEY01,KOHLDSN</t>
  </si>
  <si>
    <t>15855802-000-044</t>
  </si>
  <si>
    <t>9/20/2019</t>
  </si>
  <si>
    <t>WIN40-121</t>
  </si>
  <si>
    <t>Dusty Aqua</t>
  </si>
  <si>
    <t>PF003965</t>
  </si>
  <si>
    <t>AMAZON,CSNSTORES,FINGERHUTDS,HSNDS,JCPENNEY01,KOHLDSN,MACY02,TGTDVS</t>
  </si>
  <si>
    <t>15855802-000-005</t>
  </si>
  <si>
    <t>MP41-4455</t>
  </si>
  <si>
    <t>22670044-000-005</t>
  </si>
  <si>
    <t>9/15/2017</t>
  </si>
  <si>
    <t>MP40-8334</t>
  </si>
  <si>
    <t>PP001164;PF006099</t>
  </si>
  <si>
    <t>15855802-000-054</t>
  </si>
  <si>
    <t>MP40-6316</t>
  </si>
  <si>
    <t>PP001164;PF004653</t>
  </si>
  <si>
    <t>AMAZON,ASHFURNDS,BBBDROP,BLK01,CSNSTORES,JCPENNEY01,KOHLDSN,MACY02</t>
  </si>
  <si>
    <t>15855802-000-043</t>
  </si>
  <si>
    <t>6/5/2019</t>
  </si>
  <si>
    <t>7/22/2019</t>
  </si>
  <si>
    <t>MP40-6319</t>
  </si>
  <si>
    <t>15855802-000-040</t>
  </si>
  <si>
    <t>6/3/2019</t>
  </si>
  <si>
    <t>12/4/2019</t>
  </si>
  <si>
    <t>MP41-4452</t>
  </si>
  <si>
    <t>Pewter</t>
  </si>
  <si>
    <t>PF003967</t>
  </si>
  <si>
    <t>AMAZON,AMAZONDS,ASHFURNDS,BLK01,CSNSTORES,DESINC,JCPENNEY01,KOHLDSN,MACY02</t>
  </si>
  <si>
    <t>22670044-000-002</t>
  </si>
  <si>
    <t>MP40-3554</t>
  </si>
  <si>
    <t>PF003970</t>
  </si>
  <si>
    <t>15855802-000-023</t>
  </si>
  <si>
    <t>MP40-3555</t>
  </si>
  <si>
    <t>AMAZON,AMAZONDS,CSNSTORES,DESINC,JCPENNEY01,KOHLDSN,MACY02,TGTDVS</t>
  </si>
  <si>
    <t>15855802-000-024</t>
  </si>
  <si>
    <t>10/3/2016</t>
  </si>
  <si>
    <t>MP41-4476</t>
  </si>
  <si>
    <t>AMAZON,AMAZONDS,JCPENNEY01,KOHLDSN,MACY02,TGTDVS</t>
  </si>
  <si>
    <t>22670044-000-007</t>
  </si>
  <si>
    <t>6/29/2017</t>
  </si>
  <si>
    <t>MP40-6329</t>
  </si>
  <si>
    <t>15855802-000-032</t>
  </si>
  <si>
    <t>MP40-2681</t>
  </si>
  <si>
    <t>PF003968</t>
  </si>
  <si>
    <t>CSNSTORES,HDDS,MACY02,OLLIIX</t>
  </si>
  <si>
    <t>15855802-000-015</t>
  </si>
  <si>
    <t>9/22/2016</t>
  </si>
  <si>
    <t>MP40-2972</t>
  </si>
  <si>
    <t>PF003969</t>
  </si>
  <si>
    <t>AMAZON,CSNSTORES,KIRKLANDDS,KOHLDSN,MACY02</t>
  </si>
  <si>
    <t>15855802-000-013</t>
  </si>
  <si>
    <t>MP40-2973</t>
  </si>
  <si>
    <t>AMAZON,CSNSTORES,HDDS,KIRKLANDDS,KOHLDSN,MACY02</t>
  </si>
  <si>
    <t>15855802-000-014</t>
  </si>
  <si>
    <t>6/22/2016</t>
  </si>
  <si>
    <t>MP40-3558</t>
  </si>
  <si>
    <t>PF003958</t>
  </si>
  <si>
    <t>AMAZON,AMAZONDS,BBBDROP,CSNSTORES,HDDS,JCPENNEY01,KIRKLANDDS,KOHLDSN</t>
  </si>
  <si>
    <t>15855802-000-027</t>
  </si>
  <si>
    <t>WR10-3860</t>
  </si>
  <si>
    <t>Emmet Creek</t>
  </si>
  <si>
    <t>Down Alternative Comforter Set with Throw Pillow</t>
  </si>
  <si>
    <t>Softspun</t>
  </si>
  <si>
    <t>Boho</t>
  </si>
  <si>
    <t>Southwest</t>
  </si>
  <si>
    <t>AMAZONDS,DESINC,HDDS,JCPENNEY01</t>
  </si>
  <si>
    <t>42801335-000-001</t>
  </si>
  <si>
    <t>MP95G-0306</t>
  </si>
  <si>
    <t>Enchanted Forest</t>
  </si>
  <si>
    <t>Hand Painted Abstract Landscape Framed and Matted Wall Art</t>
  </si>
  <si>
    <t>Grey/Gold</t>
  </si>
  <si>
    <t>CSNSTORES,KIRKLANDDS,KOHLDSN,OLLIIX</t>
  </si>
  <si>
    <t>40692442-000-000</t>
  </si>
  <si>
    <t>BASI16-0573</t>
  </si>
  <si>
    <t>Energy Recovery</t>
  </si>
  <si>
    <t>Energy Recovery Waterproof Mattress Pad</t>
  </si>
  <si>
    <t>PP001726;PF005643</t>
  </si>
  <si>
    <t>2/1/2022</t>
  </si>
  <si>
    <t>AMAZONDS,BBBDROP,CSNSTORES,JCPENNEY01,KOHLDSN,MACY02,NRTPORT,OLLIIX,TGTDVS</t>
  </si>
  <si>
    <t>39599988-000-000</t>
  </si>
  <si>
    <t>9/26/2022</t>
  </si>
  <si>
    <t>BASI10-0577</t>
  </si>
  <si>
    <t>Energy Recovery Oversized Down Alternative Comforter</t>
  </si>
  <si>
    <t>PF005643;PP001727</t>
  </si>
  <si>
    <t>BBBDROP,JCPENNEY01,KOHLDSN,MACY02,OLLIIX,TGTDVS</t>
  </si>
  <si>
    <t>39599923-000-000</t>
  </si>
  <si>
    <t>7/4/2022</t>
  </si>
  <si>
    <t>BASI10-0578</t>
  </si>
  <si>
    <t>39599923-000-002</t>
  </si>
  <si>
    <t>8/5/2022</t>
  </si>
  <si>
    <t>MP40-6750</t>
  </si>
  <si>
    <t>Englewood</t>
  </si>
  <si>
    <t>Oslow</t>
  </si>
  <si>
    <t>Lincoln</t>
  </si>
  <si>
    <t>Solid Piece Dyed Grommet Top Curtain Panel</t>
  </si>
  <si>
    <t>PP001398;PF004938</t>
  </si>
  <si>
    <t>35010479-000-008</t>
  </si>
  <si>
    <t>11/12/2019</t>
  </si>
  <si>
    <t>MP40-6752</t>
  </si>
  <si>
    <t>AMAZONDS,ASHFURNDS,BBBDROP,BLK01,CSNSTORES,JCPENNEY01,KOHLDSN,OLLIIX,TGTDVS</t>
  </si>
  <si>
    <t>35010479-000-005</t>
  </si>
  <si>
    <t>6/8/2020</t>
  </si>
  <si>
    <t>EO04-7938</t>
  </si>
  <si>
    <t>Echo Design</t>
  </si>
  <si>
    <t>EO422101</t>
  </si>
  <si>
    <t>Flurries 464</t>
  </si>
  <si>
    <t>43658579-000-001</t>
  </si>
  <si>
    <t>EO04-7939</t>
  </si>
  <si>
    <t>43658579-000-007</t>
  </si>
  <si>
    <t>EO04-7940</t>
  </si>
  <si>
    <t>43658579-000-003</t>
  </si>
  <si>
    <t>EO04-7941</t>
  </si>
  <si>
    <t>43658579-000-000</t>
  </si>
  <si>
    <t>EO04-7930</t>
  </si>
  <si>
    <t>Red Buffalo Check 964</t>
  </si>
  <si>
    <t>43658579-000-006</t>
  </si>
  <si>
    <t>EO04-7931</t>
  </si>
  <si>
    <t>43658579-000-002</t>
  </si>
  <si>
    <t>EO04-7932</t>
  </si>
  <si>
    <t>43658579-000-005</t>
  </si>
  <si>
    <t>EO04-7933</t>
  </si>
  <si>
    <t>43658579-000-004</t>
  </si>
  <si>
    <t>MP100-0994</t>
  </si>
  <si>
    <t>Escher</t>
  </si>
  <si>
    <t>Valeria</t>
  </si>
  <si>
    <t>Denton</t>
  </si>
  <si>
    <t>6/24/2020</t>
  </si>
  <si>
    <t>23118675-000-001</t>
  </si>
  <si>
    <t>6/29/2020</t>
  </si>
  <si>
    <t>MPS10-537</t>
  </si>
  <si>
    <t>Essence</t>
  </si>
  <si>
    <t>Oversized Cotton Clipped Jacquard Comforter Set with Euro Shams and Throw Pillows</t>
  </si>
  <si>
    <t>PF006266</t>
  </si>
  <si>
    <t>8</t>
  </si>
  <si>
    <t>MPS10-538</t>
  </si>
  <si>
    <t>MP95C-0117</t>
  </si>
  <si>
    <t>Ethereal</t>
  </si>
  <si>
    <t>Diptych 2-piece Framed Canvas Wall Art Set</t>
  </si>
  <si>
    <t>PF002035</t>
  </si>
  <si>
    <t>8/26/2017</t>
  </si>
  <si>
    <t>AMAZON,AMERSIGNDS,CSNSTORES,KOHLDSN,LAMPDS,OLLIIX,ROOMECOM,TGTDVS</t>
  </si>
  <si>
    <t>23745774-000-000</t>
  </si>
  <si>
    <t>II153-0161</t>
  </si>
  <si>
    <t>Ethra</t>
  </si>
  <si>
    <t>Ceramic Table Lamp</t>
  </si>
  <si>
    <t>MT105-0147</t>
  </si>
  <si>
    <t>2/11/2022</t>
  </si>
  <si>
    <t>39608090-000-000</t>
  </si>
  <si>
    <t>3/22/2022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</si>
  <si>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</si>
  <si>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</si>
  <si>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</si>
  <si>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</si>
  <si>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</si>
  <si>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</si>
  <si>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</si>
  <si>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6/25/2024</t>
  </si>
  <si>
    <t>43787551-000-000</t>
  </si>
  <si>
    <t>MP10-8398</t>
  </si>
  <si>
    <t>43787551-000-001</t>
  </si>
  <si>
    <t>MP10-8395</t>
  </si>
  <si>
    <t>PP001947;PF006205</t>
  </si>
  <si>
    <t>43787551-000-003</t>
  </si>
  <si>
    <t>MP10-8396</t>
  </si>
  <si>
    <t>43787551-000-002</t>
  </si>
  <si>
    <t>5DS108-0025</t>
  </si>
  <si>
    <t>Everly</t>
  </si>
  <si>
    <t>Upholstered Channel-back Dining Chair Set of 2</t>
  </si>
  <si>
    <t>CSNSTORES,KIRKLANDDS,MACY02F,TGTDVS</t>
  </si>
  <si>
    <t>41922410-000-001</t>
  </si>
  <si>
    <t>MP12-8305</t>
  </si>
  <si>
    <t>Maeve</t>
  </si>
  <si>
    <t>Selena</t>
  </si>
  <si>
    <t>3 Piece Tufted Woven Medallion Duvet Cover Set</t>
  </si>
  <si>
    <t>PP001905;PF006074</t>
  </si>
  <si>
    <t>42825325-000-001</t>
  </si>
  <si>
    <t>1/4/2024</t>
  </si>
  <si>
    <t>MP10-8304</t>
  </si>
  <si>
    <t>3 Piece Tufted Woven Medallion Comforter Set</t>
  </si>
  <si>
    <t>42825324-000-000</t>
  </si>
  <si>
    <t>2/9/2024</t>
  </si>
  <si>
    <t>5DS108-0053</t>
  </si>
  <si>
    <t>7/18/2024</t>
  </si>
  <si>
    <t>5DS108-0042</t>
  </si>
  <si>
    <t>5/2/2024</t>
  </si>
  <si>
    <t>II153-0107</t>
  </si>
  <si>
    <t>Ceramic Table Lamp with Handles</t>
  </si>
  <si>
    <t>39463174-000-000</t>
  </si>
  <si>
    <t>6/8/2022</t>
  </si>
  <si>
    <t>ID11-1413</t>
  </si>
  <si>
    <t>Bedskirt</t>
  </si>
  <si>
    <t>Extended</t>
  </si>
  <si>
    <t>Drop 36" Dorm Bedskirt</t>
  </si>
  <si>
    <t>PF001771</t>
  </si>
  <si>
    <t>5/15/2018</t>
  </si>
  <si>
    <t>27247263-000-001</t>
  </si>
  <si>
    <t>5/16/2018</t>
  </si>
  <si>
    <t>7/16/2019</t>
  </si>
  <si>
    <t>ID11-1409</t>
  </si>
  <si>
    <t>PF001770</t>
  </si>
  <si>
    <t>27247263-000-005</t>
  </si>
  <si>
    <t>6/28/2018</t>
  </si>
  <si>
    <t>MP95B-0276</t>
  </si>
  <si>
    <t>Exton</t>
  </si>
  <si>
    <t>Two-tone Overlapping Geometric Wood Panel Wall Decor</t>
  </si>
  <si>
    <t>PP001636</t>
  </si>
  <si>
    <t>9/18/2021</t>
  </si>
  <si>
    <t>AMAZON,AMAZONDS,CSNSTORES,JCPENNEY01,KOHLDSN,LAMPDS,OLLIIX,TGTDVS,Zulily</t>
  </si>
  <si>
    <t>38900155-000-000</t>
  </si>
  <si>
    <t>FB150-1169</t>
  </si>
  <si>
    <t>Fairmount</t>
  </si>
  <si>
    <t>8-Light Traditional Chandelier with Drum Shades</t>
  </si>
  <si>
    <t>Black/Silver</t>
  </si>
  <si>
    <t>40565580-000-000</t>
  </si>
  <si>
    <t>6/6/2023</t>
  </si>
  <si>
    <t>MP35-8051</t>
  </si>
  <si>
    <t>Faith</t>
  </si>
  <si>
    <t>Kendra</t>
  </si>
  <si>
    <t>Caitlyn</t>
  </si>
  <si>
    <t>Persian Bordered Traditional Woven Area Rug</t>
  </si>
  <si>
    <t>Blue/Red</t>
  </si>
  <si>
    <t>PP001797;PF005785</t>
  </si>
  <si>
    <t>10/12/2022</t>
  </si>
  <si>
    <t>BLK01,CSNSTORES,HDDS,KOHLDSN,OLLIIX</t>
  </si>
  <si>
    <t>40639753-000-000</t>
  </si>
  <si>
    <t>MP35-8050</t>
  </si>
  <si>
    <t>BIGLOTSDS,JCPENNEY01,KIRKLANDDS</t>
  </si>
  <si>
    <t>40639753-000-001</t>
  </si>
  <si>
    <t>MP35-8052</t>
  </si>
  <si>
    <t>40639753-000-003</t>
  </si>
  <si>
    <t>4/7/2023</t>
  </si>
  <si>
    <t>MP35-8053</t>
  </si>
  <si>
    <t>KIRKLANDDS,KOHLDSN,OLLIIX</t>
  </si>
  <si>
    <t>40639753-000-002</t>
  </si>
  <si>
    <t>MP100-1084</t>
  </si>
  <si>
    <t>Fallon</t>
  </si>
  <si>
    <t>Hawkins</t>
  </si>
  <si>
    <t>Calan</t>
  </si>
  <si>
    <t>Brown/Gold</t>
  </si>
  <si>
    <t>CSNSTORES,OLLIIX,ROOMECOM</t>
  </si>
  <si>
    <t>37889750-000-000</t>
  </si>
  <si>
    <t>ID12-1944</t>
  </si>
  <si>
    <t>Felicia</t>
  </si>
  <si>
    <t>Alyssa</t>
  </si>
  <si>
    <t>Velvet Duvet Cover Set with Throw Pillow</t>
  </si>
  <si>
    <t>PP001091;PF005199</t>
  </si>
  <si>
    <t>AMAZONDS,MACY02,NRTPORT,TGTDVS,WALMARTDS</t>
  </si>
  <si>
    <t>33908184-000-010</t>
  </si>
  <si>
    <t>10/11/2020</t>
  </si>
  <si>
    <t>ID12-2159</t>
  </si>
  <si>
    <t>PP001091;PF005800</t>
  </si>
  <si>
    <t>AMAZONDS,CSNSTORES,TGTDVS</t>
  </si>
  <si>
    <t>33908184-000-020</t>
  </si>
  <si>
    <t>10/4/2022</t>
  </si>
  <si>
    <t>ID12-1782</t>
  </si>
  <si>
    <t>PP001091;PF004575</t>
  </si>
  <si>
    <t>8/7/2019</t>
  </si>
  <si>
    <t>AMAZON,AMAZONDS,AMERSIGNDS,KOHLDSN,MACY02,NRTPORT,TGTDVS</t>
  </si>
  <si>
    <t>33908184-000-000</t>
  </si>
  <si>
    <t>8/8/2019</t>
  </si>
  <si>
    <t>10/9/2019</t>
  </si>
  <si>
    <t>ID10-2400</t>
  </si>
  <si>
    <t>Velvet Comforter Set with Throw Pillow</t>
  </si>
  <si>
    <t>PP001091;PF006267</t>
  </si>
  <si>
    <t>ID12-2403</t>
  </si>
  <si>
    <t>ID10-2401</t>
  </si>
  <si>
    <t>ID12-2404</t>
  </si>
  <si>
    <t>ID10-2402</t>
  </si>
  <si>
    <t>ID12-2405</t>
  </si>
  <si>
    <t>ID10-2412</t>
  </si>
  <si>
    <t>PP001091;PF006269</t>
  </si>
  <si>
    <t>ID12-2415</t>
  </si>
  <si>
    <t>ID10-2413</t>
  </si>
  <si>
    <t>ID12-2416</t>
  </si>
  <si>
    <t>ID10-2414</t>
  </si>
  <si>
    <t>ID12-2417</t>
  </si>
  <si>
    <t>ID13-2141</t>
  </si>
  <si>
    <t>Velvet Quilt Set</t>
  </si>
  <si>
    <t>PP001091;PF004858</t>
  </si>
  <si>
    <t>9/14/2022</t>
  </si>
  <si>
    <t>CSNSTORES,TGTDVS</t>
  </si>
  <si>
    <t>40487073-000-002</t>
  </si>
  <si>
    <t>9/22/2022</t>
  </si>
  <si>
    <t>ID12-1793</t>
  </si>
  <si>
    <t>AMAZON,AMAZONDS,HDDS,MACY02,NRTPORT,TGTDVS</t>
  </si>
  <si>
    <t>33908184-000-004</t>
  </si>
  <si>
    <t>9/28/2019</t>
  </si>
  <si>
    <t>ID10-2406</t>
  </si>
  <si>
    <t>PP001091;PF006268</t>
  </si>
  <si>
    <t>ID12-2409</t>
  </si>
  <si>
    <t>ID10-2407</t>
  </si>
  <si>
    <t>ID12-2410</t>
  </si>
  <si>
    <t>ID10-2408</t>
  </si>
  <si>
    <t>ID12-2411</t>
  </si>
  <si>
    <t>ID12-1907</t>
  </si>
  <si>
    <t>PP001091;PF005084</t>
  </si>
  <si>
    <t>5/15/2020</t>
  </si>
  <si>
    <t>AMAZON,NRTPORT,TGTDVS</t>
  </si>
  <si>
    <t>33908184-000-008</t>
  </si>
  <si>
    <t>7/12/2020</t>
  </si>
  <si>
    <t>II100-0494</t>
  </si>
  <si>
    <t>Ferguson</t>
  </si>
  <si>
    <t>Faux Leather Accent Chair</t>
  </si>
  <si>
    <t>11/21/2022</t>
  </si>
  <si>
    <t>40538796-000-000</t>
  </si>
  <si>
    <t>MT104-1185</t>
  </si>
  <si>
    <t>Fiona</t>
  </si>
  <si>
    <t>9/19/2022</t>
  </si>
  <si>
    <t>40502536-000-000</t>
  </si>
  <si>
    <t>9/21/2022</t>
  </si>
  <si>
    <t>CHM13-0009</t>
  </si>
  <si>
    <t>Fiore</t>
  </si>
  <si>
    <t>3 Piece Coverlet Set</t>
  </si>
  <si>
    <t>Marshmallow</t>
  </si>
  <si>
    <t>42041893-000-001</t>
  </si>
  <si>
    <t>7/28/2023</t>
  </si>
  <si>
    <t>CHM13-0010</t>
  </si>
  <si>
    <t>42041893-000-000</t>
  </si>
  <si>
    <t>ST54-0099</t>
  </si>
  <si>
    <t>Fleece to Sherpa</t>
  </si>
  <si>
    <t>2/16/2021</t>
  </si>
  <si>
    <t>CSNSTORES,JCPENNEY01,KOHLDSN,MACY02,TGTDVS,WALMARTDS</t>
  </si>
  <si>
    <t>37425752-000-000</t>
  </si>
  <si>
    <t>2/17/2021</t>
  </si>
  <si>
    <t>2/22/2021</t>
  </si>
  <si>
    <t>ST54-0144</t>
  </si>
  <si>
    <t>7/9/2021</t>
  </si>
  <si>
    <t>CSNSTORES,JCPENNEY01,MACY02</t>
  </si>
  <si>
    <t>37425752-000-027</t>
  </si>
  <si>
    <t>10/26/2021</t>
  </si>
  <si>
    <t>ST54-0106</t>
  </si>
  <si>
    <t>BBBDROP,BLK01,JCPENNEY01,KOHLDSN,MACY02,TGTDVS</t>
  </si>
  <si>
    <t>37425752-000-009</t>
  </si>
  <si>
    <t>2/20/2021</t>
  </si>
  <si>
    <t>II153-0150</t>
  </si>
  <si>
    <t>Flinn</t>
  </si>
  <si>
    <t>23" Resin Table Lamp with Faux Wood Texture</t>
  </si>
  <si>
    <t>Natural Whitewash</t>
  </si>
  <si>
    <t>12/28/2023</t>
  </si>
  <si>
    <t>43356933-000-000</t>
  </si>
  <si>
    <t>WR10-2480</t>
  </si>
  <si>
    <t>Flint</t>
  </si>
  <si>
    <t>CozySpun Down Alternative Comforter Mini Set</t>
  </si>
  <si>
    <t>PP001005;PF004483</t>
  </si>
  <si>
    <t>11/7/2018</t>
  </si>
  <si>
    <t>30781313-000-001</t>
  </si>
  <si>
    <t>12/6/2018</t>
  </si>
  <si>
    <t>MP100-1202</t>
  </si>
  <si>
    <t>Florian</t>
  </si>
  <si>
    <t>Duncan</t>
  </si>
  <si>
    <t>Halton</t>
  </si>
  <si>
    <t>Upholstered Accent Chair</t>
  </si>
  <si>
    <t>Light Gray</t>
  </si>
  <si>
    <t>40536895-000-000</t>
  </si>
  <si>
    <t>CHM30-0014</t>
  </si>
  <si>
    <t>Florio</t>
  </si>
  <si>
    <t>Figurative</t>
  </si>
  <si>
    <t>42067837-000-000</t>
  </si>
  <si>
    <t>10/21/2023</t>
  </si>
  <si>
    <t>MP35-6814</t>
  </si>
  <si>
    <t>Flourish</t>
  </si>
  <si>
    <t>Plume</t>
  </si>
  <si>
    <t>Lassiter</t>
  </si>
  <si>
    <t>Printed Matte Area Rug</t>
  </si>
  <si>
    <t>Cream/Blue/Beige</t>
  </si>
  <si>
    <t>34172618-000-001</t>
  </si>
  <si>
    <t>10/11/2019</t>
  </si>
  <si>
    <t>12/5/2019</t>
  </si>
  <si>
    <t>MT95C-0025</t>
  </si>
  <si>
    <t>Foggy Morning</t>
  </si>
  <si>
    <t>PP001444;PF005011</t>
  </si>
  <si>
    <t>AMAZONDS,CSNSTORES,OLLIIX,ZOLA</t>
  </si>
  <si>
    <t>35145515-000-000</t>
  </si>
  <si>
    <t>4/15/2020</t>
  </si>
  <si>
    <t>MP133-0532</t>
  </si>
  <si>
    <t>BUFFET</t>
  </si>
  <si>
    <t>Buffet</t>
  </si>
  <si>
    <t>Folio</t>
  </si>
  <si>
    <t>Doughrty</t>
  </si>
  <si>
    <t>Tilden</t>
  </si>
  <si>
    <t>PP000633</t>
  </si>
  <si>
    <t>12/6/2017</t>
  </si>
  <si>
    <t>25450057-000-000</t>
  </si>
  <si>
    <t>12/27/2017</t>
  </si>
  <si>
    <t>TN51-0485</t>
  </si>
  <si>
    <t>Four Seasons</t>
  </si>
  <si>
    <t>Goose Feather and Down Filling All Seasons Blanket</t>
  </si>
  <si>
    <t>PP001805;PF005798</t>
  </si>
  <si>
    <t>BBBDROP,CSNSTORES,KOHLDSN,MACY02,TGTDVS</t>
  </si>
  <si>
    <t>40804195-000-000</t>
  </si>
  <si>
    <t>TN51-0486</t>
  </si>
  <si>
    <t>40804195-000-001</t>
  </si>
  <si>
    <t>TN51-0487</t>
  </si>
  <si>
    <t>40804195-000-002</t>
  </si>
  <si>
    <t>4/12/2023</t>
  </si>
  <si>
    <t>MP35-8030</t>
  </si>
  <si>
    <t>Frances</t>
  </si>
  <si>
    <t>Molly</t>
  </si>
  <si>
    <t>Sarah</t>
  </si>
  <si>
    <t>Medallion Woven Area Rug</t>
  </si>
  <si>
    <t>PP001793;PF005778</t>
  </si>
  <si>
    <t>BLK01,CSNSTORES,HDDS,JCPENNEY01,KOHLDSN</t>
  </si>
  <si>
    <t>40580533-000-003</t>
  </si>
  <si>
    <t>MP35-8033</t>
  </si>
  <si>
    <t>PP001793;PF005779</t>
  </si>
  <si>
    <t>HDDS,JCPENNEY01,KOHLDSN</t>
  </si>
  <si>
    <t>40580533-000-001</t>
  </si>
  <si>
    <t>MP35-8034</t>
  </si>
  <si>
    <t>CSNSTORES,HDDS,JCPENNEY01,KOHLDSN,OLLIIX</t>
  </si>
  <si>
    <t>40580533-000-002</t>
  </si>
  <si>
    <t>12/27/2023</t>
  </si>
  <si>
    <t>MP13-8151</t>
  </si>
  <si>
    <t>Franklin</t>
  </si>
  <si>
    <t>Cameron</t>
  </si>
  <si>
    <t>3 Piece Crinkled Microfiber Quilt Set</t>
  </si>
  <si>
    <t>PP001837;PF005891</t>
  </si>
  <si>
    <t>AMAZON,CSNSTORES,HDDS,JCPENNEY01,KOHLDSN,OLLIIX,TGTDVS</t>
  </si>
  <si>
    <t>40888728-000-000</t>
  </si>
  <si>
    <t>12/16/2022</t>
  </si>
  <si>
    <t>6/21/2023</t>
  </si>
  <si>
    <t>MP13-8152</t>
  </si>
  <si>
    <t>CSNSTORES,JCPENNEY01,OLLIIX,TGTDVS</t>
  </si>
  <si>
    <t>40888728-000-001</t>
  </si>
  <si>
    <t>MP13-8153</t>
  </si>
  <si>
    <t>PP001837;PF005892</t>
  </si>
  <si>
    <t>BLK01,CSNSTORES,JCPENNEY01,OLLIIX,TGTDVS</t>
  </si>
  <si>
    <t>40888728-000-002</t>
  </si>
  <si>
    <t>8/28/2023</t>
  </si>
  <si>
    <t>MT95C-0005</t>
  </si>
  <si>
    <t>French Herbarium</t>
  </si>
  <si>
    <t>2-piece Framed Canvas Wall Art Set</t>
  </si>
  <si>
    <t>AMAZON,ASHFURNDS,BLK01,CSNSTORES,DESINC,JCPENNEY01,KIRKLANDDS,KOHLDSN,OLLIIX,ROOMECOM,TGTDVS,ZOLA</t>
  </si>
  <si>
    <t>34135488-000-000</t>
  </si>
  <si>
    <t>8/27/2019</t>
  </si>
  <si>
    <t>BL51N-0852</t>
  </si>
  <si>
    <t>Freshspun Basketweave</t>
  </si>
  <si>
    <t>Cotton Blanket</t>
  </si>
  <si>
    <t>PF003481</t>
  </si>
  <si>
    <t>4/22/2024</t>
  </si>
  <si>
    <t>AMAZONDS,BBBDROP,BEALLSDS,BIGLOTSDS,BLK01,KOHLDSN,MACY02,TGTDVS,WALMARTDS</t>
  </si>
  <si>
    <t>18986578-000-007</t>
  </si>
  <si>
    <t>BL51N-0853</t>
  </si>
  <si>
    <t>AMAZON,BBBDROP,KOHLDSN,MACY02,OLLIIX,TGTDVS,WALMARTDS</t>
  </si>
  <si>
    <t>18986578-000-008</t>
  </si>
  <si>
    <t>7/25/2016</t>
  </si>
  <si>
    <t>MP51N-8382</t>
  </si>
  <si>
    <t>PP001933;PF006166</t>
  </si>
  <si>
    <t>18986578-000-026</t>
  </si>
  <si>
    <t>MP51N-8383</t>
  </si>
  <si>
    <t>AMAZON,AMAZONDS</t>
  </si>
  <si>
    <t>18986578-000-025</t>
  </si>
  <si>
    <t>MP51N-8384</t>
  </si>
  <si>
    <t>18986578-000-024</t>
  </si>
  <si>
    <t>BL51N-0860</t>
  </si>
  <si>
    <t>PF003483</t>
  </si>
  <si>
    <t>AMAZON,AMAZONDS,BEALLSDS,BLK01,KOHLDSN,MACY02,TGTDVS,WALMARTDS</t>
  </si>
  <si>
    <t>18986578-000-015</t>
  </si>
  <si>
    <t>BL51N-0861</t>
  </si>
  <si>
    <t>AMAZON,BBBDROP,BLK01,DESINC,HSNDS,KOHLDSN,MACY02,OLLIIX,TGTDVS,WALMARTDS</t>
  </si>
  <si>
    <t>18986578-000-016</t>
  </si>
  <si>
    <t>8/3/2016</t>
  </si>
  <si>
    <t>BL51N-0862</t>
  </si>
  <si>
    <t>AMAZON,AMAZONDS,ASHFURNDS,BBBDROP,BIGLOTSDS,BLK01,KOHLDSN,MACY02,OLLIIX,TGTDVS,WALMARTDS</t>
  </si>
  <si>
    <t>18986578-000-017</t>
  </si>
  <si>
    <t>8/1/2016</t>
  </si>
  <si>
    <t>BL51N-0848</t>
  </si>
  <si>
    <t>PF003479</t>
  </si>
  <si>
    <t>AMAZONDS,BBBDROP,BEALLSDS,BLK01,HSNDS,KOHLDSN,MACY02,TGTDVS,WALMARTDS</t>
  </si>
  <si>
    <t>18986578-000-003</t>
  </si>
  <si>
    <t>1/8/2018</t>
  </si>
  <si>
    <t>BL51N-0850</t>
  </si>
  <si>
    <t>AMAZON,AMAZONDS,BBBDROP,BEALLSDS,BIGLOTSDS,BLK01,CSNSTORES,KOHLDSN,MACY02,TGTDVS,WALMARTDS</t>
  </si>
  <si>
    <t>18986578-000-005</t>
  </si>
  <si>
    <t>BL51N-0863</t>
  </si>
  <si>
    <t>PF003484</t>
  </si>
  <si>
    <t>4/13/2017</t>
  </si>
  <si>
    <t>AMAZON,AMAZONDS,BBBDROP,DESINC,KOHLDSN,MACY02,TGTDVS,WALMARTDS</t>
  </si>
  <si>
    <t>18986578-000-018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</si>
  <si>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</si>
  <si>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</si>
  <si>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</si>
  <si>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</si>
  <si>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</si>
  <si>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</si>
  <si>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43667553-000-002</t>
  </si>
  <si>
    <t>3/12/2024</t>
  </si>
  <si>
    <t>AM10-0124</t>
  </si>
  <si>
    <t>43667553-000-004</t>
  </si>
  <si>
    <t>AM10-0125</t>
  </si>
  <si>
    <t>Plum/Grey</t>
  </si>
  <si>
    <t>PP001958;PF006235</t>
  </si>
  <si>
    <t>CSNSTORES,DESINC,MACY02</t>
  </si>
  <si>
    <t>43667553-000-005</t>
  </si>
  <si>
    <t>MP40-8089</t>
  </si>
  <si>
    <t>Galen</t>
  </si>
  <si>
    <t>Colm</t>
  </si>
  <si>
    <t>Paxton</t>
  </si>
  <si>
    <t>Basketweave Room Darkening Cordless Roman Shade</t>
  </si>
  <si>
    <t>CSNSTORES,HDDS,JCPENNEY01,KOHLDSN</t>
  </si>
  <si>
    <t>34381036-000-044</t>
  </si>
  <si>
    <t>MP40-8096</t>
  </si>
  <si>
    <t>34381036-000-051</t>
  </si>
  <si>
    <t>MP40-8097</t>
  </si>
  <si>
    <t>AMAZONDS,HDDS,JCPENNEY01,KOHLDSN</t>
  </si>
  <si>
    <t>34381036-000-045</t>
  </si>
  <si>
    <t>2/15/2023</t>
  </si>
  <si>
    <t>MP40-7925</t>
  </si>
  <si>
    <t>Basketweave Room Darkening Curtain Panel Pair</t>
  </si>
  <si>
    <t>2-PK 40x84"</t>
  </si>
  <si>
    <t>PP001307;PF004746</t>
  </si>
  <si>
    <t>CSNSTORES,JCPENNEY01,KIRKLANDDS,KOHLDSN,MACY02,OLLIIX</t>
  </si>
  <si>
    <t>40253096-000-002</t>
  </si>
  <si>
    <t>8/11/2022</t>
  </si>
  <si>
    <t>MP40-7751</t>
  </si>
  <si>
    <t>34x64"</t>
  </si>
  <si>
    <t>11/23/2021</t>
  </si>
  <si>
    <t>AMAZON,AMAZONDS,CSNSTORES,HDDS,JCPENNEY01,KOHLDSN</t>
  </si>
  <si>
    <t>34381036-000-026</t>
  </si>
  <si>
    <t>11/29/2021</t>
  </si>
  <si>
    <t>12/13/2021</t>
  </si>
  <si>
    <t>MP40-7989</t>
  </si>
  <si>
    <t>Basketweave Total Blackout Roman Shade</t>
  </si>
  <si>
    <t>27x64" Blackout</t>
  </si>
  <si>
    <t>AMAZONDS,HDDS</t>
  </si>
  <si>
    <t>40328911-000-002</t>
  </si>
  <si>
    <t>MP40-8093</t>
  </si>
  <si>
    <t>34381036-000-048</t>
  </si>
  <si>
    <t>MP40-7992</t>
  </si>
  <si>
    <t>PP001307;PF004745</t>
  </si>
  <si>
    <t>AMAZONDS,CSNSTORES,HDDS,JCPENNEY01,KOHLDSN</t>
  </si>
  <si>
    <t>40328911-000-000</t>
  </si>
  <si>
    <t>MP40-7923</t>
  </si>
  <si>
    <t>PP001307;PF005660</t>
  </si>
  <si>
    <t>40253096-000-003</t>
  </si>
  <si>
    <t>MP40-7924</t>
  </si>
  <si>
    <t>PP001307;PF005195</t>
  </si>
  <si>
    <t>CSNSTORES,HDDS,JCPENNEY01,KIRKLANDDS,KOHLDSN,MACY02</t>
  </si>
  <si>
    <t>40253096-000-004</t>
  </si>
  <si>
    <t>MP40-7986</t>
  </si>
  <si>
    <t>AMAZONDS,CSNSTORES,HDDS</t>
  </si>
  <si>
    <t>40328911-000-007</t>
  </si>
  <si>
    <t>10/3/2023</t>
  </si>
  <si>
    <t>MP40-7988</t>
  </si>
  <si>
    <t>35x64" Blackout</t>
  </si>
  <si>
    <t>AMAZONDS,CSNSTORES,HDDS,KOHLDSN</t>
  </si>
  <si>
    <t>40328911-000-006</t>
  </si>
  <si>
    <t>4/17/2023</t>
  </si>
  <si>
    <t>CCL10-0013</t>
  </si>
  <si>
    <t>Galleria</t>
  </si>
  <si>
    <t>4 Piece Brown Comforter Set</t>
  </si>
  <si>
    <t>Patchwork</t>
  </si>
  <si>
    <t>42181772-000-001</t>
  </si>
  <si>
    <t>CCL10-0014</t>
  </si>
  <si>
    <t>42181772-000-000</t>
  </si>
  <si>
    <t>CCL10-0015</t>
  </si>
  <si>
    <t>42181772-000-004</t>
  </si>
  <si>
    <t>CCL10-0010</t>
  </si>
  <si>
    <t>4 Piece Red Comforter Set</t>
  </si>
  <si>
    <t>10/21/2022</t>
  </si>
  <si>
    <t>42181772-000-002</t>
  </si>
  <si>
    <t>CCL10-0011</t>
  </si>
  <si>
    <t>42181772-000-003</t>
  </si>
  <si>
    <t>CCL10-0012</t>
  </si>
  <si>
    <t>42181772-000-005</t>
  </si>
  <si>
    <t>FPF20-0281</t>
  </si>
  <si>
    <t>Garbo</t>
  </si>
  <si>
    <t>Sydney</t>
  </si>
  <si>
    <t>London</t>
  </si>
  <si>
    <t>Captains Dining Chair</t>
  </si>
  <si>
    <t>PF000779;PP000163</t>
  </si>
  <si>
    <t>CASTLEGATE,CSNSTORES,KOHLDSN,MACY02F,OLLIIX,TGTDVS</t>
  </si>
  <si>
    <t>17681033-000-000</t>
  </si>
  <si>
    <t>5/19/2016</t>
  </si>
  <si>
    <t>FPF20-0279</t>
  </si>
  <si>
    <t>PF000777;PP000163</t>
  </si>
  <si>
    <t>7/2/2024</t>
  </si>
  <si>
    <t>CASTLEGATE,CSNSTORES,JCPENNEY01,OLLIIX</t>
  </si>
  <si>
    <t>17681035-000-000</t>
  </si>
  <si>
    <t>MP108-1050</t>
  </si>
  <si>
    <t>Grey Multi</t>
  </si>
  <si>
    <t>CSNSTORES,KIRKLANDDS,KOHLDSN,LAMPDS,OLLIIX</t>
  </si>
  <si>
    <t>17681033-000-001</t>
  </si>
  <si>
    <t>10/16/2020</t>
  </si>
  <si>
    <t>II150-0131</t>
  </si>
  <si>
    <t>Gardham</t>
  </si>
  <si>
    <t>8-Light Sputnik Sphere Chandelier</t>
  </si>
  <si>
    <t>40565600-000-000</t>
  </si>
  <si>
    <t>LCN51N-0025</t>
  </si>
  <si>
    <t>Gauze</t>
  </si>
  <si>
    <t>100% Cotton Lightweight Blanket</t>
  </si>
  <si>
    <t>PP001581;PF005313</t>
  </si>
  <si>
    <t>1/15/2021</t>
  </si>
  <si>
    <t>37310914-000-003</t>
  </si>
  <si>
    <t>1/25/2021</t>
  </si>
  <si>
    <t>CSP51N-1530</t>
  </si>
  <si>
    <t>PP001581;PF006165</t>
  </si>
  <si>
    <t>2/13/2024</t>
  </si>
  <si>
    <t>37310914-000-010</t>
  </si>
  <si>
    <t>3/20/2024</t>
  </si>
  <si>
    <t>CSP51N-1531</t>
  </si>
  <si>
    <t>AMAZON,AMAZONDS,CSNSTORES,OLLIIX</t>
  </si>
  <si>
    <t>37310914-000-009</t>
  </si>
  <si>
    <t>MP100-1188</t>
  </si>
  <si>
    <t>Gavin</t>
  </si>
  <si>
    <t>Raiston</t>
  </si>
  <si>
    <t>Faux Leather Channel Accent Armchair</t>
  </si>
  <si>
    <t>ASHFURNDS,OLLIIX</t>
  </si>
  <si>
    <t>40536421-000-000</t>
  </si>
  <si>
    <t>CCA13-0009</t>
  </si>
  <si>
    <t>Gema</t>
  </si>
  <si>
    <t>3 Piece Grey Coverlet Set</t>
  </si>
  <si>
    <t>42041895-000-002</t>
  </si>
  <si>
    <t>2/5/2024</t>
  </si>
  <si>
    <t>CCA11-0012</t>
  </si>
  <si>
    <t>42067027-000-000</t>
  </si>
  <si>
    <t>12/6/2023</t>
  </si>
  <si>
    <t>CCA13-0007</t>
  </si>
  <si>
    <t>3 Piece White Coverlet Set</t>
  </si>
  <si>
    <t>Soft White</t>
  </si>
  <si>
    <t>42041895-000-003</t>
  </si>
  <si>
    <t>CCA11-0011</t>
  </si>
  <si>
    <t>JCPENNEY01,NRTPORT,OLLIIX</t>
  </si>
  <si>
    <t>42067027-000-001</t>
  </si>
  <si>
    <t>MP41-2096</t>
  </si>
  <si>
    <t>Gemma</t>
  </si>
  <si>
    <t>Kida</t>
  </si>
  <si>
    <t>Sheer Embroidered Window Valance</t>
  </si>
  <si>
    <t>PF004018</t>
  </si>
  <si>
    <t>ASHFURNDS,BBBDROP,BLK01,JCPENNEY01,KOHLDSN,MACY02,OLLIIX,TGTDVS,WALMARTDS</t>
  </si>
  <si>
    <t>18539538-000-000</t>
  </si>
  <si>
    <t>MP10-8283</t>
  </si>
  <si>
    <t>Ada</t>
  </si>
  <si>
    <t>4 Piece Floral Comforter Set with Throw Pillow</t>
  </si>
  <si>
    <t>White/Multi</t>
  </si>
  <si>
    <t>PF006061;PP001899</t>
  </si>
  <si>
    <t>43000614-000-001</t>
  </si>
  <si>
    <t>MP12-8286</t>
  </si>
  <si>
    <t>3 Piece Floral Duvet Cover Set</t>
  </si>
  <si>
    <t>CSNSTORES,JCPENNEY01,TGTDVS</t>
  </si>
  <si>
    <t>42820354-000-000</t>
  </si>
  <si>
    <t>PET63PT6028</t>
  </si>
  <si>
    <t>Geo</t>
  </si>
  <si>
    <t>Pet Throw</t>
  </si>
  <si>
    <t>Navy/Grey</t>
  </si>
  <si>
    <t>4/14/2023</t>
  </si>
  <si>
    <t>MT95G-0081</t>
  </si>
  <si>
    <t>Gilded Nature</t>
  </si>
  <si>
    <t>Gold Metallic Leaf Panel Framed Graphic Wall Decor 3-Piece Set</t>
  </si>
  <si>
    <t>Nature</t>
  </si>
  <si>
    <t>MT Lily Pond</t>
  </si>
  <si>
    <t>2/7/2024</t>
  </si>
  <si>
    <t>43651869-000-000</t>
  </si>
  <si>
    <t>MT95G-0087</t>
  </si>
  <si>
    <t>Gilded Trio</t>
  </si>
  <si>
    <t>Gold Metallic Leaf Square Framed Graphic Wall Decor 3-Piece Set</t>
  </si>
  <si>
    <t>43651870-000-000</t>
  </si>
  <si>
    <t>MT153-0051</t>
  </si>
  <si>
    <t>Glendale</t>
  </si>
  <si>
    <t>Ribbed Ceramic Table Lamp</t>
  </si>
  <si>
    <t>10/25/2021</t>
  </si>
  <si>
    <t>CSNSTORES,KOHLDSN,OLLIIX,ROOMECOM,TGTDVS</t>
  </si>
  <si>
    <t>39048872-000-000</t>
  </si>
  <si>
    <t>MZ12-0598</t>
  </si>
  <si>
    <t>Glimmer</t>
  </si>
  <si>
    <t>Sparkle</t>
  </si>
  <si>
    <t>Dazzle</t>
  </si>
  <si>
    <t>Metallic Glitter Printed Reversible Duvet Cover Set</t>
  </si>
  <si>
    <t>PF004812</t>
  </si>
  <si>
    <t>8/14/2019</t>
  </si>
  <si>
    <t>AMAZON,AMAZONDS,BBBDROP,BLK01,CSNSTORES,JCPENNEY01,KOHLDSN,MACY02,TGTDVS</t>
  </si>
  <si>
    <t>33881128-000-001</t>
  </si>
  <si>
    <t>MP95C-0063</t>
  </si>
  <si>
    <t>Golden Harvest</t>
  </si>
  <si>
    <t>Framed Canvas 3 Piece Set</t>
  </si>
  <si>
    <t>PF001951</t>
  </si>
  <si>
    <t>19303787-000-000</t>
  </si>
  <si>
    <t>MPS107-0033</t>
  </si>
  <si>
    <t>SECTIONAL SOFA</t>
  </si>
  <si>
    <t>Sectional Sofa</t>
  </si>
  <si>
    <t>Gordon</t>
  </si>
  <si>
    <t>Modular Sofa Left Arm</t>
  </si>
  <si>
    <t>PF001251;PP000296</t>
  </si>
  <si>
    <t>5/2/2017</t>
  </si>
  <si>
    <t>MACY02F</t>
  </si>
  <si>
    <t>20562084-000-000</t>
  </si>
  <si>
    <t>12/27/2016</t>
  </si>
  <si>
    <t>MP35-7562</t>
  </si>
  <si>
    <t>Grace</t>
  </si>
  <si>
    <t>Kathryn</t>
  </si>
  <si>
    <t>Aimee</t>
  </si>
  <si>
    <t>Abstract Wave Area Rug</t>
  </si>
  <si>
    <t>9/16/2021</t>
  </si>
  <si>
    <t>BIGLOTSDS,BLK01,DESINC,JCPENNEY01,KOHLDSN,OLLIIX</t>
  </si>
  <si>
    <t>38878885-000-000</t>
  </si>
  <si>
    <t>MP35-7564</t>
  </si>
  <si>
    <t>38878885-000-001</t>
  </si>
  <si>
    <t>MP35-7563</t>
  </si>
  <si>
    <t>BIGLOTSDS,BLK01,JCPENNEY01,OLLIIX,Zulily</t>
  </si>
  <si>
    <t>38878885-000-002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</si>
  <si>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</si>
  <si>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</si>
  <si>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</si>
  <si>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</si>
  <si>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</si>
  <si>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</si>
  <si>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</si>
  <si>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</si>
  <si>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43057821-000-000</t>
  </si>
  <si>
    <t>11/21/2023</t>
  </si>
  <si>
    <t>UHK12-0228</t>
  </si>
  <si>
    <t>Floral Reversible Tufted Chenille Duvet Cover Set</t>
  </si>
  <si>
    <t>43057839-000-001</t>
  </si>
  <si>
    <t>UHK10-0227</t>
  </si>
  <si>
    <t>43057821-000-001</t>
  </si>
  <si>
    <t>UHK12-0229</t>
  </si>
  <si>
    <t>43057839-000-000</t>
  </si>
  <si>
    <t>MP13-8190</t>
  </si>
  <si>
    <t>Graham</t>
  </si>
  <si>
    <t>Arden</t>
  </si>
  <si>
    <t>Halston</t>
  </si>
  <si>
    <t>3 Piece Jacquard Patchwork Quilt Set</t>
  </si>
  <si>
    <t>PP001849;PF005922</t>
  </si>
  <si>
    <t>41028484-000-001</t>
  </si>
  <si>
    <t>1/27/2023</t>
  </si>
  <si>
    <t>8/23/2023</t>
  </si>
  <si>
    <t>UH95C-0020</t>
  </si>
  <si>
    <t>Grey Rock Garden</t>
  </si>
  <si>
    <t>Gel Coat Framed Canvas 2 Piece Set</t>
  </si>
  <si>
    <t>PP000611</t>
  </si>
  <si>
    <t>25582616-000-000</t>
  </si>
  <si>
    <t>7/11/2018</t>
  </si>
  <si>
    <t>MP95C-0330</t>
  </si>
  <si>
    <t>Grumpy Cats</t>
  </si>
  <si>
    <t>I Don't Care Canvas Wall Art</t>
  </si>
  <si>
    <t>I Don't Care/Multi</t>
  </si>
  <si>
    <t>Transitional|Modern/Contemporary</t>
  </si>
  <si>
    <t>1/6/2024</t>
  </si>
  <si>
    <t>43440164-000-005</t>
  </si>
  <si>
    <t>MP95C-0335</t>
  </si>
  <si>
    <t>I'm Not Listening Canvas Wall Art</t>
  </si>
  <si>
    <t>I'm Not Listening/Multi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</si>
  <si>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</si>
  <si>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</si>
  <si>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</si>
  <si>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</si>
  <si>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</si>
  <si>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</si>
  <si>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</si>
  <si>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</si>
  <si>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</si>
  <si>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</si>
  <si>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</si>
  <si>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</si>
  <si>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</si>
  <si>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</si>
  <si>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</si>
  <si>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</si>
  <si>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</si>
  <si>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</si>
  <si>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</si>
  <si>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</si>
  <si>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</si>
  <si>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BR13-3873</t>
  </si>
  <si>
    <t>Guthrie</t>
  </si>
  <si>
    <t>3 Piece Striated Cationic Dyed Oversized Quilt Set</t>
  </si>
  <si>
    <t>PP001829;PF005871</t>
  </si>
  <si>
    <t>BBBDROP,CSNSTORES,JCPENNEY01,KOHLDSN,OLLIIX,TGTDVS</t>
  </si>
  <si>
    <t>40849411-000-003</t>
  </si>
  <si>
    <t>BR13-3874</t>
  </si>
  <si>
    <t>PP001829;PF005872</t>
  </si>
  <si>
    <t>40849411-000-002</t>
  </si>
  <si>
    <t>5/21/2023</t>
  </si>
  <si>
    <t>BR13-3875</t>
  </si>
  <si>
    <t>40849411-000-001</t>
  </si>
  <si>
    <t>5/8/2023</t>
  </si>
  <si>
    <t>ID10-2330</t>
  </si>
  <si>
    <t>Gwen</t>
  </si>
  <si>
    <t>Brynn</t>
  </si>
  <si>
    <t>Mina</t>
  </si>
  <si>
    <t>Mushroom Garden Comforter Set</t>
  </si>
  <si>
    <t>PF006202</t>
  </si>
  <si>
    <t>43791772-000-001</t>
  </si>
  <si>
    <t>ID10-2331</t>
  </si>
  <si>
    <t>43791772-000-000</t>
  </si>
  <si>
    <t>5DS153-0030</t>
  </si>
  <si>
    <t>Gypsy</t>
  </si>
  <si>
    <t>Embossed Boho Table Lamp</t>
  </si>
  <si>
    <t>12/7/2018</t>
  </si>
  <si>
    <t>7/11/2024</t>
  </si>
  <si>
    <t>CSNSTORES,JCPENNEY01,KIRKLANDDS,OLLIIX,ROOMECOM,TGTDVS</t>
  </si>
  <si>
    <t>31694933-000-000</t>
  </si>
  <si>
    <t>1/11/2019</t>
  </si>
  <si>
    <t>1/29/2019</t>
  </si>
  <si>
    <t>TN50-0482</t>
  </si>
  <si>
    <t>Hadly</t>
  </si>
  <si>
    <t>Wearable Multipurpose Throw</t>
  </si>
  <si>
    <t>62x68"</t>
  </si>
  <si>
    <t>PP001804;PF005795</t>
  </si>
  <si>
    <t>CSNSTORES,KOHLDSN,MACY02,Zulily</t>
  </si>
  <si>
    <t>40804224-000-002</t>
  </si>
  <si>
    <t>TN50-0483</t>
  </si>
  <si>
    <t>PP001804;PF005796</t>
  </si>
  <si>
    <t>MACY02,Zulily</t>
  </si>
  <si>
    <t>40804224-000-001</t>
  </si>
  <si>
    <t>TN50-0484</t>
  </si>
  <si>
    <t>PP001804;PF005797</t>
  </si>
  <si>
    <t>KOHLDSN,MACY02,OLLIIX,TGTDVS,Zulily</t>
  </si>
  <si>
    <t>40804224-000-000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</si>
  <si>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</si>
  <si>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</si>
  <si>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</si>
  <si>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</si>
  <si>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</si>
  <si>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</si>
  <si>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</si>
  <si>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38754848-000-001</t>
  </si>
  <si>
    <t>1/9/2023</t>
  </si>
  <si>
    <t>MP35-7592</t>
  </si>
  <si>
    <t>38754848-000-003</t>
  </si>
  <si>
    <t>2/7/2022</t>
  </si>
  <si>
    <t>MP35-7590</t>
  </si>
  <si>
    <t>Runner</t>
  </si>
  <si>
    <t>BIGLOTSDS,CSNSTORES</t>
  </si>
  <si>
    <t>38754848-000-000</t>
  </si>
  <si>
    <t>2/16/2023</t>
  </si>
  <si>
    <t>MT100-0069</t>
  </si>
  <si>
    <t>Halleck</t>
  </si>
  <si>
    <t>2/6/2020</t>
  </si>
  <si>
    <t>AMAZONDS,ASHFURNDS,CSNSTORES,OLLIIX</t>
  </si>
  <si>
    <t>35543190-000-000</t>
  </si>
  <si>
    <t>5/4/2020</t>
  </si>
  <si>
    <t>NS12-3252</t>
  </si>
  <si>
    <t>Hanae</t>
  </si>
  <si>
    <t>Cotton Blend Yarn Dyed 3 Piece Duvet Cover Set</t>
  </si>
  <si>
    <t>PP000991;PF004456</t>
  </si>
  <si>
    <t>DESINC,KOHLDSN,MACY02,OLLIIX</t>
  </si>
  <si>
    <t>29058248-000-000</t>
  </si>
  <si>
    <t>11/2/2018</t>
  </si>
  <si>
    <t>MP104-0392</t>
  </si>
  <si>
    <t>Hancock</t>
  </si>
  <si>
    <t>Irvine</t>
  </si>
  <si>
    <t>Silloth</t>
  </si>
  <si>
    <t>High Wingback Button Tufted Upholstered 30" Swivel Bar Stool with Nailhead Accent</t>
  </si>
  <si>
    <t>Camel/Brown</t>
  </si>
  <si>
    <t>PP000169</t>
  </si>
  <si>
    <t>LAMPDS,MACY02F,OLLIIX,ROOMECOM</t>
  </si>
  <si>
    <t>25456815-000-000</t>
  </si>
  <si>
    <t>12/19/2017</t>
  </si>
  <si>
    <t>MP35-7577</t>
  </si>
  <si>
    <t>Reese</t>
  </si>
  <si>
    <t>Jessica</t>
  </si>
  <si>
    <t>Moroccan Global Woven Area Rug</t>
  </si>
  <si>
    <t>BIGLOTSDS,CSNSTORES,KIRKLANDDS,OLLIIX</t>
  </si>
  <si>
    <t>38658555-000-003</t>
  </si>
  <si>
    <t>MP35-7578</t>
  </si>
  <si>
    <t>AMAZON,BIGLOTSDS,CSNSTORES,HDDS,KOHLDSN,OLLIIX</t>
  </si>
  <si>
    <t>38658555-000-001</t>
  </si>
  <si>
    <t>MP35-7579</t>
  </si>
  <si>
    <t>BIGLOTSDS,CSNSTORES,JCPENNEY01,KIRKLANDDS,KOHLDSN</t>
  </si>
  <si>
    <t>38658555-000-002</t>
  </si>
  <si>
    <t>MP35-7580</t>
  </si>
  <si>
    <t>38658555-000-004</t>
  </si>
  <si>
    <t>MP35-8019</t>
  </si>
  <si>
    <t>PF005776;PP001793</t>
  </si>
  <si>
    <t>38658555-000-014</t>
  </si>
  <si>
    <t>MP35-8018</t>
  </si>
  <si>
    <t>38658555-000-007</t>
  </si>
  <si>
    <t>MP35-8020</t>
  </si>
  <si>
    <t>38658555-000-005</t>
  </si>
  <si>
    <t>MP35-8021</t>
  </si>
  <si>
    <t>38658555-000-006</t>
  </si>
  <si>
    <t>MP35-8022</t>
  </si>
  <si>
    <t>38658555-000-012</t>
  </si>
  <si>
    <t>12/3/2022</t>
  </si>
  <si>
    <t>MP35-8024</t>
  </si>
  <si>
    <t>Light Grey/Cream</t>
  </si>
  <si>
    <t>PF005777;PP001793</t>
  </si>
  <si>
    <t>BIGLOTSDS,JCPENNEY01,OLLIIX</t>
  </si>
  <si>
    <t>38658555-000-010</t>
  </si>
  <si>
    <t>MP35-8023</t>
  </si>
  <si>
    <t>CSNSTORES,KIRKLANDDS</t>
  </si>
  <si>
    <t>38658555-000-013</t>
  </si>
  <si>
    <t>MP35-8025</t>
  </si>
  <si>
    <t>CSNSTORES,KOHLDSN,NRTPORT</t>
  </si>
  <si>
    <t>38658555-000-011</t>
  </si>
  <si>
    <t>MP35-8026</t>
  </si>
  <si>
    <t>CSNSTORES,JCPENNEY01,KOHLDSN,NRTPORT</t>
  </si>
  <si>
    <t>38658555-000-008</t>
  </si>
  <si>
    <t>MP35-8027</t>
  </si>
  <si>
    <t>CSNSTORES,JCPENNEY01,KIRKLANDDS,OLLIIX,Zulily</t>
  </si>
  <si>
    <t>38658555-000-009</t>
  </si>
  <si>
    <t>MP35-7582</t>
  </si>
  <si>
    <t>Harley</t>
  </si>
  <si>
    <t>Marie</t>
  </si>
  <si>
    <t>Keighley</t>
  </si>
  <si>
    <t>Abstract Area Rug</t>
  </si>
  <si>
    <t>38665291-000-004</t>
  </si>
  <si>
    <t>8/10/2021</t>
  </si>
  <si>
    <t>MP13-8307</t>
  </si>
  <si>
    <t>Harlow</t>
  </si>
  <si>
    <t>Raine</t>
  </si>
  <si>
    <t>Lux</t>
  </si>
  <si>
    <t>3 Piece Reversible Matelasse Coverlet Set</t>
  </si>
  <si>
    <t>PP001908;PF006089</t>
  </si>
  <si>
    <t>42825150-000-003</t>
  </si>
  <si>
    <t>MP13-8308</t>
  </si>
  <si>
    <t>KOHLDSN,OLLIIX,TGTDVS</t>
  </si>
  <si>
    <t>42825150-000-002</t>
  </si>
  <si>
    <t>MP13-8309</t>
  </si>
  <si>
    <t>PP001908;PF006090</t>
  </si>
  <si>
    <t>10/26/2023</t>
  </si>
  <si>
    <t>CSNSTORES,JCPENNEY01,OLLIIX</t>
  </si>
  <si>
    <t>42825150-000-001</t>
  </si>
  <si>
    <t>MP13-8310</t>
  </si>
  <si>
    <t>BLK01,CSNSTORES,JCPENNEY01,KOHLDSN,OLLIIX,TGTDVS</t>
  </si>
  <si>
    <t>42825150-000-000</t>
  </si>
  <si>
    <t>MP40-4486</t>
  </si>
  <si>
    <t>Kaylee</t>
  </si>
  <si>
    <t>Solid Crushed Curtain Panel Pair</t>
  </si>
  <si>
    <t>PF003910</t>
  </si>
  <si>
    <t>7/14/2017</t>
  </si>
  <si>
    <t>AMAZONDS,ASHFURNDS,BLK01,JCPENNEY01,KOHLDSN,OLLIIX,TGTDVS</t>
  </si>
  <si>
    <t>23304113-000-002</t>
  </si>
  <si>
    <t>9/7/2017</t>
  </si>
  <si>
    <t>CH10-013</t>
  </si>
  <si>
    <t>Oversized Cotton Matelasse Comforter Set</t>
  </si>
  <si>
    <t>PF006289</t>
  </si>
  <si>
    <t>CH10-014</t>
  </si>
  <si>
    <t>MP40-4501</t>
  </si>
  <si>
    <t>PF003912</t>
  </si>
  <si>
    <t>ASHFURNDS,BBBDROP,BIGLOTSDS,CSNSTORES,JCPENNEY01,KOHLDSN,MACY02,TGTDVS</t>
  </si>
  <si>
    <t>23304113-000-017</t>
  </si>
  <si>
    <t>MP40-4496</t>
  </si>
  <si>
    <t>PF003913</t>
  </si>
  <si>
    <t>23304113-000-012</t>
  </si>
  <si>
    <t>8/11/2017</t>
  </si>
  <si>
    <t>MP40-4497</t>
  </si>
  <si>
    <t>23304113-000-013</t>
  </si>
  <si>
    <t>MP103-1230</t>
  </si>
  <si>
    <t>Harris</t>
  </si>
  <si>
    <t>Lois</t>
  </si>
  <si>
    <t>Sidney</t>
  </si>
  <si>
    <t>PF001115;PP000172</t>
  </si>
  <si>
    <t>5/28/2021</t>
  </si>
  <si>
    <t>4/24/2024</t>
  </si>
  <si>
    <t>MT105-1215</t>
  </si>
  <si>
    <t>Harstrom</t>
  </si>
  <si>
    <t>Soft Close Storage Bench</t>
  </si>
  <si>
    <t>MP50-8241</t>
  </si>
  <si>
    <t>Haven</t>
  </si>
  <si>
    <t>Amaya</t>
  </si>
  <si>
    <t>Faux Fur Throw 50x60"</t>
  </si>
  <si>
    <t>PP001877;PF005989</t>
  </si>
  <si>
    <t>7/6/2023</t>
  </si>
  <si>
    <t>42014984-000-000</t>
  </si>
  <si>
    <t>10/2/2023</t>
  </si>
  <si>
    <t>MP50-8240</t>
  </si>
  <si>
    <t>BLK01,JCPENNEY01,MACY02,OLLIIX,TGTDVS</t>
  </si>
  <si>
    <t>42014984-000-001</t>
  </si>
  <si>
    <t>MP40-4599</t>
  </si>
  <si>
    <t>Hayden</t>
  </si>
  <si>
    <t>Jacey</t>
  </si>
  <si>
    <t>Woven Faux Linen Striped Window Sheer</t>
  </si>
  <si>
    <t>PF003929;PP001544</t>
  </si>
  <si>
    <t>AMAZON,AMAZONDS,ASHFURNDS,BBBDROP,BLK01,CSNSTORES,JCPENNEY01,KIRKLANDDS,KOHLDSN,OLLIIX</t>
  </si>
  <si>
    <t>22976432-000-001</t>
  </si>
  <si>
    <t>MP40-4601</t>
  </si>
  <si>
    <t>PF003931</t>
  </si>
  <si>
    <t>22976432-000-003</t>
  </si>
  <si>
    <t>II12-1164</t>
  </si>
  <si>
    <t>Chenille 3 Piece Cotton Duvet Cover Set</t>
  </si>
  <si>
    <t>PP001587;PF005332</t>
  </si>
  <si>
    <t>CSNSTORES,JCPENNEY01,MACY02,TGTDVS,ZOLA</t>
  </si>
  <si>
    <t>37689641-000-000</t>
  </si>
  <si>
    <t>MP40-5617</t>
  </si>
  <si>
    <t>Jax</t>
  </si>
  <si>
    <t>Ren</t>
  </si>
  <si>
    <t>Cotton Duck Printed Grommet Window Curtain Set of 2</t>
  </si>
  <si>
    <t>PP000852;PF004191</t>
  </si>
  <si>
    <t>2/20/2018</t>
  </si>
  <si>
    <t>BLK01,CSNSTORES,JCPENNEY01,KIRKLANDDS,KOHLDSN,WALMARTDS</t>
  </si>
  <si>
    <t>26449604-000-003</t>
  </si>
  <si>
    <t>3/16/2018</t>
  </si>
  <si>
    <t>3/22/2018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</si>
  <si>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</si>
  <si>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</si>
  <si>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</si>
  <si>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</si>
  <si>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</si>
  <si>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10/21/2018</t>
  </si>
  <si>
    <t>BR54-0377</t>
  </si>
  <si>
    <t>Heated Microlight to Berber</t>
  </si>
  <si>
    <t>PF003601</t>
  </si>
  <si>
    <t>AMAZON,KOHLDSN,MACY02,OLLIIX,WALMARTDS</t>
  </si>
  <si>
    <t>16659779-000-000</t>
  </si>
  <si>
    <t>BR54-0378</t>
  </si>
  <si>
    <t>AMAZON,BBBDROP,JCPENNEY01,KOHLDSN,MACY02,OLLIIX,TGTDVS</t>
  </si>
  <si>
    <t>16659779-000-001</t>
  </si>
  <si>
    <t>BR54-0380</t>
  </si>
  <si>
    <t>10/11/2017</t>
  </si>
  <si>
    <t>AMAZON,BBBDROP,CSNSTORES,FINGERHUTDS,JCPENNEY01,KOHLDSN,MACY02,OLLIIX,TGTDVS</t>
  </si>
  <si>
    <t>16659779-000-003</t>
  </si>
  <si>
    <t>BR54-0385</t>
  </si>
  <si>
    <t>PF003603</t>
  </si>
  <si>
    <t>AMAZON,KOHLDSN,WALMARTDS</t>
  </si>
  <si>
    <t>16659779-000-008</t>
  </si>
  <si>
    <t>BR54-0647</t>
  </si>
  <si>
    <t>PF003607</t>
  </si>
  <si>
    <t>4/14/2017</t>
  </si>
  <si>
    <t>AMAZON,BBBDROP,KOHLDSN,NORDSTRACKDS,WALMARTDS</t>
  </si>
  <si>
    <t>16659779-000-021</t>
  </si>
  <si>
    <t>BR54-0650</t>
  </si>
  <si>
    <t>PF003608</t>
  </si>
  <si>
    <t>AMAZON,CSNSTORES,HDDS,JCPENNEY01,KOHLDSN,TGTDVS</t>
  </si>
  <si>
    <t>16659779-000-024</t>
  </si>
  <si>
    <t>9/6/2016</t>
  </si>
  <si>
    <t>BR54-1942</t>
  </si>
  <si>
    <t>PP001523;PF005169</t>
  </si>
  <si>
    <t>AMAZON,BBBDROP,FINGERHUTDS,JCPENNEY01,KOHLDSN,OLLIIX</t>
  </si>
  <si>
    <t>16659779-000-032</t>
  </si>
  <si>
    <t>9/22/2020</t>
  </si>
  <si>
    <t>BR54-1943</t>
  </si>
  <si>
    <t>AMAZON,BBBDROP,BLK01,CSNSTORES,HDDS,JCPENNEY01,MACY02,TGTDVS</t>
  </si>
  <si>
    <t>16659779-000-033</t>
  </si>
  <si>
    <t>9/18/2020</t>
  </si>
  <si>
    <t>BR54-0389</t>
  </si>
  <si>
    <t>PF003604</t>
  </si>
  <si>
    <t>AMAZON,FINGERHUTDS,HSNDS,JCPENNEY01,KOHLDSN,MACY02,OLLIIX</t>
  </si>
  <si>
    <t>16659779-000-012</t>
  </si>
  <si>
    <t>BR54-0390</t>
  </si>
  <si>
    <t>AMAZON,BLOOM02,KOHLDSN,OLLIIX,TGTDVS</t>
  </si>
  <si>
    <t>16659779-000-013</t>
  </si>
  <si>
    <t>8/6/2015</t>
  </si>
  <si>
    <t>BR54-0391</t>
  </si>
  <si>
    <t>AMAZON,KOHLDSN,MACY02,TGTDVS,WALMARTDS</t>
  </si>
  <si>
    <t>16659779-000-014</t>
  </si>
  <si>
    <t>BR54-0392</t>
  </si>
  <si>
    <t>4/20/2017</t>
  </si>
  <si>
    <t>AMAZON,AMAZONDS,BBBDROP,HDDS,JCPENNEY01,MACY02,WALMARTDS</t>
  </si>
  <si>
    <t>16659779-000-015</t>
  </si>
  <si>
    <t>BR54-0381</t>
  </si>
  <si>
    <t>PF003602</t>
  </si>
  <si>
    <t>AMAZON,BLOOM02,JCPENNEY01,OLLIIX,TGTDVS,WALMARTDS</t>
  </si>
  <si>
    <t>16659779-000-004</t>
  </si>
  <si>
    <t>BR54-0539</t>
  </si>
  <si>
    <t>Electric Throw</t>
  </si>
  <si>
    <t>Heated Ogee</t>
  </si>
  <si>
    <t>60x70"</t>
  </si>
  <si>
    <t>PF003426</t>
  </si>
  <si>
    <t>BBBDROP,BLK01,CSNSTORES,KOHLDSN,MACY02,TGTDVS,WALMARTDS</t>
  </si>
  <si>
    <t>17651648-000-001</t>
  </si>
  <si>
    <t>9/24/2015</t>
  </si>
  <si>
    <t>BR54-0542</t>
  </si>
  <si>
    <t>PF003429</t>
  </si>
  <si>
    <t>17651648-000-004</t>
  </si>
  <si>
    <t>9/29/2015</t>
  </si>
  <si>
    <t>BR54-0666</t>
  </si>
  <si>
    <t>PF003430</t>
  </si>
  <si>
    <t>AMAZON,BBBDROP,BLK01,HDDS,HSNDS,KOHLDSN,MACY02,TGTDVS</t>
  </si>
  <si>
    <t>17651648-000-005</t>
  </si>
  <si>
    <t>BR54-0540</t>
  </si>
  <si>
    <t>PF003427</t>
  </si>
  <si>
    <t>AMAZON,AMAZONDS,BBBDROP,KOHLDSN,MACY02,OLLIIX,TGTDVS,WALMARTDS</t>
  </si>
  <si>
    <t>17651648-000-002</t>
  </si>
  <si>
    <t>BR54-0513</t>
  </si>
  <si>
    <t>Heated Plush</t>
  </si>
  <si>
    <t>PF003417</t>
  </si>
  <si>
    <t>17632904-000-000</t>
  </si>
  <si>
    <t>9/21/2015</t>
  </si>
  <si>
    <t>BR54-0521</t>
  </si>
  <si>
    <t>PF003419</t>
  </si>
  <si>
    <t>17632904-000-008</t>
  </si>
  <si>
    <t>BR54-0522</t>
  </si>
  <si>
    <t>17632904-000-009</t>
  </si>
  <si>
    <t>11/6/2015</t>
  </si>
  <si>
    <t>BR54-0517</t>
  </si>
  <si>
    <t>PF003418</t>
  </si>
  <si>
    <t>17632904-000-004</t>
  </si>
  <si>
    <t>12/1/2015</t>
  </si>
  <si>
    <t>WR54-1756</t>
  </si>
  <si>
    <t>Heated Plush to Berber</t>
  </si>
  <si>
    <t>Garnet</t>
  </si>
  <si>
    <t>PF003612</t>
  </si>
  <si>
    <t>AMAZONDS,FINGERHUTDS,KOHLDSN,TGTDVS</t>
  </si>
  <si>
    <t>19299771-000-017</t>
  </si>
  <si>
    <t>8/20/2016</t>
  </si>
  <si>
    <t>8/26/2016</t>
  </si>
  <si>
    <t>WR54-1757</t>
  </si>
  <si>
    <t>AMAZON,JCPENNEY01,KOHLDSN,WALMARTDS</t>
  </si>
  <si>
    <t>19299771-000-018</t>
  </si>
  <si>
    <t>8/24/2016</t>
  </si>
  <si>
    <t>WR54-1758</t>
  </si>
  <si>
    <t>19299771-000-019</t>
  </si>
  <si>
    <t>12/16/2016</t>
  </si>
  <si>
    <t>WR54-1767</t>
  </si>
  <si>
    <t>PF003581</t>
  </si>
  <si>
    <t>19267553-000-000</t>
  </si>
  <si>
    <t>9/1/2016</t>
  </si>
  <si>
    <t>WR54-1761</t>
  </si>
  <si>
    <t>PF003614</t>
  </si>
  <si>
    <t>AMAZON,JCPENNEY01,KOHLDSN</t>
  </si>
  <si>
    <t>19299771-000-022</t>
  </si>
  <si>
    <t>11/26/2016</t>
  </si>
  <si>
    <t>WR54-1768</t>
  </si>
  <si>
    <t>Sapphire Blue</t>
  </si>
  <si>
    <t>PF003577</t>
  </si>
  <si>
    <t>AMAZON,BBBDROP,BLK01,CSNSTORES,KOHLDSN,MACY02,TGTDVS</t>
  </si>
  <si>
    <t>19267553-000-001</t>
  </si>
  <si>
    <t>WR54-1747</t>
  </si>
  <si>
    <t>PF003610</t>
  </si>
  <si>
    <t>AMAZON,JCPENNEY01</t>
  </si>
  <si>
    <t>19299771-000-008</t>
  </si>
  <si>
    <t>12/12/2016</t>
  </si>
  <si>
    <t>TN10-0539</t>
  </si>
  <si>
    <t>Heavy Warmth</t>
  </si>
  <si>
    <t>Goose Feather and Down Oversize Comforter</t>
  </si>
  <si>
    <t>PP001803;PF006107</t>
  </si>
  <si>
    <t>AMAZON,CSNSTORES,MACY02</t>
  </si>
  <si>
    <t>40804196-000-004</t>
  </si>
  <si>
    <t>TN10-0541</t>
  </si>
  <si>
    <t>40804196-000-007</t>
  </si>
  <si>
    <t>TN10-0537</t>
  </si>
  <si>
    <t>PP001803;PF006106</t>
  </si>
  <si>
    <t>AMAZON,KOHLDSN,MACY02</t>
  </si>
  <si>
    <t>40804196-000-006</t>
  </si>
  <si>
    <t>12/3/2023</t>
  </si>
  <si>
    <t>TN10-0489</t>
  </si>
  <si>
    <t>PP001803;PF005794</t>
  </si>
  <si>
    <t>40804196-000-002</t>
  </si>
  <si>
    <t>TN10-0490</t>
  </si>
  <si>
    <t>AMAZON,JCPENNEY01,KOHLDSN,MACY02,OLLIIX,TGTDVS</t>
  </si>
  <si>
    <t>40804196-000-000</t>
  </si>
  <si>
    <t>MPS104-0301</t>
  </si>
  <si>
    <t>Helena</t>
  </si>
  <si>
    <t>25.5" Upholstered Counter Stool</t>
  </si>
  <si>
    <t>39542447-000-000</t>
  </si>
  <si>
    <t>2/8/2022</t>
  </si>
  <si>
    <t>9/13/2022</t>
  </si>
  <si>
    <t>II104-0463</t>
  </si>
  <si>
    <t>Henrick</t>
  </si>
  <si>
    <t>1/10/2022</t>
  </si>
  <si>
    <t>CSNSTORES,OLLIIX,TGTDVS,ZOLA</t>
  </si>
  <si>
    <t>39490814-000-000</t>
  </si>
  <si>
    <t>1/12/2022</t>
  </si>
  <si>
    <t>MP100-0617</t>
  </si>
  <si>
    <t>Heston</t>
  </si>
  <si>
    <t>Lea</t>
  </si>
  <si>
    <t>Kileen</t>
  </si>
  <si>
    <t>ASHFURNDS,CSNSTORES,OLLIIX,TGTDVS</t>
  </si>
  <si>
    <t>26113868-000-000</t>
  </si>
  <si>
    <t>2/16/2018</t>
  </si>
  <si>
    <t>6/22/2018</t>
  </si>
  <si>
    <t>BASI16-0237</t>
  </si>
  <si>
    <t>Highline</t>
  </si>
  <si>
    <t>Montview</t>
  </si>
  <si>
    <t>3M Microfiber Mattress Pad</t>
  </si>
  <si>
    <t>PF002082</t>
  </si>
  <si>
    <t>BBBDROP,BIGLOTSDS,BLK01,CSNSTORES,JCPENNEY01,KOHLDSN,MACY02,OLLIIX,TGTDVS</t>
  </si>
  <si>
    <t>16347369-000-001</t>
  </si>
  <si>
    <t>MP10-8264</t>
  </si>
  <si>
    <t>Hollis</t>
  </si>
  <si>
    <t>Sherpa Comforter Set</t>
  </si>
  <si>
    <t>PP001895;PF006045</t>
  </si>
  <si>
    <t>7/19/2023</t>
  </si>
  <si>
    <t>42124120-000-002</t>
  </si>
  <si>
    <t>MP10-8277</t>
  </si>
  <si>
    <t>Honeycomb Textured</t>
  </si>
  <si>
    <t>PP001896;PF006053</t>
  </si>
  <si>
    <t>BLK01,KOHLDSN,MACY02</t>
  </si>
  <si>
    <t>42617993-000-000</t>
  </si>
  <si>
    <t>WR13-3473</t>
  </si>
  <si>
    <t>Quilt</t>
  </si>
  <si>
    <t>Oversized Cotton Quilt Mini Set</t>
  </si>
  <si>
    <t>PP001705;PF005622</t>
  </si>
  <si>
    <t>9/20/2021</t>
  </si>
  <si>
    <t>AMAZON,AMAZONDS,JCPENNEY01,KOHLDSN,MACY02,OLLIIX,TGTDVS</t>
  </si>
  <si>
    <t>38897999-000-000</t>
  </si>
  <si>
    <t>9/27/2021</t>
  </si>
  <si>
    <t>2/25/2022</t>
  </si>
  <si>
    <t>WR10-3854</t>
  </si>
  <si>
    <t>Hudson Valley</t>
  </si>
  <si>
    <t>Grey/Black Buffalo Check</t>
  </si>
  <si>
    <t>PP001847;PF005908</t>
  </si>
  <si>
    <t>9/2/2022</t>
  </si>
  <si>
    <t>AMAZONDS,CSNSTORES,DESINC,JCPENNEY01,MACY02,OLLIIX,TGTDVS</t>
  </si>
  <si>
    <t>40366198-000-003</t>
  </si>
  <si>
    <t>10/31/2022</t>
  </si>
  <si>
    <t>UH95G-0034</t>
  </si>
  <si>
    <t>Humming Birds</t>
  </si>
  <si>
    <t>2-Piece Framed Graphics Wall Art Set</t>
  </si>
  <si>
    <t>Neutral</t>
  </si>
  <si>
    <t>8/18/2023</t>
  </si>
  <si>
    <t>42149176-000-000</t>
  </si>
  <si>
    <t>WR50-1783</t>
  </si>
  <si>
    <t>Huntington</t>
  </si>
  <si>
    <t>Quilted Throw</t>
  </si>
  <si>
    <t>PF003308</t>
  </si>
  <si>
    <t>AMAZON,BLK01,JCPENNEY01,KOHLDSN</t>
  </si>
  <si>
    <t>19409336-000-000</t>
  </si>
  <si>
    <t>9/12/2016</t>
  </si>
  <si>
    <t>MPS108-0152</t>
  </si>
  <si>
    <t>Hutton</t>
  </si>
  <si>
    <t>Dining Side Chair (set of 2)</t>
  </si>
  <si>
    <t>CSNSTORES,KOHLDSN,MACY02F,OLLIIX,TGTDVS</t>
  </si>
  <si>
    <t>24253257-000-000</t>
  </si>
  <si>
    <t>6/25/2018</t>
  </si>
  <si>
    <t>MP12-8339</t>
  </si>
  <si>
    <t>Ibiza</t>
  </si>
  <si>
    <t>Alba</t>
  </si>
  <si>
    <t>Triana</t>
  </si>
  <si>
    <t>4 Piece Printed Duvet Cover Set with Throw Pillow</t>
  </si>
  <si>
    <t>PP001913;PF006112</t>
  </si>
  <si>
    <t>1/31/2024</t>
  </si>
  <si>
    <t>OLLIIX,TGTDVS</t>
  </si>
  <si>
    <t>43642761-000-000</t>
  </si>
  <si>
    <t>MP10-8338</t>
  </si>
  <si>
    <t>4 Piece Printed Comforter Set with Throw Pillow</t>
  </si>
  <si>
    <t>43626571-000-001</t>
  </si>
  <si>
    <t>MP12-8340</t>
  </si>
  <si>
    <t>43642761-000-001</t>
  </si>
  <si>
    <t>LAF04-0017</t>
  </si>
  <si>
    <t>II000133</t>
  </si>
  <si>
    <t>Cotton Solid Terry Robe</t>
  </si>
  <si>
    <t>S/M</t>
  </si>
  <si>
    <t>7/20/2024</t>
  </si>
  <si>
    <t>37254726-000-001</t>
  </si>
  <si>
    <t>12/16/2020</t>
  </si>
  <si>
    <t>12/28/2020</t>
  </si>
  <si>
    <t>LAF04-0018</t>
  </si>
  <si>
    <t>L/XL</t>
  </si>
  <si>
    <t>37254726-000-000</t>
  </si>
  <si>
    <t>3/8/2021</t>
  </si>
  <si>
    <t>II04-3015</t>
  </si>
  <si>
    <t>Cotton Terry Solid Robe</t>
  </si>
  <si>
    <t>Mint</t>
  </si>
  <si>
    <t>43658574-000-000</t>
  </si>
  <si>
    <t>II04-3016</t>
  </si>
  <si>
    <t>43658574-000-001</t>
  </si>
  <si>
    <t>LAF04-0019</t>
  </si>
  <si>
    <t>37254725-000-001</t>
  </si>
  <si>
    <t>3/5/2021</t>
  </si>
  <si>
    <t>LAF04-0020</t>
  </si>
  <si>
    <t>37254725-000-000</t>
  </si>
  <si>
    <t>II04-6823</t>
  </si>
  <si>
    <t>II000188</t>
  </si>
  <si>
    <t>Waffle Robe</t>
  </si>
  <si>
    <t>Blue 400</t>
  </si>
  <si>
    <t>43634614-000-000</t>
  </si>
  <si>
    <t>II04-6828</t>
  </si>
  <si>
    <t>Rose 661</t>
  </si>
  <si>
    <t>43634614-000-001</t>
  </si>
  <si>
    <t>II04-6825</t>
  </si>
  <si>
    <t>White 100</t>
  </si>
  <si>
    <t>43634614-000-004</t>
  </si>
  <si>
    <t>II04-6826</t>
  </si>
  <si>
    <t>43634614-000-003</t>
  </si>
  <si>
    <t>II04-3014</t>
  </si>
  <si>
    <t>II000350</t>
  </si>
  <si>
    <t>100% Cotton Solid Terry Wrap W/Straps(roll pack) W/Hanger</t>
  </si>
  <si>
    <t>43658575-000-000</t>
  </si>
  <si>
    <t>II04-2462</t>
  </si>
  <si>
    <t>100% Cotton Solid Terry Wrap W/Straps No Hanger (No roll pack)</t>
  </si>
  <si>
    <t>Rose</t>
  </si>
  <si>
    <t>37254655-000-000</t>
  </si>
  <si>
    <t>2/2/2021</t>
  </si>
  <si>
    <t>2/8/2021</t>
  </si>
  <si>
    <t>II04-1260</t>
  </si>
  <si>
    <t>43658576-000-000</t>
  </si>
  <si>
    <t>II04-6819</t>
  </si>
  <si>
    <t>II000380</t>
  </si>
  <si>
    <t>Waffle Wrap</t>
  </si>
  <si>
    <t>43634613-000-002</t>
  </si>
  <si>
    <t>II04-6820</t>
  </si>
  <si>
    <t>Mint 321</t>
  </si>
  <si>
    <t>43634613-000-000</t>
  </si>
  <si>
    <t>II04-6817</t>
  </si>
  <si>
    <t>43634613-000-001</t>
  </si>
  <si>
    <t>II04-1585</t>
  </si>
  <si>
    <t>II317125</t>
  </si>
  <si>
    <t>L/S Paisley Print Lite Micro 42" Robe</t>
  </si>
  <si>
    <t>Bedouin blue 447</t>
  </si>
  <si>
    <t>43663099-000-003</t>
  </si>
  <si>
    <t>II04-1586</t>
  </si>
  <si>
    <t>43663099-000-002</t>
  </si>
  <si>
    <t>II04-1587</t>
  </si>
  <si>
    <t>Bedouin gray 057</t>
  </si>
  <si>
    <t>43663099-000-000</t>
  </si>
  <si>
    <t>3/7/2024</t>
  </si>
  <si>
    <t>II04-8040</t>
  </si>
  <si>
    <t>II422101</t>
  </si>
  <si>
    <t>Women's printed plush robe</t>
  </si>
  <si>
    <t>5/13/2022</t>
  </si>
  <si>
    <t>43663532-000-007</t>
  </si>
  <si>
    <t>II04-8041</t>
  </si>
  <si>
    <t>43663532-000-001</t>
  </si>
  <si>
    <t>II04-8038</t>
  </si>
  <si>
    <t>Scrolls</t>
  </si>
  <si>
    <t>43663532-000-006</t>
  </si>
  <si>
    <t>II04-8039</t>
  </si>
  <si>
    <t>43663532-000-005</t>
  </si>
  <si>
    <t>II04-8044</t>
  </si>
  <si>
    <t>Winter Damask</t>
  </si>
  <si>
    <t>5/18/2022</t>
  </si>
  <si>
    <t>43663532-000-000</t>
  </si>
  <si>
    <t>II04-8045</t>
  </si>
  <si>
    <t>43663532-000-004</t>
  </si>
  <si>
    <t>II04-8046</t>
  </si>
  <si>
    <t>Winter Floral</t>
  </si>
  <si>
    <t>43663532-000-002</t>
  </si>
  <si>
    <t>II04-8047</t>
  </si>
  <si>
    <t>43663532-000-003</t>
  </si>
  <si>
    <t>II04-8099</t>
  </si>
  <si>
    <t>II422156</t>
  </si>
  <si>
    <t>Women's Zip front plush robe</t>
  </si>
  <si>
    <t>XS</t>
  </si>
  <si>
    <t>Chalky Rose</t>
  </si>
  <si>
    <t>43639017-000-006</t>
  </si>
  <si>
    <t>II04-8100</t>
  </si>
  <si>
    <t>43639017-000-002</t>
  </si>
  <si>
    <t>II04-8101</t>
  </si>
  <si>
    <t>43639017-000-004</t>
  </si>
  <si>
    <t>II04-8102</t>
  </si>
  <si>
    <t>43639017-000-005</t>
  </si>
  <si>
    <t>II04-8103</t>
  </si>
  <si>
    <t>43639017-000-017</t>
  </si>
  <si>
    <t>II04-8104</t>
  </si>
  <si>
    <t>XXL</t>
  </si>
  <si>
    <t>43639017-000-013</t>
  </si>
  <si>
    <t>II04-8093</t>
  </si>
  <si>
    <t>Quiet Gray</t>
  </si>
  <si>
    <t>43639017-000-000</t>
  </si>
  <si>
    <t>II04-8094</t>
  </si>
  <si>
    <t>43639017-000-009</t>
  </si>
  <si>
    <t>II04-8095</t>
  </si>
  <si>
    <t>43639017-000-015</t>
  </si>
  <si>
    <t>II04-8097</t>
  </si>
  <si>
    <t>43639017-000-010</t>
  </si>
  <si>
    <t>II04-8098</t>
  </si>
  <si>
    <t>43639017-000-011</t>
  </si>
  <si>
    <t>II04-8105</t>
  </si>
  <si>
    <t>Rich Concord</t>
  </si>
  <si>
    <t>43639017-000-008</t>
  </si>
  <si>
    <t>II04-8106</t>
  </si>
  <si>
    <t>43639017-000-012</t>
  </si>
  <si>
    <t>II04-8107</t>
  </si>
  <si>
    <t>43639017-000-016</t>
  </si>
  <si>
    <t>II04-8108</t>
  </si>
  <si>
    <t>43639017-000-001</t>
  </si>
  <si>
    <t>II04-8109</t>
  </si>
  <si>
    <t>43639017-000-003</t>
  </si>
  <si>
    <t>II04-8110</t>
  </si>
  <si>
    <t>43639017-000-007</t>
  </si>
  <si>
    <t>II04-9609</t>
  </si>
  <si>
    <t>IM222101</t>
  </si>
  <si>
    <t>XS/S IM222101 Robe</t>
  </si>
  <si>
    <t>XS/S</t>
  </si>
  <si>
    <t>Black 001</t>
  </si>
  <si>
    <t>43663098-000-013</t>
  </si>
  <si>
    <t>II04-9610</t>
  </si>
  <si>
    <t>M/L IM222101 Robe</t>
  </si>
  <si>
    <t>M/L</t>
  </si>
  <si>
    <t>43663098-000-006</t>
  </si>
  <si>
    <t>II04-9611</t>
  </si>
  <si>
    <t>XL/XXL IM222101 Robe</t>
  </si>
  <si>
    <t>XL/XXL</t>
  </si>
  <si>
    <t>43663098-000-002</t>
  </si>
  <si>
    <t>II04-8419</t>
  </si>
  <si>
    <t>Men cotton robe</t>
  </si>
  <si>
    <t>Claret 657</t>
  </si>
  <si>
    <t>43663098-000-001</t>
  </si>
  <si>
    <t>II04-8420</t>
  </si>
  <si>
    <t>43663098-000-011</t>
  </si>
  <si>
    <t>II04-8416</t>
  </si>
  <si>
    <t>Denim 459</t>
  </si>
  <si>
    <t>43663098-000-010</t>
  </si>
  <si>
    <t>II04-8417</t>
  </si>
  <si>
    <t>43663098-000-003</t>
  </si>
  <si>
    <t>II04-8418</t>
  </si>
  <si>
    <t>43663098-000-017</t>
  </si>
  <si>
    <t>II04-8410</t>
  </si>
  <si>
    <t>Med Navy 411</t>
  </si>
  <si>
    <t>43663098-000-004</t>
  </si>
  <si>
    <t>II04-8411</t>
  </si>
  <si>
    <t>43663098-000-007</t>
  </si>
  <si>
    <t>II04-8412</t>
  </si>
  <si>
    <t>43663098-000-009</t>
  </si>
  <si>
    <t>II04-8413</t>
  </si>
  <si>
    <t>Steel 030</t>
  </si>
  <si>
    <t>43663098-000-016</t>
  </si>
  <si>
    <t>II04-8415</t>
  </si>
  <si>
    <t>43663098-000-000</t>
  </si>
  <si>
    <t>II04-8407</t>
  </si>
  <si>
    <t>43663098-000-012</t>
  </si>
  <si>
    <t>II04-8408</t>
  </si>
  <si>
    <t>43663098-000-015</t>
  </si>
  <si>
    <t>II04-8409</t>
  </si>
  <si>
    <t>43663098-000-005</t>
  </si>
  <si>
    <t>II70-1319</t>
  </si>
  <si>
    <t>Imani</t>
  </si>
  <si>
    <t>Cotton Printed Shower Curtain with Chenille</t>
  </si>
  <si>
    <t>White/Navy</t>
  </si>
  <si>
    <t>PP000428;PF005760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</si>
  <si>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</si>
  <si>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</si>
  <si>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</si>
  <si>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</si>
  <si>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</si>
  <si>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</si>
  <si>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</si>
  <si>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AMAZONDS,CSNSTORES,HOUZZ,OLLIIX</t>
  </si>
  <si>
    <t>32934728-000-001</t>
  </si>
  <si>
    <t>3/28/2019</t>
  </si>
  <si>
    <t>MP40-1066</t>
  </si>
  <si>
    <t>Irina</t>
  </si>
  <si>
    <t>Iris</t>
  </si>
  <si>
    <t>Clarissa</t>
  </si>
  <si>
    <t>Diamond Sheer Window Curtain Panel</t>
  </si>
  <si>
    <t>PF004007</t>
  </si>
  <si>
    <t>AMAZONDS,CSNSTORES,JCPENNEY01,KOHLDSN,TGTDVS</t>
  </si>
  <si>
    <t>16620318-000-002</t>
  </si>
  <si>
    <t>1/12/2015</t>
  </si>
  <si>
    <t>MP40-2334</t>
  </si>
  <si>
    <t>AMAZON,ASHFURNDS,BBBDROP,JCPENNEY01,KOHLDSN,TGTDVS</t>
  </si>
  <si>
    <t>16620318-000-005</t>
  </si>
  <si>
    <t>MP40-4942</t>
  </si>
  <si>
    <t>Window Scarf</t>
  </si>
  <si>
    <t>Diamond Sheer Embroidered Window Scarf</t>
  </si>
  <si>
    <t>50x144"</t>
  </si>
  <si>
    <t>8/22/2017</t>
  </si>
  <si>
    <t>AMAZON,AMAZONDS,BLK01,CSNSTORES,JCPENNEY01,KOHLDSN,MACY02,TGTDVS</t>
  </si>
  <si>
    <t>23864061-000-004</t>
  </si>
  <si>
    <t>10/22/2017</t>
  </si>
  <si>
    <t>MP41-4941</t>
  </si>
  <si>
    <t>Diamond Sheer Embroidered Waterfall Valance</t>
  </si>
  <si>
    <t>AMAZON,AMAZONDS,ASHFURNDS,BBBDROP,BIGLOTSDS,BLK01,CSNSTORES,JCPENNEY01,KOHLDSN,MACY02,TGTDVS,WALMARTDS</t>
  </si>
  <si>
    <t>23864062-000-002</t>
  </si>
  <si>
    <t>MP40-4943</t>
  </si>
  <si>
    <t>50x216"</t>
  </si>
  <si>
    <t>AMAZON,BIGLOTSDS,CSNSTORES,JCPENNEY01,KOHLDSN,MACY02,NRTPORT,TGTDVS,WALMARTDS</t>
  </si>
  <si>
    <t>23864061-000-005</t>
  </si>
  <si>
    <t>3/21/2018</t>
  </si>
  <si>
    <t>MP40-1065</t>
  </si>
  <si>
    <t>PF004006</t>
  </si>
  <si>
    <t>AMAZONDS,BLK01,CSNSTORES,JCPENNEY01,KOHLDSN,MACY02,TGTDVS</t>
  </si>
  <si>
    <t>16620318-000-001</t>
  </si>
  <si>
    <t>MP40-2333</t>
  </si>
  <si>
    <t>16620318-000-004</t>
  </si>
  <si>
    <t>2/26/2017</t>
  </si>
  <si>
    <t>MP41-4937</t>
  </si>
  <si>
    <t>AMAZON,AMAZONDS,ASHFURNDS,BBBDROP,BIGLOTSDS,BLK01,CSNSTORES,JCPENNEY01,KOHLDSN,MACY02,TGTDVS</t>
  </si>
  <si>
    <t>23864062-000-001</t>
  </si>
  <si>
    <t>MP40-4939</t>
  </si>
  <si>
    <t>AMAZON,AMAZONDS,ASHFURNDS,BLK01,CSNSTORES,JCPENNEY01,KOHLDSN,MACY02,TGTDVS,WALMARTDS</t>
  </si>
  <si>
    <t>23864061-000-003</t>
  </si>
  <si>
    <t>MP41-4933</t>
  </si>
  <si>
    <t>PF004005</t>
  </si>
  <si>
    <t>AMAZON,AMAZONDS,BIGLOTSDS,BLK01,CSNSTORES,JCPENNEY01,KOHLDSN,MACY02,TGTDVS</t>
  </si>
  <si>
    <t>23864062-000-000</t>
  </si>
  <si>
    <t>MT100-0163</t>
  </si>
  <si>
    <t>PP001282</t>
  </si>
  <si>
    <t>5/10/2021</t>
  </si>
  <si>
    <t>II11-1188</t>
  </si>
  <si>
    <t>Sham</t>
  </si>
  <si>
    <t>Cotton Embroidered Euro Sham</t>
  </si>
  <si>
    <t>PP001620;PF005441</t>
  </si>
  <si>
    <t>6/8/2021</t>
  </si>
  <si>
    <t>AMAZON,AMAZONDS,CSNSTORES,JCPENNEY01,KOHLDSN,MACY02,OLLIIX,TGTDVS</t>
  </si>
  <si>
    <t>17639204-000-002</t>
  </si>
  <si>
    <t>6/9/2021</t>
  </si>
  <si>
    <t>6/14/2021</t>
  </si>
  <si>
    <t>ID95A-0040</t>
  </si>
  <si>
    <t>ALT. GRAPHICS</t>
  </si>
  <si>
    <t>Alt. Graphics</t>
  </si>
  <si>
    <t>Island Views</t>
  </si>
  <si>
    <t>2-piece Framed Wall Art Set</t>
  </si>
  <si>
    <t>Pink/Blue</t>
  </si>
  <si>
    <t>PP001835</t>
  </si>
  <si>
    <t>10/13/2022</t>
  </si>
  <si>
    <t>40665767-000-000</t>
  </si>
  <si>
    <t>MT100-1183</t>
  </si>
  <si>
    <t>Jada</t>
  </si>
  <si>
    <t>11/2/2022</t>
  </si>
  <si>
    <t>40538354-000-000</t>
  </si>
  <si>
    <t>4/27/2023</t>
  </si>
  <si>
    <t>II115-0555</t>
  </si>
  <si>
    <t>Jameson</t>
  </si>
  <si>
    <t>Woven Faux Leather Bed Queen</t>
  </si>
  <si>
    <t>12/21/2023</t>
  </si>
  <si>
    <t>43333363-000-000</t>
  </si>
  <si>
    <t>ID10-2185</t>
  </si>
  <si>
    <t>Janie</t>
  </si>
  <si>
    <t>Thea</t>
  </si>
  <si>
    <t>Rainbow Iridescent Metallic Dot Comforter Set</t>
  </si>
  <si>
    <t>PP001812;PF005817</t>
  </si>
  <si>
    <t>CSNSTORES,HDDS,JCPENNEY01,KOHLDSN,MACY02,OLLIIX,TGTDVS</t>
  </si>
  <si>
    <t>40944810-000-001</t>
  </si>
  <si>
    <t>ID12-2187</t>
  </si>
  <si>
    <t>Rainbow Iridescent Metallic Dot Duvet Cover Set</t>
  </si>
  <si>
    <t>BLK01,JCPENNEY01,KOHLDSN,TGTDVS</t>
  </si>
  <si>
    <t>40884430-000-000</t>
  </si>
  <si>
    <t>1/25/2023</t>
  </si>
  <si>
    <t>ID12-2182</t>
  </si>
  <si>
    <t>PP001812;PF005816</t>
  </si>
  <si>
    <t>40884430-000-002</t>
  </si>
  <si>
    <t>MP10-8442</t>
  </si>
  <si>
    <t>Jasmine</t>
  </si>
  <si>
    <t>3 Piece Faux Fur Comforter Set</t>
  </si>
  <si>
    <t>PP001941;PF006188</t>
  </si>
  <si>
    <t>MP10-8443</t>
  </si>
  <si>
    <t>MP35-8047</t>
  </si>
  <si>
    <t>Audrey</t>
  </si>
  <si>
    <t>Larissa</t>
  </si>
  <si>
    <t>Vintage Medallion Woven Area Rug</t>
  </si>
  <si>
    <t>Orange Multi</t>
  </si>
  <si>
    <t>PP001796;PF005784</t>
  </si>
  <si>
    <t>40640331-000-002</t>
  </si>
  <si>
    <t>MP35-8046</t>
  </si>
  <si>
    <t>40640331-000-001</t>
  </si>
  <si>
    <t>MP35-8048</t>
  </si>
  <si>
    <t>40640331-000-000</t>
  </si>
  <si>
    <t>MP35-8049</t>
  </si>
  <si>
    <t>40640331-000-003</t>
  </si>
  <si>
    <t>MP10-8440</t>
  </si>
  <si>
    <t>PP001941;PF006187</t>
  </si>
  <si>
    <t>MP10-8441</t>
  </si>
  <si>
    <t>BR9144409622-05</t>
  </si>
  <si>
    <t>5 Piece Crinkle Velvet Comforter Set</t>
  </si>
  <si>
    <t>PP001819;PF005850</t>
  </si>
  <si>
    <t>10/19/2021</t>
  </si>
  <si>
    <t>BBBDROP,JCPENNEY01,KOHLDSN,TGTDVS,WALMARTDS</t>
  </si>
  <si>
    <t>40067587-000-003</t>
  </si>
  <si>
    <t>6/10/2022</t>
  </si>
  <si>
    <t>7/13/2022</t>
  </si>
  <si>
    <t>BR9144409622-06</t>
  </si>
  <si>
    <t>40067587-000-002</t>
  </si>
  <si>
    <t>BR9144409622-07</t>
  </si>
  <si>
    <t>PP001819;PF005851</t>
  </si>
  <si>
    <t>10/22/2021</t>
  </si>
  <si>
    <t>BBBDROP,CSNSTORES,JCPENNEY01,OLLIIX,TGTDVS</t>
  </si>
  <si>
    <t>40067587-000-001</t>
  </si>
  <si>
    <t>BR9144409622-08</t>
  </si>
  <si>
    <t>40067587-000-000</t>
  </si>
  <si>
    <t>MPE10-1031</t>
  </si>
  <si>
    <t>Jaxon</t>
  </si>
  <si>
    <t>Deacon</t>
  </si>
  <si>
    <t>Ryder</t>
  </si>
  <si>
    <t>Comforter Set with Bed Sheets</t>
  </si>
  <si>
    <t>Aqua/Grey</t>
  </si>
  <si>
    <t>PP001834;PF006113</t>
  </si>
  <si>
    <t>12/22/2023</t>
  </si>
  <si>
    <t>AMAZON,AMAZONDS,CSNSTORES,JCPENNEY01,KOHLDSN,TGTDVS</t>
  </si>
  <si>
    <t>40804241-000-012</t>
  </si>
  <si>
    <t>12/25/2023</t>
  </si>
  <si>
    <t>MPE10-1034</t>
  </si>
  <si>
    <t>AMAZON,CSNSTORES,DESINC,JCPENNEY01,KOHLDSN,TGTDVS</t>
  </si>
  <si>
    <t>40804241-000-009</t>
  </si>
  <si>
    <t>1/25/2024</t>
  </si>
  <si>
    <t>MPE10-1036</t>
  </si>
  <si>
    <t>Taupe/Grey</t>
  </si>
  <si>
    <t>PP001834;PF006114</t>
  </si>
  <si>
    <t>40804241-000-011</t>
  </si>
  <si>
    <t>MPE10-1037</t>
  </si>
  <si>
    <t>40804241-000-010</t>
  </si>
  <si>
    <t>MPE10-1038</t>
  </si>
  <si>
    <t>40804241-000-006</t>
  </si>
  <si>
    <t>MPE10-1039</t>
  </si>
  <si>
    <t>40804241-000-005</t>
  </si>
  <si>
    <t>MPE10-1040</t>
  </si>
  <si>
    <t>40804241-000-007</t>
  </si>
  <si>
    <t>II151-0115</t>
  </si>
  <si>
    <t>Jaxson</t>
  </si>
  <si>
    <t>Metal Mesh Pendant</t>
  </si>
  <si>
    <t>39584122-000-000</t>
  </si>
  <si>
    <t>II153-0106</t>
  </si>
  <si>
    <t>Jayda</t>
  </si>
  <si>
    <t>Geometric Ceramic Table Lamp</t>
  </si>
  <si>
    <t>JCPENNEY01,KOHLDSN,OLLIIX,ROOMECOM</t>
  </si>
  <si>
    <t>39471169-000-000</t>
  </si>
  <si>
    <t>1/7/2022</t>
  </si>
  <si>
    <t>1/31/2022</t>
  </si>
  <si>
    <t>5DS100-0031</t>
  </si>
  <si>
    <t>Jeanie</t>
  </si>
  <si>
    <t>Rolled Arm Accent Chair</t>
  </si>
  <si>
    <t>5DS100-0030</t>
  </si>
  <si>
    <t>41984336-000-000</t>
  </si>
  <si>
    <t>2/21/2024</t>
  </si>
  <si>
    <t>MT160-0005</t>
  </si>
  <si>
    <t>Jefferson</t>
  </si>
  <si>
    <t>Rectangle Accent Mirror</t>
  </si>
  <si>
    <t>34159556-000-000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</si>
  <si>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</si>
  <si>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</si>
  <si>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</si>
  <si>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</si>
  <si>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</si>
  <si>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</si>
  <si>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43474584-000-004</t>
  </si>
  <si>
    <t>II95C-0161</t>
  </si>
  <si>
    <t>Jeweled Geo</t>
  </si>
  <si>
    <t>Hand-Embellished Abstract 2-Piece Framed Canvas Wall Art Set</t>
  </si>
  <si>
    <t>43114604-000-000</t>
  </si>
  <si>
    <t>FPF20-0283</t>
  </si>
  <si>
    <t>Jodi</t>
  </si>
  <si>
    <t>Lydia</t>
  </si>
  <si>
    <t>Lauren</t>
  </si>
  <si>
    <t>Tufted Wing Counter Stool</t>
  </si>
  <si>
    <t>PF000781;PP000180</t>
  </si>
  <si>
    <t>AMAZONDS,CSNSTORES,MACY02F</t>
  </si>
  <si>
    <t>19827343-000-000</t>
  </si>
  <si>
    <t>11/7/2016</t>
  </si>
  <si>
    <t>AM10-0085</t>
  </si>
  <si>
    <t>Jonah</t>
  </si>
  <si>
    <t>Micah</t>
  </si>
  <si>
    <t>Plaid Check Printed Comforter Set</t>
  </si>
  <si>
    <t>Charcoal Grey</t>
  </si>
  <si>
    <t>PP001925;PF006146</t>
  </si>
  <si>
    <t>CSNSTORES,JCPENNEY01,KOHLDSN,MACY02,NRTPORT,TGTDVS</t>
  </si>
  <si>
    <t>42786794-000-000</t>
  </si>
  <si>
    <t>Tier S</t>
  </si>
  <si>
    <t>AM10-0086</t>
  </si>
  <si>
    <t>CSNSTORES,DESINC,JCPENNEY01,KOHLDSN,MACY02,NRTPORT,TGTDVS</t>
  </si>
  <si>
    <t>42786794-000-004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</si>
  <si>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</si>
  <si>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</si>
  <si>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</si>
  <si>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</si>
  <si>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</si>
  <si>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</si>
  <si>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MP103-0246</t>
  </si>
  <si>
    <t>Julian</t>
  </si>
  <si>
    <t>Evanston</t>
  </si>
  <si>
    <t>Lenox</t>
  </si>
  <si>
    <t>PF001106</t>
  </si>
  <si>
    <t>6/11/2017</t>
  </si>
  <si>
    <t>ASHFURNDS,CASTLEGATE,CSNSTORES,JCPENNEY01,KIRKLANDDS,KOHLDSN,LAMPDS,MACY02F,OLLIIX</t>
  </si>
  <si>
    <t>22858581-000-000</t>
  </si>
  <si>
    <t>6/22/2017</t>
  </si>
  <si>
    <t>SS40-0023</t>
  </si>
  <si>
    <t>Julie</t>
  </si>
  <si>
    <t>April</t>
  </si>
  <si>
    <t>Lila</t>
  </si>
  <si>
    <t>Printed Botanical Blackout Curtain Panel</t>
  </si>
  <si>
    <t>PF003953</t>
  </si>
  <si>
    <t>9/19/2017</t>
  </si>
  <si>
    <t>ASHFURNDS,CSNSTORES,HDDS,JCPENNEY01,MACY02,OLLIIX</t>
  </si>
  <si>
    <t>23998106-000-001</t>
  </si>
  <si>
    <t>9/17/2017</t>
  </si>
  <si>
    <t>CCL10-0062</t>
  </si>
  <si>
    <t>Julius</t>
  </si>
  <si>
    <t>4 Piece Comforter Set</t>
  </si>
  <si>
    <t>Blue/Grey</t>
  </si>
  <si>
    <t>42282354-000-004</t>
  </si>
  <si>
    <t>CCL10-0064</t>
  </si>
  <si>
    <t>42282354-000-002</t>
  </si>
  <si>
    <t>CCL10-0001</t>
  </si>
  <si>
    <t>42282354-000-003</t>
  </si>
  <si>
    <t>CCL10-0003</t>
  </si>
  <si>
    <t>PET66TP6027</t>
  </si>
  <si>
    <t>Jumpi</t>
  </si>
  <si>
    <t>Dog Treat Pouch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</si>
  <si>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</si>
  <si>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</si>
  <si>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</si>
  <si>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</si>
  <si>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</si>
  <si>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</si>
  <si>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</si>
  <si>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</si>
  <si>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</si>
  <si>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</si>
  <si>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</si>
  <si>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</si>
  <si>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</si>
  <si>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UH10-2518</t>
  </si>
  <si>
    <t>Juniper</t>
  </si>
  <si>
    <t>Poly Jersey Puffy Comforter Set</t>
  </si>
  <si>
    <t>PP001939;PF006184</t>
  </si>
  <si>
    <t>43794453-000-000</t>
  </si>
  <si>
    <t>UH10-2519</t>
  </si>
  <si>
    <t>43794453-000-005</t>
  </si>
  <si>
    <t>UH10-2520</t>
  </si>
  <si>
    <t>43794453-000-001</t>
  </si>
  <si>
    <t>UH10-2515</t>
  </si>
  <si>
    <t>PP001939;PF006183</t>
  </si>
  <si>
    <t>43794453-000-003</t>
  </si>
  <si>
    <t>UH10-2516</t>
  </si>
  <si>
    <t>43794453-000-004</t>
  </si>
  <si>
    <t>UH10-2517</t>
  </si>
  <si>
    <t>43794453-000-002</t>
  </si>
  <si>
    <t>5DS100-0037</t>
  </si>
  <si>
    <t>Juno</t>
  </si>
  <si>
    <t>Upholstered Accent Armchair</t>
  </si>
  <si>
    <t>41847220-000-002</t>
  </si>
  <si>
    <t>5DS100-0023</t>
  </si>
  <si>
    <t>CSNSTORES,DESINC,KIRKLANDDS,KOHLDSN,ZOLA</t>
  </si>
  <si>
    <t>41847220-000-000</t>
  </si>
  <si>
    <t>5DS100-0054</t>
  </si>
  <si>
    <t>5DS100-0032</t>
  </si>
  <si>
    <t>KIRKLANDDS,TGTDVS</t>
  </si>
  <si>
    <t>MP95C-0301</t>
  </si>
  <si>
    <t>Kalamata Branches</t>
  </si>
  <si>
    <t>Botanical Illustration 2-piece Framed Canvas Wall Art Set</t>
  </si>
  <si>
    <t>4/29/2022</t>
  </si>
  <si>
    <t>AMAZONDS,JCPENNEY01,KIRKLANDDS,KOHLDSN,OLLIIX</t>
  </si>
  <si>
    <t>39901421-000-000</t>
  </si>
  <si>
    <t>5/5/2022</t>
  </si>
  <si>
    <t>MP103-1215</t>
  </si>
  <si>
    <t>Paloma</t>
  </si>
  <si>
    <t>Adobe</t>
  </si>
  <si>
    <t>40968752-000-000</t>
  </si>
  <si>
    <t>5/23/2023</t>
  </si>
  <si>
    <t>II12-1272</t>
  </si>
  <si>
    <t>Kara</t>
  </si>
  <si>
    <t>3 Piece Cotton Jacquard Duvet Cover Set</t>
  </si>
  <si>
    <t>PP001486;PF005762</t>
  </si>
  <si>
    <t>Farmhouse</t>
  </si>
  <si>
    <t>6/11/2024</t>
  </si>
  <si>
    <t>AMAZONDS,CSNSTORES,JCPENNEY01,KOHLDSN,MACY02,OLLIIX,TGTDVS</t>
  </si>
  <si>
    <t>36016833-000-005</t>
  </si>
  <si>
    <t>II10-1267</t>
  </si>
  <si>
    <t>PP001486;PF005761</t>
  </si>
  <si>
    <t>AMAZONDS,BBBDROP,JCPENNEY01,KOHLDSN,OLLIIX,TGTDVS,Zulily</t>
  </si>
  <si>
    <t>36016832-000-004</t>
  </si>
  <si>
    <t>II12-1269</t>
  </si>
  <si>
    <t>36016833-000-007</t>
  </si>
  <si>
    <t>MPE10-349</t>
  </si>
  <si>
    <t>Kasey</t>
  </si>
  <si>
    <t>Devin</t>
  </si>
  <si>
    <t>5 Piece Reversible Comforter Set</t>
  </si>
  <si>
    <t>PF003686</t>
  </si>
  <si>
    <t>19996412-000-001</t>
  </si>
  <si>
    <t>PET63OP6186-MD</t>
  </si>
  <si>
    <t>Kato</t>
  </si>
  <si>
    <t>Medium Reversible Ortho Pet Napper</t>
  </si>
  <si>
    <t>PET63OP6186-LG</t>
  </si>
  <si>
    <t>Large Reversible Ortho Pet Napper</t>
  </si>
  <si>
    <t>PET63OP6186-XL</t>
  </si>
  <si>
    <t>Xlarge Reversible Ortho Pet Napper</t>
  </si>
  <si>
    <t>PET63OP6187-MD</t>
  </si>
  <si>
    <t>PET63OP6187-LG</t>
  </si>
  <si>
    <t>PET63OP6187-XL</t>
  </si>
  <si>
    <t>PET63OP6188-MD</t>
  </si>
  <si>
    <t>PET63OP6188-LG</t>
  </si>
  <si>
    <t>PET63OP6188-XL</t>
  </si>
  <si>
    <t>MP13-6132</t>
  </si>
  <si>
    <t>Keaton</t>
  </si>
  <si>
    <t>2 Piece Quilt Set</t>
  </si>
  <si>
    <t>PF004530</t>
  </si>
  <si>
    <t>1/4/2019</t>
  </si>
  <si>
    <t>15854488-000-017</t>
  </si>
  <si>
    <t>1/6/2019</t>
  </si>
  <si>
    <t>2/12/2019</t>
  </si>
  <si>
    <t>MP13-628</t>
  </si>
  <si>
    <t>PF003410</t>
  </si>
  <si>
    <t>CSNSTORES,HOUZZ,JCPENNEY01,KOHLDSN,MACY02,OLLIIX,TGTDVS</t>
  </si>
  <si>
    <t>18384336-000-000</t>
  </si>
  <si>
    <t>MP13-3457</t>
  </si>
  <si>
    <t>PF003412</t>
  </si>
  <si>
    <t>AMERSIGNDS,BBBDROP,CSNSTORES,JCPENNEY01,KOHLDSN,MACY02,OLLIIX,TGTDVS</t>
  </si>
  <si>
    <t>19347469-000-000</t>
  </si>
  <si>
    <t>II120-0568</t>
  </si>
  <si>
    <t>Keegan</t>
  </si>
  <si>
    <t>Round Mixed Material Coffee Table with Shelf</t>
  </si>
  <si>
    <t>Oak/Marble</t>
  </si>
  <si>
    <t>3/15/2024</t>
  </si>
  <si>
    <t>II154-0117</t>
  </si>
  <si>
    <t>Keller</t>
  </si>
  <si>
    <t>Adjustable Arched Floor Lamp with Drum Shade</t>
  </si>
  <si>
    <t>Oil Rubbed Bronze/Cream</t>
  </si>
  <si>
    <t>39936233-000-000</t>
  </si>
  <si>
    <t>5/9/2022</t>
  </si>
  <si>
    <t>9/20/2022</t>
  </si>
  <si>
    <t>II108-0508</t>
  </si>
  <si>
    <t>Armless Dining Chair Set of 2</t>
  </si>
  <si>
    <t>CSNSTORES,HOUZZ,KOHLDSN,MACY02F,OLLIIX</t>
  </si>
  <si>
    <t>28089483-000-001</t>
  </si>
  <si>
    <t>1/10/2023</t>
  </si>
  <si>
    <t>FPF18-0169</t>
  </si>
  <si>
    <t>Kelsey</t>
  </si>
  <si>
    <t>Round Pouf Ottoman</t>
  </si>
  <si>
    <t>PF000628;PP000187</t>
  </si>
  <si>
    <t>AMAZONDS,ASHFURNDS,CSNSTORES,DESINC,KOHLDSN,OLLIIX</t>
  </si>
  <si>
    <t>15952464-000-003</t>
  </si>
  <si>
    <t>MP101-0893</t>
  </si>
  <si>
    <t>PP000187</t>
  </si>
  <si>
    <t>7/9/2019</t>
  </si>
  <si>
    <t>AMERSIGNDS,CSNSTORES,KIRKLANDDS,OLLIIX,ROOMECOM</t>
  </si>
  <si>
    <t>15952464-000-006</t>
  </si>
  <si>
    <t>MP101-0213</t>
  </si>
  <si>
    <t>PF001089;PP000187</t>
  </si>
  <si>
    <t>AMAZONDS,BBBDROP,CASTLEGATE,OLLIIX</t>
  </si>
  <si>
    <t>15952464-000-008</t>
  </si>
  <si>
    <t>3/17/2017</t>
  </si>
  <si>
    <t>4/24/2017</t>
  </si>
  <si>
    <t>MT115-1206</t>
  </si>
  <si>
    <t>Kenna</t>
  </si>
  <si>
    <t>Canopy Bed Queen</t>
  </si>
  <si>
    <t>Dark Coffee</t>
  </si>
  <si>
    <t>43804583-000-000</t>
  </si>
  <si>
    <t>MT136-1207</t>
  </si>
  <si>
    <t>43804838-000-000</t>
  </si>
  <si>
    <t>BR10-3856</t>
  </si>
  <si>
    <t>Kent</t>
  </si>
  <si>
    <t>3 Piece Striped Herringbone Oversized Comforter Set</t>
  </si>
  <si>
    <t>PP001827;PF005866</t>
  </si>
  <si>
    <t>BBBDROP,CSNSTORES,JCPENNEY01,KOHLDSN,MACY02,OLLIIX,TGTDVS,ZOLA</t>
  </si>
  <si>
    <t>40848856-000-003</t>
  </si>
  <si>
    <t>7/18/2023</t>
  </si>
  <si>
    <t>BR12-3858</t>
  </si>
  <si>
    <t>3 Piece Striped Herringbone Oversized Duvet Cover Set</t>
  </si>
  <si>
    <t>40849041-000-000</t>
  </si>
  <si>
    <t>BR12-3863</t>
  </si>
  <si>
    <t>PP001827;PF005867</t>
  </si>
  <si>
    <t>BBBDROP,CSNSTORES,KOHLDSN,OLLIIX,TGTDVS</t>
  </si>
  <si>
    <t>40849041-000-003</t>
  </si>
  <si>
    <t>MP35-8069</t>
  </si>
  <si>
    <t>Kenzie</t>
  </si>
  <si>
    <t>Talia</t>
  </si>
  <si>
    <t>Nikki</t>
  </si>
  <si>
    <t>Moroccan Bordered Global Woven Area Rug</t>
  </si>
  <si>
    <t>PP001802;PF005790</t>
  </si>
  <si>
    <t>AMAZON,BIGLOTSDS,KOHLDSN</t>
  </si>
  <si>
    <t>40580885-000-002</t>
  </si>
  <si>
    <t>MP35-8068</t>
  </si>
  <si>
    <t>40580885-000-001</t>
  </si>
  <si>
    <t>MP35-8071</t>
  </si>
  <si>
    <t>40580885-000-000</t>
  </si>
  <si>
    <t>HH12-1854</t>
  </si>
  <si>
    <t>Kiawah Island</t>
  </si>
  <si>
    <t>5 Piece Cotton Duvet Cover Set with Throw Pillow</t>
  </si>
  <si>
    <t>PP001898;PF006056</t>
  </si>
  <si>
    <t>42762565-000-001</t>
  </si>
  <si>
    <t>10/30/2023</t>
  </si>
  <si>
    <t>BR9144409622-03</t>
  </si>
  <si>
    <t>Kiona</t>
  </si>
  <si>
    <t>5 Piece Crushed Velvet Comforter Set</t>
  </si>
  <si>
    <t>PP001820;PF005853</t>
  </si>
  <si>
    <t>10/21/2021</t>
  </si>
  <si>
    <t>40070515-000-001</t>
  </si>
  <si>
    <t>BR9144409622-04</t>
  </si>
  <si>
    <t>40070515-000-002</t>
  </si>
  <si>
    <t>BR9144409622-01</t>
  </si>
  <si>
    <t>PP001820;PF005852</t>
  </si>
  <si>
    <t>JCPENNEY01,KOHLDSN,OLLIIX,WALMARTDS</t>
  </si>
  <si>
    <t>40070515-000-000</t>
  </si>
  <si>
    <t>5/31/2023</t>
  </si>
  <si>
    <t>MP122-1136</t>
  </si>
  <si>
    <t>Kirtley</t>
  </si>
  <si>
    <t>Abram</t>
  </si>
  <si>
    <t>Writing Desk With Drawer</t>
  </si>
  <si>
    <t>White/Brown</t>
  </si>
  <si>
    <t>39583040-000-000</t>
  </si>
  <si>
    <t>MP105-1213</t>
  </si>
  <si>
    <t>Klara</t>
  </si>
  <si>
    <t>Edgar</t>
  </si>
  <si>
    <t>Hugo</t>
  </si>
  <si>
    <t>Wood and Upholstered Soft Close Storage Bench</t>
  </si>
  <si>
    <t>Brown/Tan</t>
  </si>
  <si>
    <t>41406074-000-000</t>
  </si>
  <si>
    <t>4/23/2023</t>
  </si>
  <si>
    <t>MP104-1150</t>
  </si>
  <si>
    <t>Kobe</t>
  </si>
  <si>
    <t>Heyes</t>
  </si>
  <si>
    <t>Bryant</t>
  </si>
  <si>
    <t>Counter Stool with Swivel Seat</t>
  </si>
  <si>
    <t>26758927-000-001</t>
  </si>
  <si>
    <t>MP40-7984</t>
  </si>
  <si>
    <t>Kyler</t>
  </si>
  <si>
    <t>Suvi</t>
  </si>
  <si>
    <t>Linen Blend Light Filtering Curtain Panel Pair</t>
  </si>
  <si>
    <t>2-PK 52x84"</t>
  </si>
  <si>
    <t>PP001787;PF005749</t>
  </si>
  <si>
    <t>8/12/2022</t>
  </si>
  <si>
    <t>AMAZONDS,CSNSTORES,HDDS,JCPENNEY01,KIRKLANDDS,KOHLDSN,MACY02</t>
  </si>
  <si>
    <t>40279134-000-000</t>
  </si>
  <si>
    <t>MP40-7973</t>
  </si>
  <si>
    <t>Linen Blend Light Filtering Cordless Roman Shade</t>
  </si>
  <si>
    <t>CSNSTORES,HDDS,JCPENNEY01</t>
  </si>
  <si>
    <t>40368620-000-008</t>
  </si>
  <si>
    <t>MP40-7975</t>
  </si>
  <si>
    <t>40368620-000-014</t>
  </si>
  <si>
    <t>MP40-7976</t>
  </si>
  <si>
    <t>40368620-000-010</t>
  </si>
  <si>
    <t>MP40-7977</t>
  </si>
  <si>
    <t>CSNSTORES,HDDS</t>
  </si>
  <si>
    <t>40368620-000-009</t>
  </si>
  <si>
    <t>MP40-7983</t>
  </si>
  <si>
    <t>PP001787;PF005748</t>
  </si>
  <si>
    <t>AMAZONDS,CSNSTORES,JCPENNEY01,KIRKLANDDS,KOHLDSN,MACY02</t>
  </si>
  <si>
    <t>40279134-000-001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</si>
  <si>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</si>
  <si>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</si>
  <si>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</si>
  <si>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</si>
  <si>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</si>
  <si>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</si>
  <si>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</si>
  <si>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BLK01,OLLIIX,TGTDVS</t>
  </si>
  <si>
    <t>43424540-000-003</t>
  </si>
  <si>
    <t>1/14/2024</t>
  </si>
  <si>
    <t>MP10-8348</t>
  </si>
  <si>
    <t>PP001915;PF006121</t>
  </si>
  <si>
    <t>1/13/2024</t>
  </si>
  <si>
    <t>43424540-000-000</t>
  </si>
  <si>
    <t>2/26/2024</t>
  </si>
  <si>
    <t>MT95G-0003</t>
  </si>
  <si>
    <t>Lady Fern Collection</t>
  </si>
  <si>
    <t>Botanical Illustration 3-piece Framed Glass and Single Matted Wall Art Set</t>
  </si>
  <si>
    <t>6/1/2019</t>
  </si>
  <si>
    <t>AMAZONDS,BLK01,CSNSTORES,JCPENNEY01,KIRKLANDDS,KOHLDSN,OLLIIX,Zulily</t>
  </si>
  <si>
    <t>34135490-000-000</t>
  </si>
  <si>
    <t>II154-0158</t>
  </si>
  <si>
    <t>Laguna</t>
  </si>
  <si>
    <t>Rattan Weave Shade Floor Lamp</t>
  </si>
  <si>
    <t>Gold/Natural</t>
  </si>
  <si>
    <t>II153-0152</t>
  </si>
  <si>
    <t>Rattan Weave Shade Table Lamp</t>
  </si>
  <si>
    <t>43652613-000-000</t>
  </si>
  <si>
    <t>MP10-6570</t>
  </si>
  <si>
    <t>Lana</t>
  </si>
  <si>
    <t>Naomi</t>
  </si>
  <si>
    <t>Marble Faux Fur Comforter Set</t>
  </si>
  <si>
    <t>Grey/Blue</t>
  </si>
  <si>
    <t>PP001331;PF004791</t>
  </si>
  <si>
    <t>AMAZON,ASHFURNDS,JCPENNEY01,OLLIIX</t>
  </si>
  <si>
    <t>33955922-000-001</t>
  </si>
  <si>
    <t>FPF20-0311</t>
  </si>
  <si>
    <t>Lancaster</t>
  </si>
  <si>
    <t>Dining/Gathering Table</t>
  </si>
  <si>
    <t>Amber</t>
  </si>
  <si>
    <t>PP000034</t>
  </si>
  <si>
    <t>20818961-000-000</t>
  </si>
  <si>
    <t>IIF20-0023</t>
  </si>
  <si>
    <t>Rectangle Dining Table</t>
  </si>
  <si>
    <t>CSNSTORES,MACY02F,OLLIIX</t>
  </si>
  <si>
    <t>20710977-000-000</t>
  </si>
  <si>
    <t>1/18/2017</t>
  </si>
  <si>
    <t>2/6/2017</t>
  </si>
  <si>
    <t>II122-0033</t>
  </si>
  <si>
    <t>Amber/Graphite</t>
  </si>
  <si>
    <t>PF000894;PP000034</t>
  </si>
  <si>
    <t>ASHFURNDS,CSNSTORES,OLLIIX</t>
  </si>
  <si>
    <t>20712778-000-000</t>
  </si>
  <si>
    <t>3/13/2017</t>
  </si>
  <si>
    <t>II122-0451</t>
  </si>
  <si>
    <t>Reclaimed White</t>
  </si>
  <si>
    <t>20712778-000-002</t>
  </si>
  <si>
    <t>2/18/2021</t>
  </si>
  <si>
    <t>MT153-0069</t>
  </si>
  <si>
    <t>Landsdown</t>
  </si>
  <si>
    <t>Black Faceted Table Lamp 24.25"H</t>
  </si>
  <si>
    <t>6/9/2023</t>
  </si>
  <si>
    <t>41728196-000-000</t>
  </si>
  <si>
    <t>6/11/2023</t>
  </si>
  <si>
    <t>MP10-8164</t>
  </si>
  <si>
    <t>Langley</t>
  </si>
  <si>
    <t>Cove</t>
  </si>
  <si>
    <t xml:space="preserve">5 Piece Clipped Jacquard  Comforter Set</t>
  </si>
  <si>
    <t>PP001838;PF005893</t>
  </si>
  <si>
    <t>AMERSIGNDS,CSNSTORES,JCPENNEY01,KIRKLANDDS,KOHLDSN,OLLIIX,TGTDVS</t>
  </si>
  <si>
    <t>40910892-000-001</t>
  </si>
  <si>
    <t>12/27/2022</t>
  </si>
  <si>
    <t>MP12-8166</t>
  </si>
  <si>
    <t xml:space="preserve">3 Piece Clipped Jacquard  Duvet Cover Set</t>
  </si>
  <si>
    <t>PP001838;PF005894</t>
  </si>
  <si>
    <t>40910935-000-001</t>
  </si>
  <si>
    <t>MP10-8165</t>
  </si>
  <si>
    <t>CSNSTORES,JCPENNEY01,KIRKLANDDS,KOHLDSN,OLLIIX,TGTDVS</t>
  </si>
  <si>
    <t>40910892-000-000</t>
  </si>
  <si>
    <t>UH13-2147</t>
  </si>
  <si>
    <t>Larisa</t>
  </si>
  <si>
    <t>Mica</t>
  </si>
  <si>
    <t>7 Piece Reversible Cotton Quilt Set with Euro Shams and Throw Pillows</t>
  </si>
  <si>
    <t>PP000823;PF004152</t>
  </si>
  <si>
    <t>BBBDROP,CSNSTORES,KOHLDSN,TGTDVS,WALMARTDS</t>
  </si>
  <si>
    <t>26587838-000-000</t>
  </si>
  <si>
    <t>4/2/2018</t>
  </si>
  <si>
    <t>ID10-2418</t>
  </si>
  <si>
    <t>Zara</t>
  </si>
  <si>
    <t>Animal Chenille Comforter Set</t>
  </si>
  <si>
    <t>PF006270</t>
  </si>
  <si>
    <t>ID12-2421</t>
  </si>
  <si>
    <t>Animal Chenille Duvet Cover Set</t>
  </si>
  <si>
    <t>ID10-2419</t>
  </si>
  <si>
    <t>ID12-2422</t>
  </si>
  <si>
    <t>ID10-2420</t>
  </si>
  <si>
    <t>ID12-2423</t>
  </si>
  <si>
    <t>BASI10-0201</t>
  </si>
  <si>
    <t>Larkspur</t>
  </si>
  <si>
    <t>Windsor</t>
  </si>
  <si>
    <t>3M Scotchgard Diamond Quilting Reversible Down Alternative Comforter Set</t>
  </si>
  <si>
    <t>PF002061</t>
  </si>
  <si>
    <t>BLK01,CSNSTORES,FINGERHUTDS,JCPENNEY01,KOHLDSN,MACY02,OLLIIX,TGTDVS,WALMARTDS</t>
  </si>
  <si>
    <t>15646449-000-006</t>
  </si>
  <si>
    <t>BASI10-0195</t>
  </si>
  <si>
    <t>Brown/Sand</t>
  </si>
  <si>
    <t>PF002059</t>
  </si>
  <si>
    <t>BLK01,CSNSTORES,FINGERHUTDS,JCPENNEY01,KOHLDSN,MACY02,TGTDVS</t>
  </si>
  <si>
    <t>15646449-000-000</t>
  </si>
  <si>
    <t>BASI10-0197</t>
  </si>
  <si>
    <t>ASHFURNDS,BLK01,CSNSTORES,FINGERHUTDS,JCPENNEY01,KOHLDSN,MACY02</t>
  </si>
  <si>
    <t>15646449-000-002</t>
  </si>
  <si>
    <t>1/30/2015</t>
  </si>
  <si>
    <t>BASI10-0198</t>
  </si>
  <si>
    <t>Navy/Light Blue</t>
  </si>
  <si>
    <t>PF002060</t>
  </si>
  <si>
    <t>BLK01,CSNSTORES,FINGERHUTDS,JCPENNEY01,KOHLDSN,MACY02,OLLIIX,TGTDVS</t>
  </si>
  <si>
    <t>15646449-000-003</t>
  </si>
  <si>
    <t>MP72-5830</t>
  </si>
  <si>
    <t>Lasso</t>
  </si>
  <si>
    <t>Copula</t>
  </si>
  <si>
    <t>Braide</t>
  </si>
  <si>
    <t>100% Cotton Chenille Chain Stitch Rug</t>
  </si>
  <si>
    <t>PP000880;PF004257</t>
  </si>
  <si>
    <t>5/8/2018</t>
  </si>
  <si>
    <t>AMAZON,AMAZONDS,BBBDROP,CSNSTORES,FINGERHUTDS,HDDS,JCPENNEY01,KIRKLANDDS,KOHLDSN,MACY02,OLLIIX,TGTDVS</t>
  </si>
  <si>
    <t>27404669-000-000</t>
  </si>
  <si>
    <t>MP72-5831</t>
  </si>
  <si>
    <t>AMAZON,AMAZONDS,BBBDROP,BLK01,CSNSTORES,JCPENNEY01,KIRKLANDDS,KOHLDSN,MACY02,OLLIIX,TGTDVS</t>
  </si>
  <si>
    <t>27404669-000-002</t>
  </si>
  <si>
    <t>5DS122-0010</t>
  </si>
  <si>
    <t>Laurel Desk</t>
  </si>
  <si>
    <t>10/6/2021</t>
  </si>
  <si>
    <t>38980655-000-000</t>
  </si>
  <si>
    <t>1/14/2022</t>
  </si>
  <si>
    <t>MP70-440</t>
  </si>
  <si>
    <t>Vivian</t>
  </si>
  <si>
    <t>Piedmont</t>
  </si>
  <si>
    <t>Tufted Semi-Sheer Shower Curtain</t>
  </si>
  <si>
    <t>Plum</t>
  </si>
  <si>
    <t>PF002424;PP000440</t>
  </si>
  <si>
    <t>AMAZON,AMAZONDS,BBBDROP,CSNSTORES,DESINC,HDDS,HSNDS,KOHLDSN,MACY02,NRTPORT,OLLIIX,TGTDVS</t>
  </si>
  <si>
    <t>15459539-000-002</t>
  </si>
  <si>
    <t>MPS115-0261A</t>
  </si>
  <si>
    <t>HB:64.5"W X 52"H X 2.5"T; FB:64.5" X 38"H X 2.5"T</t>
  </si>
  <si>
    <t>TN10-0475</t>
  </si>
  <si>
    <t>Laurie</t>
  </si>
  <si>
    <t>Whitney</t>
  </si>
  <si>
    <t>Plush to Sherpa Comforter Set</t>
  </si>
  <si>
    <t>PP001674;PF005567</t>
  </si>
  <si>
    <t>CSNSTORES,MACY02,OLLIIX,TGTDVS</t>
  </si>
  <si>
    <t>38963710-000-003</t>
  </si>
  <si>
    <t>TN10-0476</t>
  </si>
  <si>
    <t>DESINC,KOHLDSN,MACY02,OLLIIX,TGTDVS,ZOLA</t>
  </si>
  <si>
    <t>38963710-000-004</t>
  </si>
  <si>
    <t>4/1/2022</t>
  </si>
  <si>
    <t>MP10-7952</t>
  </si>
  <si>
    <t>Lavine</t>
  </si>
  <si>
    <t>Anouk</t>
  </si>
  <si>
    <t>Octavia</t>
  </si>
  <si>
    <t>12 Piece Comforter Set with Cotton Bed Sheets</t>
  </si>
  <si>
    <t>PP000441;PF005734</t>
  </si>
  <si>
    <t>Traditional|Transitional</t>
  </si>
  <si>
    <t>AMAZONDS,BLK01,CSNSTORES,JCPENNEY01,OLLIIX,TGTDVS</t>
  </si>
  <si>
    <t>17493487-000-005</t>
  </si>
  <si>
    <t>8/10/2022</t>
  </si>
  <si>
    <t>II120-0574</t>
  </si>
  <si>
    <t>Console Table</t>
  </si>
  <si>
    <t>Layana</t>
  </si>
  <si>
    <t>Oval Console Table</t>
  </si>
  <si>
    <t>7/26/2024</t>
  </si>
  <si>
    <t>II120-0573</t>
  </si>
  <si>
    <t>Round Coffee Table with Storage</t>
  </si>
  <si>
    <t>MP95B-0273</t>
  </si>
  <si>
    <t>Leah</t>
  </si>
  <si>
    <t xml:space="preserve">Leah </t>
  </si>
  <si>
    <t>Round Two-tone Medallion Wall Decor</t>
  </si>
  <si>
    <t>PP001633</t>
  </si>
  <si>
    <t>6/6/2024</t>
  </si>
  <si>
    <t>AMAZON,CSNSTORES,HOUZZ,JCPENNEY01,KIRKLANDDS,KOHLDSN,MACY02,OLLIIX,TGTDVS</t>
  </si>
  <si>
    <t>38900782-000-000</t>
  </si>
  <si>
    <t>2/14/2022</t>
  </si>
  <si>
    <t>WR50-1628</t>
  </si>
  <si>
    <t>Leeds</t>
  </si>
  <si>
    <t>Softspun Down Alternative Oversized Throw</t>
  </si>
  <si>
    <t>PF002057</t>
  </si>
  <si>
    <t>KOHLDSN,MACY02,OLLIIX</t>
  </si>
  <si>
    <t>17651624-000-000</t>
  </si>
  <si>
    <t>10/23/2015</t>
  </si>
  <si>
    <t>MP40-8219</t>
  </si>
  <si>
    <t>Leilani</t>
  </si>
  <si>
    <t>Kauna</t>
  </si>
  <si>
    <t>Maui</t>
  </si>
  <si>
    <t>Palm Leaf Burnout Window Sheer</t>
  </si>
  <si>
    <t>PP001628;PF006010</t>
  </si>
  <si>
    <t>22281011-000-006</t>
  </si>
  <si>
    <t>8/13/2023</t>
  </si>
  <si>
    <t>II108-0500</t>
  </si>
  <si>
    <t>Lemmy</t>
  </si>
  <si>
    <t>Armless Upholstered Dining Chair Set of 2</t>
  </si>
  <si>
    <t>40983761-000-000</t>
  </si>
  <si>
    <t>1/16/2023</t>
  </si>
  <si>
    <t>TN10-0052</t>
  </si>
  <si>
    <t>Level 1</t>
  </si>
  <si>
    <t>Oversized Cotton Sateen Down Comforter</t>
  </si>
  <si>
    <t>PF002110</t>
  </si>
  <si>
    <t>17837807-000-000</t>
  </si>
  <si>
    <t>1/20/2016</t>
  </si>
  <si>
    <t>TN10-0053</t>
  </si>
  <si>
    <t>17837807-000-001</t>
  </si>
  <si>
    <t>TN10-0054</t>
  </si>
  <si>
    <t>17837807-000-002</t>
  </si>
  <si>
    <t>TN10-0055</t>
  </si>
  <si>
    <t>Level 2</t>
  </si>
  <si>
    <t>BBBDROP,MACY02,OLLIIX,TGTDVS</t>
  </si>
  <si>
    <t>17837806-000-000</t>
  </si>
  <si>
    <t>12/8/2015</t>
  </si>
  <si>
    <t>TN10-0056</t>
  </si>
  <si>
    <t>17837806-000-001</t>
  </si>
  <si>
    <t>12/9/2015</t>
  </si>
  <si>
    <t>TN10-0057</t>
  </si>
  <si>
    <t>BBBDROP,CSNSTORES,JCPENNEY01,MACY02,OLLIIX,TGTDVS,ZOLA</t>
  </si>
  <si>
    <t>17837806-000-002</t>
  </si>
  <si>
    <t>12/2/2015</t>
  </si>
  <si>
    <t>TN10-0058</t>
  </si>
  <si>
    <t>Level 3</t>
  </si>
  <si>
    <t>17880179-000-000</t>
  </si>
  <si>
    <t>BL50-0888</t>
  </si>
  <si>
    <t>Lexi</t>
  </si>
  <si>
    <t>Color Block Throw</t>
  </si>
  <si>
    <t>PF003443</t>
  </si>
  <si>
    <t>KOHLDSN,MACY02,OLLIIX,TGTDVS,WALMARTDS</t>
  </si>
  <si>
    <t>19258302-000-000</t>
  </si>
  <si>
    <t>10/17/2016</t>
  </si>
  <si>
    <t>ID13-1852</t>
  </si>
  <si>
    <t>Lidia</t>
  </si>
  <si>
    <t>Printed Reversible Cotton Coverlet Set</t>
  </si>
  <si>
    <t>PF004991</t>
  </si>
  <si>
    <t>35406910-000-001</t>
  </si>
  <si>
    <t>1/9/2020</t>
  </si>
  <si>
    <t>3/23/2020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</si>
  <si>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</si>
  <si>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</si>
  <si>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</si>
  <si>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</si>
  <si>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</si>
  <si>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</si>
  <si>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</si>
  <si>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5/1/2019</t>
  </si>
  <si>
    <t>AMAZON,AMAZONDS,CSNSTORES,MACY02,TGTDVS</t>
  </si>
  <si>
    <t>33230477-000-000</t>
  </si>
  <si>
    <t>10/21/2019</t>
  </si>
  <si>
    <t>MT95B-0079</t>
  </si>
  <si>
    <t>Awd</t>
  </si>
  <si>
    <t>Framed Rice Paper Shadow Box Gingko Leaf Wall Decor Art</t>
  </si>
  <si>
    <t>42877874-000-000</t>
  </si>
  <si>
    <t>MP100-1218</t>
  </si>
  <si>
    <t>Lounge</t>
  </si>
  <si>
    <t>Lillie</t>
  </si>
  <si>
    <t>Handcrafted Seagrass Back Armchair with Removable Seat Cushion and Back Pillow</t>
  </si>
  <si>
    <t>41594065-000-000</t>
  </si>
  <si>
    <t>ID12-1868</t>
  </si>
  <si>
    <t>Serena</t>
  </si>
  <si>
    <t>Metallic Animal Printed Duvet Cover Set</t>
  </si>
  <si>
    <t>Ivory/Gold</t>
  </si>
  <si>
    <t>PF005053</t>
  </si>
  <si>
    <t>2/26/2020</t>
  </si>
  <si>
    <t>AMAZONDS,BLK01,TGTDVS,WALMARTDS</t>
  </si>
  <si>
    <t>35628676-000-001</t>
  </si>
  <si>
    <t>5/10/2020</t>
  </si>
  <si>
    <t>ID12-1869</t>
  </si>
  <si>
    <t>AMAZON,BLK01,CSNSTORES,HDDS,KOHLDSN,MACY02,OLLIIX,TGTDVS</t>
  </si>
  <si>
    <t>35628676-000-000</t>
  </si>
  <si>
    <t>4/16/2020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</si>
  <si>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</si>
  <si>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</si>
  <si>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</si>
  <si>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</si>
  <si>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</si>
  <si>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</si>
  <si>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</si>
  <si>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</si>
  <si>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</si>
  <si>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WR50-2499</t>
  </si>
  <si>
    <t>Linden</t>
  </si>
  <si>
    <t>Oversized Softspun Down Alternative Throw</t>
  </si>
  <si>
    <t>PP001019;PF004494</t>
  </si>
  <si>
    <t>10/10/2018</t>
  </si>
  <si>
    <t>AMERSIGNDS,ASHFURNDS,KOHLDSN,MACY02,OLLIIX</t>
  </si>
  <si>
    <t>29600288-000-001</t>
  </si>
  <si>
    <t>10/17/2018</t>
  </si>
  <si>
    <t>WR54-3251</t>
  </si>
  <si>
    <t>Oversized Mink to Berber Heated Throw</t>
  </si>
  <si>
    <t>PP001629;PF005470</t>
  </si>
  <si>
    <t>7/30/2021</t>
  </si>
  <si>
    <t>AMAZON,BBBDROP,CSNSTORES,JCPENNEY01,KOHLDSN,MACY02,TGTDVS,ZOLA</t>
  </si>
  <si>
    <t>38667293-000-001</t>
  </si>
  <si>
    <t>MP21-7890</t>
  </si>
  <si>
    <t>Linen Blend</t>
  </si>
  <si>
    <t>2PK Pillowcase</t>
  </si>
  <si>
    <t>PP001751;PF005688</t>
  </si>
  <si>
    <t>5/3/2022</t>
  </si>
  <si>
    <t>NRTPORT</t>
  </si>
  <si>
    <t>39918924-000-002</t>
  </si>
  <si>
    <t>5/14/2022</t>
  </si>
  <si>
    <t>MP21-7889</t>
  </si>
  <si>
    <t>39918924-000-001</t>
  </si>
  <si>
    <t>MP20-7881</t>
  </si>
  <si>
    <t>4PC Sheet Set</t>
  </si>
  <si>
    <t>Warm Taupe</t>
  </si>
  <si>
    <t>PP001751;PF005687</t>
  </si>
  <si>
    <t>CSNSTORES,JCPENNEY01,MACY02,TGTDVS</t>
  </si>
  <si>
    <t>39918964-000-001</t>
  </si>
  <si>
    <t>12/22/2022</t>
  </si>
  <si>
    <t>MP21-7884</t>
  </si>
  <si>
    <t>CSNSTORES,JCPENNEY01,OLLIIX,ZOLA</t>
  </si>
  <si>
    <t>39918924-000-000</t>
  </si>
  <si>
    <t>7/11/2023</t>
  </si>
  <si>
    <t>MP95C-0037</t>
  </si>
  <si>
    <t>Linen Botanicals</t>
  </si>
  <si>
    <t>Illustration 3-piece Canvas Wall Art Set</t>
  </si>
  <si>
    <t>PF001908</t>
  </si>
  <si>
    <t>ASHFURNDS,BIGLOTSDS,BLK01,CSNSTORES,KIRKLANDDS,MACY02,OLLIIX,TGTDVS,Zulily</t>
  </si>
  <si>
    <t>18755591-000-000</t>
  </si>
  <si>
    <t>5/24/2016</t>
  </si>
  <si>
    <t>5DS153-0047</t>
  </si>
  <si>
    <t>Liora</t>
  </si>
  <si>
    <t>2-Tone Ceramic Table Lamp Set of 2</t>
  </si>
  <si>
    <t>Sage Green/Gold</t>
  </si>
  <si>
    <t>43453100-000-000</t>
  </si>
  <si>
    <t>5DS153-0048</t>
  </si>
  <si>
    <t>White/Silver</t>
  </si>
  <si>
    <t>43453100-000-002</t>
  </si>
  <si>
    <t>MP51N-4640</t>
  </si>
  <si>
    <t>Liquid Cotton</t>
  </si>
  <si>
    <t>PF003525</t>
  </si>
  <si>
    <t>AMAZON,AMAZONDS,JCPENNEY01,KOHLDSN,MACY02,WALMARTDS</t>
  </si>
  <si>
    <t>14944585-000-024</t>
  </si>
  <si>
    <t>MP51N-4641</t>
  </si>
  <si>
    <t>AMAZON,AMAZONDS,BBBDROP,BIGLOTSDS,BLK01,CSNSTORES,HSNDS,JCPENNEY01,KOHLDSN,MACY02,OLLIIX,TGTDVS,WALMARTDS</t>
  </si>
  <si>
    <t>14944585-000-025</t>
  </si>
  <si>
    <t>BL51N-0680</t>
  </si>
  <si>
    <t>PF003480</t>
  </si>
  <si>
    <t>AMAZON,AMAZONDS,BBBDROP,BEALLSDS,CSNSTORES,DESINC,JCPENNEY01,KOHLDSN,MACY02,OLLIIX,TGTDVS,WALMARTDS</t>
  </si>
  <si>
    <t>14944585-000-012</t>
  </si>
  <si>
    <t>MP51N-8379</t>
  </si>
  <si>
    <t>PP001934;PF006167</t>
  </si>
  <si>
    <t>14944585-000-032</t>
  </si>
  <si>
    <t>MP51N-8380</t>
  </si>
  <si>
    <t>14944585-000-031</t>
  </si>
  <si>
    <t>MP51N-8381</t>
  </si>
  <si>
    <t>14944585-000-030</t>
  </si>
  <si>
    <t>ID91-523</t>
  </si>
  <si>
    <t>FASHION TOWEL</t>
  </si>
  <si>
    <t>Lita</t>
  </si>
  <si>
    <t>Sonya</t>
  </si>
  <si>
    <t>Cotton Jacquard Bath Towel 6 Piece Set</t>
  </si>
  <si>
    <t>PF001469;PP000446</t>
  </si>
  <si>
    <t>AMAZON,BBBDROP,BLK01,CSNSTORES,FINGERHUTDS,JCPENNEY01,KOHLDSN,TGTDVS</t>
  </si>
  <si>
    <t>18156917-000-001</t>
  </si>
  <si>
    <t>2/3/2016</t>
  </si>
  <si>
    <t>FB153-1168</t>
  </si>
  <si>
    <t>Livy</t>
  </si>
  <si>
    <t>Oval Textured Ceramic Table Lamp</t>
  </si>
  <si>
    <t>Silver Base/White Shade</t>
  </si>
  <si>
    <t>39771276-000-000</t>
  </si>
  <si>
    <t>3/28/2022</t>
  </si>
  <si>
    <t>MP10-6833</t>
  </si>
  <si>
    <t>Lola</t>
  </si>
  <si>
    <t>Brianna</t>
  </si>
  <si>
    <t>Victoria</t>
  </si>
  <si>
    <t>PF002455;PP000448</t>
  </si>
  <si>
    <t>Farm House|Casual</t>
  </si>
  <si>
    <t>11/26/2019</t>
  </si>
  <si>
    <t>18523707-000-003</t>
  </si>
  <si>
    <t>12/20/2019</t>
  </si>
  <si>
    <t>1/13/2020</t>
  </si>
  <si>
    <t>FPF18-0172</t>
  </si>
  <si>
    <t>Lina</t>
  </si>
  <si>
    <t>Tufted Armless Chair</t>
  </si>
  <si>
    <t>PF000630;PP000194</t>
  </si>
  <si>
    <t>AMERSIGNDS,CASTLEGATE,CSNSTORES,HDDS,KIRKLANDDS,KOHLDSN,MACY02F,OLLIIX,ROOMECOM</t>
  </si>
  <si>
    <t>16675782-000-001</t>
  </si>
  <si>
    <t>3/18/2015</t>
  </si>
  <si>
    <t>MP10-436</t>
  </si>
  <si>
    <t>PF002454;PP000448</t>
  </si>
  <si>
    <t>AMAZON,AMAZONDS,BBBDROP,CSNSTORES,JCPENNEY01,KOHLDSN,MACY02,TGTDVS,WALMARTDS</t>
  </si>
  <si>
    <t>14607139-000-003</t>
  </si>
  <si>
    <t>UHK13-0053</t>
  </si>
  <si>
    <t>Laila</t>
  </si>
  <si>
    <t xml:space="preserve">Unicorn Reversible Cotton  Quilt Set with Throw Pillows</t>
  </si>
  <si>
    <t>PF002490</t>
  </si>
  <si>
    <t>9/1/2017</t>
  </si>
  <si>
    <t>AMAZON,AMAZONDS,BLK01,CSNSTORES,HDDS,HSNDS,JCPENNEY01,KOHLDSN,MACY02,TGTDVS</t>
  </si>
  <si>
    <t>23228920-000-001</t>
  </si>
  <si>
    <t>7/25/2017</t>
  </si>
  <si>
    <t>FPF18-0495</t>
  </si>
  <si>
    <t>PF000747;PP000194</t>
  </si>
  <si>
    <t>CASTLEGATE,CSNSTORES,HDDS,KOHLDSN,LAMPDS,OLLIIX</t>
  </si>
  <si>
    <t>18343346-000-000</t>
  </si>
  <si>
    <t>5/11/2016</t>
  </si>
  <si>
    <t>MT103-0162</t>
  </si>
  <si>
    <t>Skirted Swivel Chair Set of 2</t>
  </si>
  <si>
    <t>PP001274</t>
  </si>
  <si>
    <t>HH12-1622</t>
  </si>
  <si>
    <t>Lorelai</t>
  </si>
  <si>
    <t>Cotton Printed 5 Piece Duvet Cover Set</t>
  </si>
  <si>
    <t>PF003337</t>
  </si>
  <si>
    <t>5/25/2024</t>
  </si>
  <si>
    <t>AMAZON,BBBDROP,CSNSTORES,JCPENNEY01,KOHLDSN,MACY02,OLLIIX</t>
  </si>
  <si>
    <t>26569525-000-000</t>
  </si>
  <si>
    <t>CCL10-0009</t>
  </si>
  <si>
    <t>Loretta</t>
  </si>
  <si>
    <t>7/12/2024</t>
  </si>
  <si>
    <t>42155571-000-002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</si>
  <si>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</si>
  <si>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</si>
  <si>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</si>
  <si>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</si>
  <si>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</si>
  <si>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</si>
  <si>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AMAZON,AMAZONDS,BEALLSDS,HDDS,JCPENNEY01,KOHLDSN,MACY02,OLLIIX,TGTDVS</t>
  </si>
  <si>
    <t>27783180-000-006</t>
  </si>
  <si>
    <t>6/15/2018</t>
  </si>
  <si>
    <t>ID10-2369</t>
  </si>
  <si>
    <t>Lucy</t>
  </si>
  <si>
    <t>Elise</t>
  </si>
  <si>
    <t>PP001813;PF006254</t>
  </si>
  <si>
    <t>ID12-2372</t>
  </si>
  <si>
    <t>ID10-2370</t>
  </si>
  <si>
    <t>ID12-2373</t>
  </si>
  <si>
    <t>ID10-2371</t>
  </si>
  <si>
    <t>ID10-2374</t>
  </si>
  <si>
    <t>PP001813;PF006255</t>
  </si>
  <si>
    <t>ID12-2377</t>
  </si>
  <si>
    <t>ID10-2375</t>
  </si>
  <si>
    <t>ID12-2378</t>
  </si>
  <si>
    <t>ID10-2376</t>
  </si>
  <si>
    <t>ID12-2285</t>
  </si>
  <si>
    <t>PP001813;PF006085</t>
  </si>
  <si>
    <t>40850749-000-006</t>
  </si>
  <si>
    <t>ID10-2283</t>
  </si>
  <si>
    <t>40850769-000-013</t>
  </si>
  <si>
    <t>ID12-2286</t>
  </si>
  <si>
    <t>10/19/2023</t>
  </si>
  <si>
    <t>40850749-000-007</t>
  </si>
  <si>
    <t>ID10-2284</t>
  </si>
  <si>
    <t>40850769-000-011</t>
  </si>
  <si>
    <t>ID12-2280</t>
  </si>
  <si>
    <t>PP001813;PF006084</t>
  </si>
  <si>
    <t>40850749-000-004</t>
  </si>
  <si>
    <t>ID12-2281</t>
  </si>
  <si>
    <t>40850749-000-005</t>
  </si>
  <si>
    <t>ID10-2272</t>
  </si>
  <si>
    <t>PP001813;PF006083</t>
  </si>
  <si>
    <t>40850769-000-012</t>
  </si>
  <si>
    <t>ID12-2275</t>
  </si>
  <si>
    <t>40850749-000-008</t>
  </si>
  <si>
    <t>UHK10-0230</t>
  </si>
  <si>
    <t>Lulu</t>
  </si>
  <si>
    <t>Maisie</t>
  </si>
  <si>
    <t>Floral Reversible Cotton Comforter Set with Throw Pillow</t>
  </si>
  <si>
    <t>PF006170</t>
  </si>
  <si>
    <t>UHK12-0232</t>
  </si>
  <si>
    <t>Floral Reversible Cotton Duvet Cover Set with Throw Pillow</t>
  </si>
  <si>
    <t>UHK10-0231</t>
  </si>
  <si>
    <t>UHK12-0233</t>
  </si>
  <si>
    <t>ID10-2011</t>
  </si>
  <si>
    <t>Lumi</t>
  </si>
  <si>
    <t>PP001607;PF005400</t>
  </si>
  <si>
    <t>5/7/2021</t>
  </si>
  <si>
    <t>38019946-000-000</t>
  </si>
  <si>
    <t>ID12-2013</t>
  </si>
  <si>
    <t>Striped Duvet Cover Set</t>
  </si>
  <si>
    <t>38019921-000-002</t>
  </si>
  <si>
    <t>ID12-2014</t>
  </si>
  <si>
    <t>38019921-000-001</t>
  </si>
  <si>
    <t>8/24/2021</t>
  </si>
  <si>
    <t>FB155-1182</t>
  </si>
  <si>
    <t>Luminex</t>
  </si>
  <si>
    <t>White Ceramic Wall Sconce with Adjustable Swing Arm</t>
  </si>
  <si>
    <t>Gold/White</t>
  </si>
  <si>
    <t>MP95C-0208</t>
  </si>
  <si>
    <t>Luminous Bloom</t>
  </si>
  <si>
    <t>Gold Foil and Hand Embellished Floral Canvas Wall Art</t>
  </si>
  <si>
    <t>AMAZON,AMAZONDS,AMERSIGNDS,BBBDROP,KIRKLANDDS,KOHLDSN,MACY02,OLLIIX,Zulily</t>
  </si>
  <si>
    <t>33246977-000-000</t>
  </si>
  <si>
    <t>5/6/2019</t>
  </si>
  <si>
    <t>2/3/2020</t>
  </si>
  <si>
    <t>5DS153-0050</t>
  </si>
  <si>
    <t>Lumivive</t>
  </si>
  <si>
    <t>17" Mercury Glass Table Lamp</t>
  </si>
  <si>
    <t>43652614-000-000</t>
  </si>
  <si>
    <t>MT95F-0078</t>
  </si>
  <si>
    <t>Luna</t>
  </si>
  <si>
    <t>Natural Rattan Round Wall Mirror</t>
  </si>
  <si>
    <t>42180560-000-000</t>
  </si>
  <si>
    <t>FB153-1178</t>
  </si>
  <si>
    <t>Luxuria</t>
  </si>
  <si>
    <t>Textured Glass and Acrylic Base Table Lamp</t>
  </si>
  <si>
    <t>43446596-000-000</t>
  </si>
  <si>
    <t>FB153-1180</t>
  </si>
  <si>
    <t>Mercury</t>
  </si>
  <si>
    <t>43446596-000-001</t>
  </si>
  <si>
    <t>CCS20-015</t>
  </si>
  <si>
    <t>Luxury Egyptian</t>
  </si>
  <si>
    <t>500TC Cotton Pillowcases</t>
  </si>
  <si>
    <t>42024797-000-000</t>
  </si>
  <si>
    <t>CCS20-014</t>
  </si>
  <si>
    <t>Standard</t>
  </si>
  <si>
    <t>42024797-000-003</t>
  </si>
  <si>
    <t>CCS20-010</t>
  </si>
  <si>
    <t>42024797-000-001</t>
  </si>
  <si>
    <t>CCS20-037</t>
  </si>
  <si>
    <t>500TC Cotton Sheet Set</t>
  </si>
  <si>
    <t>42025513-000-000</t>
  </si>
  <si>
    <t>CCS20-009</t>
  </si>
  <si>
    <t>42024797-000-002</t>
  </si>
  <si>
    <t>CCS20-005</t>
  </si>
  <si>
    <t>CCS20-004</t>
  </si>
  <si>
    <t>42024797-000-004</t>
  </si>
  <si>
    <t>MP133-0533</t>
  </si>
  <si>
    <t>Lyle</t>
  </si>
  <si>
    <t>Bliss</t>
  </si>
  <si>
    <t>PP000634</t>
  </si>
  <si>
    <t>11/30/2017</t>
  </si>
  <si>
    <t>25456814-000-000</t>
  </si>
  <si>
    <t>FB153-1189</t>
  </si>
  <si>
    <t>Lysandria</t>
  </si>
  <si>
    <t>Glass Table Lamp</t>
  </si>
  <si>
    <t>BR10-3865</t>
  </si>
  <si>
    <t>Maddox</t>
  </si>
  <si>
    <t>3 Piece Striated Cationic Dyed Oversized Comforter Set with Pleats</t>
  </si>
  <si>
    <t>PP001828;PF005869</t>
  </si>
  <si>
    <t>BBBDROP,CSNSTORES,JCPENNEY01,KOHLDSN,TGTDVS</t>
  </si>
  <si>
    <t>40849200-000-002</t>
  </si>
  <si>
    <t>BR12-3867</t>
  </si>
  <si>
    <t>3 Piece Striated Cationic Dyed Oversized Duvet Cover Set with Pleats</t>
  </si>
  <si>
    <t>40849218-000-003</t>
  </si>
  <si>
    <t>BR12-3870</t>
  </si>
  <si>
    <t>PP001828;PF005870</t>
  </si>
  <si>
    <t>40849218-000-000</t>
  </si>
  <si>
    <t>BR12-3871</t>
  </si>
  <si>
    <t>BBBDROP,CSNSTORES,JCPENNEY01,KOHLDSN,MACY02,TGTDVS,ZOLA</t>
  </si>
  <si>
    <t>40849218-000-001</t>
  </si>
  <si>
    <t>MPS120-0020</t>
  </si>
  <si>
    <t>Madison</t>
  </si>
  <si>
    <t>Ebony</t>
  </si>
  <si>
    <t>PF001265;PP000304</t>
  </si>
  <si>
    <t>ASHFURNDS,CSNSTORES,KOHLDSN,MACY02F,OLLIIX</t>
  </si>
  <si>
    <t>20550616-000-000</t>
  </si>
  <si>
    <t>MT103-1188</t>
  </si>
  <si>
    <t>Madrid</t>
  </si>
  <si>
    <t>360 Degree Upholstered Swivel Chair</t>
  </si>
  <si>
    <t>40538347-000-000</t>
  </si>
  <si>
    <t>FB153-1181</t>
  </si>
  <si>
    <t>Maelle</t>
  </si>
  <si>
    <t>Blue Aqua Swirl Blown Glass Table Lamp</t>
  </si>
  <si>
    <t>43672567-000-000</t>
  </si>
  <si>
    <t>3/10/2024</t>
  </si>
  <si>
    <t>II101-0473</t>
  </si>
  <si>
    <t>Maise</t>
  </si>
  <si>
    <t>4/19/2022</t>
  </si>
  <si>
    <t>CSNSTORES,MACY02F,OLLIIX,ZOLA</t>
  </si>
  <si>
    <t>39863194-000-000</t>
  </si>
  <si>
    <t>MP104-1247</t>
  </si>
  <si>
    <t>Maison</t>
  </si>
  <si>
    <t>Marc</t>
  </si>
  <si>
    <t>Eugene</t>
  </si>
  <si>
    <t>Dark Grey/Antique Gold</t>
  </si>
  <si>
    <t>MP100-1168</t>
  </si>
  <si>
    <t>Malabar</t>
  </si>
  <si>
    <t>Leigh</t>
  </si>
  <si>
    <t>Daly</t>
  </si>
  <si>
    <t>25928769-000-001</t>
  </si>
  <si>
    <t>4/2/2022</t>
  </si>
  <si>
    <t>MT100-0140</t>
  </si>
  <si>
    <t>Malcom</t>
  </si>
  <si>
    <t>Wing Back Accent Chair</t>
  </si>
  <si>
    <t>5/17/2022</t>
  </si>
  <si>
    <t>40003132-000-000</t>
  </si>
  <si>
    <t>7/8/2022</t>
  </si>
  <si>
    <t>IIF18-0046</t>
  </si>
  <si>
    <t>Malibu</t>
  </si>
  <si>
    <t>PF000204;PP000035</t>
  </si>
  <si>
    <t>AMAZONDS,CASTLEGATE,CSNSTORES</t>
  </si>
  <si>
    <t>19889612-000-000</t>
  </si>
  <si>
    <t>II100-0399</t>
  </si>
  <si>
    <t>AMERSIGNDS,CSNSTORES,LAMPDS,MACY02F,OLLIIX</t>
  </si>
  <si>
    <t>19889612-000-001</t>
  </si>
  <si>
    <t>MT100-0137</t>
  </si>
  <si>
    <t>Manhattan</t>
  </si>
  <si>
    <t>38772978-000-000</t>
  </si>
  <si>
    <t>8/31/2021</t>
  </si>
  <si>
    <t>II105-0460</t>
  </si>
  <si>
    <t>Marcie</t>
  </si>
  <si>
    <t>Soft Close Storage Accent Bench</t>
  </si>
  <si>
    <t>3/23/2022</t>
  </si>
  <si>
    <t>AMERSIGNDS,CSNSTORES,HDDS,MACY02F,OLLIIX,TGTDVS,ZOLA</t>
  </si>
  <si>
    <t>39771177-000-000</t>
  </si>
  <si>
    <t>MP10-8410</t>
  </si>
  <si>
    <t>Marfa</t>
  </si>
  <si>
    <t>Peony</t>
  </si>
  <si>
    <t>4 Piece Pintuck Comforter Set with Throw Pillow</t>
  </si>
  <si>
    <t>PP001950;PF006214</t>
  </si>
  <si>
    <t>MP12-8412</t>
  </si>
  <si>
    <t>3 Piece Pintuck Duvet Cover Set</t>
  </si>
  <si>
    <t>MP10-8411</t>
  </si>
  <si>
    <t>MP12-8413</t>
  </si>
  <si>
    <t>MP12-7358</t>
  </si>
  <si>
    <t>Margot</t>
  </si>
  <si>
    <t>3 Piece Cotton Duvet Cover Set</t>
  </si>
  <si>
    <t>PP001599;PF005371</t>
  </si>
  <si>
    <t>5/27/2021</t>
  </si>
  <si>
    <t>BBBDROP,BLK01,CSNSTORES,JCPENNEY01,KOHLDSN,MACY02,OLLIIX,TGTDVS,ZOLA</t>
  </si>
  <si>
    <t>37930200-000-000</t>
  </si>
  <si>
    <t>5/29/2021</t>
  </si>
  <si>
    <t>6/28/2021</t>
  </si>
  <si>
    <t>FUR130-0019</t>
  </si>
  <si>
    <t>Maria</t>
  </si>
  <si>
    <t>Gabrielle</t>
  </si>
  <si>
    <t>Gold Lattice Accent Chest</t>
  </si>
  <si>
    <t>PF000100;PP000204</t>
  </si>
  <si>
    <t>20126376-000-000</t>
  </si>
  <si>
    <t>11/15/2016</t>
  </si>
  <si>
    <t>FPF20-0395</t>
  </si>
  <si>
    <t>Marian</t>
  </si>
  <si>
    <t>Misha</t>
  </si>
  <si>
    <t>Khloe</t>
  </si>
  <si>
    <t>Tufted Counter Stool</t>
  </si>
  <si>
    <t>PF000048;PP000205</t>
  </si>
  <si>
    <t>AMERSIGNDS,CASTLEGATE,CSNSTORES,KOHLDSN,LAMPDS,OLLIIX,ROOMECOM,TGTDVS</t>
  </si>
  <si>
    <t>18078886-000-000</t>
  </si>
  <si>
    <t>1/27/2016</t>
  </si>
  <si>
    <t>MT100-0148</t>
  </si>
  <si>
    <t>Maribelle</t>
  </si>
  <si>
    <t>Accent chair</t>
  </si>
  <si>
    <t>Beige/Blue</t>
  </si>
  <si>
    <t>6/7/2022</t>
  </si>
  <si>
    <t>40067139-000-000</t>
  </si>
  <si>
    <t>MPS95F-0041</t>
  </si>
  <si>
    <t>Marlowe</t>
  </si>
  <si>
    <t>Gold Beaded Round Wall Mirror 3-piece set</t>
  </si>
  <si>
    <t>3-Piece</t>
  </si>
  <si>
    <t>PP001618</t>
  </si>
  <si>
    <t>AMAZONDS,BLK01,CSNSTORES,OLLIIX</t>
  </si>
  <si>
    <t>40425736-000-000</t>
  </si>
  <si>
    <t>II12-1014</t>
  </si>
  <si>
    <t>Masie</t>
  </si>
  <si>
    <t>3 Piece Elastic Embroidered Cotton Duvet Cover Set</t>
  </si>
  <si>
    <t>PP000451;PF004164</t>
  </si>
  <si>
    <t>25797292-000-000</t>
  </si>
  <si>
    <t>2/6/2018</t>
  </si>
  <si>
    <t>2/8/2018</t>
  </si>
  <si>
    <t>II12-1015</t>
  </si>
  <si>
    <t>BLK01,JCPENNEY01,MACY02,TGTDVS</t>
  </si>
  <si>
    <t>25797292-000-001</t>
  </si>
  <si>
    <t>II12-802</t>
  </si>
  <si>
    <t>PF001680;PP000451</t>
  </si>
  <si>
    <t>AMAZON,BLK01,CSNSTORES,HSNDS,JCPENNEY01,MACY02,TGTDVS</t>
  </si>
  <si>
    <t>19427163-000-001</t>
  </si>
  <si>
    <t>MP35-8054</t>
  </si>
  <si>
    <t>Mateo</t>
  </si>
  <si>
    <t>Kenneth</t>
  </si>
  <si>
    <t>Siren</t>
  </si>
  <si>
    <t>Boho Medallion Woven Area Rug</t>
  </si>
  <si>
    <t>PP001798;PF005786</t>
  </si>
  <si>
    <t>KIRKLANDDS,OLLIIX,Zulily</t>
  </si>
  <si>
    <t>40587884-000-000</t>
  </si>
  <si>
    <t>MP35-8056</t>
  </si>
  <si>
    <t>40587884-000-002</t>
  </si>
  <si>
    <t>10/1/2023</t>
  </si>
  <si>
    <t>MP35-8057</t>
  </si>
  <si>
    <t>HDDS,KOHLDSN,OLLIIX</t>
  </si>
  <si>
    <t>40587884-000-003</t>
  </si>
  <si>
    <t>MP104-1104</t>
  </si>
  <si>
    <t>Quarry</t>
  </si>
  <si>
    <t>Powell</t>
  </si>
  <si>
    <t>Swivel Counter Stool</t>
  </si>
  <si>
    <t>5/18/2021</t>
  </si>
  <si>
    <t>35542320-000-001</t>
  </si>
  <si>
    <t>MP103-1171</t>
  </si>
  <si>
    <t>Mathis</t>
  </si>
  <si>
    <t>Rae</t>
  </si>
  <si>
    <t>Dolores</t>
  </si>
  <si>
    <t>35504269-000-001</t>
  </si>
  <si>
    <t>4/13/2022</t>
  </si>
  <si>
    <t>SS40-0036</t>
  </si>
  <si>
    <t>Arlie</t>
  </si>
  <si>
    <t>Rune</t>
  </si>
  <si>
    <t>Printed Heathered Blackout Grommet Top Curtain Panel</t>
  </si>
  <si>
    <t>Dusty Seafoam</t>
  </si>
  <si>
    <t>PF003954</t>
  </si>
  <si>
    <t>AMAZON,AMAZONDS,ASHFURNDS,BBBDROP,CSNSTORES,DESINC,JCPENNEY01,KOHLDSN,MACY02,OLLIIX,TGTDVS</t>
  </si>
  <si>
    <t>23998010-000-010</t>
  </si>
  <si>
    <t>10/16/2017</t>
  </si>
  <si>
    <t>SS40-0037</t>
  </si>
  <si>
    <t>PF003954;PP001038</t>
  </si>
  <si>
    <t>23998010-000-011</t>
  </si>
  <si>
    <t>1/12/2018</t>
  </si>
  <si>
    <t>SS40-0034</t>
  </si>
  <si>
    <t>50x54"</t>
  </si>
  <si>
    <t>BBBDROP,CSNSTORES,DESINC,JCPENNEY01,OLLIIX,TGTDVS</t>
  </si>
  <si>
    <t>23998010-000-008</t>
  </si>
  <si>
    <t>SS40-0028</t>
  </si>
  <si>
    <t>PF003955</t>
  </si>
  <si>
    <t>BBBDROP,BEALLSDS,CSNSTORES,JCPENNEY01,KOHLDSN,MACY02,TGTDVS</t>
  </si>
  <si>
    <t>23998010-000-002</t>
  </si>
  <si>
    <t>SS40-0026</t>
  </si>
  <si>
    <t>AMAZON,ASHFURNDS,BBBDROP,CSNSTORES,DESINC,JCPENNEY01,KOHLDSN,MACY02,TGTDVS</t>
  </si>
  <si>
    <t>23998010-000-000</t>
  </si>
  <si>
    <t>SS40-0104</t>
  </si>
  <si>
    <t>PF004520;PP001038</t>
  </si>
  <si>
    <t>11/25/2018</t>
  </si>
  <si>
    <t>23998010-000-014</t>
  </si>
  <si>
    <t>1/15/2019</t>
  </si>
  <si>
    <t>SS40-0031</t>
  </si>
  <si>
    <t>PF003956</t>
  </si>
  <si>
    <t>BLK01,MACY02</t>
  </si>
  <si>
    <t>23998010-000-005</t>
  </si>
  <si>
    <t>SS40-0032</t>
  </si>
  <si>
    <t>23998010-000-006</t>
  </si>
  <si>
    <t>SS40-0033</t>
  </si>
  <si>
    <t>AMAZONDS,CSNSTORES,MACY02,TGTDVS</t>
  </si>
  <si>
    <t>23998010-000-007</t>
  </si>
  <si>
    <t>SS40-0030</t>
  </si>
  <si>
    <t>AMAZON,AMAZONDS,BBBDROP,CSNSTORES,DESINC,JCPENNEY01,KOHLDSN,MACY02,TGTDVS</t>
  </si>
  <si>
    <t>23998010-000-004</t>
  </si>
  <si>
    <t>HH10-1225</t>
  </si>
  <si>
    <t>Maya Bay</t>
  </si>
  <si>
    <t>PF003324</t>
  </si>
  <si>
    <t>4/26/2024</t>
  </si>
  <si>
    <t>AMAZON,AMAZONDS,BBBDROP,BEALLSDS,CSNSTORES,JCPENNEY01,OLLIIX</t>
  </si>
  <si>
    <t>16648925-000-003</t>
  </si>
  <si>
    <t>IIF18-0142</t>
  </si>
  <si>
    <t>Melbourne</t>
  </si>
  <si>
    <t>Tan/Natural</t>
  </si>
  <si>
    <t>PF000219</t>
  </si>
  <si>
    <t>CSNSTORES,HDDS,OLLIIX</t>
  </si>
  <si>
    <t>20675188-000-000</t>
  </si>
  <si>
    <t>1/10/2017</t>
  </si>
  <si>
    <t>9/2/2017</t>
  </si>
  <si>
    <t>FB150-1159</t>
  </si>
  <si>
    <t>Melrose</t>
  </si>
  <si>
    <t>2-Light Beaded Chandelier</t>
  </si>
  <si>
    <t>Antique Brass/White</t>
  </si>
  <si>
    <t>2/23/2022</t>
  </si>
  <si>
    <t>39700603-000-000</t>
  </si>
  <si>
    <t>7/28/2022</t>
  </si>
  <si>
    <t>II121-0417</t>
  </si>
  <si>
    <t>Mercer</t>
  </si>
  <si>
    <t>Oval Dining Table</t>
  </si>
  <si>
    <t>6/1/2024</t>
  </si>
  <si>
    <t>BBBDROP,CSNSTORES,OLLIIX</t>
  </si>
  <si>
    <t>19134574-000-001</t>
  </si>
  <si>
    <t>2/16/2022</t>
  </si>
  <si>
    <t>II115-0419</t>
  </si>
  <si>
    <t>Queen Bed</t>
  </si>
  <si>
    <t>Brown/Bronze</t>
  </si>
  <si>
    <t>2/17/2022</t>
  </si>
  <si>
    <t>39624111-000-000</t>
  </si>
  <si>
    <t>UH12-2326</t>
  </si>
  <si>
    <t>Ronan</t>
  </si>
  <si>
    <t>3 Piece Cotton Chenille Duvet Cover Set</t>
  </si>
  <si>
    <t>PP001460;PF005050</t>
  </si>
  <si>
    <t>Casual|Transitional</t>
  </si>
  <si>
    <t>35761411-000-001</t>
  </si>
  <si>
    <t>4/13/2020</t>
  </si>
  <si>
    <t>UH13-2321</t>
  </si>
  <si>
    <t>3 Piece Cotton Quilt Set with Chenille Trims</t>
  </si>
  <si>
    <t>PP001460;PF005049</t>
  </si>
  <si>
    <t>4/24/2020</t>
  </si>
  <si>
    <t>35761410-000-002</t>
  </si>
  <si>
    <t>5/26/2020</t>
  </si>
  <si>
    <t>MPE10-570</t>
  </si>
  <si>
    <t>Merritt</t>
  </si>
  <si>
    <t>Almaden</t>
  </si>
  <si>
    <t>Becker</t>
  </si>
  <si>
    <t>PF003669</t>
  </si>
  <si>
    <t>6/28/2017</t>
  </si>
  <si>
    <t>17296260-000-005</t>
  </si>
  <si>
    <t>6/26/2017</t>
  </si>
  <si>
    <t>MPE13-240</t>
  </si>
  <si>
    <t>Coverlet</t>
  </si>
  <si>
    <t>4 Piece Reversible Quilt Set with Throw Pillow</t>
  </si>
  <si>
    <t>PF003669;PP000457</t>
  </si>
  <si>
    <t>BLK01,CSNSTORES,JCPENNEY01,MACY02,TGTDVS</t>
  </si>
  <si>
    <t>18981090-000-000</t>
  </si>
  <si>
    <t>ID20-1737</t>
  </si>
  <si>
    <t>Metallic Dot</t>
  </si>
  <si>
    <t>Aqua/Silver</t>
  </si>
  <si>
    <t>PP000922;PF004701</t>
  </si>
  <si>
    <t>AMAZONDS,JCPENNEY01,MACY02,TGTDVS</t>
  </si>
  <si>
    <t>27266912-000-012</t>
  </si>
  <si>
    <t>6/18/2019</t>
  </si>
  <si>
    <t>6/30/2019</t>
  </si>
  <si>
    <t>ID20-1474</t>
  </si>
  <si>
    <t>Blush/Gold</t>
  </si>
  <si>
    <t>PP000922</t>
  </si>
  <si>
    <t>5/25/2018</t>
  </si>
  <si>
    <t>27266912-000-002</t>
  </si>
  <si>
    <t>5/17/2018</t>
  </si>
  <si>
    <t>6/7/2018</t>
  </si>
  <si>
    <t>II100-0517</t>
  </si>
  <si>
    <t>Metro</t>
  </si>
  <si>
    <t>3 Piece Upholstered Sectional</t>
  </si>
  <si>
    <t>3PC Sectional</t>
  </si>
  <si>
    <t>39940944-000-003</t>
  </si>
  <si>
    <t>II100-0515</t>
  </si>
  <si>
    <t>4 Piece Upholstered Sectional</t>
  </si>
  <si>
    <t>4PC Sectional</t>
  </si>
  <si>
    <t>39940944-000-002</t>
  </si>
  <si>
    <t>MP95F-0327</t>
  </si>
  <si>
    <t>Mia</t>
  </si>
  <si>
    <t>Gold Metal Arch Wall Mirror</t>
  </si>
  <si>
    <t>MP100-0957</t>
  </si>
  <si>
    <t>MiaRose</t>
  </si>
  <si>
    <t>Milana</t>
  </si>
  <si>
    <t>Carlie</t>
  </si>
  <si>
    <t>7/2/2020</t>
  </si>
  <si>
    <t>HDDS,MACY02F,OLLIIX</t>
  </si>
  <si>
    <t>36458625-000-000</t>
  </si>
  <si>
    <t>7/13/2020</t>
  </si>
  <si>
    <t>7/21/2020</t>
  </si>
  <si>
    <t>II104-0576</t>
  </si>
  <si>
    <t>Swivel Counter Stool with Rattan Back</t>
  </si>
  <si>
    <t>7/19/2024</t>
  </si>
  <si>
    <t>BL51-0524</t>
  </si>
  <si>
    <t>Micro Fleece</t>
  </si>
  <si>
    <t>PF003573</t>
  </si>
  <si>
    <t>AMAZON,AMAZONDS,CSNSTORES,DESINC,FINGERHUTDS,JCPENNEY01,KOHLDSN,MACY02,TGTDVS</t>
  </si>
  <si>
    <t>13124112-000-009</t>
  </si>
  <si>
    <t>TN20-0460</t>
  </si>
  <si>
    <t>PP001622;PF005448</t>
  </si>
  <si>
    <t>13709532-000-130</t>
  </si>
  <si>
    <t>TN20-0461</t>
  </si>
  <si>
    <t>13709532-000-132</t>
  </si>
  <si>
    <t>TN20-0462</t>
  </si>
  <si>
    <t>AMAZON,AMAZONDS,CSNSTORES,KOHLDSN,MACY02,TGTDVS</t>
  </si>
  <si>
    <t>13709532-000-131</t>
  </si>
  <si>
    <t>TN20-0463</t>
  </si>
  <si>
    <t>13709532-000-134</t>
  </si>
  <si>
    <t>TN20-0465</t>
  </si>
  <si>
    <t>AMAZON,KOHLDSN,MACY02,OLLIIX</t>
  </si>
  <si>
    <t>13709532-000-135</t>
  </si>
  <si>
    <t>PC20-009</t>
  </si>
  <si>
    <t>PF001563</t>
  </si>
  <si>
    <t>13709532-000-002</t>
  </si>
  <si>
    <t>1/14/2015</t>
  </si>
  <si>
    <t>SHET20-745</t>
  </si>
  <si>
    <t>13709532-000-051</t>
  </si>
  <si>
    <t>3/23/2016</t>
  </si>
  <si>
    <t>PC20-010</t>
  </si>
  <si>
    <t>13709532-000-009</t>
  </si>
  <si>
    <t>1/26/2015</t>
  </si>
  <si>
    <t>PC20-012</t>
  </si>
  <si>
    <t>DESINC,JCPENNEY01</t>
  </si>
  <si>
    <t>13709532-000-011</t>
  </si>
  <si>
    <t>SHET20-838</t>
  </si>
  <si>
    <t>Blue Diamond</t>
  </si>
  <si>
    <t>PF001781</t>
  </si>
  <si>
    <t>AMAZON,HSNDS,KOHLDSN</t>
  </si>
  <si>
    <t>13709532-000-056</t>
  </si>
  <si>
    <t>SHET20-841</t>
  </si>
  <si>
    <t>AMAZONDS,FINGERHUTDS,JCPENNEY01,KOHLDSN</t>
  </si>
  <si>
    <t>13709532-000-059</t>
  </si>
  <si>
    <t>12/26/2016</t>
  </si>
  <si>
    <t>TN20-0522</t>
  </si>
  <si>
    <t>PP001622;PF006086</t>
  </si>
  <si>
    <t>13709532-000-145</t>
  </si>
  <si>
    <t>TN20-0523</t>
  </si>
  <si>
    <t>13709532-000-144</t>
  </si>
  <si>
    <t>TN20-0524</t>
  </si>
  <si>
    <t>13709532-000-147</t>
  </si>
  <si>
    <t>TN20-0525</t>
  </si>
  <si>
    <t>13709532-000-146</t>
  </si>
  <si>
    <t>TN20-0526</t>
  </si>
  <si>
    <t>13709532-000-149</t>
  </si>
  <si>
    <t>TN20-0527</t>
  </si>
  <si>
    <t>13709532-000-148</t>
  </si>
  <si>
    <t>SHET20-530</t>
  </si>
  <si>
    <t>PF001775</t>
  </si>
  <si>
    <t>13709532-000-020</t>
  </si>
  <si>
    <t>SHET20-737</t>
  </si>
  <si>
    <t>13709532-000-043</t>
  </si>
  <si>
    <t>1/25/2016</t>
  </si>
  <si>
    <t>SHET20-531</t>
  </si>
  <si>
    <t>13709532-000-021</t>
  </si>
  <si>
    <t>1/13/2015</t>
  </si>
  <si>
    <t>SHET20-532</t>
  </si>
  <si>
    <t>AMAZON,AMAZONDS,HSNDS,JCPENNEY01,KOHLDSN,MACY02,OLLIIX</t>
  </si>
  <si>
    <t>13709532-000-022</t>
  </si>
  <si>
    <t>SHET20-533</t>
  </si>
  <si>
    <t>AMAZON,AMAZONDS,CSNSTORES,FINGERHUTDS,KOHLDSN,WALMARTDS</t>
  </si>
  <si>
    <t>13709532-000-023</t>
  </si>
  <si>
    <t>SHET20-738</t>
  </si>
  <si>
    <t>AMAZON,AMAZONDS,BBBDROP,CSNSTORES,FINGERHUTDS,JCPENNEY01,KOHLDSN,MACY02,OLLIIX</t>
  </si>
  <si>
    <t>13709532-000-044</t>
  </si>
  <si>
    <t>11/9/2016</t>
  </si>
  <si>
    <t>SHET20-849</t>
  </si>
  <si>
    <t>Brown Diamond</t>
  </si>
  <si>
    <t>PF001783</t>
  </si>
  <si>
    <t>AMAZON,CSNSTORES,JCPENNEY01,KOHLDSN,MACY02,OLLIIX</t>
  </si>
  <si>
    <t>13709532-000-067</t>
  </si>
  <si>
    <t>11/22/2016</t>
  </si>
  <si>
    <t>PC20-005</t>
  </si>
  <si>
    <t>PF001735</t>
  </si>
  <si>
    <t>13709532-000-001</t>
  </si>
  <si>
    <t>4/8/2015</t>
  </si>
  <si>
    <t>PC20-006</t>
  </si>
  <si>
    <t>AMAZON,FINGERHUTDS,KOHLDSN,MACY02,WALMARTDS</t>
  </si>
  <si>
    <t>13709532-000-006</t>
  </si>
  <si>
    <t>PC20-007</t>
  </si>
  <si>
    <t>13709532-000-007</t>
  </si>
  <si>
    <t>PC20-008</t>
  </si>
  <si>
    <t>AMAZON,AMAZONDS,FINGERHUTDS,KOHLDSN,MACY02,OLLIIX</t>
  </si>
  <si>
    <t>13709532-000-008</t>
  </si>
  <si>
    <t>1/23/2015</t>
  </si>
  <si>
    <t>TN51-0477</t>
  </si>
  <si>
    <t>PP001706;PF005623</t>
  </si>
  <si>
    <t>9/22/2021</t>
  </si>
  <si>
    <t>AMAZON,AMAZONDS,BBBDROP,CSNSTORES,DESINC,KOHLDSN,MACY02</t>
  </si>
  <si>
    <t>13124112-000-027</t>
  </si>
  <si>
    <t>SHET20-526</t>
  </si>
  <si>
    <t>PF001774</t>
  </si>
  <si>
    <t>13709532-000-016</t>
  </si>
  <si>
    <t>5/14/2015</t>
  </si>
  <si>
    <t>SHET20-528</t>
  </si>
  <si>
    <t>AMAZON,AMAZONDS,DESINC,JCPENNEY01,KOHLDSN,MACY02,TGTDVS,WALMARTDS</t>
  </si>
  <si>
    <t>13709532-000-018</t>
  </si>
  <si>
    <t>SHET20-736</t>
  </si>
  <si>
    <t>AMAZON,BBBDROP,JCPENNEY01,KOHLDSN,MACY02,WALMARTDS</t>
  </si>
  <si>
    <t>13709532-000-042</t>
  </si>
  <si>
    <t>1/21/2016</t>
  </si>
  <si>
    <t>SHET20-842</t>
  </si>
  <si>
    <t>Grey Diamond</t>
  </si>
  <si>
    <t>PF001782</t>
  </si>
  <si>
    <t>FINGERHUTDS</t>
  </si>
  <si>
    <t>13709532-000-060</t>
  </si>
  <si>
    <t>12/7/2016</t>
  </si>
  <si>
    <t>TN20-0528</t>
  </si>
  <si>
    <t>PP001622;PF006087</t>
  </si>
  <si>
    <t>DESINC,TGTDVS</t>
  </si>
  <si>
    <t>13709532-000-137</t>
  </si>
  <si>
    <t>TN20-0529</t>
  </si>
  <si>
    <t>AMAZON,KOHLDSN,OLLIIX</t>
  </si>
  <si>
    <t>13709532-000-136</t>
  </si>
  <si>
    <t>TN20-0530</t>
  </si>
  <si>
    <t>AMAZON,JCPENNEY01,KOHLDSN,TGTDVS</t>
  </si>
  <si>
    <t>13709532-000-138</t>
  </si>
  <si>
    <t>TN20-0531</t>
  </si>
  <si>
    <t>13709532-000-140</t>
  </si>
  <si>
    <t>BL51-0895</t>
  </si>
  <si>
    <t>PF003600</t>
  </si>
  <si>
    <t>AMAZON,AMAZONDS,ASHFURNDS,BLK01,CSNSTORES,JCPENNEY01,KOHLDSN,MACY02</t>
  </si>
  <si>
    <t>13124112-000-024</t>
  </si>
  <si>
    <t>SHET20-996</t>
  </si>
  <si>
    <t>PF002215</t>
  </si>
  <si>
    <t>13709532-000-084</t>
  </si>
  <si>
    <t>12/15/2016</t>
  </si>
  <si>
    <t>SHET20-997</t>
  </si>
  <si>
    <t>13709532-000-085</t>
  </si>
  <si>
    <t>SHET20-999</t>
  </si>
  <si>
    <t>BBBDROP,JCPENNEY01,KOHLDSN</t>
  </si>
  <si>
    <t>13709532-000-087</t>
  </si>
  <si>
    <t>TN20-0532</t>
  </si>
  <si>
    <t>Grey Snowflake</t>
  </si>
  <si>
    <t>PP001622;PF006088</t>
  </si>
  <si>
    <t>13709532-000-139</t>
  </si>
  <si>
    <t>TN20-0533</t>
  </si>
  <si>
    <t>AMAZON,CSNSTORES,KOHLDSN</t>
  </si>
  <si>
    <t>13709532-000-142</t>
  </si>
  <si>
    <t>12/1/2023</t>
  </si>
  <si>
    <t>TN20-0535</t>
  </si>
  <si>
    <t>13709532-000-143</t>
  </si>
  <si>
    <t>PC20-124</t>
  </si>
  <si>
    <t>PF001746</t>
  </si>
  <si>
    <t>AMAZON,AMAZONDS,BBBDROP,KOHLDSN,MACY02,WALMARTDS</t>
  </si>
  <si>
    <t>13709532-000-012</t>
  </si>
  <si>
    <t>SHET20-747</t>
  </si>
  <si>
    <t>AMAZON,HSNDS,JCPENNEY01,KOHLDSN,MACY02</t>
  </si>
  <si>
    <t>13709532-000-053</t>
  </si>
  <si>
    <t>7/19/2016</t>
  </si>
  <si>
    <t>PC20-125</t>
  </si>
  <si>
    <t>AMAZON,HSNDS,KOHLDSN,MACY02,OLLIIX</t>
  </si>
  <si>
    <t>13709532-000-013</t>
  </si>
  <si>
    <t>PC20-126</t>
  </si>
  <si>
    <t>AMAZON,AMAZONDS,HSNDS,JCPENNEY01,KOHLDSN,MACY02,OLLIIX,TGTDVS</t>
  </si>
  <si>
    <t>13709532-000-014</t>
  </si>
  <si>
    <t>BL51-0517</t>
  </si>
  <si>
    <t>PF003413</t>
  </si>
  <si>
    <t>13124112-000-002</t>
  </si>
  <si>
    <t>SHET20-748</t>
  </si>
  <si>
    <t>13709532-000-054</t>
  </si>
  <si>
    <t>2/10/2016</t>
  </si>
  <si>
    <t>PC20-001</t>
  </si>
  <si>
    <t>PF001674</t>
  </si>
  <si>
    <t>AMAZON,AMAZONDS,JCPENNEY01,MACY02</t>
  </si>
  <si>
    <t>13709532-000-000</t>
  </si>
  <si>
    <t>8/30/2015</t>
  </si>
  <si>
    <t>SHET20-741</t>
  </si>
  <si>
    <t>BBBDROP,CSNSTORES,FINGERHUTDS,KOHLDSN,MACY02</t>
  </si>
  <si>
    <t>13709532-000-047</t>
  </si>
  <si>
    <t>PC20-003</t>
  </si>
  <si>
    <t>AMAZON,AMAZONDS,CSNSTORES,DESINC,FINGERHUTDS,JCPENNEY01,KOHLDSN,MACY02</t>
  </si>
  <si>
    <t>13709532-000-004</t>
  </si>
  <si>
    <t>SHET20-742</t>
  </si>
  <si>
    <t>13709532-000-048</t>
  </si>
  <si>
    <t>SHET20-792</t>
  </si>
  <si>
    <t>PF001777</t>
  </si>
  <si>
    <t>CSNSTORES,FINGERHUTDS,KOHLDSN</t>
  </si>
  <si>
    <t>13709532-000-036</t>
  </si>
  <si>
    <t>SHET20-796</t>
  </si>
  <si>
    <t>13709532-000-037</t>
  </si>
  <si>
    <t>SHET20-793</t>
  </si>
  <si>
    <t>13709532-000-038</t>
  </si>
  <si>
    <t>10/12/2016</t>
  </si>
  <si>
    <t>SHET20-795</t>
  </si>
  <si>
    <t>AMAZON,BBBDROP,CSNSTORES,DESINC,KOHLDSN,MACY02,TGTDVS</t>
  </si>
  <si>
    <t>13709532-000-040</t>
  </si>
  <si>
    <t>SHET20-797</t>
  </si>
  <si>
    <t>FINGERHUTDS,JCPENNEY01,KOHLDSN,MACY02</t>
  </si>
  <si>
    <t>13709532-000-055</t>
  </si>
  <si>
    <t>12/13/2016</t>
  </si>
  <si>
    <t>TN20-0448</t>
  </si>
  <si>
    <t>PP001622;PF005446</t>
  </si>
  <si>
    <t>AMAZON,FINGERHUTDS,KOHLDSN,MACY02</t>
  </si>
  <si>
    <t>13709532-000-118</t>
  </si>
  <si>
    <t>12/7/2021</t>
  </si>
  <si>
    <t>TN20-0450</t>
  </si>
  <si>
    <t>13709532-000-121</t>
  </si>
  <si>
    <t>10/14/2021</t>
  </si>
  <si>
    <t>TN20-0451</t>
  </si>
  <si>
    <t>13709532-000-120</t>
  </si>
  <si>
    <t>8/16/2021</t>
  </si>
  <si>
    <t>TN20-0452</t>
  </si>
  <si>
    <t>AMAZON,CSNSTORES,DESINC,FINGERHUTDS,KOHLDSN,MACY02</t>
  </si>
  <si>
    <t>13709532-000-123</t>
  </si>
  <si>
    <t>TN20-0453</t>
  </si>
  <si>
    <t>13709532-000-122</t>
  </si>
  <si>
    <t>12/3/2021</t>
  </si>
  <si>
    <t>SHET20-534</t>
  </si>
  <si>
    <t>PF001776</t>
  </si>
  <si>
    <t>13709532-000-024</t>
  </si>
  <si>
    <t>3/31/2015</t>
  </si>
  <si>
    <t>SHET20-739</t>
  </si>
  <si>
    <t>13709532-000-045</t>
  </si>
  <si>
    <t>4/18/2016</t>
  </si>
  <si>
    <t>SHET20-535</t>
  </si>
  <si>
    <t>13709532-000-025</t>
  </si>
  <si>
    <t>SHET20-536</t>
  </si>
  <si>
    <t>AMAZON,AMAZONDS,BLK01,FINGERHUTDS,KOHLDSN,MACY02,OLLIIX</t>
  </si>
  <si>
    <t>13709532-000-026</t>
  </si>
  <si>
    <t>SHET20-740</t>
  </si>
  <si>
    <t>AMAZON,DESINC,MACY02</t>
  </si>
  <si>
    <t>13709532-000-046</t>
  </si>
  <si>
    <t>8/7/2016</t>
  </si>
  <si>
    <t>BL51-0684</t>
  </si>
  <si>
    <t>PF003598</t>
  </si>
  <si>
    <t>AMAZON,AMAZONDS,ASHFURNDS,BLK01,CSNSTORES,FINGERHUTDS,JCPENNEY01,MACY02,OLLIIX,TGTDVS</t>
  </si>
  <si>
    <t>13124112-000-018</t>
  </si>
  <si>
    <t>BL51-0686</t>
  </si>
  <si>
    <t>AMAZON,ASHFURNDS,BEALLSDS,BLK01,FINGERHUTDS,MACY02,TGTDVS</t>
  </si>
  <si>
    <t>13124112-000-020</t>
  </si>
  <si>
    <t>ID20-2208</t>
  </si>
  <si>
    <t>All Season Soft Touch Sheet Set</t>
  </si>
  <si>
    <t>PP001853;PF005933</t>
  </si>
  <si>
    <t>6/23/2023</t>
  </si>
  <si>
    <t>16342274-000-046</t>
  </si>
  <si>
    <t>ID20-2209</t>
  </si>
  <si>
    <t>AMAZON,AMAZONDS,KOHLDSN,TGTDVS</t>
  </si>
  <si>
    <t>16342274-000-045</t>
  </si>
  <si>
    <t>ID20-2210</t>
  </si>
  <si>
    <t>16342274-000-055</t>
  </si>
  <si>
    <t>ID20-2211</t>
  </si>
  <si>
    <t>16342274-000-052</t>
  </si>
  <si>
    <t>ID20-2212</t>
  </si>
  <si>
    <t>16342274-000-051</t>
  </si>
  <si>
    <t>ID20-2203</t>
  </si>
  <si>
    <t>PP001853;PF005932</t>
  </si>
  <si>
    <t>16342274-000-044</t>
  </si>
  <si>
    <t>ID20-2204</t>
  </si>
  <si>
    <t>16342274-000-048</t>
  </si>
  <si>
    <t>ID20-2205</t>
  </si>
  <si>
    <t>AMAZON,OLLIIX,TGTDVS</t>
  </si>
  <si>
    <t>16342274-000-047</t>
  </si>
  <si>
    <t>ID20-1074</t>
  </si>
  <si>
    <t>PF001772</t>
  </si>
  <si>
    <t>AMAZONDS,BLK01,HSNDS,KOHLDSN,MACY02,OLLIIX,TGTDVS,WALMARTDS</t>
  </si>
  <si>
    <t>16342274-000-033</t>
  </si>
  <si>
    <t>1/20/2017</t>
  </si>
  <si>
    <t>ID20-1914</t>
  </si>
  <si>
    <t>Sheet Set with Side Storage Pockets</t>
  </si>
  <si>
    <t>5/13/2020</t>
  </si>
  <si>
    <t>AMAZONDS,JCPENNEY01,MACY02,OLLIIX,TGTDVS,WALMARTDS</t>
  </si>
  <si>
    <t>27441431-000-021</t>
  </si>
  <si>
    <t>5/14/2020</t>
  </si>
  <si>
    <t>9/1/2020</t>
  </si>
  <si>
    <t>ID20-1075</t>
  </si>
  <si>
    <t>AMAZONDS,BBBDROP,BLK01,FINGERHUTDS,HSNDS,KOHLDSN,MACY02,TGTDVS,WALMARTDS</t>
  </si>
  <si>
    <t>16342274-000-034</t>
  </si>
  <si>
    <t>5/1/2017</t>
  </si>
  <si>
    <t>ID20-1915</t>
  </si>
  <si>
    <t>BLK01,JCPENNEY01,KOHLDSN,MACY02,OLLIIX,TGTDVS,WALMARTDS</t>
  </si>
  <si>
    <t>27441431-000-017</t>
  </si>
  <si>
    <t>5/25/2020</t>
  </si>
  <si>
    <t>ID20-1916</t>
  </si>
  <si>
    <t>AMAZONDS,BLK01,HDDS,JCPENNEY01,KOHLDSN,MACY02,TGTDVS</t>
  </si>
  <si>
    <t>27441431-000-016</t>
  </si>
  <si>
    <t>ID20-1077</t>
  </si>
  <si>
    <t>AMAZONDS,BBBDROP,BLK01,FINGERHUTDS,HSNDS,JCPENNEY01,KOHLDSN,MACY02,OLLIIX,TGTDVS,WALMARTDS</t>
  </si>
  <si>
    <t>16342274-000-036</t>
  </si>
  <si>
    <t>1/24/2017</t>
  </si>
  <si>
    <t>ID20-132</t>
  </si>
  <si>
    <t>PF001767</t>
  </si>
  <si>
    <t>AMAZONDS,BEALLSDS,HSNDS,JCPENNEY01,KOHLDSN,MACY02,OLLIIX,TGTDVS,WALMARTDS</t>
  </si>
  <si>
    <t>16342274-000-010</t>
  </si>
  <si>
    <t>ID20-1454</t>
  </si>
  <si>
    <t>HDDS,JCPENNEY01,KOHLDSN,MACY02,TGTDVS,WALMARTDS</t>
  </si>
  <si>
    <t>27441431-000-000</t>
  </si>
  <si>
    <t>11/22/2019</t>
  </si>
  <si>
    <t>ID20-133</t>
  </si>
  <si>
    <t>BBBDROP,CSNSTORES,FINGERHUTDS,HSNDS,KOHLDSN,MACY02,TGTDVS,WALMARTDS</t>
  </si>
  <si>
    <t>16342274-000-011</t>
  </si>
  <si>
    <t>ID20-1455</t>
  </si>
  <si>
    <t>AMAZON,AMAZONDS,BBBDROP,BLK01,HDDS,JCPENNEY01,KOHLDSN,MACY02,TGTDVS,WALMARTDS</t>
  </si>
  <si>
    <t>27441431-000-007</t>
  </si>
  <si>
    <t>ID20-134</t>
  </si>
  <si>
    <t>AMAZONDS,BLK01,CSNSTORES,HSNDS,KOHLDSN,MACY02,TGTDVS,WALMARTDS</t>
  </si>
  <si>
    <t>16342274-000-012</t>
  </si>
  <si>
    <t>2/9/2015</t>
  </si>
  <si>
    <t>ID20-1456</t>
  </si>
  <si>
    <t>AMAZON,BLK01,HDDS,JCPENNEY01,KOHLDSN,MACY02,TGTDVS,WALMARTDS</t>
  </si>
  <si>
    <t>27441431-000-013</t>
  </si>
  <si>
    <t>ID20-2213</t>
  </si>
  <si>
    <t>PP001853;PF005934</t>
  </si>
  <si>
    <t>16342274-000-054</t>
  </si>
  <si>
    <t>ID20-2214</t>
  </si>
  <si>
    <t>16342274-000-053</t>
  </si>
  <si>
    <t>ID20-2216</t>
  </si>
  <si>
    <t>AMAZON,AMAZONDS,JCPENNEY01,KOHLDSN,TGTDVS</t>
  </si>
  <si>
    <t>16342274-000-056</t>
  </si>
  <si>
    <t>ID20-2217</t>
  </si>
  <si>
    <t>16342274-000-058</t>
  </si>
  <si>
    <t>ID20-137</t>
  </si>
  <si>
    <t>PF001769</t>
  </si>
  <si>
    <t>HSNDS,JCPENNEY01,KOHLDSN,MACY02,OLLIIX,TGTDVS,WALMARTDS</t>
  </si>
  <si>
    <t>16342274-000-015</t>
  </si>
  <si>
    <t>ID20-138</t>
  </si>
  <si>
    <t>BBBDROP,FINGERHUTDS,HSNDS,JCPENNEY01,MACY02,TGTDVS,WALMARTDS</t>
  </si>
  <si>
    <t>16342274-000-016</t>
  </si>
  <si>
    <t>2/20/2015</t>
  </si>
  <si>
    <t>ID20-1459</t>
  </si>
  <si>
    <t>BLK01,HDDS,JCPENNEY01,KOHLDSN,MACY02,TGTDVS</t>
  </si>
  <si>
    <t>27441431-000-006</t>
  </si>
  <si>
    <t>ID20-1460</t>
  </si>
  <si>
    <t>BLK01,JCPENNEY01,KOHLDSN,MACY02,TGTDVS,Zulily</t>
  </si>
  <si>
    <t>27441431-000-010</t>
  </si>
  <si>
    <t>6/12/2018</t>
  </si>
  <si>
    <t>ID20-140</t>
  </si>
  <si>
    <t>BEALLSDS,BLK01,FINGERHUTDS,HSNDS,JCPENNEY01,KOHLDSN,MACY02,OLLIIX,TGTDVS</t>
  </si>
  <si>
    <t>16342274-000-018</t>
  </si>
  <si>
    <t>ID20-1081</t>
  </si>
  <si>
    <t>PF001773</t>
  </si>
  <si>
    <t>AMAZONDS,BEALLSDS,BLK01,CSNSTORES,FINGERHUTDS,JCPENNEY01,KOHLDSN,MACY02,TGTDVS</t>
  </si>
  <si>
    <t>16342274-000-040</t>
  </si>
  <si>
    <t>ID20-1082</t>
  </si>
  <si>
    <t>AMAZON,AMAZONDS,BEALLSDS,DESINC,HSNDS,JCPENNEY01,MACY02,TGTDVS,WALMARTDS</t>
  </si>
  <si>
    <t>16342274-000-041</t>
  </si>
  <si>
    <t>12/29/2016</t>
  </si>
  <si>
    <t>ID20-1083</t>
  </si>
  <si>
    <t>AMAZON,BBBDROP,BLK01,CSNSTORES,FINGERHUTDS,HSNDS,JCPENNEY01,KOHLDSN,MACY02,TGTDVS,WALMARTDS</t>
  </si>
  <si>
    <t>16342274-000-042</t>
  </si>
  <si>
    <t>ID20-1084</t>
  </si>
  <si>
    <t>AMAZON,BLK01,FINGERHUTDS,HSNDS,MACY02,OLLIIX,TGTDVS</t>
  </si>
  <si>
    <t>16342274-000-043</t>
  </si>
  <si>
    <t>1/12/2017</t>
  </si>
  <si>
    <t>ID20-142</t>
  </si>
  <si>
    <t>AMAZON,AMAZONDS,BLK01,HSNDS,MACY02,OLLIIX,TGTDVS</t>
  </si>
  <si>
    <t>16342274-000-020</t>
  </si>
  <si>
    <t>ID20-1910</t>
  </si>
  <si>
    <t>27441431-000-023</t>
  </si>
  <si>
    <t>4/5/2021</t>
  </si>
  <si>
    <t>ID20-143</t>
  </si>
  <si>
    <t>AMAZONDS,BLK01,FINGERHUTDS,HSNDS,JCPENNEY01,KOHLDSN,MACY02,OLLIIX,TGTDVS,WALMARTDS</t>
  </si>
  <si>
    <t>16342274-000-021</t>
  </si>
  <si>
    <t>ID20-145</t>
  </si>
  <si>
    <t>AMAZONDS,BEALLSDS,BLK01,FINGERHUTDS,HSNDS,JCPENNEY01,KOHLDSN,MACY02,OLLIIX,TGTDVS,WALMARTDS,Zulily</t>
  </si>
  <si>
    <t>16342274-000-023</t>
  </si>
  <si>
    <t>ID20-1913</t>
  </si>
  <si>
    <t>BLK01,CSNSTORES,JCPENNEY01,KOHLDSN,MACY02,TGTDVS,WALMARTDS</t>
  </si>
  <si>
    <t>27441431-000-022</t>
  </si>
  <si>
    <t>6/19/2020</t>
  </si>
  <si>
    <t>ID20-146</t>
  </si>
  <si>
    <t>AMAZON,FINGERHUTDS,HSNDS,KOHLDSN,MACY02,OLLIIX,TGTDVS</t>
  </si>
  <si>
    <t>16342274-000-024</t>
  </si>
  <si>
    <t>ST55-0266</t>
  </si>
  <si>
    <t>Microfiber Heated</t>
  </si>
  <si>
    <t>PP001880;PF005997</t>
  </si>
  <si>
    <t>BLK01,JCPENNEY01,KOHLDSN</t>
  </si>
  <si>
    <t>41947745-000-000</t>
  </si>
  <si>
    <t>9/17/2023</t>
  </si>
  <si>
    <t>ST55-0268</t>
  </si>
  <si>
    <t>CSNSTORES,DESINC,JCPENNEY01,KOHLDSN,MACY02</t>
  </si>
  <si>
    <t>41947745-000-004</t>
  </si>
  <si>
    <t>ST55-0269</t>
  </si>
  <si>
    <t>6/28/2023</t>
  </si>
  <si>
    <t>41947745-000-005</t>
  </si>
  <si>
    <t>ST55-0270</t>
  </si>
  <si>
    <t>41947745-000-002</t>
  </si>
  <si>
    <t>ST55-0271</t>
  </si>
  <si>
    <t>41947745-000-003</t>
  </si>
  <si>
    <t>8/7/2023</t>
  </si>
  <si>
    <t>BASI16-0584</t>
  </si>
  <si>
    <t>Microfiber with HeiQ Smart Temp</t>
  </si>
  <si>
    <t>Microfiber with HeiQ Smart Temp Treament Waterproof Mattress Pad</t>
  </si>
  <si>
    <t>PP001786;PF005747</t>
  </si>
  <si>
    <t>AMAZONDS,BLK01,JCPENNEY01,KOHLDSN,MACY02,NRTPORT,TGTDVS</t>
  </si>
  <si>
    <t>40710807-000-002</t>
  </si>
  <si>
    <t>BASI10-0581</t>
  </si>
  <si>
    <t>Oversized Down Alt Comforter with HeiQ Smart Temp Treatment</t>
  </si>
  <si>
    <t>PP001785;PF005746</t>
  </si>
  <si>
    <t>40710765-000-001</t>
  </si>
  <si>
    <t>2/1/2023</t>
  </si>
  <si>
    <t>BASI16-0585</t>
  </si>
  <si>
    <t>40710807-000-000</t>
  </si>
  <si>
    <t>TN51-0554</t>
  </si>
  <si>
    <t>Microfleece</t>
  </si>
  <si>
    <t>PP001936;PF006176</t>
  </si>
  <si>
    <t>6/29/2024</t>
  </si>
  <si>
    <t>TN51-0555</t>
  </si>
  <si>
    <t>TN51-0556</t>
  </si>
  <si>
    <t>TN51-0551</t>
  </si>
  <si>
    <t>PP001936;PF006175</t>
  </si>
  <si>
    <t>TN51-0552</t>
  </si>
  <si>
    <t>TN51-0553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</si>
  <si>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</si>
  <si>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</si>
  <si>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</si>
  <si>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</si>
  <si>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</si>
  <si>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</si>
  <si>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</si>
  <si>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</si>
  <si>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</si>
  <si>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</si>
  <si>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</si>
  <si>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</si>
  <si>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BL51-0644</t>
  </si>
  <si>
    <t>Microlight</t>
  </si>
  <si>
    <t>PF003589</t>
  </si>
  <si>
    <t>BLK01,KOHLDSN,MACY02,OLLIIX,TGTDVS</t>
  </si>
  <si>
    <t>15379780-000-014</t>
  </si>
  <si>
    <t>ID51-1087</t>
  </si>
  <si>
    <t>Microlight Plush</t>
  </si>
  <si>
    <t>Oversized Blanket</t>
  </si>
  <si>
    <t>PF003476</t>
  </si>
  <si>
    <t>AMAZON,ASHFURNDS,BBBDROP,BEALLSDS,BLK01,CSNSTORES,FINGERHUTDS,JCPENNEY01,KOHLDSN,MACY02,NRTPORT,TGTDVS,WALMARTDS,Zulily</t>
  </si>
  <si>
    <t>18631076-000-013</t>
  </si>
  <si>
    <t>3/27/2017</t>
  </si>
  <si>
    <t>ID50-844</t>
  </si>
  <si>
    <t>Oversized Throw</t>
  </si>
  <si>
    <t>PF003473</t>
  </si>
  <si>
    <t>AMAZON,BLK01,CSNSTORES,FINGERHUTDS,JCPENNEY01,KOHLDSN,MACY02,OLLIIX,TGTDVS</t>
  </si>
  <si>
    <t>18660058-000-002</t>
  </si>
  <si>
    <t>ID51-830</t>
  </si>
  <si>
    <t>PF003475</t>
  </si>
  <si>
    <t>AMAZON,AMAZONDS,ASHFURNDS,BBBDROP,BEALLSDS,BLK01,CSNSTORES,KOHLDSN,MACY02,NRTPORT,TGTDVS,WALMARTDS</t>
  </si>
  <si>
    <t>18631076-000-009</t>
  </si>
  <si>
    <t>4/25/2016</t>
  </si>
  <si>
    <t>ID51-832</t>
  </si>
  <si>
    <t>AMAZON,AMAZONDS,ASHFURNDS,BBBDROP,BEALLSDS,BLK01,CSNSTORES,FINGERHUTDS,JCPENNEY01,KOHLDSN,MACY02,NRTPORT,TGTDVS,WALMARTDS,Zulily</t>
  </si>
  <si>
    <t>18631076-000-011</t>
  </si>
  <si>
    <t>ID51-1308</t>
  </si>
  <si>
    <t>PF003478</t>
  </si>
  <si>
    <t>8/31/2017</t>
  </si>
  <si>
    <t>AMAZON,ASHFURNDS,BBBDROP,BEALLSDS,BLK01,CSNSTORES,KOHLDSN,MACY02,TGTDVS,WALMARTDS</t>
  </si>
  <si>
    <t>18631076-000-018</t>
  </si>
  <si>
    <t>9/18/2017</t>
  </si>
  <si>
    <t>ID51-1309</t>
  </si>
  <si>
    <t>AMAZON,AMAZONDS,ASHFURNDS,BBBDROP,BEALLSDS,CSNSTORES,FINGERHUTDS,JCPENNEY01,KOHLDSN,MACY02,NRTPORT,TGTDVS</t>
  </si>
  <si>
    <t>18631076-000-019</t>
  </si>
  <si>
    <t>ID51-1089</t>
  </si>
  <si>
    <t>PF003477</t>
  </si>
  <si>
    <t>AMAZON,AMAZONDS,BLK01,DESINC,KOHLDSN,MACY02,NRTPORT,TGTDVS,WALMARTDS</t>
  </si>
  <si>
    <t>18631076-000-015</t>
  </si>
  <si>
    <t>4/5/2017</t>
  </si>
  <si>
    <t>ID51-826</t>
  </si>
  <si>
    <t>PF003472</t>
  </si>
  <si>
    <t>AMAZON,AMAZONDS,ASHFURNDS,BLK01,CSNSTORES,FINGERHUTDS,JCPENNEY01,KOHLDSN,MACY02,NRTPORT,TGTDVS,WALMARTDS,Zulily</t>
  </si>
  <si>
    <t>18631076-000-005</t>
  </si>
  <si>
    <t>BR54-4129</t>
  </si>
  <si>
    <t>Microplush</t>
  </si>
  <si>
    <t>Heated Blanket with Wifi Technology</t>
  </si>
  <si>
    <t>PP001882;PF006002</t>
  </si>
  <si>
    <t>9/9/2023</t>
  </si>
  <si>
    <t>42618483-000-000</t>
  </si>
  <si>
    <t>BR54-4127</t>
  </si>
  <si>
    <t>PP001882;PF006001</t>
  </si>
  <si>
    <t>42618483-000-001</t>
  </si>
  <si>
    <t>BR54-4130</t>
  </si>
  <si>
    <t>PP001882;PF006003</t>
  </si>
  <si>
    <t>CSNSTORES,JCPENNEY01,MACY02,OLLIIX</t>
  </si>
  <si>
    <t>42618483-000-002</t>
  </si>
  <si>
    <t>BR54-4131</t>
  </si>
  <si>
    <t>42618483-000-003</t>
  </si>
  <si>
    <t>MP95C-0112</t>
  </si>
  <si>
    <t>Midday Bloom Florals</t>
  </si>
  <si>
    <t>Embellished Canvas Wall Art</t>
  </si>
  <si>
    <t>PF002014</t>
  </si>
  <si>
    <t>6/21/2017</t>
  </si>
  <si>
    <t>AMAZON,AMAZONDS,BBBDROP,KIRKLANDDS,KOHLDSN,ROOMECOM,TGTDVS,Zulily</t>
  </si>
  <si>
    <t>22896855-000-000</t>
  </si>
  <si>
    <t>MP95C-0125</t>
  </si>
  <si>
    <t>Midnight Tide Blue</t>
  </si>
  <si>
    <t>Abstract 5-piece Canvas Wall Art Set</t>
  </si>
  <si>
    <t>PP000603</t>
  </si>
  <si>
    <t>9/13/2017</t>
  </si>
  <si>
    <t>AMERSIGNDS,BBBDROP,BEALLSDS,KIRKLANDDS,KOHLDSN,MACY02,OLLIIX,ROOMECOM,TGTDVS</t>
  </si>
  <si>
    <t>23715702-000-000</t>
  </si>
  <si>
    <t>II12-1318</t>
  </si>
  <si>
    <t>3 Piece Cotton Duvet Cover Set with Chenille Tufting</t>
  </si>
  <si>
    <t>PP001321;PF006111</t>
  </si>
  <si>
    <t>34405980-000-007</t>
  </si>
  <si>
    <t>ID10-2320</t>
  </si>
  <si>
    <t>Miley</t>
  </si>
  <si>
    <t>Checkered Comforter Set</t>
  </si>
  <si>
    <t>PF006199</t>
  </si>
  <si>
    <t>43736000-000-001</t>
  </si>
  <si>
    <t>ID10-2321</t>
  </si>
  <si>
    <t>43736000-000-000</t>
  </si>
  <si>
    <t>II12-1067</t>
  </si>
  <si>
    <t>Mill Valley</t>
  </si>
  <si>
    <t>Reversible Cotton Duvet Cover Set</t>
  </si>
  <si>
    <t>PP001318;PF004764</t>
  </si>
  <si>
    <t>34332646-000-001</t>
  </si>
  <si>
    <t>9/16/2019</t>
  </si>
  <si>
    <t>1/28/2020</t>
  </si>
  <si>
    <t>MP101-1045</t>
  </si>
  <si>
    <t>Miller</t>
  </si>
  <si>
    <t>Javier</t>
  </si>
  <si>
    <t>Millie</t>
  </si>
  <si>
    <t>Round Storage Ottoman</t>
  </si>
  <si>
    <t>Light Grey/Brown</t>
  </si>
  <si>
    <t>8/21/2020</t>
  </si>
  <si>
    <t>23224673-000-001</t>
  </si>
  <si>
    <t>9/10/2020</t>
  </si>
  <si>
    <t>9/29/2020</t>
  </si>
  <si>
    <t>II150-0119</t>
  </si>
  <si>
    <t>Milo</t>
  </si>
  <si>
    <t>OLLIIX,TGTDVS,ZOLA</t>
  </si>
  <si>
    <t>40002939-000-000</t>
  </si>
  <si>
    <t>IIF17-0149</t>
  </si>
  <si>
    <t>PP000041</t>
  </si>
  <si>
    <t>20691716-000-000</t>
  </si>
  <si>
    <t>AM12-0046</t>
  </si>
  <si>
    <t>Hanna</t>
  </si>
  <si>
    <t>Aera</t>
  </si>
  <si>
    <t>Waffle Weave Textured Duvet Cover Set</t>
  </si>
  <si>
    <t>PP001928;PF006154</t>
  </si>
  <si>
    <t>CSNSTORES,KOHLDSN,MACY02</t>
  </si>
  <si>
    <t>42786750-000-000</t>
  </si>
  <si>
    <t>ID10-2382</t>
  </si>
  <si>
    <t>Mira</t>
  </si>
  <si>
    <t>Arabella</t>
  </si>
  <si>
    <t>Crushed Velvet Sherpa Reversible Comforter Set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</si>
  <si>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</si>
  <si>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</si>
  <si>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</si>
  <si>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</si>
  <si>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</si>
  <si>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</si>
  <si>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</si>
  <si>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ID10-2266</t>
  </si>
  <si>
    <t>PP001907;PF006081</t>
  </si>
  <si>
    <t>CSNSTORES,KOHLDSN,NRTPORT,TGTDVS</t>
  </si>
  <si>
    <t>42733819-000-003</t>
  </si>
  <si>
    <t>ID10-2267</t>
  </si>
  <si>
    <t>CSNSTORES,KOHLDSN,TGTDVS</t>
  </si>
  <si>
    <t>42733819-000-008</t>
  </si>
  <si>
    <t>ID10-2269</t>
  </si>
  <si>
    <t>PP001907;PF006082</t>
  </si>
  <si>
    <t>42733819-000-006</t>
  </si>
  <si>
    <t>12/11/2023</t>
  </si>
  <si>
    <t>ID10-2263</t>
  </si>
  <si>
    <t>PP001907;PF006080</t>
  </si>
  <si>
    <t>42733819-000-005</t>
  </si>
  <si>
    <t>ID10-2264</t>
  </si>
  <si>
    <t>42733819-000-001</t>
  </si>
  <si>
    <t>ID10-2265</t>
  </si>
  <si>
    <t>42733819-000-007</t>
  </si>
  <si>
    <t>SS40-0237</t>
  </si>
  <si>
    <t>Mirage</t>
  </si>
  <si>
    <t>Elysia</t>
  </si>
  <si>
    <t>Azalea</t>
  </si>
  <si>
    <t>Knitted Jacquard Damask Total Blackout Grommet Top Curtain Panel Pair</t>
  </si>
  <si>
    <t>PP001653;PF005527</t>
  </si>
  <si>
    <t>23909103-000-015</t>
  </si>
  <si>
    <t>SS40-0013</t>
  </si>
  <si>
    <t>Knitted Jacquard Damask Total Blackout Grommet Top Curtain Panel</t>
  </si>
  <si>
    <t>23909103-000-000</t>
  </si>
  <si>
    <t>SS40-0102</t>
  </si>
  <si>
    <t>PP001039;PF004521</t>
  </si>
  <si>
    <t>AMAZON,AMAZONDS,ASHFURNDS,BBBDROP,BLK01,CSNSTORES,HDDS,JCPENNEY01,KOHLDSN,MACY02,TGTDVS</t>
  </si>
  <si>
    <t>23909103-000-009</t>
  </si>
  <si>
    <t>1/25/2019</t>
  </si>
  <si>
    <t>SS40-0103</t>
  </si>
  <si>
    <t>AMAZON,AMAZONDS,BBBDROP,CSNSTORES,JCPENNEY01,MACY02,TGTDVS</t>
  </si>
  <si>
    <t>23909103-000-010</t>
  </si>
  <si>
    <t>3/4/2019</t>
  </si>
  <si>
    <t>SS40-0018</t>
  </si>
  <si>
    <t>AMAZON,AMERSIGNDS,BBBDROP,CSNSTORES,HDDS,JCPENNEY01,KOHLDSN,MACY02,TGTDVS</t>
  </si>
  <si>
    <t>23909103-000-005</t>
  </si>
  <si>
    <t>9/25/2017</t>
  </si>
  <si>
    <t>AM10-0176</t>
  </si>
  <si>
    <t>Miro</t>
  </si>
  <si>
    <t>Ayko</t>
  </si>
  <si>
    <t>Marty</t>
  </si>
  <si>
    <t>Soft Washed Color Block Comforter Set</t>
  </si>
  <si>
    <t>PP001980;PF006320</t>
  </si>
  <si>
    <t>AM10-0177</t>
  </si>
  <si>
    <t>AM10-0178</t>
  </si>
  <si>
    <t>BR10-3848</t>
  </si>
  <si>
    <t>3 Piece Gauze Oversized Comforter Set</t>
  </si>
  <si>
    <t>PP001826;PF005864</t>
  </si>
  <si>
    <t>CSNSTORES,JCPENNEY01,MACY02,OLLIIX,TGTDVS</t>
  </si>
  <si>
    <t>40888646-000-002</t>
  </si>
  <si>
    <t>BR12-3850</t>
  </si>
  <si>
    <t>3 Piece Gauze Oversized Duvet Cover Set</t>
  </si>
  <si>
    <t>40888685-000-002</t>
  </si>
  <si>
    <t>BR12-3851</t>
  </si>
  <si>
    <t>40888685-000-000</t>
  </si>
  <si>
    <t>AM10-0179</t>
  </si>
  <si>
    <t>PP001980;PF006321</t>
  </si>
  <si>
    <t>AM10-0180</t>
  </si>
  <si>
    <t>AM10-0181</t>
  </si>
  <si>
    <t>BR10-3852</t>
  </si>
  <si>
    <t>PP001826;PF005865</t>
  </si>
  <si>
    <t>CSNSTORES,MACY02,TGTDVS</t>
  </si>
  <si>
    <t>40888646-000-003</t>
  </si>
  <si>
    <t>BR12-3854</t>
  </si>
  <si>
    <t>40888685-000-003</t>
  </si>
  <si>
    <t>BR10-3853</t>
  </si>
  <si>
    <t>40888646-000-000</t>
  </si>
  <si>
    <t>BR12-3855</t>
  </si>
  <si>
    <t>40888685-000-001</t>
  </si>
  <si>
    <t>AM10-0182</t>
  </si>
  <si>
    <t>PP001980;PF006322</t>
  </si>
  <si>
    <t>AM10-0183</t>
  </si>
  <si>
    <t>AM10-0184</t>
  </si>
  <si>
    <t>II100-0544</t>
  </si>
  <si>
    <t>Modular Armless Chair</t>
  </si>
  <si>
    <t>Armless Chair</t>
  </si>
  <si>
    <t>43408253-000-001</t>
  </si>
  <si>
    <t>II101-0545</t>
  </si>
  <si>
    <t>Modular Ottoman</t>
  </si>
  <si>
    <t>43408253-000-000</t>
  </si>
  <si>
    <t>II90-0557</t>
  </si>
  <si>
    <t>Assortment</t>
  </si>
  <si>
    <t>3-Piece Modular L-Shape Sofa</t>
  </si>
  <si>
    <t>43410615-000-005</t>
  </si>
  <si>
    <t>II90-0559</t>
  </si>
  <si>
    <t>4-Piece Modular Sofa with Ottoman</t>
  </si>
  <si>
    <t>43410615-000-004</t>
  </si>
  <si>
    <t>II100-0556</t>
  </si>
  <si>
    <t>2-Piece Modular Loveseat Sofa</t>
  </si>
  <si>
    <t>43410615-000-001</t>
  </si>
  <si>
    <t>II100-0558</t>
  </si>
  <si>
    <t>5-Piece Modular L-Shape Sofa</t>
  </si>
  <si>
    <t>43410615-000-002</t>
  </si>
  <si>
    <t>II100-0560</t>
  </si>
  <si>
    <t>3-Piece Modular Sofa</t>
  </si>
  <si>
    <t>43410615-000-003</t>
  </si>
  <si>
    <t>II100-0561</t>
  </si>
  <si>
    <t>5-Piece Modular U-Shape Sofa</t>
  </si>
  <si>
    <t>43410615-000-000</t>
  </si>
  <si>
    <t>II100-0506</t>
  </si>
  <si>
    <t>Silver Grey</t>
  </si>
  <si>
    <t>1/31/2023</t>
  </si>
  <si>
    <t>41053312-000-002</t>
  </si>
  <si>
    <t>II100-0505</t>
  </si>
  <si>
    <t>Modular Corner Chair</t>
  </si>
  <si>
    <t>Corner Chair</t>
  </si>
  <si>
    <t>41053312-000-000</t>
  </si>
  <si>
    <t>II101-0507</t>
  </si>
  <si>
    <t>41053312-000-001</t>
  </si>
  <si>
    <t>II90-0533</t>
  </si>
  <si>
    <t>Accent Chair|Assortment|Ottoman</t>
  </si>
  <si>
    <t>42995005-000-001</t>
  </si>
  <si>
    <t>II90-0535</t>
  </si>
  <si>
    <t>42995005-000-000</t>
  </si>
  <si>
    <t>II100-0532</t>
  </si>
  <si>
    <t>42995005-000-002</t>
  </si>
  <si>
    <t>II100-0534</t>
  </si>
  <si>
    <t>42995005-000-003</t>
  </si>
  <si>
    <t>II100-0536</t>
  </si>
  <si>
    <t>42995005-000-005</t>
  </si>
  <si>
    <t>II100-0537</t>
  </si>
  <si>
    <t>42995005-000-004</t>
  </si>
  <si>
    <t>5DS120-0011</t>
  </si>
  <si>
    <t>Monarch</t>
  </si>
  <si>
    <t>Monarch Coffee Table</t>
  </si>
  <si>
    <t>Dark Coffee/Black</t>
  </si>
  <si>
    <t>ASHFURNDS,DESINC,OLLIIX</t>
  </si>
  <si>
    <t>38980698-000-000</t>
  </si>
  <si>
    <t>MP103-1204</t>
  </si>
  <si>
    <t>Irene</t>
  </si>
  <si>
    <t>Jenny</t>
  </si>
  <si>
    <t>Armless 360 Degree Swivel Chair</t>
  </si>
  <si>
    <t>12/8/2022</t>
  </si>
  <si>
    <t>40538991-000-000</t>
  </si>
  <si>
    <t>CCL11-0020</t>
  </si>
  <si>
    <t>Montague</t>
  </si>
  <si>
    <t>CSNSTORES,DLCROSCILL,HOUZZ,JCPENNEY01,MACY02,OLLIIX</t>
  </si>
  <si>
    <t>42067462-000-000</t>
  </si>
  <si>
    <t>CCL11-0021</t>
  </si>
  <si>
    <t>42067462-000-001</t>
  </si>
  <si>
    <t>II120-0575</t>
  </si>
  <si>
    <t>Monterey</t>
  </si>
  <si>
    <t>54" Console table</t>
  </si>
  <si>
    <t>54"W</t>
  </si>
  <si>
    <t>MP95C-0325</t>
  </si>
  <si>
    <t>Moody Coast</t>
  </si>
  <si>
    <t>Hand Embellished Landscape Framed Canvas Wall Art</t>
  </si>
  <si>
    <t>Blue/Pink</t>
  </si>
  <si>
    <t>42794029-000-000</t>
  </si>
  <si>
    <t>MP163-0183</t>
  </si>
  <si>
    <t>BOXES &amp; BASKETS</t>
  </si>
  <si>
    <t>Baskets</t>
  </si>
  <si>
    <t>Moraga</t>
  </si>
  <si>
    <t>Basket Set of 2</t>
  </si>
  <si>
    <t>26498904-000-000</t>
  </si>
  <si>
    <t>10/12/2018</t>
  </si>
  <si>
    <t>MT100-1203</t>
  </si>
  <si>
    <t>Morgan</t>
  </si>
  <si>
    <t>Cane Accent Chair with Removable Back Cushion</t>
  </si>
  <si>
    <t>43804499-000-000</t>
  </si>
  <si>
    <t>HH10-1864</t>
  </si>
  <si>
    <t>6 Piece Cotton Jacquard Oversized Comforter Set</t>
  </si>
  <si>
    <t>White/Blue</t>
  </si>
  <si>
    <t>PP001753;PF006226</t>
  </si>
  <si>
    <t>Farm House|Lodge/Cabin</t>
  </si>
  <si>
    <t>HH12-1868</t>
  </si>
  <si>
    <t>5 Piece Cotton Jaquard Duvet Set</t>
  </si>
  <si>
    <t>HH10-1865</t>
  </si>
  <si>
    <t>HH10-1866</t>
  </si>
  <si>
    <t>HH12-1869</t>
  </si>
  <si>
    <t>HH10-1867</t>
  </si>
  <si>
    <t>MP95A-0001</t>
  </si>
  <si>
    <t>Moroccan Tile</t>
  </si>
  <si>
    <t>4-piece Framed Art Set</t>
  </si>
  <si>
    <t>PF001830</t>
  </si>
  <si>
    <t>AMAZON,AMERSIGNDS,BEALLSDS,BLK01,CSNSTORES,HOUZZ,KOHLDSN,MACY02,OLLIIX,TGTDVS</t>
  </si>
  <si>
    <t>18109269-000-000</t>
  </si>
  <si>
    <t>UHK13-0223</t>
  </si>
  <si>
    <t>Emmett</t>
  </si>
  <si>
    <t>Noah</t>
  </si>
  <si>
    <t>Stripe Printed Quilt Set</t>
  </si>
  <si>
    <t>PF005207</t>
  </si>
  <si>
    <t>3/23/2024</t>
  </si>
  <si>
    <t>AMAZON,JCPENNEY01,TGTDVS</t>
  </si>
  <si>
    <t>42052710-000-001</t>
  </si>
  <si>
    <t>MPS10-523</t>
  </si>
  <si>
    <t>Murphy</t>
  </si>
  <si>
    <t>Oversized Cotton Jacquard Comforter Set with Euro Shams and Throw Pillows</t>
  </si>
  <si>
    <t>PP001957;PF006233</t>
  </si>
  <si>
    <t>Pending</t>
  </si>
  <si>
    <t>MPS10-524</t>
  </si>
  <si>
    <t>UH10-2150</t>
  </si>
  <si>
    <t>Myla</t>
  </si>
  <si>
    <t>Jojo</t>
  </si>
  <si>
    <t>Kira</t>
  </si>
  <si>
    <t>7 Piece Cotton Jacquard Comforter Set</t>
  </si>
  <si>
    <t>PP000835;PF004167</t>
  </si>
  <si>
    <t>AMAZON,AMAZONDS,BLK01,CSNSTORES,KOHLDSN</t>
  </si>
  <si>
    <t>26488682-000-001</t>
  </si>
  <si>
    <t>UH10-0224</t>
  </si>
  <si>
    <t>PF002478</t>
  </si>
  <si>
    <t>AMAZON,AMAZONDS,BBBDROP,BLK01,CSNSTORES,JCPENNEY01,KOHLDSN,MACY02,OLLIIX,TGTDVS</t>
  </si>
  <si>
    <t>26488682-000-003</t>
  </si>
  <si>
    <t>5/23/2017</t>
  </si>
  <si>
    <t>MT153-0077</t>
  </si>
  <si>
    <t>Mystique</t>
  </si>
  <si>
    <t>Blue Ceramic Ginger Jar Table Lamp</t>
  </si>
  <si>
    <t>ID91-524</t>
  </si>
  <si>
    <t>Nadia</t>
  </si>
  <si>
    <t>Darcy</t>
  </si>
  <si>
    <t>PF001470;PP000465</t>
  </si>
  <si>
    <t>8/21/2024</t>
  </si>
  <si>
    <t>AMAZON,AMAZONDS,BLK01,CSNSTORES,FINGERHUTDS,HDDS,JCPENNEY01,KOHLDSN,MACY02,TGTDVS</t>
  </si>
  <si>
    <t>18156920-000-000</t>
  </si>
  <si>
    <t>2/1/2016</t>
  </si>
  <si>
    <t>II30-211</t>
  </si>
  <si>
    <t>Nadia Dot</t>
  </si>
  <si>
    <t>Cotton Metallic Embroidery Oblong Pillow</t>
  </si>
  <si>
    <t>12x18"</t>
  </si>
  <si>
    <t>PF003343;PP000371;PP000451;PP000460;PP000508</t>
  </si>
  <si>
    <t>17160710-000-000</t>
  </si>
  <si>
    <t>4/23/2015</t>
  </si>
  <si>
    <t>PET63HM6012</t>
  </si>
  <si>
    <t>Nala</t>
  </si>
  <si>
    <t>Hide Mat SM</t>
  </si>
  <si>
    <t>PET63HM6013</t>
  </si>
  <si>
    <t>Hide Mat LG</t>
  </si>
  <si>
    <t>30x40"</t>
  </si>
  <si>
    <t>MP13-8197</t>
  </si>
  <si>
    <t>Alva</t>
  </si>
  <si>
    <t>Azariah</t>
  </si>
  <si>
    <t>3 Piece Scalloped Edge Crinkle Microfiber Quilt Set</t>
  </si>
  <si>
    <t>PP001861;PF005955</t>
  </si>
  <si>
    <t>AMAZONDS,CSNSTORES,JCPENNEY01,KIRKLANDDS,KOHLDSN,MACY02,OLLIIX,TGTDVS</t>
  </si>
  <si>
    <t>41374296-000-000</t>
  </si>
  <si>
    <t>MP13-8198</t>
  </si>
  <si>
    <t>BLK01,CSNSTORES,KIRKLANDDS,MACY02,OLLIIX,TGTDVS</t>
  </si>
  <si>
    <t>41374296-000-003</t>
  </si>
  <si>
    <t>ID10-2237</t>
  </si>
  <si>
    <t>Madelyn</t>
  </si>
  <si>
    <t>Metallic Print Faux Fur Comforter Set</t>
  </si>
  <si>
    <t>PF006026;PP001891</t>
  </si>
  <si>
    <t>41294106-000-008</t>
  </si>
  <si>
    <t>8/6/2023</t>
  </si>
  <si>
    <t>ID10-2238</t>
  </si>
  <si>
    <t>AMAZON,CSNSTORES,JCPENNEY01,KOHLDSN,OLLIIX,TGTDVS</t>
  </si>
  <si>
    <t>41294106-000-006</t>
  </si>
  <si>
    <t>ID12-2244</t>
  </si>
  <si>
    <t>Metallic Print Faux Fur Duvet Cover Set</t>
  </si>
  <si>
    <t>42078313-000-003</t>
  </si>
  <si>
    <t>ID10-2241</t>
  </si>
  <si>
    <t>PP001891;PF006028</t>
  </si>
  <si>
    <t>41294106-000-010</t>
  </si>
  <si>
    <t>ID12-2247</t>
  </si>
  <si>
    <t>42078313-000-001</t>
  </si>
  <si>
    <t>ID10-2251</t>
  </si>
  <si>
    <t>41294106-000-002</t>
  </si>
  <si>
    <t>MT120-1201</t>
  </si>
  <si>
    <t>2 Door Storage Console Table</t>
  </si>
  <si>
    <t>Honey</t>
  </si>
  <si>
    <t>Coastal|Transitional|MT Lily Pond</t>
  </si>
  <si>
    <t>43752254-000-000</t>
  </si>
  <si>
    <t>ID10-2239</t>
  </si>
  <si>
    <t>PP001891;PF006027</t>
  </si>
  <si>
    <t>AMAZON,CSNSTORES,KOHLDSN,OLLIIX,TGTDVS</t>
  </si>
  <si>
    <t>41294106-000-005</t>
  </si>
  <si>
    <t>10/23/2023</t>
  </si>
  <si>
    <t>ID12-2245</t>
  </si>
  <si>
    <t>42078313-000-005</t>
  </si>
  <si>
    <t>ID12-2246</t>
  </si>
  <si>
    <t>CSNSTORES,NRTPORT,TGTDVS</t>
  </si>
  <si>
    <t>42078313-000-002</t>
  </si>
  <si>
    <t>FPF20-0559</t>
  </si>
  <si>
    <t>Nate</t>
  </si>
  <si>
    <t>Everitt</t>
  </si>
  <si>
    <t>Gally</t>
  </si>
  <si>
    <t>PF000088;PP000222</t>
  </si>
  <si>
    <t>CSNSTORES,KOHLDSN,ROOMECOM</t>
  </si>
  <si>
    <t>18930304-000-000</t>
  </si>
  <si>
    <t>2/21/2017</t>
  </si>
  <si>
    <t>FPF20-0558</t>
  </si>
  <si>
    <t>PF000087;PP000222</t>
  </si>
  <si>
    <t>BBBDROP,CSNSTORES</t>
  </si>
  <si>
    <t>18930303-000-000</t>
  </si>
  <si>
    <t>6/26/2016</t>
  </si>
  <si>
    <t>II10-052</t>
  </si>
  <si>
    <t>Nathan</t>
  </si>
  <si>
    <t>PF001591</t>
  </si>
  <si>
    <t>Mid-Century|Modern/Contemporary</t>
  </si>
  <si>
    <t>16181932-000-000</t>
  </si>
  <si>
    <t>II12-055</t>
  </si>
  <si>
    <t>Duvet Cover Mini Set</t>
  </si>
  <si>
    <t>BLK01,CSNSTORES,KOHLDSN,MACY02,TGTDVS</t>
  </si>
  <si>
    <t>16181933-000-000</t>
  </si>
  <si>
    <t>II12-057</t>
  </si>
  <si>
    <t>16181933-000-002</t>
  </si>
  <si>
    <t>MP95G-0004</t>
  </si>
  <si>
    <t>Natural Agate</t>
  </si>
  <si>
    <t>Real Stone Framed Glass and Double Matted Wall Art</t>
  </si>
  <si>
    <t>PF001832</t>
  </si>
  <si>
    <t>AMAZON,BLK01,CSNSTORES,KOHLDSN,LAMPDS,OLLIIX</t>
  </si>
  <si>
    <t>17643481-000-000</t>
  </si>
  <si>
    <t>9/18/2015</t>
  </si>
  <si>
    <t>FB150-1170</t>
  </si>
  <si>
    <t>Nava</t>
  </si>
  <si>
    <t>3-Light Metal Chandelier with Adjustable Chain</t>
  </si>
  <si>
    <t>40624676-000-000</t>
  </si>
  <si>
    <t>II153-0144</t>
  </si>
  <si>
    <t>Nelia</t>
  </si>
  <si>
    <t>Frosted Glass Globe Resin Table Lamp</t>
  </si>
  <si>
    <t>2/10/2023</t>
  </si>
  <si>
    <t>41075651-000-000</t>
  </si>
  <si>
    <t>5DS153-0052</t>
  </si>
  <si>
    <t>Neonova</t>
  </si>
  <si>
    <t>5DS153-0051</t>
  </si>
  <si>
    <t>II95C-0160</t>
  </si>
  <si>
    <t>Neutral Stones</t>
  </si>
  <si>
    <t>Figural 2-piece Framed Canvas Wall Art Set</t>
  </si>
  <si>
    <t>42794030-000-000</t>
  </si>
  <si>
    <t>II110-0590</t>
  </si>
  <si>
    <t>Newport</t>
  </si>
  <si>
    <t>Lounge Chair Set of 2</t>
  </si>
  <si>
    <t>1/11/2021</t>
  </si>
  <si>
    <t>II100-0526</t>
  </si>
  <si>
    <t>PF000835;PP000045</t>
  </si>
  <si>
    <t>4/12/2021</t>
  </si>
  <si>
    <t>5/10/2024</t>
  </si>
  <si>
    <t>42659926-000-000</t>
  </si>
  <si>
    <t>II110-0587</t>
  </si>
  <si>
    <t>MP35-7551</t>
  </si>
  <si>
    <t>Fielding</t>
  </si>
  <si>
    <t>Cream/Blue</t>
  </si>
  <si>
    <t>35376033-000-003</t>
  </si>
  <si>
    <t>MP35-7066</t>
  </si>
  <si>
    <t>AMAZON,JCPENNEY01,OLLIIX</t>
  </si>
  <si>
    <t>35376033-000-001</t>
  </si>
  <si>
    <t>2/26/2023</t>
  </si>
  <si>
    <t>II100-0588</t>
  </si>
  <si>
    <t>II110-0589</t>
  </si>
  <si>
    <t>MP35-7554</t>
  </si>
  <si>
    <t>AMAZON,HDDS,JCPENNEY01,KOHLDSN</t>
  </si>
  <si>
    <t>35376033-000-004</t>
  </si>
  <si>
    <t>MP35-7553</t>
  </si>
  <si>
    <t>BIGLOTSDS,BLK01,CSNSTORES,HDDS,JCPENNEY01,OLLIIX</t>
  </si>
  <si>
    <t>35376033-000-005</t>
  </si>
  <si>
    <t>7/26/2022</t>
  </si>
  <si>
    <t>II100-0591</t>
  </si>
  <si>
    <t>Pale Green</t>
  </si>
  <si>
    <t>PF000954;PP000045</t>
  </si>
  <si>
    <t>II100-0586</t>
  </si>
  <si>
    <t>5DS153-0037</t>
  </si>
  <si>
    <t>Nicolo</t>
  </si>
  <si>
    <t>Textured Ceramic Table Lamp</t>
  </si>
  <si>
    <t>AMERSIGNDS,KOHLDSN,OLLIIX</t>
  </si>
  <si>
    <t>39467327-000-000</t>
  </si>
  <si>
    <t>5DS153-0036</t>
  </si>
  <si>
    <t>AMERSIGNDS,CSNSTORES,JCPENNEY01,OLLIIX,ROOMECOM,TGTDVS</t>
  </si>
  <si>
    <t>39467327-000-001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</si>
  <si>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</si>
  <si>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</si>
  <si>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</si>
  <si>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</si>
  <si>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</si>
  <si>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</si>
  <si>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</si>
  <si>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BLK01,CSNSTORES,KOHLDSN,OLLIIX</t>
  </si>
  <si>
    <t>39242488-000-007</t>
  </si>
  <si>
    <t>MPE10-960</t>
  </si>
  <si>
    <t>7 Piece Comforter Set with Bed Sheets</t>
  </si>
  <si>
    <t>39242488-000-003</t>
  </si>
  <si>
    <t>II103-0355</t>
  </si>
  <si>
    <t>Nina</t>
  </si>
  <si>
    <t>Swivel Lounge Chair, Star Based Swivel</t>
  </si>
  <si>
    <t>6/1/2018</t>
  </si>
  <si>
    <t>27498950-000-000</t>
  </si>
  <si>
    <t>6/26/2018</t>
  </si>
  <si>
    <t>MP130-1220</t>
  </si>
  <si>
    <t>Jayla</t>
  </si>
  <si>
    <t>2-door Live Edge Accent Cabinet</t>
  </si>
  <si>
    <t>II100-0357</t>
  </si>
  <si>
    <t>Noe</t>
  </si>
  <si>
    <t>ASHFURNDS,CASTLEGATE,CSNSTORES,KOHLDSN,LAMPDS,MACY02F,OLLIIX</t>
  </si>
  <si>
    <t>27457674-000-000</t>
  </si>
  <si>
    <t>BR9144409622-17</t>
  </si>
  <si>
    <t>Nora</t>
  </si>
  <si>
    <t>10 Piece Geometric Comforter Set with Bed Sheets</t>
  </si>
  <si>
    <t>PP001824;PF005860</t>
  </si>
  <si>
    <t>BBBDROP,CSNSTORES,JCPENNEY01,KOHLDSN,TGTDVS,WALMARTDS</t>
  </si>
  <si>
    <t>40070231-000-003</t>
  </si>
  <si>
    <t>BR9144409622-19</t>
  </si>
  <si>
    <t>PP001824;PF005861</t>
  </si>
  <si>
    <t>CSNSTORES,JCPENNEY01,KOHLDSN,WALMARTDS</t>
  </si>
  <si>
    <t>40070231-000-002</t>
  </si>
  <si>
    <t>BR9144409622-20</t>
  </si>
  <si>
    <t>BBBDROP,CSNSTORES,JCPENNEY01,KOHLDSN,WALMARTDS</t>
  </si>
  <si>
    <t>40070231-000-000</t>
  </si>
  <si>
    <t>MP10-1993</t>
  </si>
  <si>
    <t>Norfolk</t>
  </si>
  <si>
    <t>Albany</t>
  </si>
  <si>
    <t>Ultra Plush Comforter Mini Set</t>
  </si>
  <si>
    <t>PF002102</t>
  </si>
  <si>
    <t>9/22/2017</t>
  </si>
  <si>
    <t>17880396-000-000</t>
  </si>
  <si>
    <t>II73-1255</t>
  </si>
  <si>
    <t>Rhett</t>
  </si>
  <si>
    <t>Cotton Dobby Slub 6 Piece Towel Set</t>
  </si>
  <si>
    <t>PP001772;PF005718</t>
  </si>
  <si>
    <t>AMAZONDS,JCPENNEY01,KOHLDSN,OLLIIX,TGTDVS</t>
  </si>
  <si>
    <t>40252919-000-003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</si>
  <si>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</si>
  <si>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</si>
  <si>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</si>
  <si>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</si>
  <si>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</si>
  <si>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</si>
  <si>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</si>
  <si>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Olive Green</t>
  </si>
  <si>
    <t>AMAZON,AMAZONDS,DESINC</t>
  </si>
  <si>
    <t>PET63CM6015</t>
  </si>
  <si>
    <t>PET63CM6016</t>
  </si>
  <si>
    <t>AMAZON,AMAZONDS,CSNSTORES,DESINC</t>
  </si>
  <si>
    <t>PET63CM6017</t>
  </si>
  <si>
    <t>AMAZONDS,CSNSTORES,DESINC</t>
  </si>
  <si>
    <t>II110-0522</t>
  </si>
  <si>
    <t>Novak</t>
  </si>
  <si>
    <t>20226921-000-005</t>
  </si>
  <si>
    <t>4/16/2023</t>
  </si>
  <si>
    <t>II110-0584</t>
  </si>
  <si>
    <t>4/8/2023</t>
  </si>
  <si>
    <t>II100-0435</t>
  </si>
  <si>
    <t>12/1/2020</t>
  </si>
  <si>
    <t>BBBDROP,CASTLEGATE,CSNSTORES,JCPENNEY01,MACY02F,OLLIIX,TGTDVS</t>
  </si>
  <si>
    <t>20226921-000-002</t>
  </si>
  <si>
    <t>12/7/2020</t>
  </si>
  <si>
    <t>II100-0583</t>
  </si>
  <si>
    <t>7/10/2020</t>
  </si>
  <si>
    <t>II110-0581</t>
  </si>
  <si>
    <t>II100-0585</t>
  </si>
  <si>
    <t>1/6/2022</t>
  </si>
  <si>
    <t>II100-0580</t>
  </si>
  <si>
    <t>PF000206</t>
  </si>
  <si>
    <t>II100-0582</t>
  </si>
  <si>
    <t>ID20-1439</t>
  </si>
  <si>
    <t>Print Sheet Set</t>
  </si>
  <si>
    <t>TXL</t>
  </si>
  <si>
    <t>Aqua Dogs</t>
  </si>
  <si>
    <t>PP000909;PF004369</t>
  </si>
  <si>
    <t>5/10/2018</t>
  </si>
  <si>
    <t>AMAZON,BBBDROP,BLK01,KOHLDSN,MACY02,WALMARTDS</t>
  </si>
  <si>
    <t>26991463-000-002</t>
  </si>
  <si>
    <t>4/29/2018</t>
  </si>
  <si>
    <t>ID20-1440</t>
  </si>
  <si>
    <t>26991463-000-005</t>
  </si>
  <si>
    <t>6/5/2018</t>
  </si>
  <si>
    <t>ID20-1435</t>
  </si>
  <si>
    <t>Grey Llamas</t>
  </si>
  <si>
    <t>PP000909;PF004368</t>
  </si>
  <si>
    <t>26991463-000-004</t>
  </si>
  <si>
    <t>ID20-1427</t>
  </si>
  <si>
    <t>Grey/Blue Road Trip</t>
  </si>
  <si>
    <t>PP000909;PF004366</t>
  </si>
  <si>
    <t>AMAZON,BBBDROP,KOHLDSN,MACY02,WALMARTDS</t>
  </si>
  <si>
    <t>26991463-000-020</t>
  </si>
  <si>
    <t>ID20-1429</t>
  </si>
  <si>
    <t>26991463-000-021</t>
  </si>
  <si>
    <t>ID20-1430</t>
  </si>
  <si>
    <t>Pink Cats</t>
  </si>
  <si>
    <t>PP000909;PF004367</t>
  </si>
  <si>
    <t>AMAZON,BBBDROP,BLK01,KOHLDSN,MACY02,OLLIIX</t>
  </si>
  <si>
    <t>26991463-000-001</t>
  </si>
  <si>
    <t>ID20-1432</t>
  </si>
  <si>
    <t>AMAZON,AMAZONDS,BBBDROP,BLK01,KOHLDSN,MACY02,WALMARTDS</t>
  </si>
  <si>
    <t>26991463-000-008</t>
  </si>
  <si>
    <t>6/11/2018</t>
  </si>
  <si>
    <t>ID20-1433</t>
  </si>
  <si>
    <t>AMAZON,AMAZONDS,BBBDROP,BLK01,KOHLDSN,MACY02,OLLIIX</t>
  </si>
  <si>
    <t>26991463-000-000</t>
  </si>
  <si>
    <t>BR73-3755</t>
  </si>
  <si>
    <t>Nuage</t>
  </si>
  <si>
    <t>Cotton Tencel Blend Antimicrobial 6 Piece Towel Set</t>
  </si>
  <si>
    <t>PP001792;PF005774</t>
  </si>
  <si>
    <t>AMAZONDS,CSNSTORES,JCPENNEY01,KOHLDSN,MACY02,OLLIIX,TGTDVS,ZOLA</t>
  </si>
  <si>
    <t>40822610-000-001</t>
  </si>
  <si>
    <t>BR73-3750</t>
  </si>
  <si>
    <t>PP001792;PF005769</t>
  </si>
  <si>
    <t>40822610-000-004</t>
  </si>
  <si>
    <t>6/8/2023</t>
  </si>
  <si>
    <t>BR73-3754</t>
  </si>
  <si>
    <t>PP001792;PF005773</t>
  </si>
  <si>
    <t>40822610-000-003</t>
  </si>
  <si>
    <t>BR73-3751</t>
  </si>
  <si>
    <t>PP001792;PF005770</t>
  </si>
  <si>
    <t>AMAZONDS,JCPENNEY01,KOHLDSN,MACY02,OLLIIX,TGTDVS</t>
  </si>
  <si>
    <t>40822610-000-005</t>
  </si>
  <si>
    <t>LCN73-0129</t>
  </si>
  <si>
    <t>Nurture</t>
  </si>
  <si>
    <t>Sustainable Antimicrobial Bath Towel 6 Piece Set</t>
  </si>
  <si>
    <t>PP001624;PF005450</t>
  </si>
  <si>
    <t>9/6/2021</t>
  </si>
  <si>
    <t>6/30/2024</t>
  </si>
  <si>
    <t>JCPENNEY01,KOHLDSN,MACY02,OLLIIX,ZOLA</t>
  </si>
  <si>
    <t>38820878-000-002</t>
  </si>
  <si>
    <t>9/14/2021</t>
  </si>
  <si>
    <t>MPS10-515</t>
  </si>
  <si>
    <t>Oasis</t>
  </si>
  <si>
    <t>Oversized Chenille Jacquard Striped Comforter Set with Euro Shams and Throw Pillows</t>
  </si>
  <si>
    <t>PF006076</t>
  </si>
  <si>
    <t>43731222-000-000</t>
  </si>
  <si>
    <t>MPS10-516</t>
  </si>
  <si>
    <t>43731222-000-001</t>
  </si>
  <si>
    <t>MP50-1729</t>
  </si>
  <si>
    <t>Ogee</t>
  </si>
  <si>
    <t>PF003630;PP000475</t>
  </si>
  <si>
    <t>AMAZON,AMAZONDS,ASHFURNDS,CSNSTORES,FINGERHUTDS,KOHLDSN,MACY02,TGTDVS</t>
  </si>
  <si>
    <t>17690739-000-001</t>
  </si>
  <si>
    <t>11/4/2015</t>
  </si>
  <si>
    <t>MP50-3509</t>
  </si>
  <si>
    <t>PF003637;PP000475</t>
  </si>
  <si>
    <t>AMAZON,ASHFURNDS,CSNSTORES,FINGERHUTDS,HSNDS,KOHLDSN,MACY02,OLLIIX,TGTDVS</t>
  </si>
  <si>
    <t>17690739-000-006</t>
  </si>
  <si>
    <t>10/10/2016</t>
  </si>
  <si>
    <t>MP50-1728</t>
  </si>
  <si>
    <t>PF003632;PP000475</t>
  </si>
  <si>
    <t>AMAZON,AMAZONDS,ASHFURNDS,FINGERHUTDS,KOHLDSN,MACY02,OLLIIX,TGTDVS</t>
  </si>
  <si>
    <t>17690739-000-000</t>
  </si>
  <si>
    <t>11/16/2015</t>
  </si>
  <si>
    <t>MP95B-0305</t>
  </si>
  <si>
    <t>Olana</t>
  </si>
  <si>
    <t>Medallion MDF Wood Carved Wall Décor</t>
  </si>
  <si>
    <t>PP001832</t>
  </si>
  <si>
    <t>AMAZONDS,DESINC,KOHLDSN,OLLIIX</t>
  </si>
  <si>
    <t>40928689-000-000</t>
  </si>
  <si>
    <t>MP95C-0322</t>
  </si>
  <si>
    <t>Old Glory</t>
  </si>
  <si>
    <t>Hand Embellished Framed Canvas Horse Wall Art</t>
  </si>
  <si>
    <t>Brown/Neutral</t>
  </si>
  <si>
    <t>Traditional|Southwest</t>
  </si>
  <si>
    <t>42672548-000-000</t>
  </si>
  <si>
    <t>MP95C-0076</t>
  </si>
  <si>
    <t>Old White Barn</t>
  </si>
  <si>
    <t>Gel Coat Canvas</t>
  </si>
  <si>
    <t>PF001889</t>
  </si>
  <si>
    <t>Still Life</t>
  </si>
  <si>
    <t>D123202320405301-000-000</t>
  </si>
  <si>
    <t>12/6/2016</t>
  </si>
  <si>
    <t>2/3/2017</t>
  </si>
  <si>
    <t>ID10-2322</t>
  </si>
  <si>
    <t>Oliena</t>
  </si>
  <si>
    <t>Elodie</t>
  </si>
  <si>
    <t>Floral Paisley Comforter Set</t>
  </si>
  <si>
    <t>PF006200</t>
  </si>
  <si>
    <t>43792213-000-000</t>
  </si>
  <si>
    <t>ID12-2324</t>
  </si>
  <si>
    <t>Floral Paisley Duvet Cover Set</t>
  </si>
  <si>
    <t>43794458-000-000</t>
  </si>
  <si>
    <t>ID10-2323</t>
  </si>
  <si>
    <t>43792213-000-001</t>
  </si>
  <si>
    <t>ID12-2325</t>
  </si>
  <si>
    <t>43794458-000-001</t>
  </si>
  <si>
    <t>ID10-2300</t>
  </si>
  <si>
    <t>Oliver</t>
  </si>
  <si>
    <t>Cationic Dyed Clip Jacquard Comforter Set with Throw Pillow</t>
  </si>
  <si>
    <t>PF006163</t>
  </si>
  <si>
    <t>3/19/2024</t>
  </si>
  <si>
    <t>43757614-000-001</t>
  </si>
  <si>
    <t>ID12-2302</t>
  </si>
  <si>
    <t>Cationic Dyed Clip Jacquard Duvet Cover Set with Throw Pillow</t>
  </si>
  <si>
    <t>43757959-000-001</t>
  </si>
  <si>
    <t>ID10-2301</t>
  </si>
  <si>
    <t>43757614-000-000</t>
  </si>
  <si>
    <t>ID12-2303</t>
  </si>
  <si>
    <t>43757959-000-000</t>
  </si>
  <si>
    <t>NS10-3725</t>
  </si>
  <si>
    <t>Origami</t>
  </si>
  <si>
    <t>3 Piece Oversized Knit Quilted Top Comforter Mini Set</t>
  </si>
  <si>
    <t>PP001768;PF005709</t>
  </si>
  <si>
    <t>40425737-000-000</t>
  </si>
  <si>
    <t>II151-0139</t>
  </si>
  <si>
    <t>Orion</t>
  </si>
  <si>
    <t>Natural Rope and Metal Mesh Cylinder Pendant</t>
  </si>
  <si>
    <t>Natural/Black</t>
  </si>
  <si>
    <t>40632365-000-000</t>
  </si>
  <si>
    <t>WR10-3842</t>
  </si>
  <si>
    <t>Orlen</t>
  </si>
  <si>
    <t>PP001848;PF005914</t>
  </si>
  <si>
    <t>AMAZONDS,CSNSTORES,JCPENNEY01,MACY02,OLLIIX,TGTDVS</t>
  </si>
  <si>
    <t>40769027-000-007</t>
  </si>
  <si>
    <t>WR10-3843</t>
  </si>
  <si>
    <t>40769027-000-008</t>
  </si>
  <si>
    <t>MP10-8375</t>
  </si>
  <si>
    <t>Orly</t>
  </si>
  <si>
    <t>Eliana</t>
  </si>
  <si>
    <t>Tamar</t>
  </si>
  <si>
    <t>3 Piece Tufted Woven Comforter Set</t>
  </si>
  <si>
    <t>PP001922;PF006138</t>
  </si>
  <si>
    <t>43734757-000-001</t>
  </si>
  <si>
    <t>MP10-8376</t>
  </si>
  <si>
    <t>43734757-000-000</t>
  </si>
  <si>
    <t>MT103-0143</t>
  </si>
  <si>
    <t>Osborne</t>
  </si>
  <si>
    <t>360 Degree Swivel Chair</t>
  </si>
  <si>
    <t>AMAZONDS,OLLIIX,TGTDVS,ZOLA</t>
  </si>
  <si>
    <t>39674033-000-000</t>
  </si>
  <si>
    <t>3/21/2022</t>
  </si>
  <si>
    <t>4/20/2022</t>
  </si>
  <si>
    <t>II100-0512</t>
  </si>
  <si>
    <t>Oslo</t>
  </si>
  <si>
    <t>Faux Leather Woven Accent Chair</t>
  </si>
  <si>
    <t>41538053-000-000</t>
  </si>
  <si>
    <t>MP40-8182</t>
  </si>
  <si>
    <t>Otis</t>
  </si>
  <si>
    <t>Leo</t>
  </si>
  <si>
    <t>Ivan</t>
  </si>
  <si>
    <t>Faux Linen Cordless Total Blackout Roman Shade</t>
  </si>
  <si>
    <t>PP001845;PF005903</t>
  </si>
  <si>
    <t>42129401-000-007</t>
  </si>
  <si>
    <t>MP40-8183</t>
  </si>
  <si>
    <t>42129401-000-000</t>
  </si>
  <si>
    <t>MP40-8184</t>
  </si>
  <si>
    <t>42129401-000-004</t>
  </si>
  <si>
    <t>MP40-8185</t>
  </si>
  <si>
    <t>42129401-000-005</t>
  </si>
  <si>
    <t>MP40-8187</t>
  </si>
  <si>
    <t>PP001845;PF005904</t>
  </si>
  <si>
    <t>42129401-000-001</t>
  </si>
  <si>
    <t>MP40-8188</t>
  </si>
  <si>
    <t>42129401-000-002</t>
  </si>
  <si>
    <t>10/10/2023</t>
  </si>
  <si>
    <t>5DS13-0032</t>
  </si>
  <si>
    <t>Otto</t>
  </si>
  <si>
    <t>Nash</t>
  </si>
  <si>
    <t>Trace</t>
  </si>
  <si>
    <t>3 Piece Reversible Quilt Set</t>
  </si>
  <si>
    <t>PF004288;PP000894</t>
  </si>
  <si>
    <t>BIGLOTSDS,BLK01,CSNSTORES,JCPENNEY01,KIRKLANDDS,KOHLDSN,MACY02,OLLIIX,TGTDVS,WALMARTDS</t>
  </si>
  <si>
    <t>26132655-000-000</t>
  </si>
  <si>
    <t>5/7/2018</t>
  </si>
  <si>
    <t>BR20-1857</t>
  </si>
  <si>
    <t>Oversized Cotton Flannel</t>
  </si>
  <si>
    <t>4 Piece Sheet Set</t>
  </si>
  <si>
    <t>Beige Windowpane</t>
  </si>
  <si>
    <t>PP001510;PF005125</t>
  </si>
  <si>
    <t>36614943-000-004</t>
  </si>
  <si>
    <t>9/7/2020</t>
  </si>
  <si>
    <t>BR20-1859</t>
  </si>
  <si>
    <t>36614943-000-013</t>
  </si>
  <si>
    <t>10/5/2020</t>
  </si>
  <si>
    <t>BR20-4172</t>
  </si>
  <si>
    <t>Beige/White Stripes</t>
  </si>
  <si>
    <t>PP001510;PF006052</t>
  </si>
  <si>
    <t>36614943-000-024</t>
  </si>
  <si>
    <t>BR20-4174</t>
  </si>
  <si>
    <t>AMAZON,CSNSTORES,HDDS,MACY02,TGTDVS</t>
  </si>
  <si>
    <t>36614943-000-027</t>
  </si>
  <si>
    <t>BR20-1861</t>
  </si>
  <si>
    <t>Grey Petals</t>
  </si>
  <si>
    <t>PP001510;PF005127</t>
  </si>
  <si>
    <t>36614943-000-017</t>
  </si>
  <si>
    <t>9/30/2020</t>
  </si>
  <si>
    <t>BR20-1862</t>
  </si>
  <si>
    <t>AMAZONDS,BBBDROP,BLK01,JCPENNEY01,KOHLDSN,MACY02,TGTDVS</t>
  </si>
  <si>
    <t>36614943-000-014</t>
  </si>
  <si>
    <t>11/11/2020</t>
  </si>
  <si>
    <t>BR20-1863</t>
  </si>
  <si>
    <t>BBBDROP,BLK01,CSNSTORES,JCPENNEY01,KOHLDSN,MACY02,OLLIIX,TGTDVS</t>
  </si>
  <si>
    <t>36614943-000-010</t>
  </si>
  <si>
    <t>2/21/2021</t>
  </si>
  <si>
    <t>BR20-1853</t>
  </si>
  <si>
    <t>Grey Windowpane</t>
  </si>
  <si>
    <t>PP001510;PF005123</t>
  </si>
  <si>
    <t>36614943-000-003</t>
  </si>
  <si>
    <t>BR20-1854</t>
  </si>
  <si>
    <t>AMAZONDS,BLK01,CSNSTORES,DESINC,JCPENNEY01,KOHLDSN,MACY02,NORDSTRACKDS,TGTDVS</t>
  </si>
  <si>
    <t>36614943-000-018</t>
  </si>
  <si>
    <t>10/27/2020</t>
  </si>
  <si>
    <t>BR20-1855</t>
  </si>
  <si>
    <t>36614943-000-009</t>
  </si>
  <si>
    <t>10/12/2020</t>
  </si>
  <si>
    <t>BR20-1849</t>
  </si>
  <si>
    <t>PP001510;PF005126</t>
  </si>
  <si>
    <t>DESINC,OLLIIX</t>
  </si>
  <si>
    <t>36614943-000-016</t>
  </si>
  <si>
    <t>10/26/2020</t>
  </si>
  <si>
    <t>BR20-1850</t>
  </si>
  <si>
    <t>AMAZONDS,CSNSTORES,HDDS,MACY02,NORDSTRACKDS,TGTDVS</t>
  </si>
  <si>
    <t>36614943-000-019</t>
  </si>
  <si>
    <t>BR20-1851</t>
  </si>
  <si>
    <t>36614943-000-002</t>
  </si>
  <si>
    <t>1/18/2021</t>
  </si>
  <si>
    <t>BR20-1845</t>
  </si>
  <si>
    <t>Seafoam Solid</t>
  </si>
  <si>
    <t>PP001510;PF005124</t>
  </si>
  <si>
    <t>36614943-000-006</t>
  </si>
  <si>
    <t>9/6/2020</t>
  </si>
  <si>
    <t>BR20-1846</t>
  </si>
  <si>
    <t>36614943-000-007</t>
  </si>
  <si>
    <t>9/28/2020</t>
  </si>
  <si>
    <t>BR20-1847</t>
  </si>
  <si>
    <t>36614943-000-021</t>
  </si>
  <si>
    <t>12/11/2020</t>
  </si>
  <si>
    <t>BR20-4167</t>
  </si>
  <si>
    <t>White Tossed Botanical</t>
  </si>
  <si>
    <t>PP001510;PF006051</t>
  </si>
  <si>
    <t>36614943-000-031</t>
  </si>
  <si>
    <t>BR20-4168</t>
  </si>
  <si>
    <t>AMAZON,CSNSTORES,HDDS,JCPENNEY01,MACY02</t>
  </si>
  <si>
    <t>36614943-000-030</t>
  </si>
  <si>
    <t>ID30-1482</t>
  </si>
  <si>
    <t>Oversized Headboard</t>
  </si>
  <si>
    <t>100% Cotton Canvas Pillow</t>
  </si>
  <si>
    <t>BBBDROP,BLK01,CSNSTORES,HDDS,JCPENNEY01,KOHLDSN,OLLIIX,TGTDVS</t>
  </si>
  <si>
    <t>26940753-000-000</t>
  </si>
  <si>
    <t>4/25/2018</t>
  </si>
  <si>
    <t>5/11/2018</t>
  </si>
  <si>
    <t>BR54-1157</t>
  </si>
  <si>
    <t>Oversized Plush</t>
  </si>
  <si>
    <t>Printed Heated Throw</t>
  </si>
  <si>
    <t>PP001309;PF004749</t>
  </si>
  <si>
    <t>AMAZON,AMAZONDS,CSNSTORES,KOHLDSN,OLLIIX,TGTDVS,WALMARTDS</t>
  </si>
  <si>
    <t>34433208-000-000</t>
  </si>
  <si>
    <t>FPF18-0219</t>
  </si>
  <si>
    <t>Oxford</t>
  </si>
  <si>
    <t>Mid-Century Accent Chair</t>
  </si>
  <si>
    <t>Burnt Orange</t>
  </si>
  <si>
    <t>PF000651;PP000226</t>
  </si>
  <si>
    <t>16977709-000-002</t>
  </si>
  <si>
    <t>3/11/2015</t>
  </si>
  <si>
    <t>FPF18-0217</t>
  </si>
  <si>
    <t>PF000649;PP000226</t>
  </si>
  <si>
    <t>CASTLEGATE,CSNSTORES,KOHLDSN,OLLIIX</t>
  </si>
  <si>
    <t>16977709-000-000</t>
  </si>
  <si>
    <t>II151-0105</t>
  </si>
  <si>
    <t>Pacific</t>
  </si>
  <si>
    <t>Metal Pendant with Drum Shade</t>
  </si>
  <si>
    <t>Plated Nickel</t>
  </si>
  <si>
    <t>37377053-000-000</t>
  </si>
  <si>
    <t>MP12-7487</t>
  </si>
  <si>
    <t>Palisades</t>
  </si>
  <si>
    <t>Hanover</t>
  </si>
  <si>
    <t>Overland</t>
  </si>
  <si>
    <t>6 Piece Faux Suede Duvet Set</t>
  </si>
  <si>
    <t>PP000481;PF005456</t>
  </si>
  <si>
    <t>Suede</t>
  </si>
  <si>
    <t>Casual|Traditional</t>
  </si>
  <si>
    <t>7/6/2021</t>
  </si>
  <si>
    <t>19880504-000-005</t>
  </si>
  <si>
    <t>7/20/2021</t>
  </si>
  <si>
    <t>MP100-0441</t>
  </si>
  <si>
    <t>Nicoli</t>
  </si>
  <si>
    <t>PF001083</t>
  </si>
  <si>
    <t>7/26/2017</t>
  </si>
  <si>
    <t>ASHFURNDS,CSNSTORES,KIRKLANDDS,KOHLDSN,LAMPDS,MACY02F,OLLIIX,ROOMECOM</t>
  </si>
  <si>
    <t>23224680-000-000</t>
  </si>
  <si>
    <t>MP12-8143</t>
  </si>
  <si>
    <t>Panache</t>
  </si>
  <si>
    <t>3 Piece Embroidered Microfiber Duvet Cover Set</t>
  </si>
  <si>
    <t>PP001836;PF005886</t>
  </si>
  <si>
    <t>40904811-000-000</t>
  </si>
  <si>
    <t>MP12-8148</t>
  </si>
  <si>
    <t>PP001836;PF005888</t>
  </si>
  <si>
    <t>40904811-000-002</t>
  </si>
  <si>
    <t>MP10-8147</t>
  </si>
  <si>
    <t>8 Piece Embroidered Microfiber Comforter Set</t>
  </si>
  <si>
    <t>PP001836;PF005887</t>
  </si>
  <si>
    <t>AMAZON,AMERSIGNDS,CSNSTORES,KOHLDSN,MACY02,NRTPORT,TGTDVS</t>
  </si>
  <si>
    <t>40899072-000-003</t>
  </si>
  <si>
    <t>5/17/2023</t>
  </si>
  <si>
    <t>BASI10-0421</t>
  </si>
  <si>
    <t>Parker</t>
  </si>
  <si>
    <t>Williams</t>
  </si>
  <si>
    <t>Plush Down Alternative Comforter Set</t>
  </si>
  <si>
    <t>PF002130;PP000483</t>
  </si>
  <si>
    <t>19301941-000-005</t>
  </si>
  <si>
    <t>BASI10-0417</t>
  </si>
  <si>
    <t>PF002129;PP000483</t>
  </si>
  <si>
    <t>19301941-000-000</t>
  </si>
  <si>
    <t>9/29/2016</t>
  </si>
  <si>
    <t>BASI10-0418</t>
  </si>
  <si>
    <t>19301941-000-003</t>
  </si>
  <si>
    <t>BASI10-0419</t>
  </si>
  <si>
    <t>CSNSTORES,MACY02,OLLIIX</t>
  </si>
  <si>
    <t>19301941-000-004</t>
  </si>
  <si>
    <t>BASI50-0426</t>
  </si>
  <si>
    <t>Oversized Plush Down Alternative Filled Throw</t>
  </si>
  <si>
    <t>19195715-000-000</t>
  </si>
  <si>
    <t>8/9/2016</t>
  </si>
  <si>
    <t>BASI50-0429</t>
  </si>
  <si>
    <t>PF002132</t>
  </si>
  <si>
    <t>19195715-000-003</t>
  </si>
  <si>
    <t>8/23/2016</t>
  </si>
  <si>
    <t>BASI10-0423</t>
  </si>
  <si>
    <t>PF002131;PP000483</t>
  </si>
  <si>
    <t>BBBDROP,CSNSTORES,MACY02,OLLIIX,TGTDVS,Zulily</t>
  </si>
  <si>
    <t>19301941-000-002</t>
  </si>
  <si>
    <t>BASI10-0424</t>
  </si>
  <si>
    <t>19301941-000-007</t>
  </si>
  <si>
    <t>BASI10-0425</t>
  </si>
  <si>
    <t>19301941-000-008</t>
  </si>
  <si>
    <t>BASI50-0428</t>
  </si>
  <si>
    <t>BBBDROP,CSNSTORES,KOHLDSN,MACY02,TGTDVS,WALMARTDS</t>
  </si>
  <si>
    <t>19195715-000-002</t>
  </si>
  <si>
    <t>MP120-1129</t>
  </si>
  <si>
    <t>Avenu</t>
  </si>
  <si>
    <t>Off-White/Black</t>
  </si>
  <si>
    <t>2/4/2022</t>
  </si>
  <si>
    <t>AMERSIGNDS,CSNSTORES,OLLIIX,ZOLA</t>
  </si>
  <si>
    <t>31023957-000-002</t>
  </si>
  <si>
    <t>MPE10-598</t>
  </si>
  <si>
    <t>Parkston</t>
  </si>
  <si>
    <t>Hartford</t>
  </si>
  <si>
    <t>3M Scotchgard Down Alternative All Season Comforter Set</t>
  </si>
  <si>
    <t>PF002084</t>
  </si>
  <si>
    <t>8/23/2017</t>
  </si>
  <si>
    <t>AMAZON,AMAZONDS,BBBDROP,BLK01,CSNSTORES,JCPENNEY01,KOHLDSN,MACY02,TGTDVS,WALMARTDS</t>
  </si>
  <si>
    <t>23718199-000-000</t>
  </si>
  <si>
    <t>BASI10-0244</t>
  </si>
  <si>
    <t>PF002083</t>
  </si>
  <si>
    <t>AMAZON,AMAZONDS,ASHFURNDS,BLK01,CSNSTORES,DESINC,JCPENNEY01,KOHLDSN,MACY02,OLLIIX,TGTDVS,Zulily</t>
  </si>
  <si>
    <t>16339273-000-002</t>
  </si>
  <si>
    <t>MPE10-947</t>
  </si>
  <si>
    <t>PP001340;PF005480</t>
  </si>
  <si>
    <t>AMAZON,BBBDROP,CSNSTORES,DESINC,JCPENNEY01,KOHLDSN,MACY02,TGTDVS</t>
  </si>
  <si>
    <t>16339273-000-009</t>
  </si>
  <si>
    <t>8/4/2021</t>
  </si>
  <si>
    <t>II95B-0159</t>
  </si>
  <si>
    <t>Paths Collide</t>
  </si>
  <si>
    <t>Framed Carved Resin Dimensional Wall Decor</t>
  </si>
  <si>
    <t>43051392-000-000</t>
  </si>
  <si>
    <t>ID80-407</t>
  </si>
  <si>
    <t>Paul</t>
  </si>
  <si>
    <t>Matteo</t>
  </si>
  <si>
    <t>Blain</t>
  </si>
  <si>
    <t>Reversible Quilt Set with Throw Pillows</t>
  </si>
  <si>
    <t>PF001628</t>
  </si>
  <si>
    <t>AMAZON,ASHFURNDS,CSNSTORES,HOUZZ,KOHLDSN,MACY02,OLLIIX,TGTDVS</t>
  </si>
  <si>
    <t>17510766-000-003</t>
  </si>
  <si>
    <t>9/4/2015</t>
  </si>
  <si>
    <t>5DS100-0035</t>
  </si>
  <si>
    <t>Paula</t>
  </si>
  <si>
    <t>Slipcover Accent Armchair</t>
  </si>
  <si>
    <t>5DS100-0019</t>
  </si>
  <si>
    <t>AMAZONDS,KIRKLANDDS,KOHLDSN</t>
  </si>
  <si>
    <t>5DS100-0041</t>
  </si>
  <si>
    <t>MP20-5381</t>
  </si>
  <si>
    <t>Peached Percale</t>
  </si>
  <si>
    <t>200 Thread Count Relaxed Cotton Percale Sheet Set</t>
  </si>
  <si>
    <t>PF004088</t>
  </si>
  <si>
    <t>BLK01,KOHLDSN,MACY02,TGTDVS</t>
  </si>
  <si>
    <t>26575275-000-032</t>
  </si>
  <si>
    <t>3/29/2018</t>
  </si>
  <si>
    <t>12/2/2018</t>
  </si>
  <si>
    <t>MP20-6640</t>
  </si>
  <si>
    <t>PP001365;PF004864</t>
  </si>
  <si>
    <t>26575275-000-038</t>
  </si>
  <si>
    <t>10/2/2019</t>
  </si>
  <si>
    <t>10/24/2019</t>
  </si>
  <si>
    <t>MP20-6642</t>
  </si>
  <si>
    <t>26575275-000-036</t>
  </si>
  <si>
    <t>MP20-6643</t>
  </si>
  <si>
    <t>BBBDROP,BLK01,FINGERHUTDS,HDDS,JCPENNEY01,KOHLDSN,MACY02,TGTDVS</t>
  </si>
  <si>
    <t>26575275-000-035</t>
  </si>
  <si>
    <t>MP20-5395</t>
  </si>
  <si>
    <t>PF004091</t>
  </si>
  <si>
    <t>BBBDROP,BLK01,CSNSTORES,HDDS,JCPENNEY01,KOHLDSN,MACY02,TGTDVS,WALMARTDS</t>
  </si>
  <si>
    <t>26575275-000-001</t>
  </si>
  <si>
    <t>5/21/2018</t>
  </si>
  <si>
    <t>MP20-5398</t>
  </si>
  <si>
    <t>CSNSTORES,HDDS,JCPENNEY01,KOHLDSN,MACY02,TGTDVS</t>
  </si>
  <si>
    <t>26575275-000-003</t>
  </si>
  <si>
    <t>MP20-5383</t>
  </si>
  <si>
    <t>PF004089</t>
  </si>
  <si>
    <t>BEALLSDS,BLK01,CSNSTORES,HDDS,JCPENNEY01,KOHLDSN,MACY02,TGTDVS,WALMARTDS</t>
  </si>
  <si>
    <t>26575275-000-023</t>
  </si>
  <si>
    <t>5/22/2018</t>
  </si>
  <si>
    <t>MP20-5385</t>
  </si>
  <si>
    <t>BLK01,CSNSTORES,JCPENNEY01,KOHLDSN,MACY02,OLLIIX,TGTDVS,WALMARTDS</t>
  </si>
  <si>
    <t>26575275-000-025</t>
  </si>
  <si>
    <t>4/12/2018</t>
  </si>
  <si>
    <t>MP104-1257</t>
  </si>
  <si>
    <t>Pearce</t>
  </si>
  <si>
    <t>Walsh</t>
  </si>
  <si>
    <t>Howard</t>
  </si>
  <si>
    <t>MP104-1260</t>
  </si>
  <si>
    <t>Bar Stool with Swivel Seat Set of 2</t>
  </si>
  <si>
    <t>MP104-1255</t>
  </si>
  <si>
    <t>PP000623</t>
  </si>
  <si>
    <t>1/20/2018</t>
  </si>
  <si>
    <t>MP104-1149</t>
  </si>
  <si>
    <t>Bar Stool with Swivel Seat</t>
  </si>
  <si>
    <t>36806218-000-003</t>
  </si>
  <si>
    <t>3/13/2022</t>
  </si>
  <si>
    <t>MP104-1258</t>
  </si>
  <si>
    <t>MP104-1259</t>
  </si>
  <si>
    <t>MP104-1256</t>
  </si>
  <si>
    <t>CHM11-0012</t>
  </si>
  <si>
    <t>Perla</t>
  </si>
  <si>
    <t>42067461-000-000</t>
  </si>
  <si>
    <t>MPS10-521</t>
  </si>
  <si>
    <t>Pescal</t>
  </si>
  <si>
    <t>Oversized Velvet Comforter Set with Euro Shams and Throw Pillows</t>
  </si>
  <si>
    <t>PP001955;PF006227</t>
  </si>
  <si>
    <t>MPS10-522</t>
  </si>
  <si>
    <t>ID95C-0041</t>
  </si>
  <si>
    <t>Pet Portrait</t>
  </si>
  <si>
    <t>Bohemian Cat In Forest Framed Canvas Wall Art</t>
  </si>
  <si>
    <t>Bohemian Cat</t>
  </si>
  <si>
    <t>Casual|Shabby Chic</t>
  </si>
  <si>
    <t>42721568-000-001</t>
  </si>
  <si>
    <t>ID95C-0045</t>
  </si>
  <si>
    <t>Captain's Guard Pug Framed Canvas Wall Art</t>
  </si>
  <si>
    <t>Captain Pug</t>
  </si>
  <si>
    <t>Casual|Coastal</t>
  </si>
  <si>
    <t>42721568-000-006</t>
  </si>
  <si>
    <t>ID95C-0047</t>
  </si>
  <si>
    <t>King Charles Spaniel III Framed Canvas Wall Art</t>
  </si>
  <si>
    <t>King Charles Spaniel III</t>
  </si>
  <si>
    <t>42721568-000-002</t>
  </si>
  <si>
    <t>ID95C-0046</t>
  </si>
  <si>
    <t>Kitty Queen Charlotte Framed Canvas Wall Art</t>
  </si>
  <si>
    <t>Kitty Queen Charlotte</t>
  </si>
  <si>
    <t>42721568-000-003</t>
  </si>
  <si>
    <t>ID95C-0042</t>
  </si>
  <si>
    <t>Kitty Queen Belle Framed Canvas Wall Art</t>
  </si>
  <si>
    <t>Queen Belle</t>
  </si>
  <si>
    <t>42721568-000-005</t>
  </si>
  <si>
    <t>ID95C-0044</t>
  </si>
  <si>
    <t>Bridger Kitty Framed Canvas Wall Art</t>
  </si>
  <si>
    <t>Queen Bridger</t>
  </si>
  <si>
    <t>42721568-000-000</t>
  </si>
  <si>
    <t>ID95C-0043</t>
  </si>
  <si>
    <t>Rosie the Feline Framed Canvas Wall Art</t>
  </si>
  <si>
    <t>Rosie Feline</t>
  </si>
  <si>
    <t>42721568-000-004</t>
  </si>
  <si>
    <t>MT120-1202</t>
  </si>
  <si>
    <t>Philippe</t>
  </si>
  <si>
    <t>Round Coffee Table with Shelf</t>
  </si>
  <si>
    <t>Traditional|MT Lily Pond|Coastal</t>
  </si>
  <si>
    <t>43752253-000-000</t>
  </si>
  <si>
    <t>MT100-1204</t>
  </si>
  <si>
    <t>Morocco Brown/Taupe</t>
  </si>
  <si>
    <t>MT106-1205</t>
  </si>
  <si>
    <t>Loveseat</t>
  </si>
  <si>
    <t>AM10-0185</t>
  </si>
  <si>
    <t>Phoebe</t>
  </si>
  <si>
    <t>Himari</t>
  </si>
  <si>
    <t>Diamond Quilted Ruffle Edge Comforter Set</t>
  </si>
  <si>
    <t>PP001981;PF006323</t>
  </si>
  <si>
    <t>AM10-0186</t>
  </si>
  <si>
    <t>AM10-0187</t>
  </si>
  <si>
    <t>AM10-0188</t>
  </si>
  <si>
    <t>PP001981;PF006324</t>
  </si>
  <si>
    <t>AM10-0189</t>
  </si>
  <si>
    <t>AM10-0190</t>
  </si>
  <si>
    <t>AM10-0194</t>
  </si>
  <si>
    <t>PP001981;PF006326</t>
  </si>
  <si>
    <t>AM10-0195</t>
  </si>
  <si>
    <t>AM10-0196</t>
  </si>
  <si>
    <t>AM10-0191</t>
  </si>
  <si>
    <t>PP001981;PF006325</t>
  </si>
  <si>
    <t>AM10-0192</t>
  </si>
  <si>
    <t>AM10-0193</t>
  </si>
  <si>
    <t>AM10-0197</t>
  </si>
  <si>
    <t>PP001981;PF006327</t>
  </si>
  <si>
    <t>AM10-0198</t>
  </si>
  <si>
    <t>AM10-0199</t>
  </si>
  <si>
    <t>ID10-2201</t>
  </si>
  <si>
    <t>Pike</t>
  </si>
  <si>
    <t>Carter</t>
  </si>
  <si>
    <t>Plaid Reversible Comforter Set</t>
  </si>
  <si>
    <t>White/Gray</t>
  </si>
  <si>
    <t>PF005618</t>
  </si>
  <si>
    <t>AMAZON,CSNSTORES,JCPENNEY01,TGTDVS</t>
  </si>
  <si>
    <t>39297866-000-002</t>
  </si>
  <si>
    <t>7/4/2023</t>
  </si>
  <si>
    <t>CSP12-1487</t>
  </si>
  <si>
    <t>Plaid Reversible Duvet Cover Set</t>
  </si>
  <si>
    <t>AMAZON,CSNSTORES,JCPENNEY01,KOHLDSN,MACY02,ZOLA</t>
  </si>
  <si>
    <t>39297692-000-001</t>
  </si>
  <si>
    <t>11/30/2021</t>
  </si>
  <si>
    <t>1/11/2023</t>
  </si>
  <si>
    <t>MZ10-502</t>
  </si>
  <si>
    <t>Pipeline</t>
  </si>
  <si>
    <t>Switch</t>
  </si>
  <si>
    <t>Maverick</t>
  </si>
  <si>
    <t>PF000002</t>
  </si>
  <si>
    <t>BEALLSDS,BLK01,CSNSTORES,HDDS,HSNDS,KOHLDSN,MACY02,TGTDVS</t>
  </si>
  <si>
    <t>14607150-000-002</t>
  </si>
  <si>
    <t>HH10-1838</t>
  </si>
  <si>
    <t>Pismo Beach</t>
  </si>
  <si>
    <t>6 Piece Oversized Cotton Comforter Set with Throw Pillows</t>
  </si>
  <si>
    <t>Blue/White</t>
  </si>
  <si>
    <t>PP001857;PF005939</t>
  </si>
  <si>
    <t>41367343-000-002</t>
  </si>
  <si>
    <t>HH10-1839</t>
  </si>
  <si>
    <t>41367343-000-000</t>
  </si>
  <si>
    <t>HH10-1840</t>
  </si>
  <si>
    <t>41367343-000-003</t>
  </si>
  <si>
    <t>MT95F-0088</t>
  </si>
  <si>
    <t>Playa</t>
  </si>
  <si>
    <t>Rectangular Wood and Rattan Wall Mirror</t>
  </si>
  <si>
    <t>MT95F-0089</t>
  </si>
  <si>
    <t>BR73-4070</t>
  </si>
  <si>
    <t>100% Cotton Feather Touch Antimicrobial Towel 6 Piece Set</t>
  </si>
  <si>
    <t>PP001590;PF005957</t>
  </si>
  <si>
    <t>AMAZON,AMAZONDS,MACY02,OLLIIX,ZOLA</t>
  </si>
  <si>
    <t>Unproductive</t>
  </si>
  <si>
    <t>BR73-2435</t>
  </si>
  <si>
    <t>PP001590;PF005336</t>
  </si>
  <si>
    <t>37965788-000-003</t>
  </si>
  <si>
    <t>ST54-0087</t>
  </si>
  <si>
    <t>Plush Heated</t>
  </si>
  <si>
    <t>37390124-000-004</t>
  </si>
  <si>
    <t>2/23/2021</t>
  </si>
  <si>
    <t>ST54-0130</t>
  </si>
  <si>
    <t>6/25/2021</t>
  </si>
  <si>
    <t>BBBDROP,CSNSTORES,JCPENNEY01,KOHLDSN,MACY02</t>
  </si>
  <si>
    <t>37390124-000-016</t>
  </si>
  <si>
    <t>ST54-0131</t>
  </si>
  <si>
    <t>37390124-000-018</t>
  </si>
  <si>
    <t>ST54-0121</t>
  </si>
  <si>
    <t>37639220-000-004</t>
  </si>
  <si>
    <t>8/20/2021</t>
  </si>
  <si>
    <t>ST54-0125</t>
  </si>
  <si>
    <t>37390124-000-019</t>
  </si>
  <si>
    <t>8/19/2021</t>
  </si>
  <si>
    <t>ST54-0091</t>
  </si>
  <si>
    <t>FINGERHUTDS,KOHLDSN,MACY02,WALMARTDS</t>
  </si>
  <si>
    <t>37390124-000-003</t>
  </si>
  <si>
    <t>ST54-0092</t>
  </si>
  <si>
    <t>BLK01,FINGERHUTDS,KOHLDSN,MACY02</t>
  </si>
  <si>
    <t>37390124-000-000</t>
  </si>
  <si>
    <t>ST54-0093</t>
  </si>
  <si>
    <t>CSNSTORES,FINGERHUTDS,JCPENNEY01,KOHLDSN,MACY02,WALMARTDS</t>
  </si>
  <si>
    <t>37390124-000-013</t>
  </si>
  <si>
    <t>ST54-0094</t>
  </si>
  <si>
    <t>37390124-000-007</t>
  </si>
  <si>
    <t>MZ20-499</t>
  </si>
  <si>
    <t>Polka Dot</t>
  </si>
  <si>
    <t>Printed 100% Cotton Sheet Set</t>
  </si>
  <si>
    <t>Dark Pink</t>
  </si>
  <si>
    <t>PF001573</t>
  </si>
  <si>
    <t>AMAZON,AMAZONDS,BBBDROP,HSNDS,KOHLDSN,MACY02,TGTDVS</t>
  </si>
  <si>
    <t>18525726-000-015</t>
  </si>
  <si>
    <t>MZ20-501</t>
  </si>
  <si>
    <t>AMAZON,BLK01,HSNDS,KOHLDSN,MACY02,OLLIIX,TGTDVS</t>
  </si>
  <si>
    <t>18525726-000-017</t>
  </si>
  <si>
    <t>10/7/2016</t>
  </si>
  <si>
    <t>MZ20-420</t>
  </si>
  <si>
    <t>PF001571</t>
  </si>
  <si>
    <t>AMAZON,CSNSTORES,HSNDS,KOHLDSN,MACY02,TGTDVS</t>
  </si>
  <si>
    <t>18525726-000-011</t>
  </si>
  <si>
    <t>3/31/2016</t>
  </si>
  <si>
    <t>MZ20-497</t>
  </si>
  <si>
    <t>PF001572</t>
  </si>
  <si>
    <t>AMAZON,CSNSTORES,KOHLDSN,MACY02</t>
  </si>
  <si>
    <t>18525726-000-013</t>
  </si>
  <si>
    <t>MZ20-498</t>
  </si>
  <si>
    <t>18525726-000-014</t>
  </si>
  <si>
    <t>11/18/2016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</si>
  <si>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</si>
  <si>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</si>
  <si>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</si>
  <si>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</si>
  <si>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</si>
  <si>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</si>
  <si>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</si>
  <si>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</si>
  <si>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</si>
  <si>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</si>
  <si>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</si>
  <si>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</si>
  <si>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</si>
  <si>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</si>
  <si>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</si>
  <si>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AM10-0143</t>
  </si>
  <si>
    <t>Porter</t>
  </si>
  <si>
    <t>Evans</t>
  </si>
  <si>
    <t>Walker</t>
  </si>
  <si>
    <t>Soft Washed Pleated Comforter Set</t>
  </si>
  <si>
    <t>PP001927;PF006241</t>
  </si>
  <si>
    <t>42786875-000-016</t>
  </si>
  <si>
    <t>AM12-0155</t>
  </si>
  <si>
    <t>Soft Washed Pleated Duvet Cover Set</t>
  </si>
  <si>
    <t>42786797-000-014</t>
  </si>
  <si>
    <t>AM10-0144</t>
  </si>
  <si>
    <t>42786875-000-015</t>
  </si>
  <si>
    <t>AM12-0156</t>
  </si>
  <si>
    <t>42786797-000-013</t>
  </si>
  <si>
    <t>AM10-0145</t>
  </si>
  <si>
    <t>42786875-000-013</t>
  </si>
  <si>
    <t>AM12-0157</t>
  </si>
  <si>
    <t>42786797-000-012</t>
  </si>
  <si>
    <t>AM10-0140</t>
  </si>
  <si>
    <t>PP001927;PF006243</t>
  </si>
  <si>
    <t>42786875-000-019</t>
  </si>
  <si>
    <t>AM12-0152</t>
  </si>
  <si>
    <t>42786797-000-017</t>
  </si>
  <si>
    <t>AM10-0141</t>
  </si>
  <si>
    <t>42786875-000-018</t>
  </si>
  <si>
    <t>AM12-0153</t>
  </si>
  <si>
    <t>42786797-000-016</t>
  </si>
  <si>
    <t>AM10-0142</t>
  </si>
  <si>
    <t>42786875-000-017</t>
  </si>
  <si>
    <t>AM12-0154</t>
  </si>
  <si>
    <t>42786797-000-015</t>
  </si>
  <si>
    <t>AM10-0137</t>
  </si>
  <si>
    <t>PP001927;PF006240</t>
  </si>
  <si>
    <t>42786875-000-010</t>
  </si>
  <si>
    <t>AM12-0149</t>
  </si>
  <si>
    <t>42786797-000-020</t>
  </si>
  <si>
    <t>AM10-0138</t>
  </si>
  <si>
    <t>42786875-000-009</t>
  </si>
  <si>
    <t>AM12-0150</t>
  </si>
  <si>
    <t>42786797-000-019</t>
  </si>
  <si>
    <t>AM10-0139</t>
  </si>
  <si>
    <t>42786875-000-020</t>
  </si>
  <si>
    <t>AM12-0151</t>
  </si>
  <si>
    <t>42786797-000-018</t>
  </si>
  <si>
    <t>AM10-0001</t>
  </si>
  <si>
    <t>PP001927;PF006150</t>
  </si>
  <si>
    <t>AMAZON,CSNSTORES,KOHLDSN,MACY02,NRTPORT,TGTDVS</t>
  </si>
  <si>
    <t>42786875-000-006</t>
  </si>
  <si>
    <t>AM12-0037</t>
  </si>
  <si>
    <t>PP001927;PF006151</t>
  </si>
  <si>
    <t>42786797-000-001</t>
  </si>
  <si>
    <t>AM10-0134</t>
  </si>
  <si>
    <t>PP001927;PF006242</t>
  </si>
  <si>
    <t>42786875-000-014</t>
  </si>
  <si>
    <t>AM12-0146</t>
  </si>
  <si>
    <t>42786797-000-011</t>
  </si>
  <si>
    <t>AM10-0135</t>
  </si>
  <si>
    <t>42786875-000-012</t>
  </si>
  <si>
    <t>AM12-0147</t>
  </si>
  <si>
    <t>42786797-000-010</t>
  </si>
  <si>
    <t>AM10-0136</t>
  </si>
  <si>
    <t>42786875-000-011</t>
  </si>
  <si>
    <t>AM12-0148</t>
  </si>
  <si>
    <t>42786797-000-009</t>
  </si>
  <si>
    <t>AM10-0007</t>
  </si>
  <si>
    <t>PP001927;PF006152</t>
  </si>
  <si>
    <t>AMAZON,CSNSTORES,HDDS,KOHLDSN,MACY02,TGTDVS</t>
  </si>
  <si>
    <t>42786875-000-001</t>
  </si>
  <si>
    <t>1/30/2024</t>
  </si>
  <si>
    <t>AM12-0040</t>
  </si>
  <si>
    <t>AMAZON,AMAZONDS,CSNSTORES,KOHLDSN,NRTPORT,TGTDVS</t>
  </si>
  <si>
    <t>42786797-000-008</t>
  </si>
  <si>
    <t>MZ12-0646</t>
  </si>
  <si>
    <t>Primrose</t>
  </si>
  <si>
    <t>Evie</t>
  </si>
  <si>
    <t>Purple Multi</t>
  </si>
  <si>
    <t>PF005829</t>
  </si>
  <si>
    <t>Ombre</t>
  </si>
  <si>
    <t>43642762-000-000</t>
  </si>
  <si>
    <t>MZ20-0542</t>
  </si>
  <si>
    <t>Printed</t>
  </si>
  <si>
    <t>Microfiber Sheet Set</t>
  </si>
  <si>
    <t>Navy Stars</t>
  </si>
  <si>
    <t>PF002355</t>
  </si>
  <si>
    <t>AMAZON,BBBDROP,CSNSTORES,KOHLDSN,MACY02,WALMARTDS</t>
  </si>
  <si>
    <t>21528187-000-000</t>
  </si>
  <si>
    <t>MZ20-0638</t>
  </si>
  <si>
    <t>Rainbow</t>
  </si>
  <si>
    <t>PF005825</t>
  </si>
  <si>
    <t>AMAZONDS,KOHLDSN,MACY02,OLLIIX</t>
  </si>
  <si>
    <t>21528187-000-016</t>
  </si>
  <si>
    <t>MZ20-0639</t>
  </si>
  <si>
    <t>Space Rocket</t>
  </si>
  <si>
    <t>PF005826</t>
  </si>
  <si>
    <t>21528187-000-017</t>
  </si>
  <si>
    <t>MZ20-0641</t>
  </si>
  <si>
    <t>AMAZONDS,KOHLDSN,MACY02</t>
  </si>
  <si>
    <t>21528187-000-013</t>
  </si>
  <si>
    <t>ID20-2365</t>
  </si>
  <si>
    <t>Printed Microfiber</t>
  </si>
  <si>
    <t>Beige Dotted Arches</t>
  </si>
  <si>
    <t>PP001852;PF006229</t>
  </si>
  <si>
    <t>ID20-2366</t>
  </si>
  <si>
    <t>ID20-2367</t>
  </si>
  <si>
    <t>ID20-2368</t>
  </si>
  <si>
    <t>ID20-2219</t>
  </si>
  <si>
    <t>Black Floral</t>
  </si>
  <si>
    <t>PP001852;PF005930</t>
  </si>
  <si>
    <t>42128527-000-005</t>
  </si>
  <si>
    <t>ID20-2221</t>
  </si>
  <si>
    <t>AMAZON,BLK01,JCPENNEY01,KOHLDSN,OLLIIX,TGTDVS</t>
  </si>
  <si>
    <t>42128527-000-003</t>
  </si>
  <si>
    <t>ID20-2222</t>
  </si>
  <si>
    <t>Blue Chevron</t>
  </si>
  <si>
    <t>PP001852;PF005931</t>
  </si>
  <si>
    <t>42128527-000-004</t>
  </si>
  <si>
    <t>ID20-2224</t>
  </si>
  <si>
    <t>42128527-000-007</t>
  </si>
  <si>
    <t>ID20-2225</t>
  </si>
  <si>
    <t>AMAZON,DESINC,JCPENNEY01,KOHLDSN,MACY02,OLLIIX,TGTDVS</t>
  </si>
  <si>
    <t>42128527-000-001</t>
  </si>
  <si>
    <t>ID20-2361</t>
  </si>
  <si>
    <t>Blush Waves</t>
  </si>
  <si>
    <t>PP001852;PF006228</t>
  </si>
  <si>
    <t>ID20-2362</t>
  </si>
  <si>
    <t>ID20-2363</t>
  </si>
  <si>
    <t>ID20-2364</t>
  </si>
  <si>
    <t>ST54-0145</t>
  </si>
  <si>
    <t>Printed Plush</t>
  </si>
  <si>
    <t>Heated Throw</t>
  </si>
  <si>
    <t>PF005546;PP001669</t>
  </si>
  <si>
    <t>CSNSTORES,HSNDS,JCPENNEY01,KOHLDSN,MACY02,TGTDVS,WALMARTDS</t>
  </si>
  <si>
    <t>38225639-000-004</t>
  </si>
  <si>
    <t>ST54-0149</t>
  </si>
  <si>
    <t>PF005550;PP001669</t>
  </si>
  <si>
    <t>FINGERHUTDS,HSNDS,JCPENNEY01,KOHLDSN,MACY02,TGTDVS</t>
  </si>
  <si>
    <t>38225639-000-000</t>
  </si>
  <si>
    <t>MPE20-1025</t>
  </si>
  <si>
    <t>Printed Satin</t>
  </si>
  <si>
    <t>Blue Marble</t>
  </si>
  <si>
    <t>PP001851;PF006096</t>
  </si>
  <si>
    <t>Satin</t>
  </si>
  <si>
    <t>11/17/2023</t>
  </si>
  <si>
    <t>42672831-000-008</t>
  </si>
  <si>
    <t>MPE20-1026</t>
  </si>
  <si>
    <t>42672831-000-009</t>
  </si>
  <si>
    <t>MPE20-999</t>
  </si>
  <si>
    <t>Gray Leopard</t>
  </si>
  <si>
    <t>PP001851;PF005928</t>
  </si>
  <si>
    <t>3/1/2023</t>
  </si>
  <si>
    <t>42672831-000-004</t>
  </si>
  <si>
    <t>MPE20-1000</t>
  </si>
  <si>
    <t>JCPENNEY01,KOHLDSN,NRTPORT,TGTDVS</t>
  </si>
  <si>
    <t>42672831-000-006</t>
  </si>
  <si>
    <t>MT153-0073</t>
  </si>
  <si>
    <t>Provencal</t>
  </si>
  <si>
    <t>29"H Resin Table Lamp Set of 2</t>
  </si>
  <si>
    <t>Reclaimed Grey</t>
  </si>
  <si>
    <t>12/9/2023</t>
  </si>
  <si>
    <t>43169901-000-000</t>
  </si>
  <si>
    <t>12/10/2023</t>
  </si>
  <si>
    <t>MP13-2581</t>
  </si>
  <si>
    <t>Quebec</t>
  </si>
  <si>
    <t>Mansfield</t>
  </si>
  <si>
    <t>Vancouver</t>
  </si>
  <si>
    <t>PF002400</t>
  </si>
  <si>
    <t>AMAZON,CSNSTORES,HDDS,JCPENNEY01,KOHLDSN,MACY02,OLLIIX,TGTDVS</t>
  </si>
  <si>
    <t>13673545-000-023</t>
  </si>
  <si>
    <t>MP13-482</t>
  </si>
  <si>
    <t>PF002464;PP000488</t>
  </si>
  <si>
    <t>AMAZON,AMAZONDS,CSNSTORES,KOHLDSN,MACY02,OLLIIX,TGTDVS,WALMARTDS</t>
  </si>
  <si>
    <t>13673545-000-013</t>
  </si>
  <si>
    <t>BR13-1361</t>
  </si>
  <si>
    <t>ELECTRIC QUILT</t>
  </si>
  <si>
    <t>Electric Quilt</t>
  </si>
  <si>
    <t>Quilted Plush</t>
  </si>
  <si>
    <t>PP001454;PF005022</t>
  </si>
  <si>
    <t>11/17/2019</t>
  </si>
  <si>
    <t>35116974-000-007</t>
  </si>
  <si>
    <t>11/19/2019</t>
  </si>
  <si>
    <t>BR13-1362</t>
  </si>
  <si>
    <t>35116974-000-009</t>
  </si>
  <si>
    <t>7/19/2020</t>
  </si>
  <si>
    <t>BR13-1364</t>
  </si>
  <si>
    <t>35116974-000-002</t>
  </si>
  <si>
    <t>4/27/2020</t>
  </si>
  <si>
    <t>BR13-1357</t>
  </si>
  <si>
    <t>PP001454;PF005021</t>
  </si>
  <si>
    <t>AMAZONDS,CSNSTORES,MACY02,OLLIIX,TGTDVS</t>
  </si>
  <si>
    <t>35116974-000-000</t>
  </si>
  <si>
    <t>10/2/2020</t>
  </si>
  <si>
    <t>BR13-1358</t>
  </si>
  <si>
    <t>35116974-000-005</t>
  </si>
  <si>
    <t>BR13-1360</t>
  </si>
  <si>
    <t>35116974-000-003</t>
  </si>
  <si>
    <t>10/14/2020</t>
  </si>
  <si>
    <t>BR13-1365</t>
  </si>
  <si>
    <t>PP001454;PF005023</t>
  </si>
  <si>
    <t>35116974-000-011</t>
  </si>
  <si>
    <t>4/19/2020</t>
  </si>
  <si>
    <t>MP100-0891</t>
  </si>
  <si>
    <t>Qwen</t>
  </si>
  <si>
    <t>Button Tufted Accent Chair</t>
  </si>
  <si>
    <t>Dusty Blue</t>
  </si>
  <si>
    <t>PP000233</t>
  </si>
  <si>
    <t>7/6/2019</t>
  </si>
  <si>
    <t>BBBDROP,CASTLEGATE,CSNSTORES,HDDS,LAMPDS,MACY02F,OLLIIX,TGTDVS</t>
  </si>
  <si>
    <t>18677251-000-001</t>
  </si>
  <si>
    <t>7/12/2019</t>
  </si>
  <si>
    <t>11/29/2019</t>
  </si>
  <si>
    <t>MP167-0352</t>
  </si>
  <si>
    <t>DECO ACCENTS</t>
  </si>
  <si>
    <t>Tabletop Decor</t>
  </si>
  <si>
    <t>Rabbit</t>
  </si>
  <si>
    <t>Small Object</t>
  </si>
  <si>
    <t>Small</t>
  </si>
  <si>
    <t>Nickel</t>
  </si>
  <si>
    <t>35272192-000-000</t>
  </si>
  <si>
    <t>12/6/2019</t>
  </si>
  <si>
    <t>MP95B-0319</t>
  </si>
  <si>
    <t>Radiant</t>
  </si>
  <si>
    <t>Half-moon 2-piece Metal Wall Decor Set</t>
  </si>
  <si>
    <t>42877457-000-000</t>
  </si>
  <si>
    <t>TN54-0340</t>
  </si>
  <si>
    <t>Raina</t>
  </si>
  <si>
    <t>Arielle</t>
  </si>
  <si>
    <t>Heated Metallic Print Throw</t>
  </si>
  <si>
    <t>PP000896;PF004306</t>
  </si>
  <si>
    <t>AMAZON,AMERSIGNDS,BLK01,CSNSTORES,FINGERHUTDS,HDDS,JCPENNEY01,KOHLDSN,OLLIIX,TGTDVS,WALMARTDS</t>
  </si>
  <si>
    <t>27555593-000-001</t>
  </si>
  <si>
    <t>ID12-1393</t>
  </si>
  <si>
    <t>Metallic Printed Duvet Cover Set</t>
  </si>
  <si>
    <t>Grey/Silver</t>
  </si>
  <si>
    <t>PF004172</t>
  </si>
  <si>
    <t>AMAZON,CSNSTORES,JCPENNEY01,NRTPORT</t>
  </si>
  <si>
    <t>26059446-000-012</t>
  </si>
  <si>
    <t>2/13/2018</t>
  </si>
  <si>
    <t>ID40-1809</t>
  </si>
  <si>
    <t>Total Blackout Metallic Print Grommet Top Curtain Panel</t>
  </si>
  <si>
    <t>Navy/Silver</t>
  </si>
  <si>
    <t>PP000896;PF004929</t>
  </si>
  <si>
    <t>AMAZON,CSNSTORES,DESINC,HDDS,JCPENNEY01,KOHLDSN</t>
  </si>
  <si>
    <t>26317608-000-010</t>
  </si>
  <si>
    <t>9/23/2019</t>
  </si>
  <si>
    <t>12/17/2019</t>
  </si>
  <si>
    <t>ID10-1817</t>
  </si>
  <si>
    <t>Metallic Printed Comforter Set</t>
  </si>
  <si>
    <t>PP000896;PF004928</t>
  </si>
  <si>
    <t>10/19/2019</t>
  </si>
  <si>
    <t>AMAZON,AMAZONDS,CSNSTORES,FINGERHUTDS,HDDS,JCPENNEY01,KOHLDSN,NRTPORT,TGTDVS</t>
  </si>
  <si>
    <t>22972351-000-010</t>
  </si>
  <si>
    <t>10/22/2019</t>
  </si>
  <si>
    <t>SHET20-1183</t>
  </si>
  <si>
    <t>Rayon from Bamboo</t>
  </si>
  <si>
    <t>PP001553;PF005223</t>
  </si>
  <si>
    <t>BLK01,JCPENNEY01,MACY02</t>
  </si>
  <si>
    <t>21779743-000-025</t>
  </si>
  <si>
    <t>10/22/2020</t>
  </si>
  <si>
    <t>BASI30-0526</t>
  </si>
  <si>
    <t>Pillow Insert</t>
  </si>
  <si>
    <t>Shredded Memory Foam Pillow with Rayon from Bamboo Blend Cover</t>
  </si>
  <si>
    <t>Body Pillow</t>
  </si>
  <si>
    <t>PP000941</t>
  </si>
  <si>
    <t>BBBDROP,JCPENNEY01,KOHLDSN,MACY02,NRTPORT,OLLIIX,TGTDVS</t>
  </si>
  <si>
    <t>26942078-000-000</t>
  </si>
  <si>
    <t>4/26/2018</t>
  </si>
  <si>
    <t>3/26/2019</t>
  </si>
  <si>
    <t>MT100-0166</t>
  </si>
  <si>
    <t>Remo</t>
  </si>
  <si>
    <t>Light Green</t>
  </si>
  <si>
    <t>40536890-000-000</t>
  </si>
  <si>
    <t>ID10-2294</t>
  </si>
  <si>
    <t>Alden</t>
  </si>
  <si>
    <t>Sutton</t>
  </si>
  <si>
    <t>Quilted Chevron Comforter Set</t>
  </si>
  <si>
    <t>PP001931;PF006160</t>
  </si>
  <si>
    <t>43626614-000-005</t>
  </si>
  <si>
    <t>ID10-2295</t>
  </si>
  <si>
    <t>43626614-000-004</t>
  </si>
  <si>
    <t>ID10-2298</t>
  </si>
  <si>
    <t>PP001931;PF006162</t>
  </si>
  <si>
    <t>43626614-000-003</t>
  </si>
  <si>
    <t>ID10-2299</t>
  </si>
  <si>
    <t>43626614-000-000</t>
  </si>
  <si>
    <t>ID10-2296</t>
  </si>
  <si>
    <t>PP001931;PF006161</t>
  </si>
  <si>
    <t>43626614-000-002</t>
  </si>
  <si>
    <t>ID10-2297</t>
  </si>
  <si>
    <t>43626614-000-001</t>
  </si>
  <si>
    <t>II150-0132</t>
  </si>
  <si>
    <t>Renzetti</t>
  </si>
  <si>
    <t>6-Light Contemporary Candelabra Styled Chandelier</t>
  </si>
  <si>
    <t>40565602-000-000</t>
  </si>
  <si>
    <t>MP12-8373</t>
  </si>
  <si>
    <t>Rhodes</t>
  </si>
  <si>
    <t>Nico</t>
  </si>
  <si>
    <t>Toby</t>
  </si>
  <si>
    <t>3 Piece Stripe Duvet Cover Set</t>
  </si>
  <si>
    <t>Grey/Multi</t>
  </si>
  <si>
    <t>PP001920;PF006135</t>
  </si>
  <si>
    <t>2/16/2024</t>
  </si>
  <si>
    <t>43642763-000-001</t>
  </si>
  <si>
    <t>MP12-8374</t>
  </si>
  <si>
    <t>43642763-000-000</t>
  </si>
  <si>
    <t>ST54-0174</t>
  </si>
  <si>
    <t>Ribbed Micro Fleece</t>
  </si>
  <si>
    <t>38579612-000-002</t>
  </si>
  <si>
    <t>ST54-0158</t>
  </si>
  <si>
    <t>KOHLDSN,MACY02,WALMARTDS</t>
  </si>
  <si>
    <t>38579612-000-009</t>
  </si>
  <si>
    <t>ST54-0160</t>
  </si>
  <si>
    <t>38579612-000-024</t>
  </si>
  <si>
    <t>ST54-0179</t>
  </si>
  <si>
    <t>38579612-000-004</t>
  </si>
  <si>
    <t>ST54-0180</t>
  </si>
  <si>
    <t>MACY02,WALMARTDS</t>
  </si>
  <si>
    <t>38579612-000-014</t>
  </si>
  <si>
    <t>9/21/2021</t>
  </si>
  <si>
    <t>ST54-0166</t>
  </si>
  <si>
    <t>38579612-000-018</t>
  </si>
  <si>
    <t>ST54-0154</t>
  </si>
  <si>
    <t>38579612-000-006</t>
  </si>
  <si>
    <t>ST54-0155</t>
  </si>
  <si>
    <t>38579612-000-011</t>
  </si>
  <si>
    <t>ST54-0157</t>
  </si>
  <si>
    <t>7/14/2021</t>
  </si>
  <si>
    <t>38579612-000-007</t>
  </si>
  <si>
    <t>ST54-0170</t>
  </si>
  <si>
    <t>38579612-000-022</t>
  </si>
  <si>
    <t>ST54-0171</t>
  </si>
  <si>
    <t>38579612-000-016</t>
  </si>
  <si>
    <t>9/3/2021</t>
  </si>
  <si>
    <t>ST54-0172</t>
  </si>
  <si>
    <t>38579612-000-005</t>
  </si>
  <si>
    <t>ST54-0173</t>
  </si>
  <si>
    <t>38579612-000-017</t>
  </si>
  <si>
    <t>ST54-0164</t>
  </si>
  <si>
    <t>38579612-000-026</t>
  </si>
  <si>
    <t>8/18/2021</t>
  </si>
  <si>
    <t>ST54-0165</t>
  </si>
  <si>
    <t>38579612-000-025</t>
  </si>
  <si>
    <t>MP13-8388</t>
  </si>
  <si>
    <t>Daybed Cover</t>
  </si>
  <si>
    <t>Ridge</t>
  </si>
  <si>
    <t>Pioneer</t>
  </si>
  <si>
    <t>Warren</t>
  </si>
  <si>
    <t>6 Piece Reversible Plaid Daybed Cover Set</t>
  </si>
  <si>
    <t>Daybed</t>
  </si>
  <si>
    <t>PP001537;PF006171</t>
  </si>
  <si>
    <t>34496498-000-002</t>
  </si>
  <si>
    <t>MP13-7218</t>
  </si>
  <si>
    <t>6 Piece Printed Herringbone Quilt Set with Throw Pillows</t>
  </si>
  <si>
    <t>PP001538;PF005193</t>
  </si>
  <si>
    <t>AMAZONDS,BBBDROP,BLK01,CSNSTORES,JCPENNEY01,KOHLDSN,TGTDVS</t>
  </si>
  <si>
    <t>23441026-000-002</t>
  </si>
  <si>
    <t>MP13-8387</t>
  </si>
  <si>
    <t>PP001537;PF005192</t>
  </si>
  <si>
    <t>34496498-000-001</t>
  </si>
  <si>
    <t>MP13-4675</t>
  </si>
  <si>
    <t>9/6/2017</t>
  </si>
  <si>
    <t>AMAZON,AMAZONDS,BLK01,CSNSTORES,JCPENNEY01,KOHLDSN,OLLIIX,TGTDVS</t>
  </si>
  <si>
    <t>23441026-000-001</t>
  </si>
  <si>
    <t>8/10/2017</t>
  </si>
  <si>
    <t>WR50-1627</t>
  </si>
  <si>
    <t>Ridley</t>
  </si>
  <si>
    <t>PF002056</t>
  </si>
  <si>
    <t>17651625-000-000</t>
  </si>
  <si>
    <t>MP122-0203</t>
  </si>
  <si>
    <t>Rigby</t>
  </si>
  <si>
    <t>Marion</t>
  </si>
  <si>
    <t>3 Drawer Writing Desk</t>
  </si>
  <si>
    <t>Pecan/Blue</t>
  </si>
  <si>
    <t>PF001175</t>
  </si>
  <si>
    <t>21000744-000-000</t>
  </si>
  <si>
    <t>3/25/2017</t>
  </si>
  <si>
    <t>ID12-2178</t>
  </si>
  <si>
    <t>Riku</t>
  </si>
  <si>
    <t>Ayla</t>
  </si>
  <si>
    <t>Milani</t>
  </si>
  <si>
    <t>PF005815</t>
  </si>
  <si>
    <t>CSNSTORES,DESINC,JCPENNEY01,TGTDVS</t>
  </si>
  <si>
    <t>40711223-000-001</t>
  </si>
  <si>
    <t>11/1/2022</t>
  </si>
  <si>
    <t>MP35-8042</t>
  </si>
  <si>
    <t>Riley</t>
  </si>
  <si>
    <t>Cadence</t>
  </si>
  <si>
    <t>Karly</t>
  </si>
  <si>
    <t>Watercolor Abstract Stripe Woven Area Rug</t>
  </si>
  <si>
    <t>PP001795;PF005783</t>
  </si>
  <si>
    <t>38754881-000-006</t>
  </si>
  <si>
    <t>MP35-8043</t>
  </si>
  <si>
    <t>38754881-000-007</t>
  </si>
  <si>
    <t>MP35-8044</t>
  </si>
  <si>
    <t>38754881-000-004</t>
  </si>
  <si>
    <t>MP35-8045</t>
  </si>
  <si>
    <t>AMAZONDS,OLLIIX</t>
  </si>
  <si>
    <t>38754881-000-005</t>
  </si>
  <si>
    <t>MP35-7586</t>
  </si>
  <si>
    <t>Blue/Tan</t>
  </si>
  <si>
    <t>BIGLOTSDS,JCPENNEY01</t>
  </si>
  <si>
    <t>38754881-000-000</t>
  </si>
  <si>
    <t>MP35-7587</t>
  </si>
  <si>
    <t>38754881-000-001</t>
  </si>
  <si>
    <t>MP35-7588</t>
  </si>
  <si>
    <t>38754881-000-002</t>
  </si>
  <si>
    <t>MP10-8399</t>
  </si>
  <si>
    <t>Riordan</t>
  </si>
  <si>
    <t>Waffle Knit Chenille Comforter Set</t>
  </si>
  <si>
    <t>PP001944;PF006196</t>
  </si>
  <si>
    <t>Chenille</t>
  </si>
  <si>
    <t>MP10-8400</t>
  </si>
  <si>
    <t>MP10-8401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</si>
  <si>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</si>
  <si>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</si>
  <si>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</si>
  <si>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</si>
  <si>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</si>
  <si>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</si>
  <si>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</si>
  <si>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5/22/2024</t>
  </si>
  <si>
    <t>ID10-2431</t>
  </si>
  <si>
    <t>ID10-2432</t>
  </si>
  <si>
    <t>ID10-2433</t>
  </si>
  <si>
    <t>II106-0226</t>
  </si>
  <si>
    <t>Rocket</t>
  </si>
  <si>
    <t>PF000143</t>
  </si>
  <si>
    <t>12/30/2017</t>
  </si>
  <si>
    <t>ASHFURNDS,BBBDROP,CSNSTORES,KOHLDSN</t>
  </si>
  <si>
    <t>25899098-000-000</t>
  </si>
  <si>
    <t>II100-0088</t>
  </si>
  <si>
    <t>Blue/Pecan</t>
  </si>
  <si>
    <t>PF000121;PP000049</t>
  </si>
  <si>
    <t>AMAZONDS,BBBDROP,CASTLEGATE,CSNSTORES,HDDS,OLLIIX,Zulily</t>
  </si>
  <si>
    <t>24266820-000-000</t>
  </si>
  <si>
    <t>II110-0396</t>
  </si>
  <si>
    <t>AMAZONDS,BBBDROP,CASTLEGATE,CSNSTORES,KIRKLANDDS,KOHLDSN,MACY02F,OLLIIX,TGTDVS</t>
  </si>
  <si>
    <t>19830114-000-001</t>
  </si>
  <si>
    <t>3/26/2020</t>
  </si>
  <si>
    <t>3/30/2020</t>
  </si>
  <si>
    <t>FPF18-0351</t>
  </si>
  <si>
    <t>PF000011;PP000049</t>
  </si>
  <si>
    <t>CSNSTORES,KIRKLANDDS,KOHLDSN,MACY02F,OLLIIX</t>
  </si>
  <si>
    <t>19830115-000-000</t>
  </si>
  <si>
    <t>II100-0166</t>
  </si>
  <si>
    <t>PF000128;PP000049</t>
  </si>
  <si>
    <t>AMERSIGNDS,CASTLEGATE,CSNSTORES,MACY02F,OLLIIX</t>
  </si>
  <si>
    <t>24890804-000-000</t>
  </si>
  <si>
    <t>11/21/2017</t>
  </si>
  <si>
    <t>II104-0504</t>
  </si>
  <si>
    <t>Rogue</t>
  </si>
  <si>
    <t>Armless 360 Degree Swivel Counter Stool 25"H</t>
  </si>
  <si>
    <t>43466487-000-000</t>
  </si>
  <si>
    <t>CCA40-0015</t>
  </si>
  <si>
    <t>Romo</t>
  </si>
  <si>
    <t>Dual-colored Curtain Panel (Single)</t>
  </si>
  <si>
    <t>White/Grey</t>
  </si>
  <si>
    <t>42036992-000-000</t>
  </si>
  <si>
    <t>12/7/2023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</si>
  <si>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</si>
  <si>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</si>
  <si>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</si>
  <si>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</si>
  <si>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</si>
  <si>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</si>
  <si>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</si>
  <si>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</si>
  <si>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</si>
  <si>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</si>
  <si>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</si>
  <si>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</si>
  <si>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MP95B-0296</t>
  </si>
  <si>
    <t>Rossi</t>
  </si>
  <si>
    <t>Textured Feather 3-piece Metal Disc Wall Decor Set</t>
  </si>
  <si>
    <t>PP001773</t>
  </si>
  <si>
    <t>AMAZONDS,CSNSTORES,JCPENNEY01,KIRKLANDDS,KOHLDSN,OLLIIX,TGTDVS,Zulily</t>
  </si>
  <si>
    <t>22457691-000-002</t>
  </si>
  <si>
    <t>UH12-2483</t>
  </si>
  <si>
    <t>Rowan</t>
  </si>
  <si>
    <t>Cillian</t>
  </si>
  <si>
    <t>Kylar</t>
  </si>
  <si>
    <t>Striped Clipped Jacquard Duvet Cover Set</t>
  </si>
  <si>
    <t>PP001906;PF006077</t>
  </si>
  <si>
    <t>43251734-000-002</t>
  </si>
  <si>
    <t>12/24/2023</t>
  </si>
  <si>
    <t>UH10-2482</t>
  </si>
  <si>
    <t>Striped Clipped Jacquard Comforter Set</t>
  </si>
  <si>
    <t>AMAZON,AMAZONDS,CSNSTORES,KOHLDSN,TGTDVS</t>
  </si>
  <si>
    <t>43251733-000-001</t>
  </si>
  <si>
    <t>2/25/2024</t>
  </si>
  <si>
    <t>MP50-8272</t>
  </si>
  <si>
    <t>Waffle Knit Chenille Throw</t>
  </si>
  <si>
    <t>PP001876;PF005987</t>
  </si>
  <si>
    <t>42657468-000-000</t>
  </si>
  <si>
    <t>UH10-2485</t>
  </si>
  <si>
    <t>PP001906;PF006078</t>
  </si>
  <si>
    <t>43251733-000-005</t>
  </si>
  <si>
    <t>UH10-2486</t>
  </si>
  <si>
    <t>AMAZON,AMAZONDS,CSNSTORES,JCPENNEY01,TGTDVS</t>
  </si>
  <si>
    <t>43251733-000-004</t>
  </si>
  <si>
    <t>UH12-2488</t>
  </si>
  <si>
    <t>CSNSTORES,NRTPORT</t>
  </si>
  <si>
    <t>43251734-000-000</t>
  </si>
  <si>
    <t>UH10-2487</t>
  </si>
  <si>
    <t>AMAZON,AMAZONDS,CSNSTORES,JCPENNEY01,OLLIIX,TGTDVS</t>
  </si>
  <si>
    <t>43251733-000-002</t>
  </si>
  <si>
    <t>UH12-2489</t>
  </si>
  <si>
    <t>43251734-000-003</t>
  </si>
  <si>
    <t>MP50-8271</t>
  </si>
  <si>
    <t>PP001876;PF005986</t>
  </si>
  <si>
    <t>42657468-000-002</t>
  </si>
  <si>
    <t>MP50-8269</t>
  </si>
  <si>
    <t>PP001876;PF005984</t>
  </si>
  <si>
    <t>42657468-000-001</t>
  </si>
  <si>
    <t>II100-0462</t>
  </si>
  <si>
    <t>Roxie</t>
  </si>
  <si>
    <t>DESINC,KOHLDSN,OLLIIX</t>
  </si>
  <si>
    <t>39491039-000-000</t>
  </si>
  <si>
    <t>4/28/2022</t>
  </si>
  <si>
    <t>MP130-0451</t>
  </si>
  <si>
    <t>Rubrix</t>
  </si>
  <si>
    <t>Savannah</t>
  </si>
  <si>
    <t>Kat</t>
  </si>
  <si>
    <t>3 Drawer Chest</t>
  </si>
  <si>
    <t>PP000241</t>
  </si>
  <si>
    <t>CSNSTORES,LAMPDS,OLLIIX</t>
  </si>
  <si>
    <t>24174599-000-000</t>
  </si>
  <si>
    <t>10/3/2017</t>
  </si>
  <si>
    <t>ID10-1329</t>
  </si>
  <si>
    <t>Rudy</t>
  </si>
  <si>
    <t>Slate</t>
  </si>
  <si>
    <t>AMAZON,BLK01,HDDS,KOHLDSN,TGTDVS</t>
  </si>
  <si>
    <t>26107616-000-000</t>
  </si>
  <si>
    <t>II100-0470</t>
  </si>
  <si>
    <t>Ryan</t>
  </si>
  <si>
    <t>Metal Frame Accent Chair</t>
  </si>
  <si>
    <t>6/23/2022</t>
  </si>
  <si>
    <t>40116057-000-000</t>
  </si>
  <si>
    <t>6/27/2022</t>
  </si>
  <si>
    <t>9/30/2022</t>
  </si>
  <si>
    <t>MP103-1158</t>
  </si>
  <si>
    <t>Ryker</t>
  </si>
  <si>
    <t>Rileigh</t>
  </si>
  <si>
    <t>Renee</t>
  </si>
  <si>
    <t>Upholstered Barrel 360 Degree Swivel chair</t>
  </si>
  <si>
    <t>KOHLDSN,LAMPDS</t>
  </si>
  <si>
    <t>40152099-000-000</t>
  </si>
  <si>
    <t>MPE13-805</t>
  </si>
  <si>
    <t>Saben</t>
  </si>
  <si>
    <t>Barret</t>
  </si>
  <si>
    <t>Seth</t>
  </si>
  <si>
    <t>8 Piece Quilt Set with Cotton Bed Sheets</t>
  </si>
  <si>
    <t>PP000497;PF004057</t>
  </si>
  <si>
    <t>7/5/2019</t>
  </si>
  <si>
    <t>AMAZON,BBBDROP,CSNSTORES,KOHLDSN,TGTDVS</t>
  </si>
  <si>
    <t>18089288-000-008</t>
  </si>
  <si>
    <t>MPE70-1030</t>
  </si>
  <si>
    <t>Stripe Print Shower Curtain</t>
  </si>
  <si>
    <t>Taupe/Black</t>
  </si>
  <si>
    <t>PF003676;PP000497</t>
  </si>
  <si>
    <t>43072052-000-001</t>
  </si>
  <si>
    <t>11/23/2023</t>
  </si>
  <si>
    <t>CC30-0033</t>
  </si>
  <si>
    <t>Sable</t>
  </si>
  <si>
    <t>Solid Faux Fur Square Decor Pillow</t>
  </si>
  <si>
    <t>CC50-0029</t>
  </si>
  <si>
    <t>Solid Faux Fur Throw</t>
  </si>
  <si>
    <t>42031428-000-001</t>
  </si>
  <si>
    <t>CC30-0032</t>
  </si>
  <si>
    <t>Golden</t>
  </si>
  <si>
    <t>42031209-000-000</t>
  </si>
  <si>
    <t>CC50-0028</t>
  </si>
  <si>
    <t>AMAZON,DLCROSCILL,MACY02,OLLIIX</t>
  </si>
  <si>
    <t>42031428-000-000</t>
  </si>
  <si>
    <t>CC50-0027</t>
  </si>
  <si>
    <t>AMAZON,AMAZONDS,DLCROSCILL,MACY02</t>
  </si>
  <si>
    <t>42031428-000-003</t>
  </si>
  <si>
    <t>CC30-0030</t>
  </si>
  <si>
    <t>42031209-000-002</t>
  </si>
  <si>
    <t>CC50-0026</t>
  </si>
  <si>
    <t>AMAZON,AMAZONDS,MACY02,OLLIIX</t>
  </si>
  <si>
    <t>42031428-000-002</t>
  </si>
  <si>
    <t>MP70-6712</t>
  </si>
  <si>
    <t>Sade</t>
  </si>
  <si>
    <t>Esker</t>
  </si>
  <si>
    <t>Tinge</t>
  </si>
  <si>
    <t>Ombre Waffle Weave Shower Curtain</t>
  </si>
  <si>
    <t>PP001386</t>
  </si>
  <si>
    <t>34332800-000-002</t>
  </si>
  <si>
    <t>MP130-1211</t>
  </si>
  <si>
    <t>Sadler</t>
  </si>
  <si>
    <t>Clausen</t>
  </si>
  <si>
    <t>Ivins</t>
  </si>
  <si>
    <t>34"H 3-Door Cabinet</t>
  </si>
  <si>
    <t>40852731-000-000</t>
  </si>
  <si>
    <t>MP103-1005</t>
  </si>
  <si>
    <t>Salina</t>
  </si>
  <si>
    <t>Cecile</t>
  </si>
  <si>
    <t>Cicely</t>
  </si>
  <si>
    <t>9/24/2020</t>
  </si>
  <si>
    <t>AMAZONDS,AMERSIGNDS,ASHFURNDS,MACY02F,OLLIIX</t>
  </si>
  <si>
    <t>36706906-000-000</t>
  </si>
  <si>
    <t>9/25/2020</t>
  </si>
  <si>
    <t>MT130-1211</t>
  </si>
  <si>
    <t>Woven Cane Accent Cabinet</t>
  </si>
  <si>
    <t>Toasted Almond</t>
  </si>
  <si>
    <t>4/23/2024</t>
  </si>
  <si>
    <t>MT115-1210</t>
  </si>
  <si>
    <t>Woven Cane Queen Platform Bed</t>
  </si>
  <si>
    <t>MT136-1209</t>
  </si>
  <si>
    <t>Woven Cane Nightstand</t>
  </si>
  <si>
    <t>MP108-1254</t>
  </si>
  <si>
    <t>Salma</t>
  </si>
  <si>
    <t>MT100-0149</t>
  </si>
  <si>
    <t>Samba</t>
  </si>
  <si>
    <t>40067138-000-000</t>
  </si>
  <si>
    <t>UHK13-0194</t>
  </si>
  <si>
    <t>Sammie</t>
  </si>
  <si>
    <t>Cotton Cabana Stripe Reversible Quilt Set with Shark Reverse</t>
  </si>
  <si>
    <t>PP001810;PF005806</t>
  </si>
  <si>
    <t>CSNSTORES,DESINC,JCPENNEY01,NRTPORT,OLLIIX</t>
  </si>
  <si>
    <t>40747301-000-001</t>
  </si>
  <si>
    <t>UHK13-0195</t>
  </si>
  <si>
    <t>40747301-000-003</t>
  </si>
  <si>
    <t>UHK13-0190</t>
  </si>
  <si>
    <t>Cotton Cabana Stripe Reversible Quilt Set with Rainbow Reverse</t>
  </si>
  <si>
    <t>PP001810;PF005805</t>
  </si>
  <si>
    <t>BLK01,CSNSTORES,HDDS,OLLIIX</t>
  </si>
  <si>
    <t>40747301-000-000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</si>
  <si>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</si>
  <si>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</si>
  <si>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</si>
  <si>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</si>
  <si>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</si>
  <si>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</si>
  <si>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</si>
  <si>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AMAZONDS,BBBDROP,BIGLOTSDS,JCPENNEY01,KOHLDSN,TGTDVS</t>
  </si>
  <si>
    <t>16667967-000-032</t>
  </si>
  <si>
    <t>MP40-1283</t>
  </si>
  <si>
    <t>Beige/Grey</t>
  </si>
  <si>
    <t>PF003996;PP000501</t>
  </si>
  <si>
    <t>BBBDROP,CSNSTORES,HSNDS,JCPENNEY01,KOHLDSN,MACY02,TGTDVS,WALMARTDS</t>
  </si>
  <si>
    <t>16667967-000-005</t>
  </si>
  <si>
    <t>MP40-1755</t>
  </si>
  <si>
    <t>Beige/Spice</t>
  </si>
  <si>
    <t>PF004000;PP000501</t>
  </si>
  <si>
    <t>AMAZON,AMAZONDS,ASHFURNDS,BIGLOTSDS,CSNSTORES,JCPENNEY01,KOHLDSN,TGTDVS</t>
  </si>
  <si>
    <t>16667967-000-016</t>
  </si>
  <si>
    <t>7/17/2016</t>
  </si>
  <si>
    <t>MP40-2029</t>
  </si>
  <si>
    <t>BBBDROP,CSNSTORES,JCPENNEY01,MACY02,TGTDVS</t>
  </si>
  <si>
    <t>16667967-000-019</t>
  </si>
  <si>
    <t>7/14/2016</t>
  </si>
  <si>
    <t>MP41-2030</t>
  </si>
  <si>
    <t>Fretwork Print Grommet Top Window Valance</t>
  </si>
  <si>
    <t>AMAZON,AMAZONDS,BLK01,CSNSTORES,JCPENNEY01,KOHLDSN,TGTDVS</t>
  </si>
  <si>
    <t>17651639-000-005</t>
  </si>
  <si>
    <t>MP40-2026</t>
  </si>
  <si>
    <t>PF003998;PP000501</t>
  </si>
  <si>
    <t>16667967-000-015</t>
  </si>
  <si>
    <t>MP41-2027</t>
  </si>
  <si>
    <t>AMAZON,AMAZONDS,BIGLOTSDS,BLK01,CSNSTORES,FINGERHUTDS,JCPENNEY01,KOHLDSN,TGTDVS</t>
  </si>
  <si>
    <t>17651639-000-006</t>
  </si>
  <si>
    <t>MP40-1284</t>
  </si>
  <si>
    <t>PF003997;PP000501</t>
  </si>
  <si>
    <t>AMAZON,AMAZONDS,DESINC,JCPENNEY01,KOHLDSN,TGTDVS,WALMARTDS</t>
  </si>
  <si>
    <t>16667967-000-002</t>
  </si>
  <si>
    <t>MP40-2018</t>
  </si>
  <si>
    <t>BBBDROP,JCPENNEY01,KOHLDSN,WALMARTDS</t>
  </si>
  <si>
    <t>16667967-000-006</t>
  </si>
  <si>
    <t>6/21/2016</t>
  </si>
  <si>
    <t>MP41-2399</t>
  </si>
  <si>
    <t>Ivory/Grey</t>
  </si>
  <si>
    <t>PF004001;PP000501</t>
  </si>
  <si>
    <t>17651639-000-002</t>
  </si>
  <si>
    <t>MP40-2410</t>
  </si>
  <si>
    <t>Khaki/Black</t>
  </si>
  <si>
    <t>PF004003;PP000501</t>
  </si>
  <si>
    <t>16667967-000-023</t>
  </si>
  <si>
    <t>6/24/2016</t>
  </si>
  <si>
    <t>MP40-2401</t>
  </si>
  <si>
    <t>Seafoam/White</t>
  </si>
  <si>
    <t>PF004002;PP000501</t>
  </si>
  <si>
    <t>AMAZON,BBBDROP,BIGLOTSDS,CSNSTORES,JCPENNEY01,KOHLDSN,TGTDVS</t>
  </si>
  <si>
    <t>16667967-000-024</t>
  </si>
  <si>
    <t>MP40-2404</t>
  </si>
  <si>
    <t>AMAZONDS,BBBDROP,JCPENNEY01,KOHLDSN,WALMARTDS</t>
  </si>
  <si>
    <t>16667967-000-031</t>
  </si>
  <si>
    <t>6/29/2016</t>
  </si>
  <si>
    <t>MP40-2023</t>
  </si>
  <si>
    <t>Yellow/White</t>
  </si>
  <si>
    <t>PF003999;PP000501</t>
  </si>
  <si>
    <t>AMAZON,JCPENNEY01,KOHLDSN,TGTDVS,WALMARTDS</t>
  </si>
  <si>
    <t>16667967-000-011</t>
  </si>
  <si>
    <t>FPF18-0211</t>
  </si>
  <si>
    <t>Sasha</t>
  </si>
  <si>
    <t>Hazel</t>
  </si>
  <si>
    <t>Round Ottoman with Shoe Holder Insert</t>
  </si>
  <si>
    <t>PF000643;PP000255</t>
  </si>
  <si>
    <t>CASTLEGATE,CSNSTORES,JCPENNEY01,KOHLDSN,MACY02F,ROOMECOM,Zulily</t>
  </si>
  <si>
    <t>16977701-000-001</t>
  </si>
  <si>
    <t>SHET20-175</t>
  </si>
  <si>
    <t>Luxury 6 PC Sheet Set</t>
  </si>
  <si>
    <t>PF001732</t>
  </si>
  <si>
    <t>AMAZON,BBBDROP,BLK01,CSNSTORES,HDDS,HSNDS,JCPENNEY01,KOHLDSN,MACY02,NRTPORT,OLLIIX,TGTDVS</t>
  </si>
  <si>
    <t>13709535-000-009</t>
  </si>
  <si>
    <t>MPE10-1049</t>
  </si>
  <si>
    <t>Satin Luxury</t>
  </si>
  <si>
    <t>PP001952;PF006218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</si>
  <si>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</si>
  <si>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</si>
  <si>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</si>
  <si>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</si>
  <si>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</si>
  <si>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</si>
  <si>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</si>
  <si>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</si>
  <si>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</si>
  <si>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</si>
  <si>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</si>
  <si>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</si>
  <si>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</si>
  <si>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40769015-000-001</t>
  </si>
  <si>
    <t>MP10-8111</t>
  </si>
  <si>
    <t>40769015-000-000</t>
  </si>
  <si>
    <t>II100-0078</t>
  </si>
  <si>
    <t>Scott</t>
  </si>
  <si>
    <t>Cream/Morrocco</t>
  </si>
  <si>
    <t>PF000836</t>
  </si>
  <si>
    <t>ASHFURNDS,CSNSTORES,HDDS,KOHLDSN,MACY02F,OLLIIX</t>
  </si>
  <si>
    <t>21236710-000-000</t>
  </si>
  <si>
    <t>3/23/2017</t>
  </si>
  <si>
    <t>3/29/2017</t>
  </si>
  <si>
    <t>II130-0497</t>
  </si>
  <si>
    <t>Seagate</t>
  </si>
  <si>
    <t>Handcrafted Seagrass 2-Door Accent chest</t>
  </si>
  <si>
    <t>41162297-000-000</t>
  </si>
  <si>
    <t>3/6/2023</t>
  </si>
  <si>
    <t>ID95C-0034</t>
  </si>
  <si>
    <t>Sentiment Arrows</t>
  </si>
  <si>
    <t>Printed Canvas (3pcs/set)</t>
  </si>
  <si>
    <t>PF002024</t>
  </si>
  <si>
    <t>22759231-000-000</t>
  </si>
  <si>
    <t>6/15/2017</t>
  </si>
  <si>
    <t>4/9/2018</t>
  </si>
  <si>
    <t>MP12-1103</t>
  </si>
  <si>
    <t>Alicia</t>
  </si>
  <si>
    <t>6 Piece Printed Duvet Cover Set</t>
  </si>
  <si>
    <t>PF002716</t>
  </si>
  <si>
    <t>AMAZON,BLK01,CSNSTORES,KOHLDSN,TGTDVS</t>
  </si>
  <si>
    <t>16662801-000-001</t>
  </si>
  <si>
    <t>II10-1215</t>
  </si>
  <si>
    <t>3 Piece Cotton Printed Comforter Set w/ trims</t>
  </si>
  <si>
    <t>PP001725;PF005641</t>
  </si>
  <si>
    <t>11/17/2021</t>
  </si>
  <si>
    <t>AMAZONDS,CSNSTORES,JCPENNEY01,KOHLDSN,OLLIIX</t>
  </si>
  <si>
    <t>39209888-000-001</t>
  </si>
  <si>
    <t>II12-1217</t>
  </si>
  <si>
    <t>3 Piece Cotton Printed Duvet Cover Set w/ trims</t>
  </si>
  <si>
    <t>AMAZONDS,JCPENNEY01,OLLIIX,TGTDVS</t>
  </si>
  <si>
    <t>39209913-000-001</t>
  </si>
  <si>
    <t>5/19/2022</t>
  </si>
  <si>
    <t>MP10-3535</t>
  </si>
  <si>
    <t>Serendipity</t>
  </si>
  <si>
    <t>Harmony</t>
  </si>
  <si>
    <t>Desiree</t>
  </si>
  <si>
    <t>Cotton Percale Comforter Set</t>
  </si>
  <si>
    <t>Peach</t>
  </si>
  <si>
    <t>PF002628</t>
  </si>
  <si>
    <t>Shabby Chic|Transitional</t>
  </si>
  <si>
    <t>19595467-000-000</t>
  </si>
  <si>
    <t>9/25/2016</t>
  </si>
  <si>
    <t>MP40-3504</t>
  </si>
  <si>
    <t>Serene</t>
  </si>
  <si>
    <t>Belle</t>
  </si>
  <si>
    <t>Monroe</t>
  </si>
  <si>
    <t>Embroidered Curtain Panel</t>
  </si>
  <si>
    <t>PF003398;PP000505</t>
  </si>
  <si>
    <t>AMAZON,ASHFURNDS,JCPENNEY01,KOHLDSN,MACY02,TGTDVS</t>
  </si>
  <si>
    <t>17226346-000-001</t>
  </si>
  <si>
    <t>11/25/2016</t>
  </si>
  <si>
    <t>MP41-3507</t>
  </si>
  <si>
    <t>Embroidered Window Valance</t>
  </si>
  <si>
    <t>PF003400;PP000505</t>
  </si>
  <si>
    <t>4/11/2017</t>
  </si>
  <si>
    <t>17226345-000-002</t>
  </si>
  <si>
    <t>11/30/2016</t>
  </si>
  <si>
    <t>MP10-3451</t>
  </si>
  <si>
    <t>Embroidered 7 Piece Comforter Set</t>
  </si>
  <si>
    <t>PF003404;PP000505</t>
  </si>
  <si>
    <t>Traditional|Casual</t>
  </si>
  <si>
    <t>AMAZON,BLK01,JCPENNEY01,KOHLDSN,TGTDVS</t>
  </si>
  <si>
    <t>19461714-000-002</t>
  </si>
  <si>
    <t>MP40-4209</t>
  </si>
  <si>
    <t>AMAZON,AMAZONDS,BBBDROP,BLK01,CSNSTORES,JCPENNEY01,KOHLDSN,TGTDVS,WALMARTDS</t>
  </si>
  <si>
    <t>17226346-000-003</t>
  </si>
  <si>
    <t>2/7/2017</t>
  </si>
  <si>
    <t>MP10-309</t>
  </si>
  <si>
    <t>PF003399;PP000505</t>
  </si>
  <si>
    <t>AMAZON,AMAZONDS,BBBDROP,JCPENNEY01,KOHLDSN,MACY02,NRTPORT,TGTDVS</t>
  </si>
  <si>
    <t>14605961-000-002</t>
  </si>
  <si>
    <t>MP72-8341</t>
  </si>
  <si>
    <t>21x34"</t>
  </si>
  <si>
    <t>PP001960;PF006244</t>
  </si>
  <si>
    <t>43762085-000-001</t>
  </si>
  <si>
    <t>MP72-8342</t>
  </si>
  <si>
    <t>24x60"</t>
  </si>
  <si>
    <t>43762085-000-000</t>
  </si>
  <si>
    <t>MP41-5479</t>
  </si>
  <si>
    <t>PF003405;PP000505</t>
  </si>
  <si>
    <t>17226345-000-005</t>
  </si>
  <si>
    <t>6/6/2018</t>
  </si>
  <si>
    <t>II150-0149</t>
  </si>
  <si>
    <t>Serenitie</t>
  </si>
  <si>
    <t>5-Light Linear Chandelier</t>
  </si>
  <si>
    <t>42825749-000-000</t>
  </si>
  <si>
    <t>MPE10-150</t>
  </si>
  <si>
    <t>Serenity</t>
  </si>
  <si>
    <t>Odisha</t>
  </si>
  <si>
    <t>Nepal</t>
  </si>
  <si>
    <t>PF003665;PP000507</t>
  </si>
  <si>
    <t>Transitional|Casual</t>
  </si>
  <si>
    <t>18100172-000-000</t>
  </si>
  <si>
    <t>1/29/2016</t>
  </si>
  <si>
    <t>CC71-0035</t>
  </si>
  <si>
    <t>Seville</t>
  </si>
  <si>
    <t>Mosaic Glass Tumbler</t>
  </si>
  <si>
    <t>CSNSTORES,DLCROSCILL,KOHLDSN,OLLIIX</t>
  </si>
  <si>
    <t>42094909-000-001</t>
  </si>
  <si>
    <t>MP131-0977</t>
  </si>
  <si>
    <t>Seymore</t>
  </si>
  <si>
    <t>Fort</t>
  </si>
  <si>
    <t>Winley</t>
  </si>
  <si>
    <t>36382305-000-000</t>
  </si>
  <si>
    <t>FUR105-0052</t>
  </si>
  <si>
    <t>Shandra</t>
  </si>
  <si>
    <t>Selah</t>
  </si>
  <si>
    <t>Tufted Top Soft Close Storage Bench</t>
  </si>
  <si>
    <t>PF000819;PP000259</t>
  </si>
  <si>
    <t>AMERSIGNDS,ASHFURNDS,CASTLEGATE,CSNSTORES,HDDS,HOUZZ,KIRKLANDDS,KOHLDSN,LAMPDS,MACY02F,OLLIIX,ROOMECOM,TGTDVS</t>
  </si>
  <si>
    <t>16689616-000-003</t>
  </si>
  <si>
    <t>12/20/2018</t>
  </si>
  <si>
    <t>1/7/2019</t>
  </si>
  <si>
    <t>FPF18-0197</t>
  </si>
  <si>
    <t>Shandra II</t>
  </si>
  <si>
    <t>Tessa</t>
  </si>
  <si>
    <t>Tahlia</t>
  </si>
  <si>
    <t>PF000636;PP000260</t>
  </si>
  <si>
    <t>AMAZONDS,AMERSIGNDS,ASHFURNDS,BLK01,CASTLEGATE,CSNSTORES,HDDS,JCPENNEY01,KOHLDSN,LAMPDS,MACY02F,OLLIIX</t>
  </si>
  <si>
    <t>16675780-000-002</t>
  </si>
  <si>
    <t>2/25/2015</t>
  </si>
  <si>
    <t>MT122-0092</t>
  </si>
  <si>
    <t>Sharkey</t>
  </si>
  <si>
    <t>Morocco/Gold</t>
  </si>
  <si>
    <t>3/11/2020</t>
  </si>
  <si>
    <t>CSNSTORES,OLLIIX,Zulily</t>
  </si>
  <si>
    <t>35899869-000-000</t>
  </si>
  <si>
    <t>II100-0267</t>
  </si>
  <si>
    <t>Shasta</t>
  </si>
  <si>
    <t>PP000646</t>
  </si>
  <si>
    <t>1/11/2018</t>
  </si>
  <si>
    <t>CSNSTORES,HDDS,KOHLDSN,MACY02F,OLLIIX</t>
  </si>
  <si>
    <t>26315655-000-000</t>
  </si>
  <si>
    <t>3/5/2018</t>
  </si>
  <si>
    <t>4/3/2018</t>
  </si>
  <si>
    <t>II95C-0086</t>
  </si>
  <si>
    <t>Shattering Rock Yellow</t>
  </si>
  <si>
    <t>Abstract Canvas Wall Art</t>
  </si>
  <si>
    <t>PF001886</t>
  </si>
  <si>
    <t>BEALLSDS,CSNSTORES,KOHLDSN,OLLIIX,TGTDVS</t>
  </si>
  <si>
    <t>19601783-000-000</t>
  </si>
  <si>
    <t>ID10-2424</t>
  </si>
  <si>
    <t>Shay</t>
  </si>
  <si>
    <t>Monica</t>
  </si>
  <si>
    <t>Juliette</t>
  </si>
  <si>
    <t>Colorblock Clip Jacquard Comforter Set</t>
  </si>
  <si>
    <t>PF006271</t>
  </si>
  <si>
    <t>ID12-2427</t>
  </si>
  <si>
    <t>Colorblock Clip Jacquard Duvet Cover Set</t>
  </si>
  <si>
    <t>ID10-2425</t>
  </si>
  <si>
    <t>ID12-2428</t>
  </si>
  <si>
    <t>ID10-2426</t>
  </si>
  <si>
    <t>ID12-2429</t>
  </si>
  <si>
    <t>II10-1320</t>
  </si>
  <si>
    <t>3 Piece Striped Cotton Comforter Set</t>
  </si>
  <si>
    <t>PP001961;PF006245</t>
  </si>
  <si>
    <t>II12-1322</t>
  </si>
  <si>
    <t>3 Piece Striped Cotton Duvet Cover Set</t>
  </si>
  <si>
    <t>II10-1321</t>
  </si>
  <si>
    <t>II12-1323</t>
  </si>
  <si>
    <t>II10-1324</t>
  </si>
  <si>
    <t>PP001961;PF006246</t>
  </si>
  <si>
    <t>II12-1326</t>
  </si>
  <si>
    <t>II10-1325</t>
  </si>
  <si>
    <t>II12-1327</t>
  </si>
  <si>
    <t>FPF18-0046</t>
  </si>
  <si>
    <t>Shelley</t>
  </si>
  <si>
    <t>Keira</t>
  </si>
  <si>
    <t>Square Storage Ottoman with Pillows</t>
  </si>
  <si>
    <t>PF000589;PP000261</t>
  </si>
  <si>
    <t>15947243-000-000</t>
  </si>
  <si>
    <t>FPF18-0179</t>
  </si>
  <si>
    <t>PF000632;PP000261</t>
  </si>
  <si>
    <t>CASTLEGATE</t>
  </si>
  <si>
    <t>21176502-000-000</t>
  </si>
  <si>
    <t>4/10/2017</t>
  </si>
  <si>
    <t>MP108-1178</t>
  </si>
  <si>
    <t>Sheraton</t>
  </si>
  <si>
    <t>Joey</t>
  </si>
  <si>
    <t>Peralta</t>
  </si>
  <si>
    <t>Tufted Low Back Upholstered Arm Dining Chair Set of 2</t>
  </si>
  <si>
    <t>40002684-000-000</t>
  </si>
  <si>
    <t>TN54-0495</t>
  </si>
  <si>
    <t>Sherpa</t>
  </si>
  <si>
    <t>PP001893;PF006038</t>
  </si>
  <si>
    <t>42738933-000-011</t>
  </si>
  <si>
    <t>TN54-0496</t>
  </si>
  <si>
    <t>42738933-000-004</t>
  </si>
  <si>
    <t>TN54-0497</t>
  </si>
  <si>
    <t>42738933-000-006</t>
  </si>
  <si>
    <t>TN54-0503</t>
  </si>
  <si>
    <t>PP001893;PF006040</t>
  </si>
  <si>
    <t>42738933-000-012</t>
  </si>
  <si>
    <t>TN54-0504</t>
  </si>
  <si>
    <t>42738933-000-008</t>
  </si>
  <si>
    <t>TN54-0506</t>
  </si>
  <si>
    <t>42738933-000-009</t>
  </si>
  <si>
    <t>TN54-0499</t>
  </si>
  <si>
    <t>PP001893;PF006039</t>
  </si>
  <si>
    <t>42738933-000-010</t>
  </si>
  <si>
    <t>TN54-0500</t>
  </si>
  <si>
    <t>42738933-000-000</t>
  </si>
  <si>
    <t>TN54-0494</t>
  </si>
  <si>
    <t>PP001893;PF006037</t>
  </si>
  <si>
    <t>42738933-000-003</t>
  </si>
  <si>
    <t>MP95C-0321</t>
  </si>
  <si>
    <t>Shimmering Symphony</t>
  </si>
  <si>
    <t>Glitter and Gold Foil Abstract Triptych 3-piece Canvas Wall Art Set</t>
  </si>
  <si>
    <t>DESINC,ZOLA</t>
  </si>
  <si>
    <t>42672668-000-000</t>
  </si>
  <si>
    <t>CC10-0018</t>
  </si>
  <si>
    <t>Signature</t>
  </si>
  <si>
    <t>Dobby Cotton Down Alternative Comforter</t>
  </si>
  <si>
    <t>AMAZON,AMAZONDS,DLCROSCILL,MACY02,OLLIIX</t>
  </si>
  <si>
    <t>42078396-000-000</t>
  </si>
  <si>
    <t>CCS20-016</t>
  </si>
  <si>
    <t>Signature Hem</t>
  </si>
  <si>
    <t>300TC Cotton Sheet Set</t>
  </si>
  <si>
    <t>42025512-000-000</t>
  </si>
  <si>
    <t>CCS20-020</t>
  </si>
  <si>
    <t>300TC Cotton Pillowcases</t>
  </si>
  <si>
    <t>42024798-000-000</t>
  </si>
  <si>
    <t>12/20/2023</t>
  </si>
  <si>
    <t>CCS20-018</t>
  </si>
  <si>
    <t>42025512-000-002</t>
  </si>
  <si>
    <t>CCS20-019</t>
  </si>
  <si>
    <t>42024798-000-003</t>
  </si>
  <si>
    <t>CCS20-021</t>
  </si>
  <si>
    <t>42025512-000-003</t>
  </si>
  <si>
    <t>CCS20-022</t>
  </si>
  <si>
    <t>42025512-000-001</t>
  </si>
  <si>
    <t>CCS20-025</t>
  </si>
  <si>
    <t>42024798-000-002</t>
  </si>
  <si>
    <t>1/26/2024</t>
  </si>
  <si>
    <t>CCS20-023</t>
  </si>
  <si>
    <t>42025512-000-005</t>
  </si>
  <si>
    <t>CCS20-024</t>
  </si>
  <si>
    <t>42024798-000-001</t>
  </si>
  <si>
    <t>MP103-1186</t>
  </si>
  <si>
    <t>Sikora</t>
  </si>
  <si>
    <t>Gayley</t>
  </si>
  <si>
    <t>Felipe</t>
  </si>
  <si>
    <t>Channel Tufted Swivel Armchair</t>
  </si>
  <si>
    <t>40537064-000-000</t>
  </si>
  <si>
    <t>MP100-0780</t>
  </si>
  <si>
    <t>Simmons</t>
  </si>
  <si>
    <t>Tita</t>
  </si>
  <si>
    <t>2/5/2019</t>
  </si>
  <si>
    <t>ASHFURNDS,CSNSTORES,KIRKLANDDS,KOHLDSN,LAMPDS,OLLIIX</t>
  </si>
  <si>
    <t>31579259-000-000</t>
  </si>
  <si>
    <t>2/6/2019</t>
  </si>
  <si>
    <t>MP104-0514</t>
  </si>
  <si>
    <t>Simon</t>
  </si>
  <si>
    <t>Reed</t>
  </si>
  <si>
    <t>Gunther</t>
  </si>
  <si>
    <t>PP000622</t>
  </si>
  <si>
    <t>CSNSTORES,DESINC,KOHLDSN,OLLIIX,ROOMECOM,TGTDVS</t>
  </si>
  <si>
    <t>26569391-000-000</t>
  </si>
  <si>
    <t>3/28/2018</t>
  </si>
  <si>
    <t>4/16/2018</t>
  </si>
  <si>
    <t>MP40-8118</t>
  </si>
  <si>
    <t>Simone</t>
  </si>
  <si>
    <t>Abelia</t>
  </si>
  <si>
    <t>Fleur</t>
  </si>
  <si>
    <t>Printed Floral Twist Tab Top Voile Sheer Curtain</t>
  </si>
  <si>
    <t>PP001352;PF005873</t>
  </si>
  <si>
    <t>AMAZONDS,CSNSTORES,JCPENNEY01,KOHLDSN</t>
  </si>
  <si>
    <t>35137197-000-009</t>
  </si>
  <si>
    <t>MP40-8120</t>
  </si>
  <si>
    <t>Printed Floral Rod Pocket and Back Tab Voile Sheer Curtain</t>
  </si>
  <si>
    <t>35137211-000-008</t>
  </si>
  <si>
    <t>MP40-6614</t>
  </si>
  <si>
    <t>PP001352;PF004832</t>
  </si>
  <si>
    <t>AMAZON,CSNSTORES,JCPENNEY01,KOHLDSN,NRTPORT,TGTDVS</t>
  </si>
  <si>
    <t>35137197-000-000</t>
  </si>
  <si>
    <t>11/20/2019</t>
  </si>
  <si>
    <t>1/2/2020</t>
  </si>
  <si>
    <t>MP40-6615</t>
  </si>
  <si>
    <t>35137197-000-001</t>
  </si>
  <si>
    <t>5/12/2020</t>
  </si>
  <si>
    <t>MP40-6620</t>
  </si>
  <si>
    <t>PP001352;PF004833</t>
  </si>
  <si>
    <t>AMAZONDS,BBBDROP,CSNSTORES,JCPENNEY01,WALMARTDS</t>
  </si>
  <si>
    <t>35137197-000-003</t>
  </si>
  <si>
    <t>MP40-6622</t>
  </si>
  <si>
    <t>AMAZON,CSNSTORES,JCPENNEY01,KOHLDSN,MACY02,OLLIIX,TGTDVS</t>
  </si>
  <si>
    <t>35137211-000-004</t>
  </si>
  <si>
    <t>MP40-6621</t>
  </si>
  <si>
    <t>35137197-000-002</t>
  </si>
  <si>
    <t>5/11/2020</t>
  </si>
  <si>
    <t>MP40-6773</t>
  </si>
  <si>
    <t>PP001352;PF004944</t>
  </si>
  <si>
    <t>AMAZON,AMAZONDS,CSNSTORES,KOHLDSN,WALMARTDS</t>
  </si>
  <si>
    <t>35137197-000-004</t>
  </si>
  <si>
    <t>12/2/2019</t>
  </si>
  <si>
    <t>MP40-6775</t>
  </si>
  <si>
    <t>AMAZON,AMAZONDS,CSNSTORES,JCPENNEY01,KOHLDSN,TGTDVS,WALMARTDS</t>
  </si>
  <si>
    <t>35137211-000-005</t>
  </si>
  <si>
    <t>MP40-6774</t>
  </si>
  <si>
    <t>35137197-000-005</t>
  </si>
  <si>
    <t>MP40-6776</t>
  </si>
  <si>
    <t>35137211-000-002</t>
  </si>
  <si>
    <t>4/6/2020</t>
  </si>
  <si>
    <t>MP95G-0282</t>
  </si>
  <si>
    <t>Skipping Stones</t>
  </si>
  <si>
    <t>Geo UV Printed Shadowbox 2 Piece Wall Art Set</t>
  </si>
  <si>
    <t>PP001661</t>
  </si>
  <si>
    <t>AMAZON,JCPENNEY01,KOHLDSN,OLLIIX,TGTDVS</t>
  </si>
  <si>
    <t>38513638-000-000</t>
  </si>
  <si>
    <t>II120-0566</t>
  </si>
  <si>
    <t>Skye</t>
  </si>
  <si>
    <t>ID13-2129</t>
  </si>
  <si>
    <t>Skyler</t>
  </si>
  <si>
    <t>Wesley</t>
  </si>
  <si>
    <t>Patchwork Printed Reversible Quilt Set</t>
  </si>
  <si>
    <t>PF005673</t>
  </si>
  <si>
    <t>39674119-000-000</t>
  </si>
  <si>
    <t>3/9/2022</t>
  </si>
  <si>
    <t>BASI10-0461</t>
  </si>
  <si>
    <t>Sloan</t>
  </si>
  <si>
    <t>Kaplan</t>
  </si>
  <si>
    <t>Plush Down Alternative Comforter Mini Set</t>
  </si>
  <si>
    <t>PF002146</t>
  </si>
  <si>
    <t>BBBDROP,BLK01,CSNSTORES,JCPENNEY01,KOHLDSN,MACY02,TGTDVS,Zulily</t>
  </si>
  <si>
    <t>19616067-000-005</t>
  </si>
  <si>
    <t>10/11/2016</t>
  </si>
  <si>
    <t>SHET20-970</t>
  </si>
  <si>
    <t>Smart Cool Microfiber</t>
  </si>
  <si>
    <t>PF002218</t>
  </si>
  <si>
    <t>Coolmax</t>
  </si>
  <si>
    <t>19599624-000-010</t>
  </si>
  <si>
    <t>5/16/2017</t>
  </si>
  <si>
    <t>SHET20-971</t>
  </si>
  <si>
    <t>BEALLSDS,BLK01,KOHLDSN,MACY02,OLLIIX,TGTDVS,WALMARTDS</t>
  </si>
  <si>
    <t>19599624-000-011</t>
  </si>
  <si>
    <t>2/24/2017</t>
  </si>
  <si>
    <t>SHET20-973</t>
  </si>
  <si>
    <t>BBBDROP,BLK01,JCPENNEY01,KOHLDSN,MACY02,OLLIIX,TGTDVS,ZOLA</t>
  </si>
  <si>
    <t>19599624-000-013</t>
  </si>
  <si>
    <t>SHET20-1189</t>
  </si>
  <si>
    <t>PP001565;PF005247</t>
  </si>
  <si>
    <t>12/21/2020</t>
  </si>
  <si>
    <t>BBBDROP,KOHLDSN,MACY02</t>
  </si>
  <si>
    <t>19599624-000-028</t>
  </si>
  <si>
    <t>11/9/2022</t>
  </si>
  <si>
    <t>SHET20-1190</t>
  </si>
  <si>
    <t>19599624-000-031</t>
  </si>
  <si>
    <t>SHET20-1192</t>
  </si>
  <si>
    <t>BBBDROP,BLK01,JCPENNEY01,KOHLDSN,MACY02</t>
  </si>
  <si>
    <t>19599624-000-035</t>
  </si>
  <si>
    <t>SHET20-1193</t>
  </si>
  <si>
    <t>19599624-000-034</t>
  </si>
  <si>
    <t>SHET20-960</t>
  </si>
  <si>
    <t>PF002216</t>
  </si>
  <si>
    <t>19599624-000-000</t>
  </si>
  <si>
    <t>SHET20-961</t>
  </si>
  <si>
    <t>19599624-000-001</t>
  </si>
  <si>
    <t>12/5/2016</t>
  </si>
  <si>
    <t>SHET20-964</t>
  </si>
  <si>
    <t>AMAZON,BBBDROP,BLK01,JCPENNEY01,KOHLDSN,NEBFUR01,OLLIIX,TGTDVS</t>
  </si>
  <si>
    <t>19599624-000-004</t>
  </si>
  <si>
    <t>5/8/2017</t>
  </si>
  <si>
    <t>SHET20-975</t>
  </si>
  <si>
    <t>PF002219</t>
  </si>
  <si>
    <t>19599624-000-015</t>
  </si>
  <si>
    <t>1/17/2017</t>
  </si>
  <si>
    <t>SHET20-976</t>
  </si>
  <si>
    <t>19599624-000-016</t>
  </si>
  <si>
    <t>SHET20-977</t>
  </si>
  <si>
    <t>BBBDROP,BLK01,KOHLDSN,MACY02,OLLIIX,TGTDVS,ZOLA,Zulily</t>
  </si>
  <si>
    <t>19599624-000-017</t>
  </si>
  <si>
    <t>10/13/2016</t>
  </si>
  <si>
    <t>SHET20-978</t>
  </si>
  <si>
    <t>BLK01,JCPENNEY01,KOHLDSN,MACY02,OLLIIX,TGTDVS,ZOLA</t>
  </si>
  <si>
    <t>19599624-000-018</t>
  </si>
  <si>
    <t>SHET20-979</t>
  </si>
  <si>
    <t>19599624-000-019</t>
  </si>
  <si>
    <t>SHET20-1184</t>
  </si>
  <si>
    <t>PP001565;PF005246</t>
  </si>
  <si>
    <t>BBBDROP,KOHLDSN,MACY02,TGTDVS</t>
  </si>
  <si>
    <t>19599624-000-020</t>
  </si>
  <si>
    <t>SHET20-1186</t>
  </si>
  <si>
    <t>19599624-000-023</t>
  </si>
  <si>
    <t>3/15/2021</t>
  </si>
  <si>
    <t>SHET20-966</t>
  </si>
  <si>
    <t>PF002217</t>
  </si>
  <si>
    <t>BLK01,KOHLDSN,MACY02,OLLIIX,TGTDVS,Zulily</t>
  </si>
  <si>
    <t>19599624-000-006</t>
  </si>
  <si>
    <t>SHET20-969</t>
  </si>
  <si>
    <t>BLK01,JCPENNEY01,KOHLDSN,MACY02,TGTDVS</t>
  </si>
  <si>
    <t>19599624-000-009</t>
  </si>
  <si>
    <t>12/14/2016</t>
  </si>
  <si>
    <t>NS12-3652</t>
  </si>
  <si>
    <t>Soho Geo</t>
  </si>
  <si>
    <t>3 Piece Reversible Duvet Cover Mini Set</t>
  </si>
  <si>
    <t>PF005663;PP001742</t>
  </si>
  <si>
    <t>Modern/Contemporary|Global Inspired</t>
  </si>
  <si>
    <t>11/12/2021</t>
  </si>
  <si>
    <t>39209882-000-000</t>
  </si>
  <si>
    <t>7/22/2022</t>
  </si>
  <si>
    <t>MP95B-0358</t>
  </si>
  <si>
    <t>Solana</t>
  </si>
  <si>
    <t>Framed Abstract Coastal Rice Shadowbox Wall Decor</t>
  </si>
  <si>
    <t>BL20-0601</t>
  </si>
  <si>
    <t>Soloft Plush</t>
  </si>
  <si>
    <t>PF001708</t>
  </si>
  <si>
    <t>AMAZONDS,CSNSTORES,KOHLDSN,OLLIIX</t>
  </si>
  <si>
    <t>13709538-000-008</t>
  </si>
  <si>
    <t>BL20-0604</t>
  </si>
  <si>
    <t>AMAZON,AMAZONDS,CSNSTORES,KOHLDSN,MACY02,OLLIIX</t>
  </si>
  <si>
    <t>13709538-000-014</t>
  </si>
  <si>
    <t>9/30/2015</t>
  </si>
  <si>
    <t>BL20-0453</t>
  </si>
  <si>
    <t>PF001697</t>
  </si>
  <si>
    <t>AMAZONDS,KOHLDSN,OLLIIX</t>
  </si>
  <si>
    <t>13709538-000-010</t>
  </si>
  <si>
    <t>BL20-0455</t>
  </si>
  <si>
    <t>13709538-000-002</t>
  </si>
  <si>
    <t>BL20-0456</t>
  </si>
  <si>
    <t>AMAZON,JCPENNEY01,KOHLDSN,MACY02,OLLIIX</t>
  </si>
  <si>
    <t>13709538-000-016</t>
  </si>
  <si>
    <t>BL20-0450</t>
  </si>
  <si>
    <t>PF001675</t>
  </si>
  <si>
    <t>AMAZON,AMAZONDS,CSNSTORES,KOHLDSN,OLLIIX</t>
  </si>
  <si>
    <t>13709538-000-023</t>
  </si>
  <si>
    <t>BL20-0451</t>
  </si>
  <si>
    <t>13709538-000-001</t>
  </si>
  <si>
    <t>2/11/2015</t>
  </si>
  <si>
    <t>BL20-0452</t>
  </si>
  <si>
    <t>AMAZONDS,BBBDROP,CSNSTORES,KOHLDSN,MACY02,OLLIIX</t>
  </si>
  <si>
    <t>13709538-000-017</t>
  </si>
  <si>
    <t>BL20-0457</t>
  </si>
  <si>
    <t>PF001686</t>
  </si>
  <si>
    <t>AMAZONDS,CSNSTORES,DESINC,KOHLDSN,MACY02,OLLIIX</t>
  </si>
  <si>
    <t>13709538-000-009</t>
  </si>
  <si>
    <t>BL20-0458</t>
  </si>
  <si>
    <t>13709538-000-021</t>
  </si>
  <si>
    <t>BL20-0459</t>
  </si>
  <si>
    <t>13709538-000-003</t>
  </si>
  <si>
    <t>BL20-0460</t>
  </si>
  <si>
    <t>13709538-000-015</t>
  </si>
  <si>
    <t>BL20-0869</t>
  </si>
  <si>
    <t>PF001719</t>
  </si>
  <si>
    <t>AMAZON,AMAZONDS,CSNSTORES,KOHLDSN,MACY02,WALMARTDS</t>
  </si>
  <si>
    <t>13709538-000-007</t>
  </si>
  <si>
    <t>9/28/2016</t>
  </si>
  <si>
    <t>BL20-0870</t>
  </si>
  <si>
    <t>AMAZON,AMAZONDS,BLK01,CSNSTORES,JCPENNEY01,KOHLDSN,OLLIIX</t>
  </si>
  <si>
    <t>13709538-000-019</t>
  </si>
  <si>
    <t>10/20/2016</t>
  </si>
  <si>
    <t>BL20-0871</t>
  </si>
  <si>
    <t>AMAZONDS,CSNSTORES,JCPENNEY01,KOHLDSN,MACY02,WALMARTDS</t>
  </si>
  <si>
    <t>13709538-000-006</t>
  </si>
  <si>
    <t>BL20-0445</t>
  </si>
  <si>
    <t>PF001663</t>
  </si>
  <si>
    <t>13709538-000-012</t>
  </si>
  <si>
    <t>BL20-0446</t>
  </si>
  <si>
    <t>13709538-000-024</t>
  </si>
  <si>
    <t>BL20-0447</t>
  </si>
  <si>
    <t>13709538-000-000</t>
  </si>
  <si>
    <t>TN20-0440</t>
  </si>
  <si>
    <t>PP001621;PF005444</t>
  </si>
  <si>
    <t>AMAZONDS,KOHLDSN,TGTDVS</t>
  </si>
  <si>
    <t>13709538-000-025</t>
  </si>
  <si>
    <t>5/30/2021</t>
  </si>
  <si>
    <t>7/2/2021</t>
  </si>
  <si>
    <t>TN20-0443</t>
  </si>
  <si>
    <t>AMAZON,AMAZONDS,KOHLDSN,MACY02,TGTDVS</t>
  </si>
  <si>
    <t>13709538-000-029</t>
  </si>
  <si>
    <t>MP130-0528</t>
  </si>
  <si>
    <t>Sonata</t>
  </si>
  <si>
    <t>Malta</t>
  </si>
  <si>
    <t>Accent Chest with 2 Drawers</t>
  </si>
  <si>
    <t>PP000629</t>
  </si>
  <si>
    <t>25473526-000-000</t>
  </si>
  <si>
    <t>12/28/2017</t>
  </si>
  <si>
    <t>II90-0538</t>
  </si>
  <si>
    <t>ASSORTMENT</t>
  </si>
  <si>
    <t>Sonoma</t>
  </si>
  <si>
    <t>Natural 6-Piece Set</t>
  </si>
  <si>
    <t>8/3/2021</t>
  </si>
  <si>
    <t>42099720-000-001</t>
  </si>
  <si>
    <t>II90-0539</t>
  </si>
  <si>
    <t>Natural 7-Piece Set</t>
  </si>
  <si>
    <t>42099719-000-002</t>
  </si>
  <si>
    <t>II90-0542</t>
  </si>
  <si>
    <t>Gray 7-Piece Set</t>
  </si>
  <si>
    <t>7/16/2021</t>
  </si>
  <si>
    <t>42099719-000-001</t>
  </si>
  <si>
    <t>II121-0446</t>
  </si>
  <si>
    <t>AMAZONDS,CSNSTORES,KIRKLANDDS,OLLIIX</t>
  </si>
  <si>
    <t>26801769-000-002</t>
  </si>
  <si>
    <t>5/12/2021</t>
  </si>
  <si>
    <t>II90-0540</t>
  </si>
  <si>
    <t>White 6-Piece Set</t>
  </si>
  <si>
    <t>42099720-000-000</t>
  </si>
  <si>
    <t>II90-0541</t>
  </si>
  <si>
    <t>White 7-Piece Set</t>
  </si>
  <si>
    <t>42099719-000-000</t>
  </si>
  <si>
    <t>ST35-0252</t>
  </si>
  <si>
    <t>Talas Trellis Area Rug in Cream</t>
  </si>
  <si>
    <t>38830014-000-000</t>
  </si>
  <si>
    <t>ST35-0253</t>
  </si>
  <si>
    <t>38830014-000-001</t>
  </si>
  <si>
    <t>ID40-1798</t>
  </si>
  <si>
    <t>Pom Pom Embellished Curtain Panel</t>
  </si>
  <si>
    <t>PF001530;PP001619</t>
  </si>
  <si>
    <t>9/10/2019</t>
  </si>
  <si>
    <t>AMAZON,BLK01,CSNSTORES,JCPENNEY01,KOHLDSN,TGTDVS,WALMARTDS</t>
  </si>
  <si>
    <t>34389959-000-004</t>
  </si>
  <si>
    <t>9/18/2019</t>
  </si>
  <si>
    <t>ID40-2019</t>
  </si>
  <si>
    <t>PF005439;PP001619</t>
  </si>
  <si>
    <t>AMAZON,AMAZONDS,CSNSTORES,DESINC,KOHLDSN,MACY02,TGTDVS</t>
  </si>
  <si>
    <t>34389959-000-007</t>
  </si>
  <si>
    <t>MP35-8040</t>
  </si>
  <si>
    <t>PP001794;PF005781</t>
  </si>
  <si>
    <t>40587885-000-003</t>
  </si>
  <si>
    <t>MP35-8041</t>
  </si>
  <si>
    <t>40587885-000-002</t>
  </si>
  <si>
    <t>ID40-1800</t>
  </si>
  <si>
    <t>AMAZON,AMAZONDS,CSNSTORES,KOHLDSN,MACY02,TGTDVS,WALMARTDS</t>
  </si>
  <si>
    <t>34389959-000-002</t>
  </si>
  <si>
    <t>MP35-8037</t>
  </si>
  <si>
    <t>Talas Trellis Area Rug in Grey and Cream</t>
  </si>
  <si>
    <t>PP001794;PF005780</t>
  </si>
  <si>
    <t>BIGLOTSDS,CSNSTORES,HDDS,KOHLDSN,NRTPORT</t>
  </si>
  <si>
    <t>40587885-000-000</t>
  </si>
  <si>
    <t>MP35-8036</t>
  </si>
  <si>
    <t>40587885-000-004</t>
  </si>
  <si>
    <t>MP35-8038</t>
  </si>
  <si>
    <t>40587885-000-001</t>
  </si>
  <si>
    <t>MP35-8039</t>
  </si>
  <si>
    <t>40587885-000-005</t>
  </si>
  <si>
    <t>MP95G-0324</t>
  </si>
  <si>
    <t>Sparkling Sea</t>
  </si>
  <si>
    <t>Framed Glass and Single Matted Abstract Landscape Coastal Wall Art</t>
  </si>
  <si>
    <t>42762477-000-000</t>
  </si>
  <si>
    <t>MPS73-435</t>
  </si>
  <si>
    <t>Splendor</t>
  </si>
  <si>
    <t>1000gsm 100% Cotton 6 Piece Towel Set</t>
  </si>
  <si>
    <t>PP001153</t>
  </si>
  <si>
    <t>AMAZON,AMAZONDS,BLK01,CSNSTORES,JCPENNEY01,MACY02</t>
  </si>
  <si>
    <t>33130256-000-001</t>
  </si>
  <si>
    <t>5/22/2019</t>
  </si>
  <si>
    <t>MT95B-0083</t>
  </si>
  <si>
    <t>Staggered Stones</t>
  </si>
  <si>
    <t>Blue Natural Agate Double Mat Shadow Box Wall Decor</t>
  </si>
  <si>
    <t>MT95B-0085</t>
  </si>
  <si>
    <t>Off-White Natural Agate Double Mat Shadow Box Wall Decor</t>
  </si>
  <si>
    <t>MP106-0995</t>
  </si>
  <si>
    <t>Stanford</t>
  </si>
  <si>
    <t>Berkley</t>
  </si>
  <si>
    <t>Capella</t>
  </si>
  <si>
    <t>6/26/2020</t>
  </si>
  <si>
    <t>23224678-000-001</t>
  </si>
  <si>
    <t>7/6/2020</t>
  </si>
  <si>
    <t>MZK13-136</t>
  </si>
  <si>
    <t>Starry Night</t>
  </si>
  <si>
    <t>Shooting Star</t>
  </si>
  <si>
    <t>Midnight Dreams</t>
  </si>
  <si>
    <t>Reversible Quilt Set with Throw Pillow</t>
  </si>
  <si>
    <t>PF000525</t>
  </si>
  <si>
    <t>8/1/2017</t>
  </si>
  <si>
    <t>CSNSTORES,HDDS,MACY02,TGTDVS</t>
  </si>
  <si>
    <t>23440392-000-000</t>
  </si>
  <si>
    <t>MP10-8444</t>
  </si>
  <si>
    <t>Stay Puffed</t>
  </si>
  <si>
    <t>Overfilled Down Alternative Comforter</t>
  </si>
  <si>
    <t>PP001902;PF006238</t>
  </si>
  <si>
    <t>MP21-8447</t>
  </si>
  <si>
    <t>Overfilled Pillow Protector Single Piece</t>
  </si>
  <si>
    <t>PP001903;PF006239</t>
  </si>
  <si>
    <t>MP10-8445</t>
  </si>
  <si>
    <t>MP21-8446</t>
  </si>
  <si>
    <t>MP10-8298</t>
  </si>
  <si>
    <t>PP001902;PF006069</t>
  </si>
  <si>
    <t>42657016-000-000</t>
  </si>
  <si>
    <t>MP10-8299</t>
  </si>
  <si>
    <t>42657016-000-001</t>
  </si>
  <si>
    <t>ID10-2125</t>
  </si>
  <si>
    <t>Stella</t>
  </si>
  <si>
    <t>Zuri</t>
  </si>
  <si>
    <t>Celestial Comforter Set</t>
  </si>
  <si>
    <t>PF005672</t>
  </si>
  <si>
    <t>39771518-000-001</t>
  </si>
  <si>
    <t>II30-904</t>
  </si>
  <si>
    <t>Stella Dot</t>
  </si>
  <si>
    <t>Cotton Oblong Pillow</t>
  </si>
  <si>
    <t>PF001709</t>
  </si>
  <si>
    <t>AMAZON,AMAZONDS,BEALLSDS,BLK01,JCPENNEY01,MACY02,TGTDVS</t>
  </si>
  <si>
    <t>23960226-000-000</t>
  </si>
  <si>
    <t>MP95C-0171</t>
  </si>
  <si>
    <t>Sterling Mist</t>
  </si>
  <si>
    <t>100% Hand Brush Embellished Canvas 3 Piece Set</t>
  </si>
  <si>
    <t>PP001033;PF004515</t>
  </si>
  <si>
    <t>Hotel|Modern/Contemporary</t>
  </si>
  <si>
    <t>11/5/2018</t>
  </si>
  <si>
    <t>AMAZON,AMERSIGNDS,ASHFURNDS,CSNSTORES,KOHLDSN,OLLIIX</t>
  </si>
  <si>
    <t>30776137-000-000</t>
  </si>
  <si>
    <t>11/8/2018</t>
  </si>
  <si>
    <t>4/3/2019</t>
  </si>
  <si>
    <t>II105-0562</t>
  </si>
  <si>
    <t>Steve</t>
  </si>
  <si>
    <t>Boucle Waterfall Bench</t>
  </si>
  <si>
    <t>42"W</t>
  </si>
  <si>
    <t>41775209-000-001</t>
  </si>
  <si>
    <t>II105-0567</t>
  </si>
  <si>
    <t>52"W</t>
  </si>
  <si>
    <t>II105-0569</t>
  </si>
  <si>
    <t>MP104-1212</t>
  </si>
  <si>
    <t>Stewart</t>
  </si>
  <si>
    <t>Upholstered 360 Degree Swivel Counter Stool 25" H</t>
  </si>
  <si>
    <t>LAMPDS,MACY02F</t>
  </si>
  <si>
    <t>40968535-000-000</t>
  </si>
  <si>
    <t>II136-0307</t>
  </si>
  <si>
    <t>Stinson</t>
  </si>
  <si>
    <t>Storage Nightstand</t>
  </si>
  <si>
    <t>27161554-000-000</t>
  </si>
  <si>
    <t>MP95C-0143</t>
  </si>
  <si>
    <t>Strato</t>
  </si>
  <si>
    <t>Gold Foil and Hand Embellished Abstract Framed Canvas Wall Art</t>
  </si>
  <si>
    <t>PP000787</t>
  </si>
  <si>
    <t>ASHFURNDS,KIRKLANDDS,KOHLDSN,NRTPORT,OLLIIX,ROOMECOM</t>
  </si>
  <si>
    <t>25697541-000-000</t>
  </si>
  <si>
    <t>MPS95A-0023</t>
  </si>
  <si>
    <t>Sunburst</t>
  </si>
  <si>
    <t>Hand Painted Dimensional Resin Wall Art</t>
  </si>
  <si>
    <t>30x30"</t>
  </si>
  <si>
    <t>PF002029</t>
  </si>
  <si>
    <t>AMAZON,AMAZONDS,CSNSTORES,HDDS,KOHLDSN,OLLIIX,ZOLA</t>
  </si>
  <si>
    <t>25582544-000-000</t>
  </si>
  <si>
    <t>1/26/2018</t>
  </si>
  <si>
    <t>MPS95B-0045</t>
  </si>
  <si>
    <t>Hand Painted Triptych 3-piece Dimensional Resin Wall Art Set</t>
  </si>
  <si>
    <t>40050368-000-001</t>
  </si>
  <si>
    <t>PET66BP6026</t>
  </si>
  <si>
    <t>Sunrise</t>
  </si>
  <si>
    <t>Dog Backpack</t>
  </si>
  <si>
    <t>WR14-1731</t>
  </si>
  <si>
    <t>Sunset</t>
  </si>
  <si>
    <t>PF003308;PP000534</t>
  </si>
  <si>
    <t>AMAZON,BBBDROP,BLK01,FINGERHUTDS,HSNDS,JCPENNEY01,KOHLDSN,MACY02,OLLIIX,TGTDVS</t>
  </si>
  <si>
    <t>19405599-000-001</t>
  </si>
  <si>
    <t>9/9/2016</t>
  </si>
  <si>
    <t>WR70-1814</t>
  </si>
  <si>
    <t>100% Cotton Shower Curtain</t>
  </si>
  <si>
    <t>AMAZON,ASHFURNDS,BBBDROP,CSNSTORES,JCPENNEY01,KOHLDSN,MACY02,TGTDVS</t>
  </si>
  <si>
    <t>19269378-000-000</t>
  </si>
  <si>
    <t>II115-0502</t>
  </si>
  <si>
    <t>Sunset Cliff</t>
  </si>
  <si>
    <t>Wood Queen Bed</t>
  </si>
  <si>
    <t>5/18/2023</t>
  </si>
  <si>
    <t>41825209-000-000</t>
  </si>
  <si>
    <t>II136-0503</t>
  </si>
  <si>
    <t>1-Drawer Nightstand with Shelf</t>
  </si>
  <si>
    <t>41825221-000-000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</si>
  <si>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</si>
  <si>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</si>
  <si>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</si>
  <si>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</si>
  <si>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</si>
  <si>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</si>
  <si>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</si>
  <si>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</si>
  <si>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42721560-000-003</t>
  </si>
  <si>
    <t>ID95C-0052</t>
  </si>
  <si>
    <t>Goat Canvas Wall Art</t>
  </si>
  <si>
    <t>Goat/Green Multi</t>
  </si>
  <si>
    <t>42721560-000-004</t>
  </si>
  <si>
    <t>ID95C-0049</t>
  </si>
  <si>
    <t>Lamb Canvas Wall Art</t>
  </si>
  <si>
    <t>Lamb/Green Multi</t>
  </si>
  <si>
    <t>AMAZON,DESINC,OLLIIX</t>
  </si>
  <si>
    <t>42721560-000-005</t>
  </si>
  <si>
    <t>ID95C-0050</t>
  </si>
  <si>
    <t>Llama Canvas Wall Art</t>
  </si>
  <si>
    <t>Llama/Green Multi</t>
  </si>
  <si>
    <t>42721560-000-001</t>
  </si>
  <si>
    <t>ID95C-0048</t>
  </si>
  <si>
    <t>Pig Canvas Wall Art</t>
  </si>
  <si>
    <t>Pig/Green Multi</t>
  </si>
  <si>
    <t>42721560-000-000</t>
  </si>
  <si>
    <t>HH12-1347</t>
  </si>
  <si>
    <t>Suzanna</t>
  </si>
  <si>
    <t>PF003327</t>
  </si>
  <si>
    <t>7/25/2024</t>
  </si>
  <si>
    <t>AMAZON,ASHFURNDS,BBBDROP,CSNSTORES,KOHLDSN,MACY02,OLLIIX</t>
  </si>
  <si>
    <t>17626824-000-000</t>
  </si>
  <si>
    <t>11/13/2015</t>
  </si>
  <si>
    <t>HH30-1651</t>
  </si>
  <si>
    <t>Oblong Pillow</t>
  </si>
  <si>
    <t>PP000337</t>
  </si>
  <si>
    <t>AMAZON,AMAZONDS,BBBDROP,CSNSTORES,DESINC,JCPENNEY01,KOHLDSN,MACY02,OLLIIX</t>
  </si>
  <si>
    <t>30914970-000-000</t>
  </si>
  <si>
    <t>11/20/2018</t>
  </si>
  <si>
    <t>12/3/2018</t>
  </si>
  <si>
    <t>MT122-0145</t>
  </si>
  <si>
    <t>Tabitha</t>
  </si>
  <si>
    <t>Solid Wood Desk with 1 Drawer and turned legs</t>
  </si>
  <si>
    <t>7/13/2024</t>
  </si>
  <si>
    <t>KIRKLANDDS,OLLIIX,TGTDVS</t>
  </si>
  <si>
    <t>39773910-000-000</t>
  </si>
  <si>
    <t>4/26/2022</t>
  </si>
  <si>
    <t>IIF20-0106</t>
  </si>
  <si>
    <t>Tacoma</t>
  </si>
  <si>
    <t>Barstool</t>
  </si>
  <si>
    <t>PF000981;PP000055</t>
  </si>
  <si>
    <t>19153848-000-000</t>
  </si>
  <si>
    <t>MP100-1187</t>
  </si>
  <si>
    <t>Tage</t>
  </si>
  <si>
    <t>Marlee</t>
  </si>
  <si>
    <t>41353964-000-000</t>
  </si>
  <si>
    <t>5/26/2023</t>
  </si>
  <si>
    <t>SS40-0154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</si>
  <si>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</si>
  <si>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</si>
  <si>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</si>
  <si>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</si>
  <si>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</si>
  <si>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</si>
  <si>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36788979-000-008</t>
  </si>
  <si>
    <t>SS40-0155</t>
  </si>
  <si>
    <t>36788979-000-001</t>
  </si>
  <si>
    <t>SS40-0148</t>
  </si>
  <si>
    <t>PP001545;PF005212</t>
  </si>
  <si>
    <t>BLK01,CSNSTORES,JCPENNEY01,KOHLDSN</t>
  </si>
  <si>
    <t>36788979-000-002</t>
  </si>
  <si>
    <t>SS40-0157</t>
  </si>
  <si>
    <t>PP001545;PF005215</t>
  </si>
  <si>
    <t>36788979-000-003</t>
  </si>
  <si>
    <t>11/6/2020</t>
  </si>
  <si>
    <t>SS40-0158</t>
  </si>
  <si>
    <t>ASHFURNDS,CSNSTORES,JCPENNEY01,KOHLDSN,MACY02,TGTDVS</t>
  </si>
  <si>
    <t>36788979-000-004</t>
  </si>
  <si>
    <t>10/15/2020</t>
  </si>
  <si>
    <t>WR50-1781</t>
  </si>
  <si>
    <t>Tasha</t>
  </si>
  <si>
    <t>19409224-000-000</t>
  </si>
  <si>
    <t>WR50-1782</t>
  </si>
  <si>
    <t>AMAZON,BLK01,CSNSTORES,JCPENNEY01,KOHLDSN,MACY02,OLLIIX,TGTDVS,WALMARTDS</t>
  </si>
  <si>
    <t>19409224-000-001</t>
  </si>
  <si>
    <t>SS40-0129</t>
  </si>
  <si>
    <t>Diamond Jacquard Total Blackout Panel</t>
  </si>
  <si>
    <t>PP001354;PF004839</t>
  </si>
  <si>
    <t>9/17/2019</t>
  </si>
  <si>
    <t>34702533-000-005</t>
  </si>
  <si>
    <t>4/29/2020</t>
  </si>
  <si>
    <t>MP40-8432</t>
  </si>
  <si>
    <t>Bryn</t>
  </si>
  <si>
    <t>River</t>
  </si>
  <si>
    <t>Clipped Jacquard Light Filtering Rod Pocket/Back Tab Single Curtain Panel</t>
  </si>
  <si>
    <t>40x84"</t>
  </si>
  <si>
    <t>PP001860;PF005952</t>
  </si>
  <si>
    <t>MP95C-0120</t>
  </si>
  <si>
    <t>Teal Tides</t>
  </si>
  <si>
    <t>Triptych 3-piece Canvas Wall Art Set</t>
  </si>
  <si>
    <t>PF002038</t>
  </si>
  <si>
    <t>ASHFURNDS,BEALLSDS,KOHLDSN,OLLIIX,TGTDVS</t>
  </si>
  <si>
    <t>23578143-000-000</t>
  </si>
  <si>
    <t>BR20-3896</t>
  </si>
  <si>
    <t>Tencel Polyester Blend</t>
  </si>
  <si>
    <t>PP001850;PF005924</t>
  </si>
  <si>
    <t>Tencel</t>
  </si>
  <si>
    <t>41028508-000-001</t>
  </si>
  <si>
    <t>BR20-3899</t>
  </si>
  <si>
    <t>41028508-000-013</t>
  </si>
  <si>
    <t>BR20-3905</t>
  </si>
  <si>
    <t>PP001850;PF005926</t>
  </si>
  <si>
    <t>BLK01,CSNSTORES</t>
  </si>
  <si>
    <t>41028508-000-000</t>
  </si>
  <si>
    <t>BR20-3906</t>
  </si>
  <si>
    <t>41028508-000-005</t>
  </si>
  <si>
    <t>BR20-3901</t>
  </si>
  <si>
    <t>PP001850;PF005925</t>
  </si>
  <si>
    <t>41028508-000-015</t>
  </si>
  <si>
    <t>ID10-2226</t>
  </si>
  <si>
    <t>Terra</t>
  </si>
  <si>
    <t>Althea</t>
  </si>
  <si>
    <t>Modern Comforter Set</t>
  </si>
  <si>
    <t>PF005944</t>
  </si>
  <si>
    <t>3/24/2023</t>
  </si>
  <si>
    <t>CSNSTORES,DESINC,MACY02,TGTDVS</t>
  </si>
  <si>
    <t>41294100-000-001</t>
  </si>
  <si>
    <t>3/29/2023</t>
  </si>
  <si>
    <t>MZK10-273</t>
  </si>
  <si>
    <t>Tanya</t>
  </si>
  <si>
    <t>Jamie</t>
  </si>
  <si>
    <t>Tassel Comforter Set with Heart Shaped Throw Pillow</t>
  </si>
  <si>
    <t>PP001045;PF006288</t>
  </si>
  <si>
    <t>MZK10-274</t>
  </si>
  <si>
    <t>MT95G-0086</t>
  </si>
  <si>
    <t>The Duel</t>
  </si>
  <si>
    <t>Cheetah Framed Graphic Wall Decor 2 Piece set</t>
  </si>
  <si>
    <t>43651871-000-000</t>
  </si>
  <si>
    <t>MP103-0856</t>
  </si>
  <si>
    <t>Theo</t>
  </si>
  <si>
    <t>Doane</t>
  </si>
  <si>
    <t>Wilmington</t>
  </si>
  <si>
    <t>Ivory/Black</t>
  </si>
  <si>
    <t>PP001196</t>
  </si>
  <si>
    <t>AMAZONDS,ASHFURNDS,CSNSTORES,KIRKLANDDS,OLLIIX,TGTDVS</t>
  </si>
  <si>
    <t>33547802-000-000</t>
  </si>
  <si>
    <t>UH95C-0019</t>
  </si>
  <si>
    <t>This and That Way</t>
  </si>
  <si>
    <t>PP000593</t>
  </si>
  <si>
    <t>9/12/2017</t>
  </si>
  <si>
    <t>AMAZON,BBBDROP,OLLIIX,ROOMECOM,TGTDVS</t>
  </si>
  <si>
    <t>23715695-000-000</t>
  </si>
  <si>
    <t>10/10/2017</t>
  </si>
  <si>
    <t>II150-0116</t>
  </si>
  <si>
    <t>Trenton</t>
  </si>
  <si>
    <t>6-Light Chandelier with Cylinder Glass Shades</t>
  </si>
  <si>
    <t>39982014-000-000</t>
  </si>
  <si>
    <t>II153-0160</t>
  </si>
  <si>
    <t>Trilluxe</t>
  </si>
  <si>
    <t>MP102-0854</t>
  </si>
  <si>
    <t>CHAISE</t>
  </si>
  <si>
    <t>Chaise</t>
  </si>
  <si>
    <t>Trinity</t>
  </si>
  <si>
    <t>Brett</t>
  </si>
  <si>
    <t>Accent Chaise</t>
  </si>
  <si>
    <t>PP001194</t>
  </si>
  <si>
    <t>AMERSIGNDS,CSNSTORES,HOUZZ,JCPENNEY01,KIRKLANDDS,LAMPDS,OLLIIX</t>
  </si>
  <si>
    <t>33580366-000-000</t>
  </si>
  <si>
    <t>II153-0129</t>
  </si>
  <si>
    <t>Tristan</t>
  </si>
  <si>
    <t>Triangular Ceramic and Wood Table Lamp</t>
  </si>
  <si>
    <t>White Base/Cream Shade</t>
  </si>
  <si>
    <t>CSNSTORES,HOUZZ,JCPENNEY01,KIRKLANDDS,OLLIIX,TGTDVS,ZOLA</t>
  </si>
  <si>
    <t>39738293-000-000</t>
  </si>
  <si>
    <t>ID10-459</t>
  </si>
  <si>
    <t>Trixie</t>
  </si>
  <si>
    <t>Penny</t>
  </si>
  <si>
    <t>Reversible Comforter Mini Set</t>
  </si>
  <si>
    <t>PF002089</t>
  </si>
  <si>
    <t>AMAZON,BBBDROP,BLK01,KOHLDSN,OLLIIX,TGTDVS</t>
  </si>
  <si>
    <t>16339274-000-009</t>
  </si>
  <si>
    <t>PET63CC6031</t>
  </si>
  <si>
    <t>Trucker</t>
  </si>
  <si>
    <t>Crate Cover</t>
  </si>
  <si>
    <t>Dark Grey</t>
  </si>
  <si>
    <t>PET63CC6032</t>
  </si>
  <si>
    <t>PET63CC6033</t>
  </si>
  <si>
    <t>PET63CC6034</t>
  </si>
  <si>
    <t>ID10-1353</t>
  </si>
  <si>
    <t>Tulay</t>
  </si>
  <si>
    <t>Layne</t>
  </si>
  <si>
    <t>Allura</t>
  </si>
  <si>
    <t>Boho Comforter Set with Bed Sheets</t>
  </si>
  <si>
    <t>PP000825;PF004155</t>
  </si>
  <si>
    <t>AMAZON,CSNSTORES,JCPENNEY01,TGTDVS,WALMARTDS</t>
  </si>
  <si>
    <t>26059671-000-002</t>
  </si>
  <si>
    <t>2/28/2018</t>
  </si>
  <si>
    <t>WR10-3858</t>
  </si>
  <si>
    <t>Tunbridge</t>
  </si>
  <si>
    <t>Print Sherpa Comforter Set</t>
  </si>
  <si>
    <t>PF005751;PP001788</t>
  </si>
  <si>
    <t>8/24/2022</t>
  </si>
  <si>
    <t>40322460-000-000</t>
  </si>
  <si>
    <t>MP50-8385</t>
  </si>
  <si>
    <t>Tuscany</t>
  </si>
  <si>
    <t>Marino</t>
  </si>
  <si>
    <t>Genoa</t>
  </si>
  <si>
    <t>Oversized Quilted Throw with Scalloped Edges</t>
  </si>
  <si>
    <t>60x72"</t>
  </si>
  <si>
    <t>PF006016;PP001886</t>
  </si>
  <si>
    <t>16643550-000-005</t>
  </si>
  <si>
    <t>MP13-8386</t>
  </si>
  <si>
    <t>6 Piece Reversible Scalloped Edge Daybed Cover Set</t>
  </si>
  <si>
    <t>Shabby Chic|Traditional</t>
  </si>
  <si>
    <t>23494576-000-003</t>
  </si>
  <si>
    <t>MP103-0481</t>
  </si>
  <si>
    <t>Tyler</t>
  </si>
  <si>
    <t>Memo</t>
  </si>
  <si>
    <t>Sheldon</t>
  </si>
  <si>
    <t>Swivel Chair</t>
  </si>
  <si>
    <t>ASHFURNDS,CASTLEGATE,CSNSTORES,HDDS,HOUZZ,MACY02F,OLLIIX</t>
  </si>
  <si>
    <t>24752654-000-000</t>
  </si>
  <si>
    <t>11/22/2017</t>
  </si>
  <si>
    <t>MP103-1231</t>
  </si>
  <si>
    <t>Natural Multi</t>
  </si>
  <si>
    <t>PF001096;PP000273</t>
  </si>
  <si>
    <t>TN54-0200</t>
  </si>
  <si>
    <t>Ultra Soft</t>
  </si>
  <si>
    <t>Plush Reverses to Berber Heated Blanket</t>
  </si>
  <si>
    <t>PF003495</t>
  </si>
  <si>
    <t>24091825-000-012</t>
  </si>
  <si>
    <t>9/30/2017</t>
  </si>
  <si>
    <t>TN54-0201</t>
  </si>
  <si>
    <t>24091825-000-013</t>
  </si>
  <si>
    <t>TN54-0202</t>
  </si>
  <si>
    <t>24091825-000-014</t>
  </si>
  <si>
    <t>TN54-0203</t>
  </si>
  <si>
    <t>24091825-000-015</t>
  </si>
  <si>
    <t>TN54-0399</t>
  </si>
  <si>
    <t>PF004403</t>
  </si>
  <si>
    <t>24091825-000-016</t>
  </si>
  <si>
    <t>TN54-0197</t>
  </si>
  <si>
    <t>PF003494</t>
  </si>
  <si>
    <t>24091825-000-009</t>
  </si>
  <si>
    <t>TN54-0198</t>
  </si>
  <si>
    <t>24091825-000-010</t>
  </si>
  <si>
    <t>TN54-0402</t>
  </si>
  <si>
    <t>PF004404</t>
  </si>
  <si>
    <t>24091825-000-021</t>
  </si>
  <si>
    <t>TN54-0404</t>
  </si>
  <si>
    <t>24091825-000-019</t>
  </si>
  <si>
    <t>TN54-0192</t>
  </si>
  <si>
    <t>PF003493</t>
  </si>
  <si>
    <t>24091825-000-004</t>
  </si>
  <si>
    <t>TN54-0193</t>
  </si>
  <si>
    <t>BEALLSDS,JCPENNEY01,KOHLDSN,TGTDVS</t>
  </si>
  <si>
    <t>24091825-000-005</t>
  </si>
  <si>
    <t>TN54-0189</t>
  </si>
  <si>
    <t>PF003492</t>
  </si>
  <si>
    <t>24091825-000-001</t>
  </si>
  <si>
    <t>UH12-2405</t>
  </si>
  <si>
    <t>Union Square</t>
  </si>
  <si>
    <t>Austin</t>
  </si>
  <si>
    <t>Cotton Yarn Dyed Jacquard Plaid Duvet Cover Set</t>
  </si>
  <si>
    <t>PF005555</t>
  </si>
  <si>
    <t>39087531-000-000</t>
  </si>
  <si>
    <t>BR9144409622-12</t>
  </si>
  <si>
    <t>Vail</t>
  </si>
  <si>
    <t>10 Piece Watercolor Ombre Comforter Set with Bed Sheets</t>
  </si>
  <si>
    <t>PP001822;PF005857</t>
  </si>
  <si>
    <t>40070304-000-003</t>
  </si>
  <si>
    <t>BR9144409622-09</t>
  </si>
  <si>
    <t>PP001822;PF005856</t>
  </si>
  <si>
    <t>40070304-000-001</t>
  </si>
  <si>
    <t>7/20/2022</t>
  </si>
  <si>
    <t>CCL10-0006</t>
  </si>
  <si>
    <t>Valentina</t>
  </si>
  <si>
    <t>42079026-000-002</t>
  </si>
  <si>
    <t>ID10-2339</t>
  </si>
  <si>
    <t>Velvet Dream Puff</t>
  </si>
  <si>
    <t>2 Piece Comforter Set</t>
  </si>
  <si>
    <t>PP001942;PF006190</t>
  </si>
  <si>
    <t>43800402-000-004</t>
  </si>
  <si>
    <t>ID10-2340</t>
  </si>
  <si>
    <t>3 Piece Comforter Set</t>
  </si>
  <si>
    <t>43800402-000-002</t>
  </si>
  <si>
    <t>ID10-2341</t>
  </si>
  <si>
    <t>43800402-000-003</t>
  </si>
  <si>
    <t>ID10-2336</t>
  </si>
  <si>
    <t>PP001942;PF006189</t>
  </si>
  <si>
    <t>43800402-000-007</t>
  </si>
  <si>
    <t>ID10-2337</t>
  </si>
  <si>
    <t>43800402-000-006</t>
  </si>
  <si>
    <t>ID10-2338</t>
  </si>
  <si>
    <t>43800402-000-005</t>
  </si>
  <si>
    <t>ID10-2342</t>
  </si>
  <si>
    <t>PP001942;PF006191</t>
  </si>
  <si>
    <t>43800402-000-001</t>
  </si>
  <si>
    <t>ID10-2343</t>
  </si>
  <si>
    <t>43800402-000-000</t>
  </si>
  <si>
    <t>ID10-2344</t>
  </si>
  <si>
    <t>43800402-000-008</t>
  </si>
  <si>
    <t>JLA13-499</t>
  </si>
  <si>
    <t>Velvet Touch</t>
  </si>
  <si>
    <t>3 Piece Luxurious Oversized Quilt Set</t>
  </si>
  <si>
    <t>Peacock</t>
  </si>
  <si>
    <t>PF003273</t>
  </si>
  <si>
    <t>AMERSIGNDS,BBBDROP,JCPENNEY01,MACY02,OLLIIX</t>
  </si>
  <si>
    <t>18141109-000-000</t>
  </si>
  <si>
    <t>8/15/2016</t>
  </si>
  <si>
    <t>II153-0007</t>
  </si>
  <si>
    <t>Venice</t>
  </si>
  <si>
    <t>Arched Metal Table Lamp with Glass Globe Bulb</t>
  </si>
  <si>
    <t>PF002783</t>
  </si>
  <si>
    <t>KOHLDSN,OLLIIX,Zulily</t>
  </si>
  <si>
    <t>19080901-000-000</t>
  </si>
  <si>
    <t>II100-0332</t>
  </si>
  <si>
    <t>Ventura</t>
  </si>
  <si>
    <t>1/13/2018</t>
  </si>
  <si>
    <t>27118754-000-000</t>
  </si>
  <si>
    <t>CCL13-0016</t>
  </si>
  <si>
    <t>Versailles</t>
  </si>
  <si>
    <t>3 Piece Champagne Quilt Set</t>
  </si>
  <si>
    <t>42041894-000-000</t>
  </si>
  <si>
    <t>CCL40-0059</t>
  </si>
  <si>
    <t>Vicenza</t>
  </si>
  <si>
    <t>Invertible Curtain Panel (Single)</t>
  </si>
  <si>
    <t>42037925-000-001</t>
  </si>
  <si>
    <t>SS40-0096</t>
  </si>
  <si>
    <t>Victorio</t>
  </si>
  <si>
    <t>Laurent</t>
  </si>
  <si>
    <t>Printed Jacquard Grommet Top Total Blackout Curtain Panel</t>
  </si>
  <si>
    <t>PP000999;PF004469</t>
  </si>
  <si>
    <t>AMAZON,AMAZONDS,BBBDROP,CSNSTORES,DESINC,HDDS,KOHLDSN,TGTDVS</t>
  </si>
  <si>
    <t>29074578-000-001</t>
  </si>
  <si>
    <t>CHM12-0005</t>
  </si>
  <si>
    <t>Villa</t>
  </si>
  <si>
    <t>3 Piece Tan Duvet Set</t>
  </si>
  <si>
    <t>42062413-000-001</t>
  </si>
  <si>
    <t>CHM12-0006</t>
  </si>
  <si>
    <t>42062413-000-003</t>
  </si>
  <si>
    <t>ID95A-0035</t>
  </si>
  <si>
    <t>Vintage Models</t>
  </si>
  <si>
    <t>3-piece Framed Wall Art Set</t>
  </si>
  <si>
    <t>PF002025</t>
  </si>
  <si>
    <t>BIGLOTSDS,CSNSTORES,KIRKLANDDS,KOHLDSN,OLLIIX,ROOMECOM,TGTDVS</t>
  </si>
  <si>
    <t>22759235-000-000</t>
  </si>
  <si>
    <t>1/2/2018</t>
  </si>
  <si>
    <t>MP50-8255</t>
  </si>
  <si>
    <t>Vivienne</t>
  </si>
  <si>
    <t>Faux Fur Throw</t>
  </si>
  <si>
    <t>PP001889;PF006020</t>
  </si>
  <si>
    <t>43349208-000-001</t>
  </si>
  <si>
    <t>MP121-1221</t>
  </si>
  <si>
    <t>Phelps</t>
  </si>
  <si>
    <t>Rectangle Extension Dining Table</t>
  </si>
  <si>
    <t>41594063-000-000</t>
  </si>
  <si>
    <t>MT104-0142</t>
  </si>
  <si>
    <t>Wheaton</t>
  </si>
  <si>
    <t>25" Upholstered Counter Stool</t>
  </si>
  <si>
    <t>40002904-000-000</t>
  </si>
  <si>
    <t>MP13-3240</t>
  </si>
  <si>
    <t>Willa</t>
  </si>
  <si>
    <t>Felicity</t>
  </si>
  <si>
    <t>6 Piece Cotton Quilt Set with Throw Pillows</t>
  </si>
  <si>
    <t>PF002608;PP000533</t>
  </si>
  <si>
    <t>AMAZON,AMAZONDS,AMERSIGNDS,BEALLSDS,CASTLEGATE,CSNSTORES,HDDS,JCPENNEY01,KOHLDSN,LOWESDS,MACY02,TGTDVS,WALMARTDS,Zulily</t>
  </si>
  <si>
    <t>19156152-000-000</t>
  </si>
  <si>
    <t>8/12/2016</t>
  </si>
  <si>
    <t>MP120-0971</t>
  </si>
  <si>
    <t>Larris</t>
  </si>
  <si>
    <t>Cocktail Table</t>
  </si>
  <si>
    <t>6/11/2020</t>
  </si>
  <si>
    <t>36328403-000-000</t>
  </si>
  <si>
    <t>6/17/2020</t>
  </si>
  <si>
    <t>MP120-0972</t>
  </si>
  <si>
    <t>36328404-000-000</t>
  </si>
  <si>
    <t>II120-0404</t>
  </si>
  <si>
    <t>Wilson</t>
  </si>
  <si>
    <t>ASHFURNDS,CSNSTORES,KIRKLANDDS,OLLIIX</t>
  </si>
  <si>
    <t>36836983-000-000</t>
  </si>
  <si>
    <t>CCL30-0038</t>
  </si>
  <si>
    <t>Winchester</t>
  </si>
  <si>
    <t>42067841-000-003</t>
  </si>
  <si>
    <t>CCL30-0035</t>
  </si>
  <si>
    <t>42067841-000-000</t>
  </si>
  <si>
    <t>MP51-8134</t>
  </si>
  <si>
    <t>Windom</t>
  </si>
  <si>
    <t>Prospect</t>
  </si>
  <si>
    <t>Lightweight Down Alternative Blanket with Satin Trim</t>
  </si>
  <si>
    <t>PP001377;PF005883</t>
  </si>
  <si>
    <t>12/1/2022</t>
  </si>
  <si>
    <t>AMAZONDS,DESINC,JCPENNEY01,KOHLDSN,MACY02</t>
  </si>
  <si>
    <t>15910786-000-038</t>
  </si>
  <si>
    <t>II95C-0158</t>
  </si>
  <si>
    <t>Windswept</t>
  </si>
  <si>
    <t>Hand Embellished Highland Bull Canvas Wall Art</t>
  </si>
  <si>
    <t>Farm House|Cottage/Country</t>
  </si>
  <si>
    <t>42794699-000-000</t>
  </si>
  <si>
    <t>AMFBA10-0303</t>
  </si>
  <si>
    <t>Winfield</t>
  </si>
  <si>
    <t>Solid Comforter Set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</si>
  <si>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</si>
  <si>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</si>
  <si>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</si>
  <si>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</si>
  <si>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</si>
  <si>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</si>
  <si>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</si>
  <si>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</si>
  <si>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</si>
  <si>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</si>
  <si>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</si>
  <si>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</si>
  <si>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</si>
  <si>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</si>
  <si>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</si>
  <si>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16663861-000-003</t>
  </si>
  <si>
    <t>2/19/2024</t>
  </si>
  <si>
    <t>MP10-8366</t>
  </si>
  <si>
    <t>PP001919;PF006134</t>
  </si>
  <si>
    <t>16663861-000-008</t>
  </si>
  <si>
    <t>CHM40-0025</t>
  </si>
  <si>
    <t>Winslow</t>
  </si>
  <si>
    <t>Floral Curtain Panel (Single)</t>
  </si>
  <si>
    <t>42036993-000-001</t>
  </si>
  <si>
    <t>CHM40-0024</t>
  </si>
  <si>
    <t>42036993-000-000</t>
  </si>
  <si>
    <t>CHM70-0020</t>
  </si>
  <si>
    <t>Floral Shower Curtain</t>
  </si>
  <si>
    <t>42057695-000-000</t>
  </si>
  <si>
    <t>WR13-3883</t>
  </si>
  <si>
    <t>Winter Valley</t>
  </si>
  <si>
    <t>Oversized 3 PC Microfiber Quilt Set</t>
  </si>
  <si>
    <t>Red/Brown</t>
  </si>
  <si>
    <t>PP001808;PF005803</t>
  </si>
  <si>
    <t>AMAZONDS,BBBDROP,CSNSTORES,KOHLDSN,MACY02,TGTDVS</t>
  </si>
  <si>
    <t>40762800-000-000</t>
  </si>
  <si>
    <t>II151-0138</t>
  </si>
  <si>
    <t>Bell Shaped Bamboo Pendant</t>
  </si>
  <si>
    <t>40632363-000-000</t>
  </si>
  <si>
    <t>MP10-8429</t>
  </si>
  <si>
    <t>Wynne</t>
  </si>
  <si>
    <t>Dawson</t>
  </si>
  <si>
    <t>PP001954;PF006225</t>
  </si>
  <si>
    <t>MP10-8430</t>
  </si>
  <si>
    <t>MP10-8431</t>
  </si>
  <si>
    <t>MP40-8103</t>
  </si>
  <si>
    <t>Yara</t>
  </si>
  <si>
    <t>Tulia</t>
  </si>
  <si>
    <t>Mar</t>
  </si>
  <si>
    <t>Botanical Printed Texture Sheer Window Pair</t>
  </si>
  <si>
    <t>2-PK 37x95"</t>
  </si>
  <si>
    <t>PP001814;PF005823</t>
  </si>
  <si>
    <t>40507822-000-001</t>
  </si>
  <si>
    <t>II95C-0002</t>
  </si>
  <si>
    <t>Yellow Sierra</t>
  </si>
  <si>
    <t>Gel Coat Printed Canvas 3 Piece Set</t>
  </si>
  <si>
    <t>PF001847</t>
  </si>
  <si>
    <t>17219222-000-000</t>
  </si>
  <si>
    <t>4/13/2015</t>
  </si>
  <si>
    <t>ID10-818</t>
  </si>
  <si>
    <t>Zana</t>
  </si>
  <si>
    <t>Jade</t>
  </si>
  <si>
    <t>Elisa</t>
  </si>
  <si>
    <t>PF001678</t>
  </si>
  <si>
    <t>18525644-000-000</t>
  </si>
  <si>
    <t>4/11/2016</t>
  </si>
  <si>
    <t>FB153-1187</t>
  </si>
  <si>
    <t>Zazie</t>
  </si>
  <si>
    <t>Ceramic Genie Table Lamp</t>
  </si>
  <si>
    <t>FB153-1186</t>
  </si>
  <si>
    <t>FB153-1185</t>
  </si>
  <si>
    <t>II153-0155</t>
  </si>
  <si>
    <t>ZenGlossy</t>
  </si>
  <si>
    <t>Asymmetrical Ceramic Table Lamp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</si>
  <si>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</si>
  <si>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</si>
  <si>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</si>
  <si>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</si>
  <si>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</si>
  <si>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</si>
  <si>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</si>
  <si>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</si>
  <si>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33159433-000-002</t>
  </si>
  <si>
    <t>MP10-8403</t>
  </si>
  <si>
    <t>33159433-000-003</t>
  </si>
  <si>
    <t>5DS105-0012</t>
  </si>
  <si>
    <t>Zeus</t>
  </si>
  <si>
    <t>Zeus Accent Bench</t>
  </si>
  <si>
    <t>CSNSTORES,DESINC,KIRKLANDDS,KOHLDSN,OLLIIX</t>
  </si>
  <si>
    <t>39491067-000-000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</si>
  <si>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</si>
  <si>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</si>
  <si>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</si>
  <si>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</si>
  <si>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</si>
  <si>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</si>
  <si>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</si>
  <si>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ID10-1337</t>
  </si>
  <si>
    <t>Zoey</t>
  </si>
  <si>
    <t>Liv</t>
  </si>
  <si>
    <t>Metallic Triangle Print Comforter Set</t>
  </si>
  <si>
    <t>PP000812;PF004132</t>
  </si>
  <si>
    <t>AMAZON,AMAZONDS,AMERSIGNDS,ASHFURNDS,CSNSTORES,HDDS,KOHLDSN,MACY02,OLLIIX,TGTDVS</t>
  </si>
  <si>
    <t>26107588-000-000</t>
  </si>
  <si>
    <t>ID12-1705</t>
  </si>
  <si>
    <t>Metallic Triangle Print Duvet Cover Set</t>
  </si>
  <si>
    <t>5/13/2019</t>
  </si>
  <si>
    <t>29118994-000-006</t>
  </si>
  <si>
    <t>MP50-6235</t>
  </si>
  <si>
    <t>Marselle</t>
  </si>
  <si>
    <t>Oversized Faux Fur Throw</t>
  </si>
  <si>
    <t>Blush/Grey</t>
  </si>
  <si>
    <t>PP000539;PF004618</t>
  </si>
  <si>
    <t>AMAZON,AMAZONDS,BEALLSDS,BIGLOTSDS,FINGERHUTDS,JCPENNEY01,KIRKLANDDS,KOHLDSN,MACY02,OLLIIX,TGTDVS,ZOLA</t>
  </si>
  <si>
    <t>17690761-000-004</t>
  </si>
  <si>
    <t>MP10-3074</t>
  </si>
  <si>
    <t>4PC Faux Fur Comforter Set</t>
  </si>
  <si>
    <t>PF002117;PP000539</t>
  </si>
  <si>
    <t>AMAZON,AMAZONDS,ASHFURNDS,BBBDROP,BLK01,FINGERHUTDS,HDDS,HSNDS,JCPENNEY01,KOHLDSN,MACY02,OLLIIX,TGTDVS,WALMARTDS</t>
  </si>
  <si>
    <t>19310146-000-002</t>
  </si>
  <si>
    <t>MP30-1914</t>
  </si>
  <si>
    <t>AMAZON,AMAZONDS,ASHFURNDS,CSNSTORES,FINGERHUTDS,JCPENNEY01,KOHLDSN,MACY02,TGTDVS,WALMARTDS</t>
  </si>
  <si>
    <t>17690757-000-001</t>
  </si>
  <si>
    <t>11/3/2015</t>
  </si>
  <si>
    <t>MP50-1912</t>
  </si>
  <si>
    <t>AMAZON,AMAZONDS,ASHFURNDS,BLK01,FINGERHUTDS,HSNDS,JCPENNEY01,KIRKLANDDS,KOHLDSN,MACY02,OLLIIX,TGTDVS,ZOLA,Zulily</t>
  </si>
  <si>
    <t>17690761-000-001</t>
  </si>
  <si>
    <t>10/13/2015</t>
  </si>
  <si>
    <t>MP50-2919</t>
  </si>
  <si>
    <t>Faux Fur Oversized Bed Throw</t>
  </si>
  <si>
    <t>96x80"</t>
  </si>
  <si>
    <t>ASHFURNDS,BLK01,CSNSTORES,FINGERHUTDS,KOHLDSN,MACY02,OLLIIX,TGTDVS,WALMARTDS</t>
  </si>
  <si>
    <t>18791834-000-001</t>
  </si>
  <si>
    <t>6/9/2016</t>
  </si>
  <si>
    <t>BR54-2781</t>
  </si>
  <si>
    <t>Electric Throw Wrap</t>
  </si>
  <si>
    <t>Faux Fur Heated Wrap with Built-in Controller</t>
  </si>
  <si>
    <t>7/15/2021</t>
  </si>
  <si>
    <t>HDDS,KOHLDSN,TGTDVS</t>
  </si>
  <si>
    <t>38580937-000-003</t>
  </si>
  <si>
    <t>MP50-2830</t>
  </si>
  <si>
    <t>PF002118;PP000539</t>
  </si>
  <si>
    <t>AMAZON,AMAZONDS,FINGERHUTDS,HSNDS,KIRKLANDDS,KOHLDSN,MACY02,OLLIIX,TGTDVS,ZOLA</t>
  </si>
  <si>
    <t>17690761-000-002</t>
  </si>
  <si>
    <t>MP30-6706</t>
  </si>
  <si>
    <t>Leopard</t>
  </si>
  <si>
    <t>PP000539;PF004889</t>
  </si>
  <si>
    <t>9/30/2019</t>
  </si>
  <si>
    <t>AMAZON,AMAZONDS,JCPENNEY01,KOHLDSN,MACY02,OLLIIX,TGTDVS,WALMARTDS</t>
  </si>
  <si>
    <t>17690757-000-006</t>
  </si>
  <si>
    <t>MP50-6675</t>
  </si>
  <si>
    <t>AMAZON,AMAZONDS,BIGLOTSDS,FINGERHUTDS,HSNDS,KIRKLANDDS,KOHLDSN,MACY02,OLLIIX,TGTDVS,Zulily</t>
  </si>
  <si>
    <t>17690761-000-006</t>
  </si>
  <si>
    <t>MP30-4814</t>
  </si>
  <si>
    <t>PF002119</t>
  </si>
  <si>
    <t>AMAZON,AMAZONDS,FINGERHUTDS,KIRKLANDDS,KOHLDSN,MACY02,OLLIIX,TGTDVS</t>
  </si>
  <si>
    <t>17690757-000-003</t>
  </si>
  <si>
    <t>8/30/2017</t>
  </si>
  <si>
    <t>MP50-4813</t>
  </si>
  <si>
    <t>AMAZON,AMAZONDS,BEALLSDS,CSNSTORES,FINGERHUTDS,HSNDS,JCPENNEY01,KIRKLANDDS,KOHLDSN,MACY02,OLLIIX,TGTDVS</t>
  </si>
  <si>
    <t>17690761-000-003</t>
  </si>
  <si>
    <t>8/21/2017</t>
  </si>
  <si>
    <t>MP30-6234</t>
  </si>
  <si>
    <t>Snow Leopard</t>
  </si>
  <si>
    <t>PP000539;PF004399</t>
  </si>
  <si>
    <t>6/17/2019</t>
  </si>
  <si>
    <t>AMAZONDS,ASHFURNDS,BBBDROP,FINGERHUTDS,JCPENNEY01,KIRKLANDDS,KOHLDSN,MACY02,OLLIIX,TGTDVS,WALMARTDS</t>
  </si>
  <si>
    <t>17690757-000-005</t>
  </si>
  <si>
    <t>7/26/2019</t>
  </si>
  <si>
    <t>MP50-1911</t>
  </si>
  <si>
    <t>PF002116;PP000539</t>
  </si>
  <si>
    <t>AMAZON,AMAZONDS,ASHFURNDS,BLK01,CSNSTORES,DESINC,FINGERHUTDS,JCPENNEY01,KIRKLANDDS,KOHLDSN,MACY02,OLLIIX,TGTDVS,WALMARTDS,ZOLA</t>
  </si>
  <si>
    <t>17690761-000-000</t>
  </si>
  <si>
    <t>10/14/2015</t>
  </si>
  <si>
    <t>MP50-2918</t>
  </si>
  <si>
    <t>AMAZONDS,ASHFURNDS,BIGLOTSDS,BLK01,KOHLDSN,OLLIIX,TGTDVS</t>
  </si>
  <si>
    <t>18791834-000-000</t>
  </si>
  <si>
    <t>6/30/2016</t>
  </si>
  <si>
    <t>MP50-7191</t>
  </si>
  <si>
    <t>PP000539;PF005111</t>
  </si>
  <si>
    <t>8/17/2020</t>
  </si>
  <si>
    <t>AMAZON,BIGLOTSDS,BLK01,DESINC,FINGERHUTDS,KIRKLANDDS,KOHLDSN,MACY02,OLLIIX,TGTDVS</t>
  </si>
  <si>
    <t>17690761-000-009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</si>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</sst>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HR260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18</v>
      </c>
      <c r="GJ3" s="1" t="s">
        <v>18</v>
      </c>
      <c r="GK3" s="1" t="s">
        <v>18</v>
      </c>
      <c r="GL3" s="1" t="s">
        <v>18</v>
      </c>
      <c r="GM3" s="1" t="s">
        <v>18</v>
      </c>
      <c r="GN3" s="1" t="s">
        <v>18</v>
      </c>
      <c r="GO3" s="1" t="s">
        <v>18</v>
      </c>
      <c r="GP3" s="1" t="s">
        <v>18</v>
      </c>
      <c r="GQ3" s="1" t="s">
        <v>18</v>
      </c>
      <c r="GR3" s="1" t="s">
        <v>18</v>
      </c>
      <c r="GS3" s="1" t="s">
        <v>18</v>
      </c>
      <c r="GT3" s="1" t="s">
        <v>18</v>
      </c>
      <c r="GU3" s="1" t="s">
        <v>18</v>
      </c>
      <c r="GV3" s="1" t="s">
        <v>18</v>
      </c>
      <c r="GW3" s="1" t="s">
        <v>18</v>
      </c>
      <c r="GX3" s="1" t="s">
        <v>18</v>
      </c>
      <c r="GY3" s="1" t="s">
        <v>18</v>
      </c>
      <c r="GZ3" s="1" t="s">
        <v>18</v>
      </c>
      <c r="HA3" s="1" t="s">
        <v>18</v>
      </c>
      <c r="HB3" s="1" t="s">
        <v>18</v>
      </c>
      <c r="HC3" s="1" t="s">
        <v>18</v>
      </c>
      <c r="HD3" s="1" t="s">
        <v>18</v>
      </c>
      <c r="HE3" s="1" t="s">
        <v>18</v>
      </c>
      <c r="HF3" s="1" t="s">
        <v>18</v>
      </c>
      <c r="HG3" s="1" t="s">
        <v>18</v>
      </c>
      <c r="HH3" s="1" t="s">
        <v>19</v>
      </c>
      <c r="HI3" s="1" t="s">
        <v>19</v>
      </c>
      <c r="HJ3" s="1" t="s">
        <v>19</v>
      </c>
      <c r="HK3" s="1" t="s">
        <v>19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  <c r="HQ3" s="1" t="s">
        <v>19</v>
      </c>
      <c r="HR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18</v>
      </c>
      <c r="GJ4" s="1" t="s">
        <v>18</v>
      </c>
      <c r="GK4" s="1" t="s">
        <v>18</v>
      </c>
      <c r="GL4" s="1" t="s">
        <v>18</v>
      </c>
      <c r="GM4" s="1" t="s">
        <v>18</v>
      </c>
      <c r="GN4" s="1" t="s">
        <v>18</v>
      </c>
      <c r="GO4" s="1" t="s">
        <v>18</v>
      </c>
      <c r="GP4" s="1" t="s">
        <v>18</v>
      </c>
      <c r="GQ4" s="1" t="s">
        <v>18</v>
      </c>
      <c r="GR4" s="1" t="s">
        <v>18</v>
      </c>
      <c r="GS4" s="1" t="s">
        <v>18</v>
      </c>
      <c r="GT4" s="1" t="s">
        <v>18</v>
      </c>
      <c r="GU4" s="1" t="s">
        <v>18</v>
      </c>
      <c r="GV4" s="1" t="s">
        <v>18</v>
      </c>
      <c r="GW4" s="1" t="s">
        <v>18</v>
      </c>
      <c r="GX4" s="1" t="s">
        <v>18</v>
      </c>
      <c r="GY4" s="1" t="s">
        <v>18</v>
      </c>
      <c r="GZ4" s="1" t="s">
        <v>18</v>
      </c>
      <c r="HA4" s="1" t="s">
        <v>18</v>
      </c>
      <c r="HB4" s="1" t="s">
        <v>18</v>
      </c>
      <c r="HC4" s="1" t="s">
        <v>18</v>
      </c>
      <c r="HD4" s="1" t="s">
        <v>18</v>
      </c>
      <c r="HE4" s="1" t="s">
        <v>18</v>
      </c>
      <c r="HF4" s="1" t="s">
        <v>18</v>
      </c>
      <c r="HG4" s="1" t="s">
        <v>18</v>
      </c>
      <c r="HH4" s="1" t="s">
        <v>19</v>
      </c>
      <c r="HI4" s="1" t="s">
        <v>19</v>
      </c>
      <c r="HJ4" s="1" t="s">
        <v>19</v>
      </c>
      <c r="HK4" s="1" t="s">
        <v>19</v>
      </c>
      <c r="HL4" s="1" t="s">
        <v>19</v>
      </c>
      <c r="HM4" s="1" t="s">
        <v>19</v>
      </c>
      <c r="HN4" s="1" t="s">
        <v>19</v>
      </c>
      <c r="HO4" s="1" t="s">
        <v>19</v>
      </c>
      <c r="HP4" s="1" t="s">
        <v>19</v>
      </c>
      <c r="HQ4" s="1" t="s">
        <v>19</v>
      </c>
      <c r="HR4" s="1" t="s">
        <v>19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62</v>
      </c>
      <c r="F5" s="1" t="s">
        <v>63</v>
      </c>
      <c r="G5" s="1" t="s">
        <v>64</v>
      </c>
      <c r="H5" s="1" t="s">
        <v>65</v>
      </c>
      <c r="I5" s="1" t="s">
        <v>66</v>
      </c>
      <c r="J5" s="1" t="s">
        <v>67</v>
      </c>
      <c r="K5" s="1" t="s">
        <v>68</v>
      </c>
      <c r="L5" s="1" t="s">
        <v>69</v>
      </c>
      <c r="M5" s="1" t="s">
        <v>70</v>
      </c>
      <c r="N5" s="1" t="s">
        <v>71</v>
      </c>
      <c r="O5" s="1" t="s">
        <v>72</v>
      </c>
      <c r="P5" s="1" t="s">
        <v>73</v>
      </c>
      <c r="Q5" s="1" t="s">
        <v>74</v>
      </c>
      <c r="R5" s="1" t="s">
        <v>75</v>
      </c>
      <c r="S5" s="1" t="s">
        <v>76</v>
      </c>
      <c r="T5" s="1" t="s">
        <v>77</v>
      </c>
      <c r="U5" s="1" t="s">
        <v>78</v>
      </c>
      <c r="V5" s="1" t="s">
        <v>79</v>
      </c>
      <c r="W5" s="1" t="s">
        <v>80</v>
      </c>
      <c r="X5" s="1" t="s">
        <v>81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82</v>
      </c>
      <c r="AG5" s="1" t="s">
        <v>83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84</v>
      </c>
      <c r="AQ5" s="1" t="s">
        <v>85</v>
      </c>
      <c r="AR5" s="1" t="s">
        <v>84</v>
      </c>
      <c r="AS5" s="1" t="s">
        <v>85</v>
      </c>
      <c r="AT5" s="1" t="s">
        <v>38</v>
      </c>
      <c r="AU5" s="1" t="s">
        <v>39</v>
      </c>
      <c r="AV5" s="1" t="s">
        <v>86</v>
      </c>
      <c r="AW5" s="1" t="s">
        <v>87</v>
      </c>
      <c r="AX5" s="1" t="s">
        <v>86</v>
      </c>
      <c r="AY5" s="1" t="s">
        <v>87</v>
      </c>
      <c r="AZ5" s="1" t="s">
        <v>40</v>
      </c>
      <c r="BA5" s="1" t="s">
        <v>41</v>
      </c>
      <c r="BB5" s="1" t="s">
        <v>42</v>
      </c>
      <c r="BC5" s="1" t="s">
        <v>88</v>
      </c>
      <c r="BD5" s="1" t="s">
        <v>89</v>
      </c>
      <c r="BE5" s="1" t="s">
        <v>88</v>
      </c>
      <c r="BF5" s="1" t="s">
        <v>89</v>
      </c>
      <c r="BG5" s="1" t="s">
        <v>43</v>
      </c>
      <c r="BH5" s="1" t="s">
        <v>44</v>
      </c>
      <c r="BI5" s="1" t="s">
        <v>45</v>
      </c>
      <c r="BJ5" s="1" t="s">
        <v>84</v>
      </c>
      <c r="BK5" s="1" t="s">
        <v>85</v>
      </c>
      <c r="BL5" s="1" t="s">
        <v>90</v>
      </c>
      <c r="BM5" s="1" t="s">
        <v>84</v>
      </c>
      <c r="BN5" s="1" t="s">
        <v>85</v>
      </c>
      <c r="BO5" s="1" t="s">
        <v>91</v>
      </c>
      <c r="BP5" s="1" t="s">
        <v>92</v>
      </c>
      <c r="BQ5" s="1" t="s">
        <v>91</v>
      </c>
      <c r="BR5" s="1" t="s">
        <v>92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93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109</v>
      </c>
      <c r="CV5" s="1" t="s">
        <v>110</v>
      </c>
      <c r="CW5" s="1" t="s">
        <v>111</v>
      </c>
      <c r="CX5" s="1" t="s">
        <v>112</v>
      </c>
      <c r="CY5" s="1" t="s">
        <v>113</v>
      </c>
      <c r="CZ5" s="1" t="s">
        <v>114</v>
      </c>
      <c r="DA5" s="1" t="s">
        <v>115</v>
      </c>
      <c r="DB5" s="1" t="s">
        <v>116</v>
      </c>
      <c r="DC5" s="1" t="s">
        <v>117</v>
      </c>
      <c r="DD5" s="1" t="s">
        <v>118</v>
      </c>
      <c r="DE5" s="1" t="s">
        <v>119</v>
      </c>
      <c r="DF5" s="1" t="s">
        <v>120</v>
      </c>
      <c r="DG5" s="1" t="s">
        <v>121</v>
      </c>
      <c r="DH5" s="1" t="s">
        <v>122</v>
      </c>
      <c r="DI5" s="1" t="s">
        <v>123</v>
      </c>
      <c r="DJ5" s="1" t="s">
        <v>124</v>
      </c>
      <c r="DK5" s="1" t="s">
        <v>125</v>
      </c>
      <c r="DL5" s="1" t="s">
        <v>126</v>
      </c>
      <c r="DM5" s="1" t="s">
        <v>127</v>
      </c>
      <c r="DN5" s="1" t="s">
        <v>128</v>
      </c>
      <c r="DO5" s="1" t="s">
        <v>129</v>
      </c>
      <c r="DP5" s="1" t="s">
        <v>130</v>
      </c>
      <c r="DQ5" s="1" t="s">
        <v>131</v>
      </c>
      <c r="DR5" s="1" t="s">
        <v>132</v>
      </c>
      <c r="DS5" s="1" t="s">
        <v>133</v>
      </c>
      <c r="DT5" s="1" t="s">
        <v>134</v>
      </c>
      <c r="DU5" s="1" t="s">
        <v>135</v>
      </c>
      <c r="DV5" s="1" t="s">
        <v>136</v>
      </c>
      <c r="DW5" s="1" t="s">
        <v>137</v>
      </c>
      <c r="DX5" s="1" t="s">
        <v>138</v>
      </c>
      <c r="DY5" s="1" t="s">
        <v>139</v>
      </c>
      <c r="DZ5" s="1" t="s">
        <v>140</v>
      </c>
      <c r="EA5" s="1" t="s">
        <v>141</v>
      </c>
      <c r="EB5" s="1" t="s">
        <v>142</v>
      </c>
      <c r="EC5" s="1" t="s">
        <v>143</v>
      </c>
      <c r="ED5" s="1" t="s">
        <v>144</v>
      </c>
      <c r="EE5" s="1" t="s">
        <v>145</v>
      </c>
      <c r="EF5" s="1" t="s">
        <v>146</v>
      </c>
      <c r="EG5" s="1" t="s">
        <v>147</v>
      </c>
      <c r="EH5" s="1" t="s">
        <v>148</v>
      </c>
      <c r="EI5" s="1" t="s">
        <v>149</v>
      </c>
      <c r="EJ5" s="1" t="s">
        <v>150</v>
      </c>
      <c r="EK5" s="1" t="s">
        <v>151</v>
      </c>
      <c r="EL5" s="1" t="s">
        <v>152</v>
      </c>
      <c r="EM5" s="1" t="s">
        <v>153</v>
      </c>
      <c r="EN5" s="1" t="s">
        <v>154</v>
      </c>
      <c r="EO5" s="1" t="s">
        <v>155</v>
      </c>
      <c r="EP5" s="1" t="s">
        <v>156</v>
      </c>
      <c r="EQ5" s="1" t="s">
        <v>157</v>
      </c>
      <c r="ER5" s="1" t="s">
        <v>158</v>
      </c>
      <c r="ES5" s="1" t="s">
        <v>159</v>
      </c>
      <c r="ET5" s="1" t="s">
        <v>160</v>
      </c>
      <c r="EU5" s="1" t="s">
        <v>161</v>
      </c>
      <c r="EV5" s="1" t="s">
        <v>162</v>
      </c>
      <c r="EW5" s="1" t="s">
        <v>163</v>
      </c>
      <c r="EX5" s="1" t="s">
        <v>164</v>
      </c>
      <c r="EY5" s="1" t="s">
        <v>165</v>
      </c>
      <c r="EZ5" s="1" t="s">
        <v>166</v>
      </c>
      <c r="FA5" s="1" t="s">
        <v>167</v>
      </c>
      <c r="FB5" s="1" t="s">
        <v>168</v>
      </c>
      <c r="FC5" s="1" t="s">
        <v>169</v>
      </c>
      <c r="FD5" s="1" t="s">
        <v>170</v>
      </c>
      <c r="FE5" s="1" t="s">
        <v>171</v>
      </c>
      <c r="FF5" s="1" t="s">
        <v>172</v>
      </c>
      <c r="FG5" s="1" t="s">
        <v>173</v>
      </c>
      <c r="FH5" s="1" t="s">
        <v>174</v>
      </c>
      <c r="FI5" s="1" t="s">
        <v>175</v>
      </c>
      <c r="FJ5" s="1" t="s">
        <v>176</v>
      </c>
      <c r="FK5" s="1" t="s">
        <v>177</v>
      </c>
      <c r="FL5" s="1" t="s">
        <v>178</v>
      </c>
      <c r="FM5" s="1" t="s">
        <v>179</v>
      </c>
      <c r="FN5" s="1" t="s">
        <v>180</v>
      </c>
      <c r="FO5" s="1" t="s">
        <v>181</v>
      </c>
      <c r="FP5" s="1" t="s">
        <v>182</v>
      </c>
      <c r="FQ5" s="1" t="s">
        <v>183</v>
      </c>
      <c r="FR5" s="1" t="s">
        <v>184</v>
      </c>
      <c r="FS5" s="1" t="s">
        <v>185</v>
      </c>
      <c r="FT5" s="1" t="s">
        <v>186</v>
      </c>
      <c r="FU5" s="1" t="s">
        <v>187</v>
      </c>
      <c r="FV5" s="1" t="s">
        <v>188</v>
      </c>
      <c r="FW5" s="1" t="s">
        <v>189</v>
      </c>
      <c r="FX5" s="1" t="s">
        <v>190</v>
      </c>
      <c r="FY5" s="1" t="s">
        <v>191</v>
      </c>
      <c r="FZ5" s="1" t="s">
        <v>192</v>
      </c>
      <c r="GA5" s="1" t="s">
        <v>193</v>
      </c>
      <c r="GB5" s="1" t="s">
        <v>194</v>
      </c>
      <c r="GC5" s="1" t="s">
        <v>195</v>
      </c>
      <c r="GD5" s="1" t="s">
        <v>196</v>
      </c>
      <c r="GE5" s="1" t="s">
        <v>197</v>
      </c>
      <c r="GF5" s="1" t="s">
        <v>198</v>
      </c>
      <c r="GG5" s="1" t="s">
        <v>199</v>
      </c>
      <c r="GH5" s="1" t="s">
        <v>200</v>
      </c>
      <c r="GI5" s="1" t="s">
        <v>201</v>
      </c>
      <c r="GJ5" s="1" t="s">
        <v>202</v>
      </c>
      <c r="GK5" s="1" t="s">
        <v>203</v>
      </c>
      <c r="GL5" s="1" t="s">
        <v>204</v>
      </c>
      <c r="GM5" s="1" t="s">
        <v>205</v>
      </c>
      <c r="GN5" s="1" t="s">
        <v>206</v>
      </c>
      <c r="GO5" s="1" t="s">
        <v>207</v>
      </c>
      <c r="GP5" s="1" t="s">
        <v>208</v>
      </c>
      <c r="GQ5" s="1" t="s">
        <v>209</v>
      </c>
      <c r="GR5" s="1" t="s">
        <v>210</v>
      </c>
      <c r="GS5" s="1" t="s">
        <v>211</v>
      </c>
      <c r="GT5" s="1" t="s">
        <v>212</v>
      </c>
      <c r="GU5" s="1" t="s">
        <v>213</v>
      </c>
      <c r="GV5" s="1" t="s">
        <v>214</v>
      </c>
      <c r="GW5" s="1" t="s">
        <v>215</v>
      </c>
      <c r="GX5" s="1" t="s">
        <v>216</v>
      </c>
      <c r="GY5" s="1" t="s">
        <v>217</v>
      </c>
      <c r="GZ5" s="1" t="s">
        <v>218</v>
      </c>
      <c r="HA5" s="1" t="s">
        <v>219</v>
      </c>
      <c r="HB5" s="1" t="s">
        <v>220</v>
      </c>
      <c r="HC5" s="1" t="s">
        <v>221</v>
      </c>
      <c r="HD5" s="1" t="s">
        <v>222</v>
      </c>
      <c r="HE5" s="1" t="s">
        <v>223</v>
      </c>
      <c r="HF5" s="1" t="s">
        <v>224</v>
      </c>
      <c r="HG5" s="1" t="s">
        <v>225</v>
      </c>
      <c r="HH5" s="1" t="s">
        <v>226</v>
      </c>
      <c r="HI5" s="1" t="s">
        <v>131</v>
      </c>
      <c r="HJ5" s="1" t="s">
        <v>140</v>
      </c>
      <c r="HK5" s="1" t="s">
        <v>142</v>
      </c>
      <c r="HL5" s="1" t="s">
        <v>146</v>
      </c>
      <c r="HM5" s="1" t="s">
        <v>147</v>
      </c>
      <c r="HN5" s="1" t="s">
        <v>154</v>
      </c>
      <c r="HO5" s="1" t="s">
        <v>163</v>
      </c>
      <c r="HP5" s="1" t="s">
        <v>168</v>
      </c>
      <c r="HQ5" s="1" t="s">
        <v>176</v>
      </c>
      <c r="HR5" s="1" t="s">
        <v>200</v>
      </c>
    </row>
    <row r="6">
      <c r="A6" s="2" t="s">
        <v>227</v>
      </c>
      <c r="B6" s="2" t="s">
        <v>228</v>
      </c>
      <c r="C6" s="2" t="s">
        <v>229</v>
      </c>
      <c r="D6" s="2" t="s">
        <v>230</v>
      </c>
      <c r="E6" s="2" t="s">
        <v>231</v>
      </c>
      <c r="F6" s="2" t="s">
        <v>232</v>
      </c>
      <c r="G6" s="2" t="s">
        <v>233</v>
      </c>
      <c r="H6" s="2" t="s">
        <v>233</v>
      </c>
      <c r="I6" s="2" t="s">
        <v>234</v>
      </c>
      <c r="J6" s="2" t="s">
        <v>235</v>
      </c>
      <c r="K6" s="2" t="s">
        <v>236</v>
      </c>
      <c r="L6" s="3">
        <v>69.99</v>
      </c>
      <c r="M6" s="3">
        <v>73.49</v>
      </c>
      <c r="N6" s="3"/>
      <c r="O6" s="2" t="s">
        <v>237</v>
      </c>
      <c r="P6" s="2" t="s">
        <v>238</v>
      </c>
      <c r="Q6" s="2" t="s">
        <v>239</v>
      </c>
      <c r="R6" s="2" t="s">
        <v>240</v>
      </c>
      <c r="S6" s="2" t="s">
        <v>233</v>
      </c>
      <c r="T6" s="2" t="s">
        <v>233</v>
      </c>
      <c r="U6" s="2" t="s">
        <v>233</v>
      </c>
      <c r="V6" s="2" t="s">
        <v>241</v>
      </c>
      <c r="W6" s="2" t="s">
        <v>233</v>
      </c>
      <c r="X6" s="2" t="s">
        <v>233</v>
      </c>
      <c r="Y6" s="2" t="s">
        <v>242</v>
      </c>
      <c r="Z6" s="4"/>
      <c r="AA6" s="4">
        <f>=ROUNDDOWN({0},0)</f>
      </c>
      <c r="AB6" s="5"/>
      <c r="AC6" s="2" t="s">
        <v>233</v>
      </c>
      <c r="AD6" s="4"/>
      <c r="AE6" s="4"/>
      <c r="AF6" s="6"/>
      <c r="AG6" s="6"/>
      <c r="AH6" s="7">
        <v>0</v>
      </c>
      <c r="AI6" s="4"/>
      <c r="AJ6" s="4">
        <f>=ROUNDDOWN({0},0)</f>
      </c>
      <c r="AK6" s="5"/>
      <c r="AL6" s="2" t="s">
        <v>233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 t="s">
        <v>233</v>
      </c>
      <c r="AW6" s="8" t="s">
        <v>233</v>
      </c>
      <c r="AX6" s="4" t="s">
        <v>233</v>
      </c>
      <c r="AY6" s="8" t="s">
        <v>233</v>
      </c>
      <c r="AZ6" s="7" t="s">
        <v>233</v>
      </c>
      <c r="BA6" s="7" t="s">
        <v>233</v>
      </c>
      <c r="BB6" s="7" t="s">
        <v>233</v>
      </c>
      <c r="BC6" s="4" t="s">
        <v>233</v>
      </c>
      <c r="BD6" s="8" t="s">
        <v>233</v>
      </c>
      <c r="BE6" s="4" t="s">
        <v>233</v>
      </c>
      <c r="BF6" s="8" t="s">
        <v>233</v>
      </c>
      <c r="BG6" s="7" t="s">
        <v>233</v>
      </c>
      <c r="BH6" s="7" t="s">
        <v>233</v>
      </c>
      <c r="BI6" s="7"/>
      <c r="BJ6" s="4"/>
      <c r="BK6" s="8"/>
      <c r="BL6" s="2" t="s">
        <v>233</v>
      </c>
      <c r="BM6" s="7"/>
      <c r="BN6" s="7"/>
      <c r="BO6" s="4"/>
      <c r="BP6" s="8"/>
      <c r="BQ6" s="4"/>
      <c r="BR6" s="8"/>
      <c r="BS6" s="7"/>
      <c r="BT6" s="7"/>
      <c r="BU6" s="2" t="s">
        <v>243</v>
      </c>
      <c r="BV6" s="2" t="s">
        <v>233</v>
      </c>
      <c r="BW6" s="2" t="s">
        <v>233</v>
      </c>
      <c r="BX6" s="2" t="s">
        <v>233</v>
      </c>
      <c r="BY6" s="2" t="s">
        <v>244</v>
      </c>
      <c r="BZ6" s="2" t="s">
        <v>245</v>
      </c>
      <c r="CA6" s="2" t="s">
        <v>233</v>
      </c>
      <c r="CB6" s="2" t="s">
        <v>233</v>
      </c>
      <c r="CC6" s="2" t="s">
        <v>246</v>
      </c>
      <c r="CD6" s="2" t="s">
        <v>233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</row>
    <row r="7">
      <c r="A7" s="2" t="s">
        <v>247</v>
      </c>
      <c r="B7" s="2" t="s">
        <v>228</v>
      </c>
      <c r="C7" s="2" t="s">
        <v>229</v>
      </c>
      <c r="D7" s="2" t="s">
        <v>230</v>
      </c>
      <c r="E7" s="2" t="s">
        <v>231</v>
      </c>
      <c r="F7" s="2" t="s">
        <v>232</v>
      </c>
      <c r="G7" s="2" t="s">
        <v>233</v>
      </c>
      <c r="H7" s="2" t="s">
        <v>233</v>
      </c>
      <c r="I7" s="2" t="s">
        <v>234</v>
      </c>
      <c r="J7" s="2" t="s">
        <v>235</v>
      </c>
      <c r="K7" s="2" t="s">
        <v>236</v>
      </c>
      <c r="L7" s="3">
        <v>54.99</v>
      </c>
      <c r="M7" s="3">
        <v>57.74</v>
      </c>
      <c r="N7" s="3"/>
      <c r="O7" s="2" t="s">
        <v>237</v>
      </c>
      <c r="P7" s="2" t="s">
        <v>238</v>
      </c>
      <c r="Q7" s="2" t="s">
        <v>239</v>
      </c>
      <c r="R7" s="2" t="s">
        <v>240</v>
      </c>
      <c r="S7" s="2" t="s">
        <v>233</v>
      </c>
      <c r="T7" s="2" t="s">
        <v>233</v>
      </c>
      <c r="U7" s="2" t="s">
        <v>233</v>
      </c>
      <c r="V7" s="2" t="s">
        <v>241</v>
      </c>
      <c r="W7" s="2" t="s">
        <v>233</v>
      </c>
      <c r="X7" s="2" t="s">
        <v>233</v>
      </c>
      <c r="Y7" s="2" t="s">
        <v>242</v>
      </c>
      <c r="Z7" s="4"/>
      <c r="AA7" s="4">
        <f>=ROUNDDOWN({0},0)</f>
      </c>
      <c r="AB7" s="5"/>
      <c r="AC7" s="2" t="s">
        <v>233</v>
      </c>
      <c r="AD7" s="4"/>
      <c r="AE7" s="4"/>
      <c r="AF7" s="6"/>
      <c r="AG7" s="6"/>
      <c r="AH7" s="7">
        <v>0</v>
      </c>
      <c r="AI7" s="4"/>
      <c r="AJ7" s="4">
        <f>=ROUNDDOWN({0},0)</f>
      </c>
      <c r="AK7" s="5"/>
      <c r="AL7" s="2" t="s">
        <v>233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 t="s">
        <v>233</v>
      </c>
      <c r="AW7" s="8" t="s">
        <v>233</v>
      </c>
      <c r="AX7" s="4" t="s">
        <v>233</v>
      </c>
      <c r="AY7" s="8" t="s">
        <v>233</v>
      </c>
      <c r="AZ7" s="7" t="s">
        <v>233</v>
      </c>
      <c r="BA7" s="7" t="s">
        <v>233</v>
      </c>
      <c r="BB7" s="7" t="s">
        <v>233</v>
      </c>
      <c r="BC7" s="4" t="s">
        <v>233</v>
      </c>
      <c r="BD7" s="8" t="s">
        <v>233</v>
      </c>
      <c r="BE7" s="4" t="s">
        <v>233</v>
      </c>
      <c r="BF7" s="8" t="s">
        <v>233</v>
      </c>
      <c r="BG7" s="7" t="s">
        <v>233</v>
      </c>
      <c r="BH7" s="7" t="s">
        <v>233</v>
      </c>
      <c r="BI7" s="7"/>
      <c r="BJ7" s="4"/>
      <c r="BK7" s="8"/>
      <c r="BL7" s="2" t="s">
        <v>233</v>
      </c>
      <c r="BM7" s="7"/>
      <c r="BN7" s="7"/>
      <c r="BO7" s="4"/>
      <c r="BP7" s="8"/>
      <c r="BQ7" s="4"/>
      <c r="BR7" s="8"/>
      <c r="BS7" s="7"/>
      <c r="BT7" s="7"/>
      <c r="BU7" s="2" t="s">
        <v>243</v>
      </c>
      <c r="BV7" s="2" t="s">
        <v>233</v>
      </c>
      <c r="BW7" s="2" t="s">
        <v>233</v>
      </c>
      <c r="BX7" s="2" t="s">
        <v>233</v>
      </c>
      <c r="BY7" s="2" t="s">
        <v>244</v>
      </c>
      <c r="BZ7" s="2" t="s">
        <v>245</v>
      </c>
      <c r="CA7" s="2" t="s">
        <v>233</v>
      </c>
      <c r="CB7" s="2" t="s">
        <v>233</v>
      </c>
      <c r="CC7" s="2" t="s">
        <v>246</v>
      </c>
      <c r="CD7" s="2" t="s">
        <v>233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</row>
    <row r="8">
      <c r="A8" s="2" t="s">
        <v>248</v>
      </c>
      <c r="B8" s="2" t="s">
        <v>228</v>
      </c>
      <c r="C8" s="2" t="s">
        <v>229</v>
      </c>
      <c r="D8" s="2" t="s">
        <v>230</v>
      </c>
      <c r="E8" s="2" t="s">
        <v>231</v>
      </c>
      <c r="F8" s="2" t="s">
        <v>232</v>
      </c>
      <c r="G8" s="2" t="s">
        <v>233</v>
      </c>
      <c r="H8" s="2" t="s">
        <v>233</v>
      </c>
      <c r="I8" s="2" t="s">
        <v>234</v>
      </c>
      <c r="J8" s="2" t="s">
        <v>249</v>
      </c>
      <c r="K8" s="2" t="s">
        <v>236</v>
      </c>
      <c r="L8" s="3">
        <v>99.99</v>
      </c>
      <c r="M8" s="3">
        <v>104.99</v>
      </c>
      <c r="N8" s="3"/>
      <c r="O8" s="2" t="s">
        <v>237</v>
      </c>
      <c r="P8" s="2" t="s">
        <v>238</v>
      </c>
      <c r="Q8" s="2" t="s">
        <v>239</v>
      </c>
      <c r="R8" s="2" t="s">
        <v>240</v>
      </c>
      <c r="S8" s="2" t="s">
        <v>233</v>
      </c>
      <c r="T8" s="2" t="s">
        <v>233</v>
      </c>
      <c r="U8" s="2" t="s">
        <v>233</v>
      </c>
      <c r="V8" s="2" t="s">
        <v>241</v>
      </c>
      <c r="W8" s="2" t="s">
        <v>233</v>
      </c>
      <c r="X8" s="2" t="s">
        <v>233</v>
      </c>
      <c r="Y8" s="2" t="s">
        <v>242</v>
      </c>
      <c r="Z8" s="4"/>
      <c r="AA8" s="4">
        <f>=ROUNDDOWN({0},0)</f>
      </c>
      <c r="AB8" s="5"/>
      <c r="AC8" s="2" t="s">
        <v>233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233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233</v>
      </c>
      <c r="AW8" s="8" t="s">
        <v>233</v>
      </c>
      <c r="AX8" s="4" t="s">
        <v>233</v>
      </c>
      <c r="AY8" s="8" t="s">
        <v>233</v>
      </c>
      <c r="AZ8" s="7" t="s">
        <v>233</v>
      </c>
      <c r="BA8" s="7" t="s">
        <v>233</v>
      </c>
      <c r="BB8" s="7"/>
      <c r="BC8" s="4" t="s">
        <v>233</v>
      </c>
      <c r="BD8" s="8" t="s">
        <v>233</v>
      </c>
      <c r="BE8" s="4" t="s">
        <v>233</v>
      </c>
      <c r="BF8" s="8" t="s">
        <v>233</v>
      </c>
      <c r="BG8" s="7" t="s">
        <v>233</v>
      </c>
      <c r="BH8" s="7" t="s">
        <v>233</v>
      </c>
      <c r="BI8" s="7"/>
      <c r="BJ8" s="4"/>
      <c r="BK8" s="8"/>
      <c r="BL8" s="2" t="s">
        <v>233</v>
      </c>
      <c r="BM8" s="7"/>
      <c r="BN8" s="7"/>
      <c r="BO8" s="4"/>
      <c r="BP8" s="8"/>
      <c r="BQ8" s="4"/>
      <c r="BR8" s="8"/>
      <c r="BS8" s="7"/>
      <c r="BT8" s="7"/>
      <c r="BU8" s="2" t="s">
        <v>243</v>
      </c>
      <c r="BV8" s="2" t="s">
        <v>233</v>
      </c>
      <c r="BW8" s="2" t="s">
        <v>233</v>
      </c>
      <c r="BX8" s="2" t="s">
        <v>233</v>
      </c>
      <c r="BY8" s="2" t="s">
        <v>244</v>
      </c>
      <c r="BZ8" s="2" t="s">
        <v>245</v>
      </c>
      <c r="CA8" s="2" t="s">
        <v>233</v>
      </c>
      <c r="CB8" s="2" t="s">
        <v>233</v>
      </c>
      <c r="CC8" s="2" t="s">
        <v>246</v>
      </c>
      <c r="CD8" s="2" t="s">
        <v>233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</row>
    <row r="9">
      <c r="A9" s="2" t="s">
        <v>250</v>
      </c>
      <c r="B9" s="2" t="s">
        <v>228</v>
      </c>
      <c r="C9" s="2" t="s">
        <v>229</v>
      </c>
      <c r="D9" s="2" t="s">
        <v>230</v>
      </c>
      <c r="E9" s="2" t="s">
        <v>231</v>
      </c>
      <c r="F9" s="2" t="s">
        <v>232</v>
      </c>
      <c r="G9" s="2" t="s">
        <v>233</v>
      </c>
      <c r="H9" s="2" t="s">
        <v>233</v>
      </c>
      <c r="I9" s="2" t="s">
        <v>234</v>
      </c>
      <c r="J9" s="2" t="s">
        <v>251</v>
      </c>
      <c r="K9" s="2" t="s">
        <v>236</v>
      </c>
      <c r="L9" s="3">
        <v>104.99</v>
      </c>
      <c r="M9" s="3">
        <v>110.24</v>
      </c>
      <c r="N9" s="3"/>
      <c r="O9" s="2" t="s">
        <v>252</v>
      </c>
      <c r="P9" s="2" t="s">
        <v>238</v>
      </c>
      <c r="Q9" s="2" t="s">
        <v>239</v>
      </c>
      <c r="R9" s="2" t="s">
        <v>240</v>
      </c>
      <c r="S9" s="2" t="s">
        <v>233</v>
      </c>
      <c r="T9" s="2" t="s">
        <v>233</v>
      </c>
      <c r="U9" s="2" t="s">
        <v>233</v>
      </c>
      <c r="V9" s="2" t="s">
        <v>241</v>
      </c>
      <c r="W9" s="2" t="s">
        <v>233</v>
      </c>
      <c r="X9" s="2" t="s">
        <v>233</v>
      </c>
      <c r="Y9" s="2" t="s">
        <v>242</v>
      </c>
      <c r="Z9" s="4"/>
      <c r="AA9" s="4">
        <f>=ROUNDDOWN({0},0)</f>
      </c>
      <c r="AB9" s="5"/>
      <c r="AC9" s="2" t="s">
        <v>233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233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 t="s">
        <v>233</v>
      </c>
      <c r="AW9" s="8" t="s">
        <v>233</v>
      </c>
      <c r="AX9" s="4" t="s">
        <v>233</v>
      </c>
      <c r="AY9" s="8" t="s">
        <v>233</v>
      </c>
      <c r="AZ9" s="7" t="s">
        <v>233</v>
      </c>
      <c r="BA9" s="7" t="s">
        <v>233</v>
      </c>
      <c r="BB9" s="7"/>
      <c r="BC9" s="4" t="s">
        <v>233</v>
      </c>
      <c r="BD9" s="8" t="s">
        <v>233</v>
      </c>
      <c r="BE9" s="4" t="s">
        <v>233</v>
      </c>
      <c r="BF9" s="8" t="s">
        <v>233</v>
      </c>
      <c r="BG9" s="7" t="s">
        <v>233</v>
      </c>
      <c r="BH9" s="7" t="s">
        <v>233</v>
      </c>
      <c r="BI9" s="7"/>
      <c r="BJ9" s="4"/>
      <c r="BK9" s="8"/>
      <c r="BL9" s="2" t="s">
        <v>233</v>
      </c>
      <c r="BM9" s="7"/>
      <c r="BN9" s="7"/>
      <c r="BO9" s="4"/>
      <c r="BP9" s="8"/>
      <c r="BQ9" s="4"/>
      <c r="BR9" s="8"/>
      <c r="BS9" s="7"/>
      <c r="BT9" s="7"/>
      <c r="BU9" s="2" t="s">
        <v>243</v>
      </c>
      <c r="BV9" s="2" t="s">
        <v>233</v>
      </c>
      <c r="BW9" s="2" t="s">
        <v>233</v>
      </c>
      <c r="BX9" s="2" t="s">
        <v>233</v>
      </c>
      <c r="BY9" s="2" t="s">
        <v>244</v>
      </c>
      <c r="BZ9" s="2" t="s">
        <v>245</v>
      </c>
      <c r="CA9" s="2" t="s">
        <v>233</v>
      </c>
      <c r="CB9" s="2" t="s">
        <v>233</v>
      </c>
      <c r="CC9" s="2" t="s">
        <v>246</v>
      </c>
      <c r="CD9" s="2" t="s">
        <v>233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</row>
    <row r="10">
      <c r="A10" s="2" t="s">
        <v>253</v>
      </c>
      <c r="B10" s="2" t="s">
        <v>228</v>
      </c>
      <c r="C10" s="2" t="s">
        <v>229</v>
      </c>
      <c r="D10" s="2" t="s">
        <v>230</v>
      </c>
      <c r="E10" s="2" t="s">
        <v>231</v>
      </c>
      <c r="F10" s="2" t="s">
        <v>232</v>
      </c>
      <c r="G10" s="2" t="s">
        <v>233</v>
      </c>
      <c r="H10" s="2" t="s">
        <v>233</v>
      </c>
      <c r="I10" s="2" t="s">
        <v>234</v>
      </c>
      <c r="J10" s="2" t="s">
        <v>254</v>
      </c>
      <c r="K10" s="2" t="s">
        <v>255</v>
      </c>
      <c r="L10" s="3">
        <v>44.99</v>
      </c>
      <c r="M10" s="3">
        <v>47.24</v>
      </c>
      <c r="N10" s="3"/>
      <c r="O10" s="2" t="s">
        <v>252</v>
      </c>
      <c r="P10" s="2" t="s">
        <v>238</v>
      </c>
      <c r="Q10" s="2" t="s">
        <v>239</v>
      </c>
      <c r="R10" s="2" t="s">
        <v>240</v>
      </c>
      <c r="S10" s="2" t="s">
        <v>233</v>
      </c>
      <c r="T10" s="2" t="s">
        <v>233</v>
      </c>
      <c r="U10" s="2" t="s">
        <v>233</v>
      </c>
      <c r="V10" s="2" t="s">
        <v>241</v>
      </c>
      <c r="W10" s="2" t="s">
        <v>233</v>
      </c>
      <c r="X10" s="2" t="s">
        <v>233</v>
      </c>
      <c r="Y10" s="2" t="s">
        <v>242</v>
      </c>
      <c r="Z10" s="4"/>
      <c r="AA10" s="4">
        <f>=ROUNDDOWN({0},0)</f>
      </c>
      <c r="AB10" s="5"/>
      <c r="AC10" s="2" t="s">
        <v>233</v>
      </c>
      <c r="AD10" s="4"/>
      <c r="AE10" s="4"/>
      <c r="AF10" s="6"/>
      <c r="AG10" s="6"/>
      <c r="AH10" s="7">
        <v>0</v>
      </c>
      <c r="AI10" s="4"/>
      <c r="AJ10" s="4">
        <f>=ROUNDDOWN({0},0)</f>
      </c>
      <c r="AK10" s="5"/>
      <c r="AL10" s="2" t="s">
        <v>233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233</v>
      </c>
      <c r="BD10" s="8" t="s">
        <v>233</v>
      </c>
      <c r="BE10" s="4" t="s">
        <v>233</v>
      </c>
      <c r="BF10" s="8" t="s">
        <v>233</v>
      </c>
      <c r="BG10" s="7" t="s">
        <v>233</v>
      </c>
      <c r="BH10" s="7" t="s">
        <v>233</v>
      </c>
      <c r="BI10" s="7"/>
      <c r="BJ10" s="4"/>
      <c r="BK10" s="8"/>
      <c r="BL10" s="2" t="s">
        <v>233</v>
      </c>
      <c r="BM10" s="7"/>
      <c r="BN10" s="7"/>
      <c r="BO10" s="4"/>
      <c r="BP10" s="8"/>
      <c r="BQ10" s="4"/>
      <c r="BR10" s="8"/>
      <c r="BS10" s="7"/>
      <c r="BT10" s="7"/>
      <c r="BU10" s="2" t="s">
        <v>243</v>
      </c>
      <c r="BV10" s="2" t="s">
        <v>233</v>
      </c>
      <c r="BW10" s="2" t="s">
        <v>233</v>
      </c>
      <c r="BX10" s="2" t="s">
        <v>233</v>
      </c>
      <c r="BY10" s="2" t="s">
        <v>244</v>
      </c>
      <c r="BZ10" s="2" t="s">
        <v>245</v>
      </c>
      <c r="CA10" s="2" t="s">
        <v>233</v>
      </c>
      <c r="CB10" s="2" t="s">
        <v>233</v>
      </c>
      <c r="CC10" s="2" t="s">
        <v>246</v>
      </c>
      <c r="CD10" s="2" t="s">
        <v>233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</row>
    <row r="11">
      <c r="A11" s="2" t="s">
        <v>256</v>
      </c>
      <c r="B11" s="2" t="s">
        <v>228</v>
      </c>
      <c r="C11" s="2" t="s">
        <v>229</v>
      </c>
      <c r="D11" s="2" t="s">
        <v>230</v>
      </c>
      <c r="E11" s="2" t="s">
        <v>231</v>
      </c>
      <c r="F11" s="2" t="s">
        <v>232</v>
      </c>
      <c r="G11" s="2" t="s">
        <v>233</v>
      </c>
      <c r="H11" s="2" t="s">
        <v>233</v>
      </c>
      <c r="I11" s="2" t="s">
        <v>234</v>
      </c>
      <c r="J11" s="2" t="s">
        <v>254</v>
      </c>
      <c r="K11" s="2" t="s">
        <v>257</v>
      </c>
      <c r="L11" s="3">
        <v>44.99</v>
      </c>
      <c r="M11" s="3">
        <v>47.24</v>
      </c>
      <c r="N11" s="3"/>
      <c r="O11" s="2" t="s">
        <v>252</v>
      </c>
      <c r="P11" s="2" t="s">
        <v>238</v>
      </c>
      <c r="Q11" s="2" t="s">
        <v>239</v>
      </c>
      <c r="R11" s="2" t="s">
        <v>240</v>
      </c>
      <c r="S11" s="2" t="s">
        <v>233</v>
      </c>
      <c r="T11" s="2" t="s">
        <v>233</v>
      </c>
      <c r="U11" s="2" t="s">
        <v>233</v>
      </c>
      <c r="V11" s="2" t="s">
        <v>241</v>
      </c>
      <c r="W11" s="2" t="s">
        <v>233</v>
      </c>
      <c r="X11" s="2" t="s">
        <v>233</v>
      </c>
      <c r="Y11" s="2" t="s">
        <v>242</v>
      </c>
      <c r="Z11" s="4"/>
      <c r="AA11" s="4">
        <f>=ROUNDDOWN({0},0)</f>
      </c>
      <c r="AB11" s="5"/>
      <c r="AC11" s="2" t="s">
        <v>233</v>
      </c>
      <c r="AD11" s="4"/>
      <c r="AE11" s="4"/>
      <c r="AF11" s="6"/>
      <c r="AG11" s="6"/>
      <c r="AH11" s="7">
        <v>0</v>
      </c>
      <c r="AI11" s="4"/>
      <c r="AJ11" s="4">
        <f>=ROUNDDOWN({0},0)</f>
      </c>
      <c r="AK11" s="5"/>
      <c r="AL11" s="2" t="s">
        <v>233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233</v>
      </c>
      <c r="AW11" s="8" t="s">
        <v>233</v>
      </c>
      <c r="AX11" s="4" t="s">
        <v>233</v>
      </c>
      <c r="AY11" s="8" t="s">
        <v>233</v>
      </c>
      <c r="AZ11" s="7" t="s">
        <v>233</v>
      </c>
      <c r="BA11" s="7" t="s">
        <v>233</v>
      </c>
      <c r="BB11" s="7"/>
      <c r="BC11" s="4" t="s">
        <v>233</v>
      </c>
      <c r="BD11" s="8" t="s">
        <v>233</v>
      </c>
      <c r="BE11" s="4" t="s">
        <v>233</v>
      </c>
      <c r="BF11" s="8" t="s">
        <v>233</v>
      </c>
      <c r="BG11" s="7" t="s">
        <v>233</v>
      </c>
      <c r="BH11" s="7" t="s">
        <v>233</v>
      </c>
      <c r="BI11" s="7"/>
      <c r="BJ11" s="4"/>
      <c r="BK11" s="8"/>
      <c r="BL11" s="2" t="s">
        <v>233</v>
      </c>
      <c r="BM11" s="7"/>
      <c r="BN11" s="7"/>
      <c r="BO11" s="4"/>
      <c r="BP11" s="8"/>
      <c r="BQ11" s="4"/>
      <c r="BR11" s="8"/>
      <c r="BS11" s="7"/>
      <c r="BT11" s="7"/>
      <c r="BU11" s="2" t="s">
        <v>243</v>
      </c>
      <c r="BV11" s="2" t="s">
        <v>233</v>
      </c>
      <c r="BW11" s="2" t="s">
        <v>233</v>
      </c>
      <c r="BX11" s="2" t="s">
        <v>233</v>
      </c>
      <c r="BY11" s="2" t="s">
        <v>244</v>
      </c>
      <c r="BZ11" s="2" t="s">
        <v>245</v>
      </c>
      <c r="CA11" s="2" t="s">
        <v>233</v>
      </c>
      <c r="CB11" s="2" t="s">
        <v>233</v>
      </c>
      <c r="CC11" s="2" t="s">
        <v>246</v>
      </c>
      <c r="CD11" s="2" t="s">
        <v>233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</row>
    <row r="12">
      <c r="A12" s="2" t="s">
        <v>258</v>
      </c>
      <c r="B12" s="2" t="s">
        <v>228</v>
      </c>
      <c r="C12" s="2" t="s">
        <v>229</v>
      </c>
      <c r="D12" s="2" t="s">
        <v>230</v>
      </c>
      <c r="E12" s="2" t="s">
        <v>231</v>
      </c>
      <c r="F12" s="2" t="s">
        <v>232</v>
      </c>
      <c r="G12" s="2" t="s">
        <v>233</v>
      </c>
      <c r="H12" s="2" t="s">
        <v>233</v>
      </c>
      <c r="I12" s="2" t="s">
        <v>234</v>
      </c>
      <c r="J12" s="2" t="s">
        <v>235</v>
      </c>
      <c r="K12" s="2" t="s">
        <v>257</v>
      </c>
      <c r="L12" s="3">
        <v>54.99</v>
      </c>
      <c r="M12" s="3">
        <v>57.74</v>
      </c>
      <c r="N12" s="3"/>
      <c r="O12" s="2" t="s">
        <v>237</v>
      </c>
      <c r="P12" s="2" t="s">
        <v>238</v>
      </c>
      <c r="Q12" s="2" t="s">
        <v>239</v>
      </c>
      <c r="R12" s="2" t="s">
        <v>240</v>
      </c>
      <c r="S12" s="2" t="s">
        <v>233</v>
      </c>
      <c r="T12" s="2" t="s">
        <v>233</v>
      </c>
      <c r="U12" s="2" t="s">
        <v>233</v>
      </c>
      <c r="V12" s="2" t="s">
        <v>241</v>
      </c>
      <c r="W12" s="2" t="s">
        <v>233</v>
      </c>
      <c r="X12" s="2" t="s">
        <v>233</v>
      </c>
      <c r="Y12" s="2" t="s">
        <v>242</v>
      </c>
      <c r="Z12" s="4"/>
      <c r="AA12" s="4">
        <f>=ROUNDDOWN({0},0)</f>
      </c>
      <c r="AB12" s="5"/>
      <c r="AC12" s="2" t="s">
        <v>233</v>
      </c>
      <c r="AD12" s="4"/>
      <c r="AE12" s="4"/>
      <c r="AF12" s="6"/>
      <c r="AG12" s="6"/>
      <c r="AH12" s="7">
        <v>0</v>
      </c>
      <c r="AI12" s="4"/>
      <c r="AJ12" s="4">
        <f>=ROUNDDOWN({0},0)</f>
      </c>
      <c r="AK12" s="5"/>
      <c r="AL12" s="2" t="s">
        <v>233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233</v>
      </c>
      <c r="AW12" s="8" t="s">
        <v>233</v>
      </c>
      <c r="AX12" s="4" t="s">
        <v>233</v>
      </c>
      <c r="AY12" s="8" t="s">
        <v>233</v>
      </c>
      <c r="AZ12" s="7" t="s">
        <v>233</v>
      </c>
      <c r="BA12" s="7" t="s">
        <v>233</v>
      </c>
      <c r="BB12" s="7"/>
      <c r="BC12" s="4" t="s">
        <v>233</v>
      </c>
      <c r="BD12" s="8" t="s">
        <v>233</v>
      </c>
      <c r="BE12" s="4" t="s">
        <v>233</v>
      </c>
      <c r="BF12" s="8" t="s">
        <v>233</v>
      </c>
      <c r="BG12" s="7" t="s">
        <v>233</v>
      </c>
      <c r="BH12" s="7" t="s">
        <v>233</v>
      </c>
      <c r="BI12" s="7"/>
      <c r="BJ12" s="4"/>
      <c r="BK12" s="8"/>
      <c r="BL12" s="2" t="s">
        <v>233</v>
      </c>
      <c r="BM12" s="7"/>
      <c r="BN12" s="7"/>
      <c r="BO12" s="4"/>
      <c r="BP12" s="8"/>
      <c r="BQ12" s="4"/>
      <c r="BR12" s="8"/>
      <c r="BS12" s="7"/>
      <c r="BT12" s="7"/>
      <c r="BU12" s="2" t="s">
        <v>243</v>
      </c>
      <c r="BV12" s="2" t="s">
        <v>233</v>
      </c>
      <c r="BW12" s="2" t="s">
        <v>233</v>
      </c>
      <c r="BX12" s="2" t="s">
        <v>233</v>
      </c>
      <c r="BY12" s="2" t="s">
        <v>244</v>
      </c>
      <c r="BZ12" s="2" t="s">
        <v>245</v>
      </c>
      <c r="CA12" s="2" t="s">
        <v>233</v>
      </c>
      <c r="CB12" s="2" t="s">
        <v>233</v>
      </c>
      <c r="CC12" s="2" t="s">
        <v>246</v>
      </c>
      <c r="CD12" s="2" t="s">
        <v>233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</row>
    <row r="13">
      <c r="A13" s="2" t="s">
        <v>259</v>
      </c>
      <c r="B13" s="2" t="s">
        <v>228</v>
      </c>
      <c r="C13" s="2" t="s">
        <v>229</v>
      </c>
      <c r="D13" s="2" t="s">
        <v>230</v>
      </c>
      <c r="E13" s="2" t="s">
        <v>231</v>
      </c>
      <c r="F13" s="2" t="s">
        <v>232</v>
      </c>
      <c r="G13" s="2" t="s">
        <v>233</v>
      </c>
      <c r="H13" s="2" t="s">
        <v>233</v>
      </c>
      <c r="I13" s="2" t="s">
        <v>234</v>
      </c>
      <c r="J13" s="2" t="s">
        <v>260</v>
      </c>
      <c r="K13" s="2" t="s">
        <v>257</v>
      </c>
      <c r="L13" s="3">
        <v>69.99</v>
      </c>
      <c r="M13" s="3">
        <v>73.49</v>
      </c>
      <c r="N13" s="3"/>
      <c r="O13" s="2" t="s">
        <v>237</v>
      </c>
      <c r="P13" s="2" t="s">
        <v>238</v>
      </c>
      <c r="Q13" s="2" t="s">
        <v>239</v>
      </c>
      <c r="R13" s="2" t="s">
        <v>240</v>
      </c>
      <c r="S13" s="2" t="s">
        <v>233</v>
      </c>
      <c r="T13" s="2" t="s">
        <v>233</v>
      </c>
      <c r="U13" s="2" t="s">
        <v>233</v>
      </c>
      <c r="V13" s="2" t="s">
        <v>241</v>
      </c>
      <c r="W13" s="2" t="s">
        <v>233</v>
      </c>
      <c r="X13" s="2" t="s">
        <v>233</v>
      </c>
      <c r="Y13" s="2" t="s">
        <v>242</v>
      </c>
      <c r="Z13" s="4"/>
      <c r="AA13" s="4">
        <f>=ROUNDDOWN({0},0)</f>
      </c>
      <c r="AB13" s="5"/>
      <c r="AC13" s="2" t="s">
        <v>233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233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233</v>
      </c>
      <c r="AW13" s="8" t="s">
        <v>233</v>
      </c>
      <c r="AX13" s="4" t="s">
        <v>233</v>
      </c>
      <c r="AY13" s="8" t="s">
        <v>233</v>
      </c>
      <c r="AZ13" s="7" t="s">
        <v>233</v>
      </c>
      <c r="BA13" s="7" t="s">
        <v>233</v>
      </c>
      <c r="BB13" s="7"/>
      <c r="BC13" s="4" t="s">
        <v>233</v>
      </c>
      <c r="BD13" s="8" t="s">
        <v>233</v>
      </c>
      <c r="BE13" s="4" t="s">
        <v>233</v>
      </c>
      <c r="BF13" s="8" t="s">
        <v>233</v>
      </c>
      <c r="BG13" s="7" t="s">
        <v>233</v>
      </c>
      <c r="BH13" s="7" t="s">
        <v>233</v>
      </c>
      <c r="BI13" s="7"/>
      <c r="BJ13" s="4"/>
      <c r="BK13" s="8"/>
      <c r="BL13" s="2" t="s">
        <v>233</v>
      </c>
      <c r="BM13" s="7"/>
      <c r="BN13" s="7"/>
      <c r="BO13" s="4"/>
      <c r="BP13" s="8"/>
      <c r="BQ13" s="4"/>
      <c r="BR13" s="8"/>
      <c r="BS13" s="7"/>
      <c r="BT13" s="7"/>
      <c r="BU13" s="2" t="s">
        <v>243</v>
      </c>
      <c r="BV13" s="2" t="s">
        <v>233</v>
      </c>
      <c r="BW13" s="2" t="s">
        <v>233</v>
      </c>
      <c r="BX13" s="2" t="s">
        <v>233</v>
      </c>
      <c r="BY13" s="2" t="s">
        <v>244</v>
      </c>
      <c r="BZ13" s="2" t="s">
        <v>245</v>
      </c>
      <c r="CA13" s="2" t="s">
        <v>233</v>
      </c>
      <c r="CB13" s="2" t="s">
        <v>233</v>
      </c>
      <c r="CC13" s="2" t="s">
        <v>246</v>
      </c>
      <c r="CD13" s="2" t="s">
        <v>233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</row>
    <row r="14">
      <c r="A14" s="2" t="s">
        <v>261</v>
      </c>
      <c r="B14" s="2" t="s">
        <v>228</v>
      </c>
      <c r="C14" s="2" t="s">
        <v>229</v>
      </c>
      <c r="D14" s="2" t="s">
        <v>230</v>
      </c>
      <c r="E14" s="2" t="s">
        <v>231</v>
      </c>
      <c r="F14" s="2" t="s">
        <v>232</v>
      </c>
      <c r="G14" s="2" t="s">
        <v>233</v>
      </c>
      <c r="H14" s="2" t="s">
        <v>233</v>
      </c>
      <c r="I14" s="2" t="s">
        <v>234</v>
      </c>
      <c r="J14" s="2" t="s">
        <v>249</v>
      </c>
      <c r="K14" s="2" t="s">
        <v>257</v>
      </c>
      <c r="L14" s="3">
        <v>99.99</v>
      </c>
      <c r="M14" s="3">
        <v>104.99</v>
      </c>
      <c r="N14" s="3"/>
      <c r="O14" s="2" t="s">
        <v>252</v>
      </c>
      <c r="P14" s="2" t="s">
        <v>238</v>
      </c>
      <c r="Q14" s="2" t="s">
        <v>239</v>
      </c>
      <c r="R14" s="2" t="s">
        <v>240</v>
      </c>
      <c r="S14" s="2" t="s">
        <v>233</v>
      </c>
      <c r="T14" s="2" t="s">
        <v>233</v>
      </c>
      <c r="U14" s="2" t="s">
        <v>233</v>
      </c>
      <c r="V14" s="2" t="s">
        <v>241</v>
      </c>
      <c r="W14" s="2" t="s">
        <v>233</v>
      </c>
      <c r="X14" s="2" t="s">
        <v>233</v>
      </c>
      <c r="Y14" s="2" t="s">
        <v>242</v>
      </c>
      <c r="Z14" s="4"/>
      <c r="AA14" s="4">
        <f>=ROUNDDOWN({0},0)</f>
      </c>
      <c r="AB14" s="5"/>
      <c r="AC14" s="2" t="s">
        <v>233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233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233</v>
      </c>
      <c r="AW14" s="8" t="s">
        <v>233</v>
      </c>
      <c r="AX14" s="4" t="s">
        <v>233</v>
      </c>
      <c r="AY14" s="8" t="s">
        <v>233</v>
      </c>
      <c r="AZ14" s="7" t="s">
        <v>233</v>
      </c>
      <c r="BA14" s="7" t="s">
        <v>233</v>
      </c>
      <c r="BB14" s="7"/>
      <c r="BC14" s="4" t="s">
        <v>233</v>
      </c>
      <c r="BD14" s="8" t="s">
        <v>233</v>
      </c>
      <c r="BE14" s="4" t="s">
        <v>233</v>
      </c>
      <c r="BF14" s="8" t="s">
        <v>233</v>
      </c>
      <c r="BG14" s="7" t="s">
        <v>233</v>
      </c>
      <c r="BH14" s="7" t="s">
        <v>233</v>
      </c>
      <c r="BI14" s="7"/>
      <c r="BJ14" s="4"/>
      <c r="BK14" s="8"/>
      <c r="BL14" s="2" t="s">
        <v>233</v>
      </c>
      <c r="BM14" s="7"/>
      <c r="BN14" s="7"/>
      <c r="BO14" s="4"/>
      <c r="BP14" s="8"/>
      <c r="BQ14" s="4"/>
      <c r="BR14" s="8"/>
      <c r="BS14" s="7"/>
      <c r="BT14" s="7"/>
      <c r="BU14" s="2" t="s">
        <v>243</v>
      </c>
      <c r="BV14" s="2" t="s">
        <v>233</v>
      </c>
      <c r="BW14" s="2" t="s">
        <v>233</v>
      </c>
      <c r="BX14" s="2" t="s">
        <v>233</v>
      </c>
      <c r="BY14" s="2" t="s">
        <v>244</v>
      </c>
      <c r="BZ14" s="2" t="s">
        <v>245</v>
      </c>
      <c r="CA14" s="2" t="s">
        <v>233</v>
      </c>
      <c r="CB14" s="2" t="s">
        <v>233</v>
      </c>
      <c r="CC14" s="2" t="s">
        <v>246</v>
      </c>
      <c r="CD14" s="2" t="s">
        <v>233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</row>
    <row r="15">
      <c r="A15" s="2" t="s">
        <v>262</v>
      </c>
      <c r="B15" s="2" t="s">
        <v>228</v>
      </c>
      <c r="C15" s="2" t="s">
        <v>229</v>
      </c>
      <c r="D15" s="2" t="s">
        <v>230</v>
      </c>
      <c r="E15" s="2" t="s">
        <v>231</v>
      </c>
      <c r="F15" s="2" t="s">
        <v>232</v>
      </c>
      <c r="G15" s="2" t="s">
        <v>233</v>
      </c>
      <c r="H15" s="2" t="s">
        <v>233</v>
      </c>
      <c r="I15" s="2" t="s">
        <v>234</v>
      </c>
      <c r="J15" s="2" t="s">
        <v>251</v>
      </c>
      <c r="K15" s="2" t="s">
        <v>257</v>
      </c>
      <c r="L15" s="3">
        <v>104.99</v>
      </c>
      <c r="M15" s="3">
        <v>110.24</v>
      </c>
      <c r="N15" s="3"/>
      <c r="O15" s="2" t="s">
        <v>252</v>
      </c>
      <c r="P15" s="2" t="s">
        <v>238</v>
      </c>
      <c r="Q15" s="2" t="s">
        <v>239</v>
      </c>
      <c r="R15" s="2" t="s">
        <v>240</v>
      </c>
      <c r="S15" s="2" t="s">
        <v>233</v>
      </c>
      <c r="T15" s="2" t="s">
        <v>233</v>
      </c>
      <c r="U15" s="2" t="s">
        <v>233</v>
      </c>
      <c r="V15" s="2" t="s">
        <v>241</v>
      </c>
      <c r="W15" s="2" t="s">
        <v>233</v>
      </c>
      <c r="X15" s="2" t="s">
        <v>233</v>
      </c>
      <c r="Y15" s="2" t="s">
        <v>242</v>
      </c>
      <c r="Z15" s="4"/>
      <c r="AA15" s="4">
        <f>=ROUNDDOWN({0},0)</f>
      </c>
      <c r="AB15" s="5"/>
      <c r="AC15" s="2" t="s">
        <v>233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233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233</v>
      </c>
      <c r="AW15" s="8" t="s">
        <v>233</v>
      </c>
      <c r="AX15" s="4" t="s">
        <v>233</v>
      </c>
      <c r="AY15" s="8" t="s">
        <v>233</v>
      </c>
      <c r="AZ15" s="7" t="s">
        <v>233</v>
      </c>
      <c r="BA15" s="7" t="s">
        <v>233</v>
      </c>
      <c r="BB15" s="7"/>
      <c r="BC15" s="4" t="s">
        <v>233</v>
      </c>
      <c r="BD15" s="8" t="s">
        <v>233</v>
      </c>
      <c r="BE15" s="4" t="s">
        <v>233</v>
      </c>
      <c r="BF15" s="8" t="s">
        <v>233</v>
      </c>
      <c r="BG15" s="7" t="s">
        <v>233</v>
      </c>
      <c r="BH15" s="7" t="s">
        <v>233</v>
      </c>
      <c r="BI15" s="7"/>
      <c r="BJ15" s="4"/>
      <c r="BK15" s="8"/>
      <c r="BL15" s="2" t="s">
        <v>233</v>
      </c>
      <c r="BM15" s="7"/>
      <c r="BN15" s="7"/>
      <c r="BO15" s="4"/>
      <c r="BP15" s="8"/>
      <c r="BQ15" s="4"/>
      <c r="BR15" s="8"/>
      <c r="BS15" s="7"/>
      <c r="BT15" s="7"/>
      <c r="BU15" s="2" t="s">
        <v>243</v>
      </c>
      <c r="BV15" s="2" t="s">
        <v>233</v>
      </c>
      <c r="BW15" s="2" t="s">
        <v>233</v>
      </c>
      <c r="BX15" s="2" t="s">
        <v>233</v>
      </c>
      <c r="BY15" s="2" t="s">
        <v>244</v>
      </c>
      <c r="BZ15" s="2" t="s">
        <v>245</v>
      </c>
      <c r="CA15" s="2" t="s">
        <v>233</v>
      </c>
      <c r="CB15" s="2" t="s">
        <v>233</v>
      </c>
      <c r="CC15" s="2" t="s">
        <v>246</v>
      </c>
      <c r="CD15" s="2" t="s">
        <v>233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</row>
    <row r="16">
      <c r="A16" s="2" t="s">
        <v>263</v>
      </c>
      <c r="B16" s="2" t="s">
        <v>264</v>
      </c>
      <c r="C16" s="2" t="s">
        <v>265</v>
      </c>
      <c r="D16" s="2" t="s">
        <v>266</v>
      </c>
      <c r="E16" s="2" t="s">
        <v>267</v>
      </c>
      <c r="F16" s="2" t="s">
        <v>268</v>
      </c>
      <c r="G16" s="2" t="s">
        <v>268</v>
      </c>
      <c r="H16" s="2" t="s">
        <v>268</v>
      </c>
      <c r="I16" s="2" t="s">
        <v>269</v>
      </c>
      <c r="J16" s="2" t="s">
        <v>270</v>
      </c>
      <c r="K16" s="2" t="s">
        <v>271</v>
      </c>
      <c r="L16" s="3">
        <v>25.3</v>
      </c>
      <c r="M16" s="3">
        <v>26.56</v>
      </c>
      <c r="N16" s="3">
        <v>54.99</v>
      </c>
      <c r="O16" s="2" t="s">
        <v>245</v>
      </c>
      <c r="P16" s="2" t="s">
        <v>272</v>
      </c>
      <c r="Q16" s="2" t="s">
        <v>239</v>
      </c>
      <c r="R16" s="2" t="s">
        <v>233</v>
      </c>
      <c r="S16" s="2" t="s">
        <v>273</v>
      </c>
      <c r="T16" s="2" t="s">
        <v>274</v>
      </c>
      <c r="U16" s="2" t="s">
        <v>233</v>
      </c>
      <c r="V16" s="2" t="s">
        <v>241</v>
      </c>
      <c r="W16" s="2" t="s">
        <v>275</v>
      </c>
      <c r="X16" s="2" t="s">
        <v>233</v>
      </c>
      <c r="Y16" s="2" t="s">
        <v>276</v>
      </c>
      <c r="Z16" s="4">
        <v>291</v>
      </c>
      <c r="AA16" s="4">
        <f>=ROUNDDOWN(36.375,0)</f>
      </c>
      <c r="AB16" s="5">
        <v>8</v>
      </c>
      <c r="AC16" s="2" t="s">
        <v>277</v>
      </c>
      <c r="AD16" s="4">
        <v>100</v>
      </c>
      <c r="AE16" s="4">
        <v>100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233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233</v>
      </c>
      <c r="AW16" s="8" t="s">
        <v>233</v>
      </c>
      <c r="AX16" s="4" t="s">
        <v>233</v>
      </c>
      <c r="AY16" s="8" t="s">
        <v>233</v>
      </c>
      <c r="AZ16" s="7" t="s">
        <v>233</v>
      </c>
      <c r="BA16" s="7" t="s">
        <v>233</v>
      </c>
      <c r="BB16" s="7"/>
      <c r="BC16" s="4" t="s">
        <v>233</v>
      </c>
      <c r="BD16" s="8" t="s">
        <v>233</v>
      </c>
      <c r="BE16" s="4" t="s">
        <v>233</v>
      </c>
      <c r="BF16" s="8" t="s">
        <v>233</v>
      </c>
      <c r="BG16" s="7" t="s">
        <v>233</v>
      </c>
      <c r="BH16" s="7" t="s">
        <v>233</v>
      </c>
      <c r="BI16" s="7"/>
      <c r="BJ16" s="4">
        <v>22</v>
      </c>
      <c r="BK16" s="8">
        <v>622.68</v>
      </c>
      <c r="BL16" s="2" t="s">
        <v>278</v>
      </c>
      <c r="BM16" s="7"/>
      <c r="BN16" s="7"/>
      <c r="BO16" s="4"/>
      <c r="BP16" s="8"/>
      <c r="BQ16" s="4"/>
      <c r="BR16" s="8"/>
      <c r="BS16" s="7"/>
      <c r="BT16" s="7"/>
      <c r="BU16" s="2" t="s">
        <v>279</v>
      </c>
      <c r="BV16" s="2" t="s">
        <v>233</v>
      </c>
      <c r="BW16" s="2" t="s">
        <v>233</v>
      </c>
      <c r="BX16" s="2" t="s">
        <v>233</v>
      </c>
      <c r="BY16" s="2" t="s">
        <v>280</v>
      </c>
      <c r="BZ16" s="2" t="s">
        <v>245</v>
      </c>
      <c r="CA16" s="2" t="s">
        <v>281</v>
      </c>
      <c r="CB16" s="2" t="s">
        <v>282</v>
      </c>
      <c r="CC16" s="2" t="s">
        <v>246</v>
      </c>
      <c r="CD16" s="2" t="s">
        <v>233</v>
      </c>
      <c r="CE16" s="4">
        <v>291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>
        <v>100</v>
      </c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</row>
    <row r="17">
      <c r="A17" s="2" t="s">
        <v>283</v>
      </c>
      <c r="B17" s="2" t="s">
        <v>264</v>
      </c>
      <c r="C17" s="2" t="s">
        <v>265</v>
      </c>
      <c r="D17" s="2" t="s">
        <v>266</v>
      </c>
      <c r="E17" s="2" t="s">
        <v>267</v>
      </c>
      <c r="F17" s="2" t="s">
        <v>268</v>
      </c>
      <c r="G17" s="2" t="s">
        <v>268</v>
      </c>
      <c r="H17" s="2" t="s">
        <v>268</v>
      </c>
      <c r="I17" s="2" t="s">
        <v>269</v>
      </c>
      <c r="J17" s="2" t="s">
        <v>284</v>
      </c>
      <c r="K17" s="2" t="s">
        <v>271</v>
      </c>
      <c r="L17" s="3">
        <v>27.6</v>
      </c>
      <c r="M17" s="3">
        <v>28.98</v>
      </c>
      <c r="N17" s="3">
        <v>59.99</v>
      </c>
      <c r="O17" s="2" t="s">
        <v>245</v>
      </c>
      <c r="P17" s="2" t="s">
        <v>272</v>
      </c>
      <c r="Q17" s="2" t="s">
        <v>239</v>
      </c>
      <c r="R17" s="2" t="s">
        <v>233</v>
      </c>
      <c r="S17" s="2" t="s">
        <v>273</v>
      </c>
      <c r="T17" s="2" t="s">
        <v>274</v>
      </c>
      <c r="U17" s="2" t="s">
        <v>233</v>
      </c>
      <c r="V17" s="2" t="s">
        <v>241</v>
      </c>
      <c r="W17" s="2" t="s">
        <v>275</v>
      </c>
      <c r="X17" s="2" t="s">
        <v>233</v>
      </c>
      <c r="Y17" s="2" t="s">
        <v>276</v>
      </c>
      <c r="Z17" s="4">
        <v>201</v>
      </c>
      <c r="AA17" s="4">
        <f>=ROUNDDOWN(18.2727272727273,0)</f>
      </c>
      <c r="AB17" s="5">
        <v>11</v>
      </c>
      <c r="AC17" s="2" t="s">
        <v>277</v>
      </c>
      <c r="AD17" s="4">
        <v>950</v>
      </c>
      <c r="AE17" s="4">
        <v>950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233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233</v>
      </c>
      <c r="AW17" s="8" t="s">
        <v>233</v>
      </c>
      <c r="AX17" s="4" t="s">
        <v>233</v>
      </c>
      <c r="AY17" s="8" t="s">
        <v>233</v>
      </c>
      <c r="AZ17" s="7" t="s">
        <v>233</v>
      </c>
      <c r="BA17" s="7" t="s">
        <v>233</v>
      </c>
      <c r="BB17" s="7"/>
      <c r="BC17" s="4" t="s">
        <v>233</v>
      </c>
      <c r="BD17" s="8" t="s">
        <v>233</v>
      </c>
      <c r="BE17" s="4" t="s">
        <v>233</v>
      </c>
      <c r="BF17" s="8" t="s">
        <v>233</v>
      </c>
      <c r="BG17" s="7" t="s">
        <v>233</v>
      </c>
      <c r="BH17" s="7" t="s">
        <v>233</v>
      </c>
      <c r="BI17" s="7"/>
      <c r="BJ17" s="4">
        <v>19</v>
      </c>
      <c r="BK17" s="8">
        <v>540.38</v>
      </c>
      <c r="BL17" s="2" t="s">
        <v>285</v>
      </c>
      <c r="BM17" s="7"/>
      <c r="BN17" s="7"/>
      <c r="BO17" s="4"/>
      <c r="BP17" s="8"/>
      <c r="BQ17" s="4"/>
      <c r="BR17" s="8"/>
      <c r="BS17" s="7"/>
      <c r="BT17" s="7"/>
      <c r="BU17" s="2" t="s">
        <v>286</v>
      </c>
      <c r="BV17" s="2" t="s">
        <v>233</v>
      </c>
      <c r="BW17" s="2" t="s">
        <v>233</v>
      </c>
      <c r="BX17" s="2" t="s">
        <v>233</v>
      </c>
      <c r="BY17" s="2" t="s">
        <v>280</v>
      </c>
      <c r="BZ17" s="2" t="s">
        <v>245</v>
      </c>
      <c r="CA17" s="2" t="s">
        <v>287</v>
      </c>
      <c r="CB17" s="2" t="s">
        <v>288</v>
      </c>
      <c r="CC17" s="2" t="s">
        <v>246</v>
      </c>
      <c r="CD17" s="2" t="s">
        <v>233</v>
      </c>
      <c r="CE17" s="4">
        <v>201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>
        <v>950</v>
      </c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</row>
    <row r="18">
      <c r="A18" s="2" t="s">
        <v>289</v>
      </c>
      <c r="B18" s="2" t="s">
        <v>264</v>
      </c>
      <c r="C18" s="2" t="s">
        <v>265</v>
      </c>
      <c r="D18" s="2" t="s">
        <v>266</v>
      </c>
      <c r="E18" s="2" t="s">
        <v>267</v>
      </c>
      <c r="F18" s="2" t="s">
        <v>268</v>
      </c>
      <c r="G18" s="2" t="s">
        <v>268</v>
      </c>
      <c r="H18" s="2" t="s">
        <v>268</v>
      </c>
      <c r="I18" s="2" t="s">
        <v>269</v>
      </c>
      <c r="J18" s="2" t="s">
        <v>290</v>
      </c>
      <c r="K18" s="2" t="s">
        <v>271</v>
      </c>
      <c r="L18" s="3">
        <v>32.2</v>
      </c>
      <c r="M18" s="3">
        <v>33.81</v>
      </c>
      <c r="N18" s="3">
        <v>69.99</v>
      </c>
      <c r="O18" s="2" t="s">
        <v>245</v>
      </c>
      <c r="P18" s="2" t="s">
        <v>272</v>
      </c>
      <c r="Q18" s="2" t="s">
        <v>239</v>
      </c>
      <c r="R18" s="2" t="s">
        <v>233</v>
      </c>
      <c r="S18" s="2" t="s">
        <v>273</v>
      </c>
      <c r="T18" s="2" t="s">
        <v>274</v>
      </c>
      <c r="U18" s="2" t="s">
        <v>233</v>
      </c>
      <c r="V18" s="2" t="s">
        <v>241</v>
      </c>
      <c r="W18" s="2" t="s">
        <v>275</v>
      </c>
      <c r="X18" s="2" t="s">
        <v>233</v>
      </c>
      <c r="Y18" s="2" t="s">
        <v>276</v>
      </c>
      <c r="Z18" s="4">
        <v>222</v>
      </c>
      <c r="AA18" s="4">
        <f>=ROUNDDOWN(31.7142857142857,0)</f>
      </c>
      <c r="AB18" s="5">
        <v>7</v>
      </c>
      <c r="AC18" s="2" t="s">
        <v>277</v>
      </c>
      <c r="AD18" s="4">
        <v>100</v>
      </c>
      <c r="AE18" s="4">
        <v>100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233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233</v>
      </c>
      <c r="AW18" s="8" t="s">
        <v>233</v>
      </c>
      <c r="AX18" s="4" t="s">
        <v>233</v>
      </c>
      <c r="AY18" s="8" t="s">
        <v>233</v>
      </c>
      <c r="AZ18" s="7" t="s">
        <v>233</v>
      </c>
      <c r="BA18" s="7" t="s">
        <v>233</v>
      </c>
      <c r="BB18" s="7"/>
      <c r="BC18" s="4" t="s">
        <v>233</v>
      </c>
      <c r="BD18" s="8" t="s">
        <v>233</v>
      </c>
      <c r="BE18" s="4" t="s">
        <v>233</v>
      </c>
      <c r="BF18" s="8" t="s">
        <v>233</v>
      </c>
      <c r="BG18" s="7" t="s">
        <v>233</v>
      </c>
      <c r="BH18" s="7" t="s">
        <v>233</v>
      </c>
      <c r="BI18" s="7"/>
      <c r="BJ18" s="4">
        <v>14</v>
      </c>
      <c r="BK18" s="8">
        <v>511.78</v>
      </c>
      <c r="BL18" s="2" t="s">
        <v>291</v>
      </c>
      <c r="BM18" s="7"/>
      <c r="BN18" s="7"/>
      <c r="BO18" s="4"/>
      <c r="BP18" s="8"/>
      <c r="BQ18" s="4"/>
      <c r="BR18" s="8"/>
      <c r="BS18" s="7"/>
      <c r="BT18" s="7"/>
      <c r="BU18" s="2" t="s">
        <v>292</v>
      </c>
      <c r="BV18" s="2" t="s">
        <v>233</v>
      </c>
      <c r="BW18" s="2" t="s">
        <v>233</v>
      </c>
      <c r="BX18" s="2" t="s">
        <v>233</v>
      </c>
      <c r="BY18" s="2" t="s">
        <v>280</v>
      </c>
      <c r="BZ18" s="2" t="s">
        <v>245</v>
      </c>
      <c r="CA18" s="2" t="s">
        <v>281</v>
      </c>
      <c r="CB18" s="2" t="s">
        <v>293</v>
      </c>
      <c r="CC18" s="2" t="s">
        <v>246</v>
      </c>
      <c r="CD18" s="2" t="s">
        <v>233</v>
      </c>
      <c r="CE18" s="4">
        <v>222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>
        <v>100</v>
      </c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</row>
    <row r="19">
      <c r="A19" s="2" t="s">
        <v>294</v>
      </c>
      <c r="B19" s="2" t="s">
        <v>264</v>
      </c>
      <c r="C19" s="2" t="s">
        <v>265</v>
      </c>
      <c r="D19" s="2" t="s">
        <v>266</v>
      </c>
      <c r="E19" s="2" t="s">
        <v>267</v>
      </c>
      <c r="F19" s="2" t="s">
        <v>295</v>
      </c>
      <c r="G19" s="2" t="s">
        <v>295</v>
      </c>
      <c r="H19" s="2" t="s">
        <v>295</v>
      </c>
      <c r="I19" s="2" t="s">
        <v>296</v>
      </c>
      <c r="J19" s="2" t="s">
        <v>270</v>
      </c>
      <c r="K19" s="2" t="s">
        <v>297</v>
      </c>
      <c r="L19" s="3">
        <v>58.29</v>
      </c>
      <c r="M19" s="3">
        <v>61.2</v>
      </c>
      <c r="N19" s="3">
        <v>109.99</v>
      </c>
      <c r="O19" s="2" t="s">
        <v>245</v>
      </c>
      <c r="P19" s="2" t="s">
        <v>272</v>
      </c>
      <c r="Q19" s="2" t="s">
        <v>239</v>
      </c>
      <c r="R19" s="2" t="s">
        <v>233</v>
      </c>
      <c r="S19" s="2" t="s">
        <v>298</v>
      </c>
      <c r="T19" s="2" t="s">
        <v>274</v>
      </c>
      <c r="U19" s="2" t="s">
        <v>233</v>
      </c>
      <c r="V19" s="2" t="s">
        <v>241</v>
      </c>
      <c r="W19" s="2" t="s">
        <v>275</v>
      </c>
      <c r="X19" s="2" t="s">
        <v>233</v>
      </c>
      <c r="Y19" s="2" t="s">
        <v>276</v>
      </c>
      <c r="Z19" s="4">
        <v>191</v>
      </c>
      <c r="AA19" s="4">
        <f>=ROUNDDOWN(31.8333333333333,0)</f>
      </c>
      <c r="AB19" s="5">
        <v>6</v>
      </c>
      <c r="AC19" s="2" t="s">
        <v>299</v>
      </c>
      <c r="AD19" s="4">
        <v>50</v>
      </c>
      <c r="AE19" s="4">
        <v>100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233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233</v>
      </c>
      <c r="AW19" s="8" t="s">
        <v>233</v>
      </c>
      <c r="AX19" s="4" t="s">
        <v>233</v>
      </c>
      <c r="AY19" s="8" t="s">
        <v>233</v>
      </c>
      <c r="AZ19" s="7" t="s">
        <v>233</v>
      </c>
      <c r="BA19" s="7" t="s">
        <v>233</v>
      </c>
      <c r="BB19" s="7"/>
      <c r="BC19" s="4" t="s">
        <v>233</v>
      </c>
      <c r="BD19" s="8" t="s">
        <v>233</v>
      </c>
      <c r="BE19" s="4" t="s">
        <v>233</v>
      </c>
      <c r="BF19" s="8" t="s">
        <v>233</v>
      </c>
      <c r="BG19" s="7" t="s">
        <v>233</v>
      </c>
      <c r="BH19" s="7" t="s">
        <v>233</v>
      </c>
      <c r="BI19" s="7"/>
      <c r="BJ19" s="4">
        <v>7</v>
      </c>
      <c r="BK19" s="8">
        <v>413.6</v>
      </c>
      <c r="BL19" s="2" t="s">
        <v>300</v>
      </c>
      <c r="BM19" s="7"/>
      <c r="BN19" s="7"/>
      <c r="BO19" s="4"/>
      <c r="BP19" s="8"/>
      <c r="BQ19" s="4"/>
      <c r="BR19" s="8"/>
      <c r="BS19" s="7"/>
      <c r="BT19" s="7"/>
      <c r="BU19" s="2" t="s">
        <v>301</v>
      </c>
      <c r="BV19" s="2" t="s">
        <v>233</v>
      </c>
      <c r="BW19" s="2" t="s">
        <v>233</v>
      </c>
      <c r="BX19" s="2" t="s">
        <v>233</v>
      </c>
      <c r="BY19" s="2" t="s">
        <v>280</v>
      </c>
      <c r="BZ19" s="2" t="s">
        <v>245</v>
      </c>
      <c r="CA19" s="2" t="s">
        <v>281</v>
      </c>
      <c r="CB19" s="2" t="s">
        <v>302</v>
      </c>
      <c r="CC19" s="2" t="s">
        <v>246</v>
      </c>
      <c r="CD19" s="2" t="s">
        <v>233</v>
      </c>
      <c r="CE19" s="4">
        <v>191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>
        <v>50</v>
      </c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>
        <v>50</v>
      </c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</row>
    <row r="20">
      <c r="A20" s="2" t="s">
        <v>303</v>
      </c>
      <c r="B20" s="2" t="s">
        <v>264</v>
      </c>
      <c r="C20" s="2" t="s">
        <v>265</v>
      </c>
      <c r="D20" s="2" t="s">
        <v>266</v>
      </c>
      <c r="E20" s="2" t="s">
        <v>267</v>
      </c>
      <c r="F20" s="2" t="s">
        <v>295</v>
      </c>
      <c r="G20" s="2" t="s">
        <v>295</v>
      </c>
      <c r="H20" s="2" t="s">
        <v>295</v>
      </c>
      <c r="I20" s="2" t="s">
        <v>296</v>
      </c>
      <c r="J20" s="2" t="s">
        <v>290</v>
      </c>
      <c r="K20" s="2" t="s">
        <v>297</v>
      </c>
      <c r="L20" s="3">
        <v>74.19</v>
      </c>
      <c r="M20" s="3">
        <v>77.9</v>
      </c>
      <c r="N20" s="3">
        <v>139.99</v>
      </c>
      <c r="O20" s="2" t="s">
        <v>245</v>
      </c>
      <c r="P20" s="2" t="s">
        <v>272</v>
      </c>
      <c r="Q20" s="2" t="s">
        <v>239</v>
      </c>
      <c r="R20" s="2" t="s">
        <v>233</v>
      </c>
      <c r="S20" s="2" t="s">
        <v>298</v>
      </c>
      <c r="T20" s="2" t="s">
        <v>274</v>
      </c>
      <c r="U20" s="2" t="s">
        <v>233</v>
      </c>
      <c r="V20" s="2" t="s">
        <v>241</v>
      </c>
      <c r="W20" s="2" t="s">
        <v>275</v>
      </c>
      <c r="X20" s="2" t="s">
        <v>233</v>
      </c>
      <c r="Y20" s="2" t="s">
        <v>276</v>
      </c>
      <c r="Z20" s="4">
        <v>182</v>
      </c>
      <c r="AA20" s="4">
        <f>=ROUNDDOWN(30.3333333333333,0)</f>
      </c>
      <c r="AB20" s="5">
        <v>6</v>
      </c>
      <c r="AC20" s="2" t="s">
        <v>299</v>
      </c>
      <c r="AD20" s="4">
        <v>100</v>
      </c>
      <c r="AE20" s="4">
        <v>100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233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233</v>
      </c>
      <c r="AW20" s="8" t="s">
        <v>233</v>
      </c>
      <c r="AX20" s="4" t="s">
        <v>233</v>
      </c>
      <c r="AY20" s="8" t="s">
        <v>233</v>
      </c>
      <c r="AZ20" s="7" t="s">
        <v>233</v>
      </c>
      <c r="BA20" s="7" t="s">
        <v>233</v>
      </c>
      <c r="BB20" s="7"/>
      <c r="BC20" s="4" t="s">
        <v>233</v>
      </c>
      <c r="BD20" s="8" t="s">
        <v>233</v>
      </c>
      <c r="BE20" s="4" t="s">
        <v>233</v>
      </c>
      <c r="BF20" s="8" t="s">
        <v>233</v>
      </c>
      <c r="BG20" s="7" t="s">
        <v>233</v>
      </c>
      <c r="BH20" s="7" t="s">
        <v>233</v>
      </c>
      <c r="BI20" s="7"/>
      <c r="BJ20" s="4">
        <v>6</v>
      </c>
      <c r="BK20" s="8">
        <v>463.77</v>
      </c>
      <c r="BL20" s="2" t="s">
        <v>304</v>
      </c>
      <c r="BM20" s="7"/>
      <c r="BN20" s="7"/>
      <c r="BO20" s="4"/>
      <c r="BP20" s="8"/>
      <c r="BQ20" s="4"/>
      <c r="BR20" s="8"/>
      <c r="BS20" s="7"/>
      <c r="BT20" s="7"/>
      <c r="BU20" s="2" t="s">
        <v>305</v>
      </c>
      <c r="BV20" s="2" t="s">
        <v>233</v>
      </c>
      <c r="BW20" s="2" t="s">
        <v>233</v>
      </c>
      <c r="BX20" s="2" t="s">
        <v>233</v>
      </c>
      <c r="BY20" s="2" t="s">
        <v>280</v>
      </c>
      <c r="BZ20" s="2" t="s">
        <v>245</v>
      </c>
      <c r="CA20" s="2" t="s">
        <v>281</v>
      </c>
      <c r="CB20" s="2" t="s">
        <v>306</v>
      </c>
      <c r="CC20" s="2" t="s">
        <v>246</v>
      </c>
      <c r="CD20" s="2" t="s">
        <v>233</v>
      </c>
      <c r="CE20" s="4">
        <v>182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>
        <v>100</v>
      </c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</row>
    <row r="21">
      <c r="A21" s="2" t="s">
        <v>307</v>
      </c>
      <c r="B21" s="2" t="s">
        <v>264</v>
      </c>
      <c r="C21" s="2" t="s">
        <v>265</v>
      </c>
      <c r="D21" s="2" t="s">
        <v>266</v>
      </c>
      <c r="E21" s="2" t="s">
        <v>267</v>
      </c>
      <c r="F21" s="2" t="s">
        <v>308</v>
      </c>
      <c r="G21" s="2" t="s">
        <v>309</v>
      </c>
      <c r="H21" s="2" t="s">
        <v>308</v>
      </c>
      <c r="I21" s="2" t="s">
        <v>310</v>
      </c>
      <c r="J21" s="2" t="s">
        <v>270</v>
      </c>
      <c r="K21" s="2" t="s">
        <v>297</v>
      </c>
      <c r="L21" s="3">
        <v>52.99</v>
      </c>
      <c r="M21" s="3">
        <v>55.64</v>
      </c>
      <c r="N21" s="3">
        <v>99.99</v>
      </c>
      <c r="O21" s="2" t="s">
        <v>245</v>
      </c>
      <c r="P21" s="2" t="s">
        <v>311</v>
      </c>
      <c r="Q21" s="2" t="s">
        <v>239</v>
      </c>
      <c r="R21" s="2" t="s">
        <v>233</v>
      </c>
      <c r="S21" s="2" t="s">
        <v>312</v>
      </c>
      <c r="T21" s="2" t="s">
        <v>274</v>
      </c>
      <c r="U21" s="2" t="s">
        <v>233</v>
      </c>
      <c r="V21" s="2" t="s">
        <v>241</v>
      </c>
      <c r="W21" s="2" t="s">
        <v>275</v>
      </c>
      <c r="X21" s="2" t="s">
        <v>233</v>
      </c>
      <c r="Y21" s="2" t="s">
        <v>276</v>
      </c>
      <c r="Z21" s="4">
        <v>77</v>
      </c>
      <c r="AA21" s="4">
        <f>=ROUNDDOWN(25.6666666666667,0)</f>
      </c>
      <c r="AB21" s="5">
        <v>3</v>
      </c>
      <c r="AC21" s="2" t="s">
        <v>299</v>
      </c>
      <c r="AD21" s="4">
        <v>50</v>
      </c>
      <c r="AE21" s="4">
        <v>50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233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233</v>
      </c>
      <c r="AW21" s="8" t="s">
        <v>233</v>
      </c>
      <c r="AX21" s="4" t="s">
        <v>233</v>
      </c>
      <c r="AY21" s="8" t="s">
        <v>233</v>
      </c>
      <c r="AZ21" s="7" t="s">
        <v>233</v>
      </c>
      <c r="BA21" s="7" t="s">
        <v>233</v>
      </c>
      <c r="BB21" s="7"/>
      <c r="BC21" s="4" t="s">
        <v>233</v>
      </c>
      <c r="BD21" s="8" t="s">
        <v>233</v>
      </c>
      <c r="BE21" s="4" t="s">
        <v>233</v>
      </c>
      <c r="BF21" s="8" t="s">
        <v>233</v>
      </c>
      <c r="BG21" s="7" t="s">
        <v>233</v>
      </c>
      <c r="BH21" s="7" t="s">
        <v>233</v>
      </c>
      <c r="BI21" s="7"/>
      <c r="BJ21" s="4">
        <v>5</v>
      </c>
      <c r="BK21" s="8">
        <v>315.66</v>
      </c>
      <c r="BL21" s="2" t="s">
        <v>313</v>
      </c>
      <c r="BM21" s="7"/>
      <c r="BN21" s="7"/>
      <c r="BO21" s="4"/>
      <c r="BP21" s="8"/>
      <c r="BQ21" s="4"/>
      <c r="BR21" s="8"/>
      <c r="BS21" s="7"/>
      <c r="BT21" s="7"/>
      <c r="BU21" s="2" t="s">
        <v>314</v>
      </c>
      <c r="BV21" s="2" t="s">
        <v>233</v>
      </c>
      <c r="BW21" s="2" t="s">
        <v>233</v>
      </c>
      <c r="BX21" s="2" t="s">
        <v>233</v>
      </c>
      <c r="BY21" s="2" t="s">
        <v>280</v>
      </c>
      <c r="BZ21" s="2" t="s">
        <v>245</v>
      </c>
      <c r="CA21" s="2" t="s">
        <v>315</v>
      </c>
      <c r="CB21" s="2" t="s">
        <v>316</v>
      </c>
      <c r="CC21" s="2" t="s">
        <v>246</v>
      </c>
      <c r="CD21" s="2" t="s">
        <v>233</v>
      </c>
      <c r="CE21" s="4">
        <v>77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>
        <v>50</v>
      </c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</row>
    <row r="22">
      <c r="A22" s="2" t="s">
        <v>317</v>
      </c>
      <c r="B22" s="2" t="s">
        <v>264</v>
      </c>
      <c r="C22" s="2" t="s">
        <v>265</v>
      </c>
      <c r="D22" s="2" t="s">
        <v>266</v>
      </c>
      <c r="E22" s="2" t="s">
        <v>267</v>
      </c>
      <c r="F22" s="2" t="s">
        <v>308</v>
      </c>
      <c r="G22" s="2" t="s">
        <v>309</v>
      </c>
      <c r="H22" s="2" t="s">
        <v>308</v>
      </c>
      <c r="I22" s="2" t="s">
        <v>310</v>
      </c>
      <c r="J22" s="2" t="s">
        <v>284</v>
      </c>
      <c r="K22" s="2" t="s">
        <v>297</v>
      </c>
      <c r="L22" s="3">
        <v>63.59</v>
      </c>
      <c r="M22" s="3">
        <v>66.77</v>
      </c>
      <c r="N22" s="3">
        <v>119.99</v>
      </c>
      <c r="O22" s="2" t="s">
        <v>245</v>
      </c>
      <c r="P22" s="2" t="s">
        <v>311</v>
      </c>
      <c r="Q22" s="2" t="s">
        <v>239</v>
      </c>
      <c r="R22" s="2" t="s">
        <v>233</v>
      </c>
      <c r="S22" s="2" t="s">
        <v>312</v>
      </c>
      <c r="T22" s="2" t="s">
        <v>274</v>
      </c>
      <c r="U22" s="2" t="s">
        <v>233</v>
      </c>
      <c r="V22" s="2" t="s">
        <v>241</v>
      </c>
      <c r="W22" s="2" t="s">
        <v>275</v>
      </c>
      <c r="X22" s="2" t="s">
        <v>233</v>
      </c>
      <c r="Y22" s="2" t="s">
        <v>318</v>
      </c>
      <c r="Z22" s="4">
        <v>79</v>
      </c>
      <c r="AA22" s="4">
        <f>=ROUNDDOWN(39.5,0)</f>
      </c>
      <c r="AB22" s="5">
        <v>2</v>
      </c>
      <c r="AC22" s="2" t="s">
        <v>319</v>
      </c>
      <c r="AD22" s="4">
        <v>180</v>
      </c>
      <c r="AE22" s="4">
        <v>300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233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233</v>
      </c>
      <c r="AW22" s="8" t="s">
        <v>233</v>
      </c>
      <c r="AX22" s="4" t="s">
        <v>233</v>
      </c>
      <c r="AY22" s="8" t="s">
        <v>233</v>
      </c>
      <c r="AZ22" s="7" t="s">
        <v>233</v>
      </c>
      <c r="BA22" s="7" t="s">
        <v>233</v>
      </c>
      <c r="BB22" s="7"/>
      <c r="BC22" s="4" t="s">
        <v>233</v>
      </c>
      <c r="BD22" s="8" t="s">
        <v>233</v>
      </c>
      <c r="BE22" s="4" t="s">
        <v>233</v>
      </c>
      <c r="BF22" s="8" t="s">
        <v>233</v>
      </c>
      <c r="BG22" s="7" t="s">
        <v>233</v>
      </c>
      <c r="BH22" s="7" t="s">
        <v>233</v>
      </c>
      <c r="BI22" s="7"/>
      <c r="BJ22" s="4">
        <v>6</v>
      </c>
      <c r="BK22" s="8">
        <v>396.25</v>
      </c>
      <c r="BL22" s="2" t="s">
        <v>320</v>
      </c>
      <c r="BM22" s="7"/>
      <c r="BN22" s="7"/>
      <c r="BO22" s="4"/>
      <c r="BP22" s="8"/>
      <c r="BQ22" s="4"/>
      <c r="BR22" s="8"/>
      <c r="BS22" s="7"/>
      <c r="BT22" s="7"/>
      <c r="BU22" s="2" t="s">
        <v>321</v>
      </c>
      <c r="BV22" s="2" t="s">
        <v>233</v>
      </c>
      <c r="BW22" s="2" t="s">
        <v>233</v>
      </c>
      <c r="BX22" s="2" t="s">
        <v>233</v>
      </c>
      <c r="BY22" s="2" t="s">
        <v>280</v>
      </c>
      <c r="BZ22" s="2" t="s">
        <v>245</v>
      </c>
      <c r="CA22" s="2" t="s">
        <v>315</v>
      </c>
      <c r="CB22" s="2" t="s">
        <v>322</v>
      </c>
      <c r="CC22" s="2" t="s">
        <v>246</v>
      </c>
      <c r="CD22" s="2" t="s">
        <v>233</v>
      </c>
      <c r="CE22" s="4">
        <v>79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>
        <v>180</v>
      </c>
      <c r="DV22" s="4"/>
      <c r="DW22" s="4"/>
      <c r="DX22" s="4"/>
      <c r="DY22" s="4"/>
      <c r="DZ22" s="4"/>
      <c r="EA22" s="4">
        <v>120</v>
      </c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</row>
    <row r="23">
      <c r="A23" s="2" t="s">
        <v>323</v>
      </c>
      <c r="B23" s="2" t="s">
        <v>264</v>
      </c>
      <c r="C23" s="2" t="s">
        <v>265</v>
      </c>
      <c r="D23" s="2" t="s">
        <v>266</v>
      </c>
      <c r="E23" s="2" t="s">
        <v>267</v>
      </c>
      <c r="F23" s="2" t="s">
        <v>308</v>
      </c>
      <c r="G23" s="2" t="s">
        <v>309</v>
      </c>
      <c r="H23" s="2" t="s">
        <v>308</v>
      </c>
      <c r="I23" s="2" t="s">
        <v>310</v>
      </c>
      <c r="J23" s="2" t="s">
        <v>290</v>
      </c>
      <c r="K23" s="2" t="s">
        <v>297</v>
      </c>
      <c r="L23" s="3">
        <v>79.49</v>
      </c>
      <c r="M23" s="3">
        <v>83.46</v>
      </c>
      <c r="N23" s="3">
        <v>149.99</v>
      </c>
      <c r="O23" s="2" t="s">
        <v>245</v>
      </c>
      <c r="P23" s="2" t="s">
        <v>311</v>
      </c>
      <c r="Q23" s="2" t="s">
        <v>239</v>
      </c>
      <c r="R23" s="2" t="s">
        <v>233</v>
      </c>
      <c r="S23" s="2" t="s">
        <v>312</v>
      </c>
      <c r="T23" s="2" t="s">
        <v>274</v>
      </c>
      <c r="U23" s="2" t="s">
        <v>233</v>
      </c>
      <c r="V23" s="2" t="s">
        <v>241</v>
      </c>
      <c r="W23" s="2" t="s">
        <v>275</v>
      </c>
      <c r="X23" s="2" t="s">
        <v>233</v>
      </c>
      <c r="Y23" s="2" t="s">
        <v>276</v>
      </c>
      <c r="Z23" s="4">
        <v>116</v>
      </c>
      <c r="AA23" s="4">
        <f>=ROUNDDOWN(29,0)</f>
      </c>
      <c r="AB23" s="5">
        <v>4</v>
      </c>
      <c r="AC23" s="2" t="s">
        <v>233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233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233</v>
      </c>
      <c r="AW23" s="8" t="s">
        <v>233</v>
      </c>
      <c r="AX23" s="4" t="s">
        <v>233</v>
      </c>
      <c r="AY23" s="8" t="s">
        <v>233</v>
      </c>
      <c r="AZ23" s="7" t="s">
        <v>233</v>
      </c>
      <c r="BA23" s="7" t="s">
        <v>233</v>
      </c>
      <c r="BB23" s="7"/>
      <c r="BC23" s="4" t="s">
        <v>233</v>
      </c>
      <c r="BD23" s="8" t="s">
        <v>233</v>
      </c>
      <c r="BE23" s="4" t="s">
        <v>233</v>
      </c>
      <c r="BF23" s="8" t="s">
        <v>233</v>
      </c>
      <c r="BG23" s="7" t="s">
        <v>233</v>
      </c>
      <c r="BH23" s="7" t="s">
        <v>233</v>
      </c>
      <c r="BI23" s="7"/>
      <c r="BJ23" s="4"/>
      <c r="BK23" s="8"/>
      <c r="BL23" s="2" t="s">
        <v>324</v>
      </c>
      <c r="BM23" s="7"/>
      <c r="BN23" s="7"/>
      <c r="BO23" s="4"/>
      <c r="BP23" s="8"/>
      <c r="BQ23" s="4"/>
      <c r="BR23" s="8"/>
      <c r="BS23" s="7"/>
      <c r="BT23" s="7"/>
      <c r="BU23" s="2" t="s">
        <v>325</v>
      </c>
      <c r="BV23" s="2" t="s">
        <v>233</v>
      </c>
      <c r="BW23" s="2" t="s">
        <v>233</v>
      </c>
      <c r="BX23" s="2" t="s">
        <v>233</v>
      </c>
      <c r="BY23" s="2" t="s">
        <v>280</v>
      </c>
      <c r="BZ23" s="2" t="s">
        <v>245</v>
      </c>
      <c r="CA23" s="2" t="s">
        <v>315</v>
      </c>
      <c r="CB23" s="2" t="s">
        <v>326</v>
      </c>
      <c r="CC23" s="2" t="s">
        <v>246</v>
      </c>
      <c r="CD23" s="2" t="s">
        <v>233</v>
      </c>
      <c r="CE23" s="4">
        <v>116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</row>
    <row r="24">
      <c r="A24" s="2" t="s">
        <v>327</v>
      </c>
      <c r="B24" s="2" t="s">
        <v>264</v>
      </c>
      <c r="C24" s="2" t="s">
        <v>265</v>
      </c>
      <c r="D24" s="2" t="s">
        <v>266</v>
      </c>
      <c r="E24" s="2" t="s">
        <v>267</v>
      </c>
      <c r="F24" s="2" t="s">
        <v>308</v>
      </c>
      <c r="G24" s="2" t="s">
        <v>309</v>
      </c>
      <c r="H24" s="2" t="s">
        <v>308</v>
      </c>
      <c r="I24" s="2" t="s">
        <v>310</v>
      </c>
      <c r="J24" s="2" t="s">
        <v>328</v>
      </c>
      <c r="K24" s="2" t="s">
        <v>297</v>
      </c>
      <c r="L24" s="3">
        <v>111.29</v>
      </c>
      <c r="M24" s="3">
        <v>116.85</v>
      </c>
      <c r="N24" s="3">
        <v>209.99</v>
      </c>
      <c r="O24" s="2" t="s">
        <v>245</v>
      </c>
      <c r="P24" s="2" t="s">
        <v>311</v>
      </c>
      <c r="Q24" s="2" t="s">
        <v>239</v>
      </c>
      <c r="R24" s="2" t="s">
        <v>233</v>
      </c>
      <c r="S24" s="2" t="s">
        <v>312</v>
      </c>
      <c r="T24" s="2" t="s">
        <v>274</v>
      </c>
      <c r="U24" s="2" t="s">
        <v>233</v>
      </c>
      <c r="V24" s="2" t="s">
        <v>241</v>
      </c>
      <c r="W24" s="2" t="s">
        <v>275</v>
      </c>
      <c r="X24" s="2" t="s">
        <v>233</v>
      </c>
      <c r="Y24" s="2" t="s">
        <v>276</v>
      </c>
      <c r="Z24" s="4">
        <v>91</v>
      </c>
      <c r="AA24" s="4">
        <f>=ROUNDDOWN(45.5,0)</f>
      </c>
      <c r="AB24" s="5">
        <v>2</v>
      </c>
      <c r="AC24" s="2" t="s">
        <v>233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233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233</v>
      </c>
      <c r="AW24" s="8" t="s">
        <v>233</v>
      </c>
      <c r="AX24" s="4" t="s">
        <v>233</v>
      </c>
      <c r="AY24" s="8" t="s">
        <v>233</v>
      </c>
      <c r="AZ24" s="7" t="s">
        <v>233</v>
      </c>
      <c r="BA24" s="7" t="s">
        <v>233</v>
      </c>
      <c r="BB24" s="7"/>
      <c r="BC24" s="4" t="s">
        <v>233</v>
      </c>
      <c r="BD24" s="8" t="s">
        <v>233</v>
      </c>
      <c r="BE24" s="4" t="s">
        <v>233</v>
      </c>
      <c r="BF24" s="8" t="s">
        <v>233</v>
      </c>
      <c r="BG24" s="7" t="s">
        <v>233</v>
      </c>
      <c r="BH24" s="7" t="s">
        <v>233</v>
      </c>
      <c r="BI24" s="7"/>
      <c r="BJ24" s="4">
        <v>3</v>
      </c>
      <c r="BK24" s="8">
        <v>351.14</v>
      </c>
      <c r="BL24" s="2" t="s">
        <v>329</v>
      </c>
      <c r="BM24" s="7"/>
      <c r="BN24" s="7"/>
      <c r="BO24" s="4"/>
      <c r="BP24" s="8"/>
      <c r="BQ24" s="4"/>
      <c r="BR24" s="8"/>
      <c r="BS24" s="7"/>
      <c r="BT24" s="7"/>
      <c r="BU24" s="2" t="s">
        <v>330</v>
      </c>
      <c r="BV24" s="2" t="s">
        <v>233</v>
      </c>
      <c r="BW24" s="2" t="s">
        <v>233</v>
      </c>
      <c r="BX24" s="2" t="s">
        <v>233</v>
      </c>
      <c r="BY24" s="2" t="s">
        <v>280</v>
      </c>
      <c r="BZ24" s="2" t="s">
        <v>245</v>
      </c>
      <c r="CA24" s="2" t="s">
        <v>315</v>
      </c>
      <c r="CB24" s="2" t="s">
        <v>331</v>
      </c>
      <c r="CC24" s="2" t="s">
        <v>246</v>
      </c>
      <c r="CD24" s="2" t="s">
        <v>233</v>
      </c>
      <c r="CE24" s="4">
        <v>91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</row>
    <row r="25">
      <c r="A25" s="2" t="s">
        <v>332</v>
      </c>
      <c r="B25" s="2" t="s">
        <v>333</v>
      </c>
      <c r="C25" s="2" t="s">
        <v>334</v>
      </c>
      <c r="D25" s="2" t="s">
        <v>335</v>
      </c>
      <c r="E25" s="2" t="s">
        <v>336</v>
      </c>
      <c r="F25" s="2" t="s">
        <v>337</v>
      </c>
      <c r="G25" s="2" t="s">
        <v>337</v>
      </c>
      <c r="H25" s="2" t="s">
        <v>337</v>
      </c>
      <c r="I25" s="2" t="s">
        <v>338</v>
      </c>
      <c r="J25" s="2" t="s">
        <v>290</v>
      </c>
      <c r="K25" s="2" t="s">
        <v>339</v>
      </c>
      <c r="L25" s="3">
        <v>23.75</v>
      </c>
      <c r="M25" s="3">
        <v>24.94</v>
      </c>
      <c r="N25" s="3">
        <v>49.99</v>
      </c>
      <c r="O25" s="2" t="s">
        <v>245</v>
      </c>
      <c r="P25" s="2" t="s">
        <v>238</v>
      </c>
      <c r="Q25" s="2" t="s">
        <v>239</v>
      </c>
      <c r="R25" s="2" t="s">
        <v>233</v>
      </c>
      <c r="S25" s="2" t="s">
        <v>340</v>
      </c>
      <c r="T25" s="2" t="s">
        <v>341</v>
      </c>
      <c r="U25" s="2" t="s">
        <v>342</v>
      </c>
      <c r="V25" s="2" t="s">
        <v>343</v>
      </c>
      <c r="W25" s="2" t="s">
        <v>343</v>
      </c>
      <c r="X25" s="2" t="s">
        <v>275</v>
      </c>
      <c r="Y25" s="2" t="s">
        <v>344</v>
      </c>
      <c r="Z25" s="4">
        <v>72</v>
      </c>
      <c r="AA25" s="4">
        <f>=ROUNDDOWN({0},0)</f>
      </c>
      <c r="AB25" s="5"/>
      <c r="AC25" s="2" t="s">
        <v>345</v>
      </c>
      <c r="AD25" s="4">
        <v>62</v>
      </c>
      <c r="AE25" s="4">
        <v>62</v>
      </c>
      <c r="AF25" s="6">
        <v>70</v>
      </c>
      <c r="AG25" s="6"/>
      <c r="AH25" s="7">
        <v>0</v>
      </c>
      <c r="AI25" s="4"/>
      <c r="AJ25" s="4">
        <f>=ROUNDDOWN({0},0)</f>
      </c>
      <c r="AK25" s="5"/>
      <c r="AL25" s="2" t="s">
        <v>233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233</v>
      </c>
      <c r="AW25" s="8" t="s">
        <v>233</v>
      </c>
      <c r="AX25" s="4" t="s">
        <v>233</v>
      </c>
      <c r="AY25" s="8" t="s">
        <v>233</v>
      </c>
      <c r="AZ25" s="7" t="s">
        <v>233</v>
      </c>
      <c r="BA25" s="7" t="s">
        <v>233</v>
      </c>
      <c r="BB25" s="7"/>
      <c r="BC25" s="4" t="s">
        <v>233</v>
      </c>
      <c r="BD25" s="8" t="s">
        <v>233</v>
      </c>
      <c r="BE25" s="4" t="s">
        <v>233</v>
      </c>
      <c r="BF25" s="8" t="s">
        <v>233</v>
      </c>
      <c r="BG25" s="7" t="s">
        <v>233</v>
      </c>
      <c r="BH25" s="7" t="s">
        <v>233</v>
      </c>
      <c r="BI25" s="7"/>
      <c r="BJ25" s="4"/>
      <c r="BK25" s="8"/>
      <c r="BL25" s="2" t="s">
        <v>233</v>
      </c>
      <c r="BM25" s="7"/>
      <c r="BN25" s="7"/>
      <c r="BO25" s="4"/>
      <c r="BP25" s="8"/>
      <c r="BQ25" s="4"/>
      <c r="BR25" s="8"/>
      <c r="BS25" s="7"/>
      <c r="BT25" s="7"/>
      <c r="BU25" s="2" t="s">
        <v>243</v>
      </c>
      <c r="BV25" s="2" t="s">
        <v>233</v>
      </c>
      <c r="BW25" s="2" t="s">
        <v>233</v>
      </c>
      <c r="BX25" s="2" t="s">
        <v>243</v>
      </c>
      <c r="BY25" s="2" t="s">
        <v>346</v>
      </c>
      <c r="BZ25" s="2" t="s">
        <v>245</v>
      </c>
      <c r="CA25" s="2" t="s">
        <v>233</v>
      </c>
      <c r="CB25" s="2" t="s">
        <v>233</v>
      </c>
      <c r="CC25" s="2" t="s">
        <v>246</v>
      </c>
      <c r="CD25" s="2" t="s">
        <v>233</v>
      </c>
      <c r="CE25" s="4">
        <v>72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>
        <v>62</v>
      </c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</row>
    <row r="26">
      <c r="A26" s="2" t="s">
        <v>347</v>
      </c>
      <c r="B26" s="2" t="s">
        <v>333</v>
      </c>
      <c r="C26" s="2" t="s">
        <v>334</v>
      </c>
      <c r="D26" s="2" t="s">
        <v>335</v>
      </c>
      <c r="E26" s="2" t="s">
        <v>336</v>
      </c>
      <c r="F26" s="2" t="s">
        <v>337</v>
      </c>
      <c r="G26" s="2" t="s">
        <v>337</v>
      </c>
      <c r="H26" s="2" t="s">
        <v>337</v>
      </c>
      <c r="I26" s="2" t="s">
        <v>338</v>
      </c>
      <c r="J26" s="2" t="s">
        <v>348</v>
      </c>
      <c r="K26" s="2" t="s">
        <v>339</v>
      </c>
      <c r="L26" s="3">
        <v>25</v>
      </c>
      <c r="M26" s="3">
        <v>26.25</v>
      </c>
      <c r="N26" s="3">
        <v>54.99</v>
      </c>
      <c r="O26" s="2" t="s">
        <v>245</v>
      </c>
      <c r="P26" s="2" t="s">
        <v>238</v>
      </c>
      <c r="Q26" s="2" t="s">
        <v>239</v>
      </c>
      <c r="R26" s="2" t="s">
        <v>233</v>
      </c>
      <c r="S26" s="2" t="s">
        <v>340</v>
      </c>
      <c r="T26" s="2" t="s">
        <v>341</v>
      </c>
      <c r="U26" s="2" t="s">
        <v>342</v>
      </c>
      <c r="V26" s="2" t="s">
        <v>343</v>
      </c>
      <c r="W26" s="2" t="s">
        <v>343</v>
      </c>
      <c r="X26" s="2" t="s">
        <v>275</v>
      </c>
      <c r="Y26" s="2" t="s">
        <v>344</v>
      </c>
      <c r="Z26" s="4">
        <v>155</v>
      </c>
      <c r="AA26" s="4">
        <f>=ROUNDDOWN({0},0)</f>
      </c>
      <c r="AB26" s="5"/>
      <c r="AC26" s="2" t="s">
        <v>345</v>
      </c>
      <c r="AD26" s="4">
        <v>149</v>
      </c>
      <c r="AE26" s="4">
        <v>149</v>
      </c>
      <c r="AF26" s="6">
        <v>70</v>
      </c>
      <c r="AG26" s="6"/>
      <c r="AH26" s="7">
        <v>0</v>
      </c>
      <c r="AI26" s="4"/>
      <c r="AJ26" s="4">
        <f>=ROUNDDOWN({0},0)</f>
      </c>
      <c r="AK26" s="5"/>
      <c r="AL26" s="2" t="s">
        <v>233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233</v>
      </c>
      <c r="AW26" s="8" t="s">
        <v>233</v>
      </c>
      <c r="AX26" s="4" t="s">
        <v>233</v>
      </c>
      <c r="AY26" s="8" t="s">
        <v>233</v>
      </c>
      <c r="AZ26" s="7" t="s">
        <v>233</v>
      </c>
      <c r="BA26" s="7" t="s">
        <v>233</v>
      </c>
      <c r="BB26" s="7"/>
      <c r="BC26" s="4" t="s">
        <v>233</v>
      </c>
      <c r="BD26" s="8" t="s">
        <v>233</v>
      </c>
      <c r="BE26" s="4" t="s">
        <v>233</v>
      </c>
      <c r="BF26" s="8" t="s">
        <v>233</v>
      </c>
      <c r="BG26" s="7" t="s">
        <v>233</v>
      </c>
      <c r="BH26" s="7" t="s">
        <v>233</v>
      </c>
      <c r="BI26" s="7"/>
      <c r="BJ26" s="4"/>
      <c r="BK26" s="8"/>
      <c r="BL26" s="2" t="s">
        <v>233</v>
      </c>
      <c r="BM26" s="7"/>
      <c r="BN26" s="7"/>
      <c r="BO26" s="4"/>
      <c r="BP26" s="8"/>
      <c r="BQ26" s="4"/>
      <c r="BR26" s="8"/>
      <c r="BS26" s="7"/>
      <c r="BT26" s="7"/>
      <c r="BU26" s="2" t="s">
        <v>243</v>
      </c>
      <c r="BV26" s="2" t="s">
        <v>233</v>
      </c>
      <c r="BW26" s="2" t="s">
        <v>233</v>
      </c>
      <c r="BX26" s="2" t="s">
        <v>243</v>
      </c>
      <c r="BY26" s="2" t="s">
        <v>346</v>
      </c>
      <c r="BZ26" s="2" t="s">
        <v>245</v>
      </c>
      <c r="CA26" s="2" t="s">
        <v>233</v>
      </c>
      <c r="CB26" s="2" t="s">
        <v>233</v>
      </c>
      <c r="CC26" s="2" t="s">
        <v>246</v>
      </c>
      <c r="CD26" s="2" t="s">
        <v>233</v>
      </c>
      <c r="CE26" s="4">
        <v>155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>
        <v>149</v>
      </c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</row>
    <row r="27">
      <c r="A27" s="2" t="s">
        <v>349</v>
      </c>
      <c r="B27" s="2" t="s">
        <v>333</v>
      </c>
      <c r="C27" s="2" t="s">
        <v>334</v>
      </c>
      <c r="D27" s="2" t="s">
        <v>335</v>
      </c>
      <c r="E27" s="2" t="s">
        <v>336</v>
      </c>
      <c r="F27" s="2" t="s">
        <v>337</v>
      </c>
      <c r="G27" s="2" t="s">
        <v>337</v>
      </c>
      <c r="H27" s="2" t="s">
        <v>337</v>
      </c>
      <c r="I27" s="2" t="s">
        <v>338</v>
      </c>
      <c r="J27" s="2" t="s">
        <v>328</v>
      </c>
      <c r="K27" s="2" t="s">
        <v>339</v>
      </c>
      <c r="L27" s="3">
        <v>28.5</v>
      </c>
      <c r="M27" s="3">
        <v>29.93</v>
      </c>
      <c r="N27" s="3">
        <v>59.99</v>
      </c>
      <c r="O27" s="2" t="s">
        <v>245</v>
      </c>
      <c r="P27" s="2" t="s">
        <v>238</v>
      </c>
      <c r="Q27" s="2" t="s">
        <v>239</v>
      </c>
      <c r="R27" s="2" t="s">
        <v>233</v>
      </c>
      <c r="S27" s="2" t="s">
        <v>340</v>
      </c>
      <c r="T27" s="2" t="s">
        <v>341</v>
      </c>
      <c r="U27" s="2" t="s">
        <v>342</v>
      </c>
      <c r="V27" s="2" t="s">
        <v>343</v>
      </c>
      <c r="W27" s="2" t="s">
        <v>343</v>
      </c>
      <c r="X27" s="2" t="s">
        <v>275</v>
      </c>
      <c r="Y27" s="2" t="s">
        <v>344</v>
      </c>
      <c r="Z27" s="4">
        <v>92</v>
      </c>
      <c r="AA27" s="4">
        <f>=ROUNDDOWN({0},0)</f>
      </c>
      <c r="AB27" s="5"/>
      <c r="AC27" s="2" t="s">
        <v>350</v>
      </c>
      <c r="AD27" s="4">
        <v>1</v>
      </c>
      <c r="AE27" s="4">
        <v>95</v>
      </c>
      <c r="AF27" s="6">
        <v>70</v>
      </c>
      <c r="AG27" s="6"/>
      <c r="AH27" s="7">
        <v>0</v>
      </c>
      <c r="AI27" s="4"/>
      <c r="AJ27" s="4">
        <f>=ROUNDDOWN({0},0)</f>
      </c>
      <c r="AK27" s="5"/>
      <c r="AL27" s="2" t="s">
        <v>233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233</v>
      </c>
      <c r="AW27" s="8" t="s">
        <v>233</v>
      </c>
      <c r="AX27" s="4" t="s">
        <v>233</v>
      </c>
      <c r="AY27" s="8" t="s">
        <v>233</v>
      </c>
      <c r="AZ27" s="7" t="s">
        <v>233</v>
      </c>
      <c r="BA27" s="7" t="s">
        <v>233</v>
      </c>
      <c r="BB27" s="7"/>
      <c r="BC27" s="4" t="s">
        <v>233</v>
      </c>
      <c r="BD27" s="8" t="s">
        <v>233</v>
      </c>
      <c r="BE27" s="4" t="s">
        <v>233</v>
      </c>
      <c r="BF27" s="8" t="s">
        <v>233</v>
      </c>
      <c r="BG27" s="7" t="s">
        <v>233</v>
      </c>
      <c r="BH27" s="7" t="s">
        <v>233</v>
      </c>
      <c r="BI27" s="7"/>
      <c r="BJ27" s="4"/>
      <c r="BK27" s="8"/>
      <c r="BL27" s="2" t="s">
        <v>233</v>
      </c>
      <c r="BM27" s="7"/>
      <c r="BN27" s="7"/>
      <c r="BO27" s="4"/>
      <c r="BP27" s="8"/>
      <c r="BQ27" s="4"/>
      <c r="BR27" s="8"/>
      <c r="BS27" s="7"/>
      <c r="BT27" s="7"/>
      <c r="BU27" s="2" t="s">
        <v>243</v>
      </c>
      <c r="BV27" s="2" t="s">
        <v>233</v>
      </c>
      <c r="BW27" s="2" t="s">
        <v>233</v>
      </c>
      <c r="BX27" s="2" t="s">
        <v>243</v>
      </c>
      <c r="BY27" s="2" t="s">
        <v>346</v>
      </c>
      <c r="BZ27" s="2" t="s">
        <v>245</v>
      </c>
      <c r="CA27" s="2" t="s">
        <v>233</v>
      </c>
      <c r="CB27" s="2" t="s">
        <v>233</v>
      </c>
      <c r="CC27" s="2" t="s">
        <v>246</v>
      </c>
      <c r="CD27" s="2" t="s">
        <v>233</v>
      </c>
      <c r="CE27" s="4">
        <v>92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>
        <v>1</v>
      </c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>
        <v>94</v>
      </c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</row>
    <row r="28">
      <c r="A28" s="2" t="s">
        <v>351</v>
      </c>
      <c r="B28" s="2" t="s">
        <v>333</v>
      </c>
      <c r="C28" s="2" t="s">
        <v>334</v>
      </c>
      <c r="D28" s="2" t="s">
        <v>335</v>
      </c>
      <c r="E28" s="2" t="s">
        <v>336</v>
      </c>
      <c r="F28" s="2" t="s">
        <v>337</v>
      </c>
      <c r="G28" s="2" t="s">
        <v>337</v>
      </c>
      <c r="H28" s="2" t="s">
        <v>337</v>
      </c>
      <c r="I28" s="2" t="s">
        <v>338</v>
      </c>
      <c r="J28" s="2" t="s">
        <v>290</v>
      </c>
      <c r="K28" s="2" t="s">
        <v>352</v>
      </c>
      <c r="L28" s="3">
        <v>23.75</v>
      </c>
      <c r="M28" s="3">
        <v>24.94</v>
      </c>
      <c r="N28" s="3">
        <v>49.99</v>
      </c>
      <c r="O28" s="2" t="s">
        <v>245</v>
      </c>
      <c r="P28" s="2" t="s">
        <v>238</v>
      </c>
      <c r="Q28" s="2" t="s">
        <v>239</v>
      </c>
      <c r="R28" s="2" t="s">
        <v>233</v>
      </c>
      <c r="S28" s="2" t="s">
        <v>353</v>
      </c>
      <c r="T28" s="2" t="s">
        <v>341</v>
      </c>
      <c r="U28" s="2" t="s">
        <v>342</v>
      </c>
      <c r="V28" s="2" t="s">
        <v>343</v>
      </c>
      <c r="W28" s="2" t="s">
        <v>343</v>
      </c>
      <c r="X28" s="2" t="s">
        <v>275</v>
      </c>
      <c r="Y28" s="2" t="s">
        <v>344</v>
      </c>
      <c r="Z28" s="4">
        <v>72</v>
      </c>
      <c r="AA28" s="4">
        <f>=ROUNDDOWN({0},0)</f>
      </c>
      <c r="AB28" s="5"/>
      <c r="AC28" s="2" t="s">
        <v>345</v>
      </c>
      <c r="AD28" s="4">
        <v>63</v>
      </c>
      <c r="AE28" s="4">
        <v>63</v>
      </c>
      <c r="AF28" s="6">
        <v>70</v>
      </c>
      <c r="AG28" s="6"/>
      <c r="AH28" s="7">
        <v>0</v>
      </c>
      <c r="AI28" s="4"/>
      <c r="AJ28" s="4">
        <f>=ROUNDDOWN({0},0)</f>
      </c>
      <c r="AK28" s="5"/>
      <c r="AL28" s="2" t="s">
        <v>233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233</v>
      </c>
      <c r="AW28" s="8" t="s">
        <v>233</v>
      </c>
      <c r="AX28" s="4" t="s">
        <v>233</v>
      </c>
      <c r="AY28" s="8" t="s">
        <v>233</v>
      </c>
      <c r="AZ28" s="7" t="s">
        <v>233</v>
      </c>
      <c r="BA28" s="7" t="s">
        <v>233</v>
      </c>
      <c r="BB28" s="7"/>
      <c r="BC28" s="4" t="s">
        <v>233</v>
      </c>
      <c r="BD28" s="8" t="s">
        <v>233</v>
      </c>
      <c r="BE28" s="4" t="s">
        <v>233</v>
      </c>
      <c r="BF28" s="8" t="s">
        <v>233</v>
      </c>
      <c r="BG28" s="7" t="s">
        <v>233</v>
      </c>
      <c r="BH28" s="7" t="s">
        <v>233</v>
      </c>
      <c r="BI28" s="7"/>
      <c r="BJ28" s="4"/>
      <c r="BK28" s="8"/>
      <c r="BL28" s="2" t="s">
        <v>233</v>
      </c>
      <c r="BM28" s="7"/>
      <c r="BN28" s="7"/>
      <c r="BO28" s="4"/>
      <c r="BP28" s="8"/>
      <c r="BQ28" s="4"/>
      <c r="BR28" s="8"/>
      <c r="BS28" s="7"/>
      <c r="BT28" s="7"/>
      <c r="BU28" s="2" t="s">
        <v>243</v>
      </c>
      <c r="BV28" s="2" t="s">
        <v>233</v>
      </c>
      <c r="BW28" s="2" t="s">
        <v>233</v>
      </c>
      <c r="BX28" s="2" t="s">
        <v>243</v>
      </c>
      <c r="BY28" s="2" t="s">
        <v>346</v>
      </c>
      <c r="BZ28" s="2" t="s">
        <v>245</v>
      </c>
      <c r="CA28" s="2" t="s">
        <v>233</v>
      </c>
      <c r="CB28" s="2" t="s">
        <v>233</v>
      </c>
      <c r="CC28" s="2" t="s">
        <v>246</v>
      </c>
      <c r="CD28" s="2" t="s">
        <v>233</v>
      </c>
      <c r="CE28" s="4">
        <v>72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>
        <v>63</v>
      </c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</row>
    <row r="29">
      <c r="A29" s="2" t="s">
        <v>354</v>
      </c>
      <c r="B29" s="2" t="s">
        <v>333</v>
      </c>
      <c r="C29" s="2" t="s">
        <v>334</v>
      </c>
      <c r="D29" s="2" t="s">
        <v>335</v>
      </c>
      <c r="E29" s="2" t="s">
        <v>336</v>
      </c>
      <c r="F29" s="2" t="s">
        <v>337</v>
      </c>
      <c r="G29" s="2" t="s">
        <v>337</v>
      </c>
      <c r="H29" s="2" t="s">
        <v>337</v>
      </c>
      <c r="I29" s="2" t="s">
        <v>338</v>
      </c>
      <c r="J29" s="2" t="s">
        <v>348</v>
      </c>
      <c r="K29" s="2" t="s">
        <v>352</v>
      </c>
      <c r="L29" s="3">
        <v>25</v>
      </c>
      <c r="M29" s="3">
        <v>26.25</v>
      </c>
      <c r="N29" s="3">
        <v>54.99</v>
      </c>
      <c r="O29" s="2" t="s">
        <v>245</v>
      </c>
      <c r="P29" s="2" t="s">
        <v>238</v>
      </c>
      <c r="Q29" s="2" t="s">
        <v>239</v>
      </c>
      <c r="R29" s="2" t="s">
        <v>233</v>
      </c>
      <c r="S29" s="2" t="s">
        <v>353</v>
      </c>
      <c r="T29" s="2" t="s">
        <v>341</v>
      </c>
      <c r="U29" s="2" t="s">
        <v>342</v>
      </c>
      <c r="V29" s="2" t="s">
        <v>343</v>
      </c>
      <c r="W29" s="2" t="s">
        <v>343</v>
      </c>
      <c r="X29" s="2" t="s">
        <v>275</v>
      </c>
      <c r="Y29" s="2" t="s">
        <v>344</v>
      </c>
      <c r="Z29" s="4">
        <v>153</v>
      </c>
      <c r="AA29" s="4">
        <f>=ROUNDDOWN({0},0)</f>
      </c>
      <c r="AB29" s="5"/>
      <c r="AC29" s="2" t="s">
        <v>345</v>
      </c>
      <c r="AD29" s="4">
        <v>140</v>
      </c>
      <c r="AE29" s="4">
        <v>140</v>
      </c>
      <c r="AF29" s="6">
        <v>70</v>
      </c>
      <c r="AG29" s="6"/>
      <c r="AH29" s="7">
        <v>0</v>
      </c>
      <c r="AI29" s="4"/>
      <c r="AJ29" s="4">
        <f>=ROUNDDOWN({0},0)</f>
      </c>
      <c r="AK29" s="5"/>
      <c r="AL29" s="2" t="s">
        <v>233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233</v>
      </c>
      <c r="AW29" s="8" t="s">
        <v>233</v>
      </c>
      <c r="AX29" s="4" t="s">
        <v>233</v>
      </c>
      <c r="AY29" s="8" t="s">
        <v>233</v>
      </c>
      <c r="AZ29" s="7" t="s">
        <v>233</v>
      </c>
      <c r="BA29" s="7" t="s">
        <v>233</v>
      </c>
      <c r="BB29" s="7"/>
      <c r="BC29" s="4" t="s">
        <v>233</v>
      </c>
      <c r="BD29" s="8" t="s">
        <v>233</v>
      </c>
      <c r="BE29" s="4" t="s">
        <v>233</v>
      </c>
      <c r="BF29" s="8" t="s">
        <v>233</v>
      </c>
      <c r="BG29" s="7" t="s">
        <v>233</v>
      </c>
      <c r="BH29" s="7" t="s">
        <v>233</v>
      </c>
      <c r="BI29" s="7"/>
      <c r="BJ29" s="4"/>
      <c r="BK29" s="8"/>
      <c r="BL29" s="2" t="s">
        <v>233</v>
      </c>
      <c r="BM29" s="7"/>
      <c r="BN29" s="7"/>
      <c r="BO29" s="4"/>
      <c r="BP29" s="8"/>
      <c r="BQ29" s="4"/>
      <c r="BR29" s="8"/>
      <c r="BS29" s="7"/>
      <c r="BT29" s="7"/>
      <c r="BU29" s="2" t="s">
        <v>243</v>
      </c>
      <c r="BV29" s="2" t="s">
        <v>233</v>
      </c>
      <c r="BW29" s="2" t="s">
        <v>233</v>
      </c>
      <c r="BX29" s="2" t="s">
        <v>243</v>
      </c>
      <c r="BY29" s="2" t="s">
        <v>346</v>
      </c>
      <c r="BZ29" s="2" t="s">
        <v>245</v>
      </c>
      <c r="CA29" s="2" t="s">
        <v>233</v>
      </c>
      <c r="CB29" s="2" t="s">
        <v>233</v>
      </c>
      <c r="CC29" s="2" t="s">
        <v>246</v>
      </c>
      <c r="CD29" s="2" t="s">
        <v>233</v>
      </c>
      <c r="CE29" s="4">
        <v>153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>
        <v>140</v>
      </c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</row>
    <row r="30">
      <c r="A30" s="2" t="s">
        <v>355</v>
      </c>
      <c r="B30" s="2" t="s">
        <v>333</v>
      </c>
      <c r="C30" s="2" t="s">
        <v>334</v>
      </c>
      <c r="D30" s="2" t="s">
        <v>335</v>
      </c>
      <c r="E30" s="2" t="s">
        <v>336</v>
      </c>
      <c r="F30" s="2" t="s">
        <v>337</v>
      </c>
      <c r="G30" s="2" t="s">
        <v>337</v>
      </c>
      <c r="H30" s="2" t="s">
        <v>337</v>
      </c>
      <c r="I30" s="2" t="s">
        <v>338</v>
      </c>
      <c r="J30" s="2" t="s">
        <v>328</v>
      </c>
      <c r="K30" s="2" t="s">
        <v>352</v>
      </c>
      <c r="L30" s="3">
        <v>28.5</v>
      </c>
      <c r="M30" s="3">
        <v>29.93</v>
      </c>
      <c r="N30" s="3">
        <v>59.99</v>
      </c>
      <c r="O30" s="2" t="s">
        <v>245</v>
      </c>
      <c r="P30" s="2" t="s">
        <v>238</v>
      </c>
      <c r="Q30" s="2" t="s">
        <v>239</v>
      </c>
      <c r="R30" s="2" t="s">
        <v>233</v>
      </c>
      <c r="S30" s="2" t="s">
        <v>353</v>
      </c>
      <c r="T30" s="2" t="s">
        <v>341</v>
      </c>
      <c r="U30" s="2" t="s">
        <v>342</v>
      </c>
      <c r="V30" s="2" t="s">
        <v>343</v>
      </c>
      <c r="W30" s="2" t="s">
        <v>343</v>
      </c>
      <c r="X30" s="2" t="s">
        <v>275</v>
      </c>
      <c r="Y30" s="2" t="s">
        <v>344</v>
      </c>
      <c r="Z30" s="4">
        <v>92</v>
      </c>
      <c r="AA30" s="4">
        <f>=ROUNDDOWN({0},0)</f>
      </c>
      <c r="AB30" s="5"/>
      <c r="AC30" s="2" t="s">
        <v>345</v>
      </c>
      <c r="AD30" s="4">
        <v>90</v>
      </c>
      <c r="AE30" s="4">
        <v>90</v>
      </c>
      <c r="AF30" s="6">
        <v>70</v>
      </c>
      <c r="AG30" s="6"/>
      <c r="AH30" s="7">
        <v>0</v>
      </c>
      <c r="AI30" s="4"/>
      <c r="AJ30" s="4">
        <f>=ROUNDDOWN({0},0)</f>
      </c>
      <c r="AK30" s="5"/>
      <c r="AL30" s="2" t="s">
        <v>233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233</v>
      </c>
      <c r="AW30" s="8" t="s">
        <v>233</v>
      </c>
      <c r="AX30" s="4" t="s">
        <v>233</v>
      </c>
      <c r="AY30" s="8" t="s">
        <v>233</v>
      </c>
      <c r="AZ30" s="7" t="s">
        <v>233</v>
      </c>
      <c r="BA30" s="7" t="s">
        <v>233</v>
      </c>
      <c r="BB30" s="7"/>
      <c r="BC30" s="4" t="s">
        <v>233</v>
      </c>
      <c r="BD30" s="8" t="s">
        <v>233</v>
      </c>
      <c r="BE30" s="4" t="s">
        <v>233</v>
      </c>
      <c r="BF30" s="8" t="s">
        <v>233</v>
      </c>
      <c r="BG30" s="7" t="s">
        <v>233</v>
      </c>
      <c r="BH30" s="7" t="s">
        <v>233</v>
      </c>
      <c r="BI30" s="7"/>
      <c r="BJ30" s="4"/>
      <c r="BK30" s="8"/>
      <c r="BL30" s="2" t="s">
        <v>233</v>
      </c>
      <c r="BM30" s="7"/>
      <c r="BN30" s="7"/>
      <c r="BO30" s="4"/>
      <c r="BP30" s="8"/>
      <c r="BQ30" s="4"/>
      <c r="BR30" s="8"/>
      <c r="BS30" s="7"/>
      <c r="BT30" s="7"/>
      <c r="BU30" s="2" t="s">
        <v>243</v>
      </c>
      <c r="BV30" s="2" t="s">
        <v>233</v>
      </c>
      <c r="BW30" s="2" t="s">
        <v>233</v>
      </c>
      <c r="BX30" s="2" t="s">
        <v>243</v>
      </c>
      <c r="BY30" s="2" t="s">
        <v>346</v>
      </c>
      <c r="BZ30" s="2" t="s">
        <v>245</v>
      </c>
      <c r="CA30" s="2" t="s">
        <v>233</v>
      </c>
      <c r="CB30" s="2" t="s">
        <v>233</v>
      </c>
      <c r="CC30" s="2" t="s">
        <v>246</v>
      </c>
      <c r="CD30" s="2" t="s">
        <v>233</v>
      </c>
      <c r="CE30" s="4">
        <v>92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>
        <v>90</v>
      </c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</row>
    <row r="31">
      <c r="A31" s="2" t="s">
        <v>356</v>
      </c>
      <c r="B31" s="2" t="s">
        <v>333</v>
      </c>
      <c r="C31" s="2" t="s">
        <v>334</v>
      </c>
      <c r="D31" s="2" t="s">
        <v>335</v>
      </c>
      <c r="E31" s="2" t="s">
        <v>336</v>
      </c>
      <c r="F31" s="2" t="s">
        <v>337</v>
      </c>
      <c r="G31" s="2" t="s">
        <v>337</v>
      </c>
      <c r="H31" s="2" t="s">
        <v>337</v>
      </c>
      <c r="I31" s="2" t="s">
        <v>338</v>
      </c>
      <c r="J31" s="2" t="s">
        <v>328</v>
      </c>
      <c r="K31" s="2" t="s">
        <v>357</v>
      </c>
      <c r="L31" s="3">
        <v>28.5</v>
      </c>
      <c r="M31" s="3">
        <v>29.93</v>
      </c>
      <c r="N31" s="3">
        <v>59.99</v>
      </c>
      <c r="O31" s="2" t="s">
        <v>245</v>
      </c>
      <c r="P31" s="2" t="s">
        <v>272</v>
      </c>
      <c r="Q31" s="2" t="s">
        <v>239</v>
      </c>
      <c r="R31" s="2" t="s">
        <v>233</v>
      </c>
      <c r="S31" s="2" t="s">
        <v>358</v>
      </c>
      <c r="T31" s="2" t="s">
        <v>341</v>
      </c>
      <c r="U31" s="2" t="s">
        <v>342</v>
      </c>
      <c r="V31" s="2" t="s">
        <v>359</v>
      </c>
      <c r="W31" s="2" t="s">
        <v>275</v>
      </c>
      <c r="X31" s="2" t="s">
        <v>233</v>
      </c>
      <c r="Y31" s="2" t="s">
        <v>360</v>
      </c>
      <c r="Z31" s="4">
        <v>43</v>
      </c>
      <c r="AA31" s="4">
        <f>=ROUNDDOWN(10.75,0)</f>
      </c>
      <c r="AB31" s="5">
        <v>4</v>
      </c>
      <c r="AC31" s="2" t="s">
        <v>361</v>
      </c>
      <c r="AD31" s="4">
        <v>90</v>
      </c>
      <c r="AE31" s="4">
        <v>200</v>
      </c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233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/>
      <c r="AW31" s="8"/>
      <c r="AX31" s="4"/>
      <c r="AY31" s="8"/>
      <c r="AZ31" s="7"/>
      <c r="BA31" s="7"/>
      <c r="BB31" s="7"/>
      <c r="BC31" s="4" t="s">
        <v>233</v>
      </c>
      <c r="BD31" s="8" t="s">
        <v>233</v>
      </c>
      <c r="BE31" s="4" t="s">
        <v>233</v>
      </c>
      <c r="BF31" s="8" t="s">
        <v>233</v>
      </c>
      <c r="BG31" s="7" t="s">
        <v>233</v>
      </c>
      <c r="BH31" s="7" t="s">
        <v>233</v>
      </c>
      <c r="BI31" s="7"/>
      <c r="BJ31" s="4">
        <v>17</v>
      </c>
      <c r="BK31" s="8">
        <v>556.38</v>
      </c>
      <c r="BL31" s="2" t="s">
        <v>362</v>
      </c>
      <c r="BM31" s="7"/>
      <c r="BN31" s="7"/>
      <c r="BO31" s="4"/>
      <c r="BP31" s="8"/>
      <c r="BQ31" s="4"/>
      <c r="BR31" s="8"/>
      <c r="BS31" s="7"/>
      <c r="BT31" s="7"/>
      <c r="BU31" s="2" t="s">
        <v>363</v>
      </c>
      <c r="BV31" s="2" t="s">
        <v>233</v>
      </c>
      <c r="BW31" s="2" t="s">
        <v>233</v>
      </c>
      <c r="BX31" s="2" t="s">
        <v>233</v>
      </c>
      <c r="BY31" s="2" t="s">
        <v>280</v>
      </c>
      <c r="BZ31" s="2" t="s">
        <v>245</v>
      </c>
      <c r="CA31" s="2" t="s">
        <v>364</v>
      </c>
      <c r="CB31" s="2" t="s">
        <v>365</v>
      </c>
      <c r="CC31" s="2" t="s">
        <v>246</v>
      </c>
      <c r="CD31" s="2" t="s">
        <v>233</v>
      </c>
      <c r="CE31" s="4">
        <v>43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>
        <v>90</v>
      </c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>
        <v>110</v>
      </c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</row>
    <row r="32">
      <c r="A32" s="2" t="s">
        <v>366</v>
      </c>
      <c r="B32" s="2" t="s">
        <v>333</v>
      </c>
      <c r="C32" s="2" t="s">
        <v>334</v>
      </c>
      <c r="D32" s="2" t="s">
        <v>335</v>
      </c>
      <c r="E32" s="2" t="s">
        <v>336</v>
      </c>
      <c r="F32" s="2" t="s">
        <v>337</v>
      </c>
      <c r="G32" s="2" t="s">
        <v>337</v>
      </c>
      <c r="H32" s="2" t="s">
        <v>337</v>
      </c>
      <c r="I32" s="2" t="s">
        <v>338</v>
      </c>
      <c r="J32" s="2" t="s">
        <v>290</v>
      </c>
      <c r="K32" s="2" t="s">
        <v>367</v>
      </c>
      <c r="L32" s="3">
        <v>23.75</v>
      </c>
      <c r="M32" s="3">
        <v>24.94</v>
      </c>
      <c r="N32" s="3">
        <v>49.99</v>
      </c>
      <c r="O32" s="2" t="s">
        <v>245</v>
      </c>
      <c r="P32" s="2" t="s">
        <v>272</v>
      </c>
      <c r="Q32" s="2" t="s">
        <v>239</v>
      </c>
      <c r="R32" s="2" t="s">
        <v>233</v>
      </c>
      <c r="S32" s="2" t="s">
        <v>368</v>
      </c>
      <c r="T32" s="2" t="s">
        <v>341</v>
      </c>
      <c r="U32" s="2" t="s">
        <v>342</v>
      </c>
      <c r="V32" s="2" t="s">
        <v>359</v>
      </c>
      <c r="W32" s="2" t="s">
        <v>275</v>
      </c>
      <c r="X32" s="2" t="s">
        <v>233</v>
      </c>
      <c r="Y32" s="2" t="s">
        <v>360</v>
      </c>
      <c r="Z32" s="4">
        <v>5</v>
      </c>
      <c r="AA32" s="4">
        <f>=ROUNDDOWN(1,0)</f>
      </c>
      <c r="AB32" s="5">
        <v>5</v>
      </c>
      <c r="AC32" s="2" t="s">
        <v>361</v>
      </c>
      <c r="AD32" s="4">
        <v>30</v>
      </c>
      <c r="AE32" s="4">
        <v>110</v>
      </c>
      <c r="AF32" s="6">
        <v>70</v>
      </c>
      <c r="AG32" s="6"/>
      <c r="AH32" s="7">
        <v>1</v>
      </c>
      <c r="AI32" s="4"/>
      <c r="AJ32" s="4">
        <f>=ROUNDDOWN({0},0)</f>
      </c>
      <c r="AK32" s="5"/>
      <c r="AL32" s="2" t="s">
        <v>233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233</v>
      </c>
      <c r="AW32" s="8" t="s">
        <v>233</v>
      </c>
      <c r="AX32" s="4" t="s">
        <v>233</v>
      </c>
      <c r="AY32" s="8" t="s">
        <v>233</v>
      </c>
      <c r="AZ32" s="7" t="s">
        <v>233</v>
      </c>
      <c r="BA32" s="7" t="s">
        <v>233</v>
      </c>
      <c r="BB32" s="7"/>
      <c r="BC32" s="4" t="s">
        <v>233</v>
      </c>
      <c r="BD32" s="8" t="s">
        <v>233</v>
      </c>
      <c r="BE32" s="4" t="s">
        <v>233</v>
      </c>
      <c r="BF32" s="8" t="s">
        <v>233</v>
      </c>
      <c r="BG32" s="7" t="s">
        <v>233</v>
      </c>
      <c r="BH32" s="7" t="s">
        <v>233</v>
      </c>
      <c r="BI32" s="7"/>
      <c r="BJ32" s="4">
        <v>15</v>
      </c>
      <c r="BK32" s="8">
        <v>394.2</v>
      </c>
      <c r="BL32" s="2" t="s">
        <v>369</v>
      </c>
      <c r="BM32" s="7"/>
      <c r="BN32" s="7"/>
      <c r="BO32" s="4"/>
      <c r="BP32" s="8"/>
      <c r="BQ32" s="4"/>
      <c r="BR32" s="8"/>
      <c r="BS32" s="7"/>
      <c r="BT32" s="7"/>
      <c r="BU32" s="2" t="s">
        <v>370</v>
      </c>
      <c r="BV32" s="2" t="s">
        <v>233</v>
      </c>
      <c r="BW32" s="2" t="s">
        <v>233</v>
      </c>
      <c r="BX32" s="2" t="s">
        <v>233</v>
      </c>
      <c r="BY32" s="2" t="s">
        <v>280</v>
      </c>
      <c r="BZ32" s="2" t="s">
        <v>245</v>
      </c>
      <c r="CA32" s="2" t="s">
        <v>364</v>
      </c>
      <c r="CB32" s="2" t="s">
        <v>371</v>
      </c>
      <c r="CC32" s="2" t="s">
        <v>246</v>
      </c>
      <c r="CD32" s="2" t="s">
        <v>233</v>
      </c>
      <c r="CE32" s="4">
        <v>5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>
        <v>30</v>
      </c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>
        <v>80</v>
      </c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</row>
    <row r="33">
      <c r="A33" s="2" t="s">
        <v>372</v>
      </c>
      <c r="B33" s="2" t="s">
        <v>333</v>
      </c>
      <c r="C33" s="2" t="s">
        <v>334</v>
      </c>
      <c r="D33" s="2" t="s">
        <v>335</v>
      </c>
      <c r="E33" s="2" t="s">
        <v>336</v>
      </c>
      <c r="F33" s="2" t="s">
        <v>337</v>
      </c>
      <c r="G33" s="2" t="s">
        <v>337</v>
      </c>
      <c r="H33" s="2" t="s">
        <v>337</v>
      </c>
      <c r="I33" s="2" t="s">
        <v>338</v>
      </c>
      <c r="J33" s="2" t="s">
        <v>348</v>
      </c>
      <c r="K33" s="2" t="s">
        <v>367</v>
      </c>
      <c r="L33" s="3">
        <v>25</v>
      </c>
      <c r="M33" s="3">
        <v>26.25</v>
      </c>
      <c r="N33" s="3">
        <v>54.99</v>
      </c>
      <c r="O33" s="2" t="s">
        <v>245</v>
      </c>
      <c r="P33" s="2" t="s">
        <v>272</v>
      </c>
      <c r="Q33" s="2" t="s">
        <v>239</v>
      </c>
      <c r="R33" s="2" t="s">
        <v>233</v>
      </c>
      <c r="S33" s="2" t="s">
        <v>368</v>
      </c>
      <c r="T33" s="2" t="s">
        <v>341</v>
      </c>
      <c r="U33" s="2" t="s">
        <v>342</v>
      </c>
      <c r="V33" s="2" t="s">
        <v>359</v>
      </c>
      <c r="W33" s="2" t="s">
        <v>275</v>
      </c>
      <c r="X33" s="2" t="s">
        <v>233</v>
      </c>
      <c r="Y33" s="2" t="s">
        <v>360</v>
      </c>
      <c r="Z33" s="4">
        <v>89</v>
      </c>
      <c r="AA33" s="4">
        <f>=ROUNDDOWN(14.8333333333333,0)</f>
      </c>
      <c r="AB33" s="5">
        <v>6</v>
      </c>
      <c r="AC33" s="2" t="s">
        <v>361</v>
      </c>
      <c r="AD33" s="4">
        <v>68</v>
      </c>
      <c r="AE33" s="4">
        <v>258</v>
      </c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233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233</v>
      </c>
      <c r="AW33" s="8" t="s">
        <v>233</v>
      </c>
      <c r="AX33" s="4" t="s">
        <v>233</v>
      </c>
      <c r="AY33" s="8" t="s">
        <v>233</v>
      </c>
      <c r="AZ33" s="7" t="s">
        <v>233</v>
      </c>
      <c r="BA33" s="7" t="s">
        <v>233</v>
      </c>
      <c r="BB33" s="7"/>
      <c r="BC33" s="4" t="s">
        <v>233</v>
      </c>
      <c r="BD33" s="8" t="s">
        <v>233</v>
      </c>
      <c r="BE33" s="4" t="s">
        <v>233</v>
      </c>
      <c r="BF33" s="8" t="s">
        <v>233</v>
      </c>
      <c r="BG33" s="7" t="s">
        <v>233</v>
      </c>
      <c r="BH33" s="7" t="s">
        <v>233</v>
      </c>
      <c r="BI33" s="7"/>
      <c r="BJ33" s="4">
        <v>19</v>
      </c>
      <c r="BK33" s="8">
        <v>517.62</v>
      </c>
      <c r="BL33" s="2" t="s">
        <v>373</v>
      </c>
      <c r="BM33" s="7"/>
      <c r="BN33" s="7"/>
      <c r="BO33" s="4"/>
      <c r="BP33" s="8"/>
      <c r="BQ33" s="4"/>
      <c r="BR33" s="8"/>
      <c r="BS33" s="7"/>
      <c r="BT33" s="7"/>
      <c r="BU33" s="2" t="s">
        <v>374</v>
      </c>
      <c r="BV33" s="2" t="s">
        <v>233</v>
      </c>
      <c r="BW33" s="2" t="s">
        <v>233</v>
      </c>
      <c r="BX33" s="2" t="s">
        <v>233</v>
      </c>
      <c r="BY33" s="2" t="s">
        <v>280</v>
      </c>
      <c r="BZ33" s="2" t="s">
        <v>245</v>
      </c>
      <c r="CA33" s="2" t="s">
        <v>364</v>
      </c>
      <c r="CB33" s="2" t="s">
        <v>375</v>
      </c>
      <c r="CC33" s="2" t="s">
        <v>246</v>
      </c>
      <c r="CD33" s="2" t="s">
        <v>233</v>
      </c>
      <c r="CE33" s="4">
        <v>89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>
        <v>68</v>
      </c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>
        <v>190</v>
      </c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</row>
    <row r="34">
      <c r="A34" s="2" t="s">
        <v>376</v>
      </c>
      <c r="B34" s="2" t="s">
        <v>333</v>
      </c>
      <c r="C34" s="2" t="s">
        <v>334</v>
      </c>
      <c r="D34" s="2" t="s">
        <v>335</v>
      </c>
      <c r="E34" s="2" t="s">
        <v>336</v>
      </c>
      <c r="F34" s="2" t="s">
        <v>337</v>
      </c>
      <c r="G34" s="2" t="s">
        <v>337</v>
      </c>
      <c r="H34" s="2" t="s">
        <v>337</v>
      </c>
      <c r="I34" s="2" t="s">
        <v>338</v>
      </c>
      <c r="J34" s="2" t="s">
        <v>290</v>
      </c>
      <c r="K34" s="2" t="s">
        <v>377</v>
      </c>
      <c r="L34" s="3">
        <v>23.75</v>
      </c>
      <c r="M34" s="3">
        <v>24.94</v>
      </c>
      <c r="N34" s="3">
        <v>49.99</v>
      </c>
      <c r="O34" s="2" t="s">
        <v>245</v>
      </c>
      <c r="P34" s="2" t="s">
        <v>272</v>
      </c>
      <c r="Q34" s="2" t="s">
        <v>239</v>
      </c>
      <c r="R34" s="2" t="s">
        <v>233</v>
      </c>
      <c r="S34" s="2" t="s">
        <v>378</v>
      </c>
      <c r="T34" s="2" t="s">
        <v>341</v>
      </c>
      <c r="U34" s="2" t="s">
        <v>342</v>
      </c>
      <c r="V34" s="2" t="s">
        <v>379</v>
      </c>
      <c r="W34" s="2" t="s">
        <v>275</v>
      </c>
      <c r="X34" s="2" t="s">
        <v>233</v>
      </c>
      <c r="Y34" s="2" t="s">
        <v>360</v>
      </c>
      <c r="Z34" s="4">
        <v>32</v>
      </c>
      <c r="AA34" s="4">
        <f>=ROUNDDOWN(10.6666666666667,0)</f>
      </c>
      <c r="AB34" s="5">
        <v>3</v>
      </c>
      <c r="AC34" s="2" t="s">
        <v>361</v>
      </c>
      <c r="AD34" s="4">
        <v>30</v>
      </c>
      <c r="AE34" s="4">
        <v>60</v>
      </c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233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233</v>
      </c>
      <c r="AW34" s="8" t="s">
        <v>233</v>
      </c>
      <c r="AX34" s="4" t="s">
        <v>233</v>
      </c>
      <c r="AY34" s="8" t="s">
        <v>233</v>
      </c>
      <c r="AZ34" s="7" t="s">
        <v>233</v>
      </c>
      <c r="BA34" s="7" t="s">
        <v>233</v>
      </c>
      <c r="BB34" s="7"/>
      <c r="BC34" s="4" t="s">
        <v>233</v>
      </c>
      <c r="BD34" s="8" t="s">
        <v>233</v>
      </c>
      <c r="BE34" s="4" t="s">
        <v>233</v>
      </c>
      <c r="BF34" s="8" t="s">
        <v>233</v>
      </c>
      <c r="BG34" s="7" t="s">
        <v>233</v>
      </c>
      <c r="BH34" s="7" t="s">
        <v>233</v>
      </c>
      <c r="BI34" s="7"/>
      <c r="BJ34" s="4">
        <v>5</v>
      </c>
      <c r="BK34" s="8">
        <v>154.71</v>
      </c>
      <c r="BL34" s="2" t="s">
        <v>380</v>
      </c>
      <c r="BM34" s="7"/>
      <c r="BN34" s="7"/>
      <c r="BO34" s="4"/>
      <c r="BP34" s="8"/>
      <c r="BQ34" s="4"/>
      <c r="BR34" s="8"/>
      <c r="BS34" s="7"/>
      <c r="BT34" s="7"/>
      <c r="BU34" s="2" t="s">
        <v>381</v>
      </c>
      <c r="BV34" s="2" t="s">
        <v>233</v>
      </c>
      <c r="BW34" s="2" t="s">
        <v>233</v>
      </c>
      <c r="BX34" s="2" t="s">
        <v>233</v>
      </c>
      <c r="BY34" s="2" t="s">
        <v>280</v>
      </c>
      <c r="BZ34" s="2" t="s">
        <v>245</v>
      </c>
      <c r="CA34" s="2" t="s">
        <v>364</v>
      </c>
      <c r="CB34" s="2" t="s">
        <v>233</v>
      </c>
      <c r="CC34" s="2" t="s">
        <v>246</v>
      </c>
      <c r="CD34" s="2" t="s">
        <v>233</v>
      </c>
      <c r="CE34" s="4">
        <v>32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>
        <v>30</v>
      </c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>
        <v>30</v>
      </c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</row>
    <row r="35">
      <c r="A35" s="2" t="s">
        <v>382</v>
      </c>
      <c r="B35" s="2" t="s">
        <v>333</v>
      </c>
      <c r="C35" s="2" t="s">
        <v>334</v>
      </c>
      <c r="D35" s="2" t="s">
        <v>335</v>
      </c>
      <c r="E35" s="2" t="s">
        <v>336</v>
      </c>
      <c r="F35" s="2" t="s">
        <v>337</v>
      </c>
      <c r="G35" s="2" t="s">
        <v>337</v>
      </c>
      <c r="H35" s="2" t="s">
        <v>337</v>
      </c>
      <c r="I35" s="2" t="s">
        <v>338</v>
      </c>
      <c r="J35" s="2" t="s">
        <v>348</v>
      </c>
      <c r="K35" s="2" t="s">
        <v>377</v>
      </c>
      <c r="L35" s="3">
        <v>25</v>
      </c>
      <c r="M35" s="3">
        <v>26.25</v>
      </c>
      <c r="N35" s="3">
        <v>54.99</v>
      </c>
      <c r="O35" s="2" t="s">
        <v>245</v>
      </c>
      <c r="P35" s="2" t="s">
        <v>272</v>
      </c>
      <c r="Q35" s="2" t="s">
        <v>239</v>
      </c>
      <c r="R35" s="2" t="s">
        <v>233</v>
      </c>
      <c r="S35" s="2" t="s">
        <v>378</v>
      </c>
      <c r="T35" s="2" t="s">
        <v>341</v>
      </c>
      <c r="U35" s="2" t="s">
        <v>342</v>
      </c>
      <c r="V35" s="2" t="s">
        <v>379</v>
      </c>
      <c r="W35" s="2" t="s">
        <v>275</v>
      </c>
      <c r="X35" s="2" t="s">
        <v>233</v>
      </c>
      <c r="Y35" s="2" t="s">
        <v>360</v>
      </c>
      <c r="Z35" s="4">
        <v>66</v>
      </c>
      <c r="AA35" s="4">
        <f>=ROUNDDOWN(11.3793103448276,0)</f>
      </c>
      <c r="AB35" s="5">
        <v>5.8</v>
      </c>
      <c r="AC35" s="2" t="s">
        <v>361</v>
      </c>
      <c r="AD35" s="4">
        <v>140</v>
      </c>
      <c r="AE35" s="4">
        <v>300</v>
      </c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233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233</v>
      </c>
      <c r="AW35" s="8" t="s">
        <v>233</v>
      </c>
      <c r="AX35" s="4" t="s">
        <v>233</v>
      </c>
      <c r="AY35" s="8" t="s">
        <v>233</v>
      </c>
      <c r="AZ35" s="7" t="s">
        <v>233</v>
      </c>
      <c r="BA35" s="7" t="s">
        <v>233</v>
      </c>
      <c r="BB35" s="7"/>
      <c r="BC35" s="4" t="s">
        <v>233</v>
      </c>
      <c r="BD35" s="8" t="s">
        <v>233</v>
      </c>
      <c r="BE35" s="4" t="s">
        <v>233</v>
      </c>
      <c r="BF35" s="8" t="s">
        <v>233</v>
      </c>
      <c r="BG35" s="7" t="s">
        <v>233</v>
      </c>
      <c r="BH35" s="7" t="s">
        <v>233</v>
      </c>
      <c r="BI35" s="7"/>
      <c r="BJ35" s="4">
        <v>20</v>
      </c>
      <c r="BK35" s="8">
        <v>571.03</v>
      </c>
      <c r="BL35" s="2" t="s">
        <v>383</v>
      </c>
      <c r="BM35" s="7"/>
      <c r="BN35" s="7"/>
      <c r="BO35" s="4"/>
      <c r="BP35" s="8"/>
      <c r="BQ35" s="4"/>
      <c r="BR35" s="8"/>
      <c r="BS35" s="7"/>
      <c r="BT35" s="7"/>
      <c r="BU35" s="2" t="s">
        <v>384</v>
      </c>
      <c r="BV35" s="2" t="s">
        <v>233</v>
      </c>
      <c r="BW35" s="2" t="s">
        <v>233</v>
      </c>
      <c r="BX35" s="2" t="s">
        <v>233</v>
      </c>
      <c r="BY35" s="2" t="s">
        <v>280</v>
      </c>
      <c r="BZ35" s="2" t="s">
        <v>245</v>
      </c>
      <c r="CA35" s="2" t="s">
        <v>364</v>
      </c>
      <c r="CB35" s="2" t="s">
        <v>385</v>
      </c>
      <c r="CC35" s="2" t="s">
        <v>246</v>
      </c>
      <c r="CD35" s="2" t="s">
        <v>233</v>
      </c>
      <c r="CE35" s="4">
        <v>66</v>
      </c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>
        <v>140</v>
      </c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>
        <v>160</v>
      </c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</row>
    <row r="36">
      <c r="A36" s="2" t="s">
        <v>386</v>
      </c>
      <c r="B36" s="2" t="s">
        <v>333</v>
      </c>
      <c r="C36" s="2" t="s">
        <v>334</v>
      </c>
      <c r="D36" s="2" t="s">
        <v>335</v>
      </c>
      <c r="E36" s="2" t="s">
        <v>336</v>
      </c>
      <c r="F36" s="2" t="s">
        <v>337</v>
      </c>
      <c r="G36" s="2" t="s">
        <v>337</v>
      </c>
      <c r="H36" s="2" t="s">
        <v>337</v>
      </c>
      <c r="I36" s="2" t="s">
        <v>338</v>
      </c>
      <c r="J36" s="2" t="s">
        <v>328</v>
      </c>
      <c r="K36" s="2" t="s">
        <v>377</v>
      </c>
      <c r="L36" s="3">
        <v>28.5</v>
      </c>
      <c r="M36" s="3">
        <v>29.93</v>
      </c>
      <c r="N36" s="3">
        <v>59.99</v>
      </c>
      <c r="O36" s="2" t="s">
        <v>245</v>
      </c>
      <c r="P36" s="2" t="s">
        <v>272</v>
      </c>
      <c r="Q36" s="2" t="s">
        <v>239</v>
      </c>
      <c r="R36" s="2" t="s">
        <v>233</v>
      </c>
      <c r="S36" s="2" t="s">
        <v>378</v>
      </c>
      <c r="T36" s="2" t="s">
        <v>341</v>
      </c>
      <c r="U36" s="2" t="s">
        <v>342</v>
      </c>
      <c r="V36" s="2" t="s">
        <v>379</v>
      </c>
      <c r="W36" s="2" t="s">
        <v>275</v>
      </c>
      <c r="X36" s="2" t="s">
        <v>233</v>
      </c>
      <c r="Y36" s="2" t="s">
        <v>360</v>
      </c>
      <c r="Z36" s="4"/>
      <c r="AA36" s="4">
        <f>=ROUNDDOWN({0},0)</f>
      </c>
      <c r="AB36" s="5">
        <v>5</v>
      </c>
      <c r="AC36" s="2" t="s">
        <v>361</v>
      </c>
      <c r="AD36" s="4">
        <v>110</v>
      </c>
      <c r="AE36" s="4">
        <v>240</v>
      </c>
      <c r="AF36" s="6">
        <v>70</v>
      </c>
      <c r="AG36" s="6"/>
      <c r="AH36" s="7">
        <v>1</v>
      </c>
      <c r="AI36" s="4"/>
      <c r="AJ36" s="4">
        <f>=ROUNDDOWN({0},0)</f>
      </c>
      <c r="AK36" s="5"/>
      <c r="AL36" s="2" t="s">
        <v>233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233</v>
      </c>
      <c r="AW36" s="8" t="s">
        <v>233</v>
      </c>
      <c r="AX36" s="4" t="s">
        <v>233</v>
      </c>
      <c r="AY36" s="8" t="s">
        <v>233</v>
      </c>
      <c r="AZ36" s="7" t="s">
        <v>233</v>
      </c>
      <c r="BA36" s="7" t="s">
        <v>233</v>
      </c>
      <c r="BB36" s="7"/>
      <c r="BC36" s="4" t="s">
        <v>233</v>
      </c>
      <c r="BD36" s="8" t="s">
        <v>233</v>
      </c>
      <c r="BE36" s="4" t="s">
        <v>233</v>
      </c>
      <c r="BF36" s="8" t="s">
        <v>233</v>
      </c>
      <c r="BG36" s="7" t="s">
        <v>233</v>
      </c>
      <c r="BH36" s="7" t="s">
        <v>233</v>
      </c>
      <c r="BI36" s="7"/>
      <c r="BJ36" s="4">
        <v>14</v>
      </c>
      <c r="BK36" s="8">
        <v>447.74</v>
      </c>
      <c r="BL36" s="2" t="s">
        <v>387</v>
      </c>
      <c r="BM36" s="7"/>
      <c r="BN36" s="7"/>
      <c r="BO36" s="4"/>
      <c r="BP36" s="8"/>
      <c r="BQ36" s="4"/>
      <c r="BR36" s="8"/>
      <c r="BS36" s="7"/>
      <c r="BT36" s="7"/>
      <c r="BU36" s="2" t="s">
        <v>388</v>
      </c>
      <c r="BV36" s="2" t="s">
        <v>233</v>
      </c>
      <c r="BW36" s="2" t="s">
        <v>233</v>
      </c>
      <c r="BX36" s="2" t="s">
        <v>233</v>
      </c>
      <c r="BY36" s="2" t="s">
        <v>280</v>
      </c>
      <c r="BZ36" s="2" t="s">
        <v>245</v>
      </c>
      <c r="CA36" s="2" t="s">
        <v>364</v>
      </c>
      <c r="CB36" s="2" t="s">
        <v>371</v>
      </c>
      <c r="CC36" s="2" t="s">
        <v>246</v>
      </c>
      <c r="CD36" s="2" t="s">
        <v>233</v>
      </c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>
        <v>110</v>
      </c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>
        <v>130</v>
      </c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</row>
    <row r="37">
      <c r="A37" s="2" t="s">
        <v>389</v>
      </c>
      <c r="B37" s="2" t="s">
        <v>264</v>
      </c>
      <c r="C37" s="2" t="s">
        <v>265</v>
      </c>
      <c r="D37" s="2" t="s">
        <v>266</v>
      </c>
      <c r="E37" s="2" t="s">
        <v>390</v>
      </c>
      <c r="F37" s="2" t="s">
        <v>391</v>
      </c>
      <c r="G37" s="2" t="s">
        <v>391</v>
      </c>
      <c r="H37" s="2" t="s">
        <v>391</v>
      </c>
      <c r="I37" s="2" t="s">
        <v>392</v>
      </c>
      <c r="J37" s="2" t="s">
        <v>290</v>
      </c>
      <c r="K37" s="2" t="s">
        <v>297</v>
      </c>
      <c r="L37" s="3">
        <v>19.04</v>
      </c>
      <c r="M37" s="3">
        <v>19.99</v>
      </c>
      <c r="N37" s="3">
        <v>39.99</v>
      </c>
      <c r="O37" s="2" t="s">
        <v>245</v>
      </c>
      <c r="P37" s="2" t="s">
        <v>393</v>
      </c>
      <c r="Q37" s="2" t="s">
        <v>239</v>
      </c>
      <c r="R37" s="2" t="s">
        <v>233</v>
      </c>
      <c r="S37" s="2" t="s">
        <v>394</v>
      </c>
      <c r="T37" s="2" t="s">
        <v>395</v>
      </c>
      <c r="U37" s="2" t="s">
        <v>396</v>
      </c>
      <c r="V37" s="2" t="s">
        <v>241</v>
      </c>
      <c r="W37" s="2" t="s">
        <v>275</v>
      </c>
      <c r="X37" s="2" t="s">
        <v>397</v>
      </c>
      <c r="Y37" s="2" t="s">
        <v>398</v>
      </c>
      <c r="Z37" s="4">
        <v>249</v>
      </c>
      <c r="AA37" s="4">
        <f>=ROUNDDOWN(83,0)</f>
      </c>
      <c r="AB37" s="5">
        <v>3</v>
      </c>
      <c r="AC37" s="2" t="s">
        <v>233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233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233</v>
      </c>
      <c r="AW37" s="8" t="s">
        <v>233</v>
      </c>
      <c r="AX37" s="4" t="s">
        <v>233</v>
      </c>
      <c r="AY37" s="8" t="s">
        <v>233</v>
      </c>
      <c r="AZ37" s="7" t="s">
        <v>233</v>
      </c>
      <c r="BA37" s="7" t="s">
        <v>233</v>
      </c>
      <c r="BB37" s="7"/>
      <c r="BC37" s="4" t="s">
        <v>233</v>
      </c>
      <c r="BD37" s="8" t="s">
        <v>233</v>
      </c>
      <c r="BE37" s="4" t="s">
        <v>233</v>
      </c>
      <c r="BF37" s="8" t="s">
        <v>233</v>
      </c>
      <c r="BG37" s="7" t="s">
        <v>233</v>
      </c>
      <c r="BH37" s="7" t="s">
        <v>233</v>
      </c>
      <c r="BI37" s="7"/>
      <c r="BJ37" s="4">
        <v>16</v>
      </c>
      <c r="BK37" s="8">
        <v>358.64</v>
      </c>
      <c r="BL37" s="2" t="s">
        <v>399</v>
      </c>
      <c r="BM37" s="7"/>
      <c r="BN37" s="7"/>
      <c r="BO37" s="4"/>
      <c r="BP37" s="8"/>
      <c r="BQ37" s="4"/>
      <c r="BR37" s="8"/>
      <c r="BS37" s="7"/>
      <c r="BT37" s="7"/>
      <c r="BU37" s="2" t="s">
        <v>400</v>
      </c>
      <c r="BV37" s="2" t="s">
        <v>233</v>
      </c>
      <c r="BW37" s="2" t="s">
        <v>233</v>
      </c>
      <c r="BX37" s="2" t="s">
        <v>233</v>
      </c>
      <c r="BY37" s="2" t="s">
        <v>280</v>
      </c>
      <c r="BZ37" s="2" t="s">
        <v>245</v>
      </c>
      <c r="CA37" s="2" t="s">
        <v>401</v>
      </c>
      <c r="CB37" s="2" t="s">
        <v>233</v>
      </c>
      <c r="CC37" s="2" t="s">
        <v>246</v>
      </c>
      <c r="CD37" s="2" t="s">
        <v>233</v>
      </c>
      <c r="CE37" s="4">
        <v>249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</row>
    <row r="38">
      <c r="A38" s="2" t="s">
        <v>402</v>
      </c>
      <c r="B38" s="2" t="s">
        <v>264</v>
      </c>
      <c r="C38" s="2" t="s">
        <v>265</v>
      </c>
      <c r="D38" s="2" t="s">
        <v>266</v>
      </c>
      <c r="E38" s="2" t="s">
        <v>390</v>
      </c>
      <c r="F38" s="2" t="s">
        <v>391</v>
      </c>
      <c r="G38" s="2" t="s">
        <v>391</v>
      </c>
      <c r="H38" s="2" t="s">
        <v>391</v>
      </c>
      <c r="I38" s="2" t="s">
        <v>392</v>
      </c>
      <c r="J38" s="2" t="s">
        <v>328</v>
      </c>
      <c r="K38" s="2" t="s">
        <v>297</v>
      </c>
      <c r="L38" s="3">
        <v>23.8</v>
      </c>
      <c r="M38" s="3">
        <v>24.99</v>
      </c>
      <c r="N38" s="3">
        <v>49.99</v>
      </c>
      <c r="O38" s="2" t="s">
        <v>245</v>
      </c>
      <c r="P38" s="2" t="s">
        <v>393</v>
      </c>
      <c r="Q38" s="2" t="s">
        <v>239</v>
      </c>
      <c r="R38" s="2" t="s">
        <v>233</v>
      </c>
      <c r="S38" s="2" t="s">
        <v>394</v>
      </c>
      <c r="T38" s="2" t="s">
        <v>395</v>
      </c>
      <c r="U38" s="2" t="s">
        <v>396</v>
      </c>
      <c r="V38" s="2" t="s">
        <v>241</v>
      </c>
      <c r="W38" s="2" t="s">
        <v>275</v>
      </c>
      <c r="X38" s="2" t="s">
        <v>397</v>
      </c>
      <c r="Y38" s="2" t="s">
        <v>398</v>
      </c>
      <c r="Z38" s="4">
        <v>252</v>
      </c>
      <c r="AA38" s="4">
        <f>=ROUNDDOWN(31.5,0)</f>
      </c>
      <c r="AB38" s="5">
        <v>8</v>
      </c>
      <c r="AC38" s="2" t="s">
        <v>233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233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233</v>
      </c>
      <c r="AW38" s="8" t="s">
        <v>233</v>
      </c>
      <c r="AX38" s="4" t="s">
        <v>233</v>
      </c>
      <c r="AY38" s="8" t="s">
        <v>233</v>
      </c>
      <c r="AZ38" s="7" t="s">
        <v>233</v>
      </c>
      <c r="BA38" s="7" t="s">
        <v>233</v>
      </c>
      <c r="BB38" s="7"/>
      <c r="BC38" s="4" t="s">
        <v>233</v>
      </c>
      <c r="BD38" s="8" t="s">
        <v>233</v>
      </c>
      <c r="BE38" s="4" t="s">
        <v>233</v>
      </c>
      <c r="BF38" s="8" t="s">
        <v>233</v>
      </c>
      <c r="BG38" s="7" t="s">
        <v>233</v>
      </c>
      <c r="BH38" s="7" t="s">
        <v>233</v>
      </c>
      <c r="BI38" s="7"/>
      <c r="BJ38" s="4">
        <v>31</v>
      </c>
      <c r="BK38" s="8">
        <v>862.2</v>
      </c>
      <c r="BL38" s="2" t="s">
        <v>403</v>
      </c>
      <c r="BM38" s="7"/>
      <c r="BN38" s="7"/>
      <c r="BO38" s="4"/>
      <c r="BP38" s="8"/>
      <c r="BQ38" s="4"/>
      <c r="BR38" s="8"/>
      <c r="BS38" s="7"/>
      <c r="BT38" s="7"/>
      <c r="BU38" s="2" t="s">
        <v>404</v>
      </c>
      <c r="BV38" s="2" t="s">
        <v>233</v>
      </c>
      <c r="BW38" s="2" t="s">
        <v>233</v>
      </c>
      <c r="BX38" s="2" t="s">
        <v>233</v>
      </c>
      <c r="BY38" s="2" t="s">
        <v>280</v>
      </c>
      <c r="BZ38" s="2" t="s">
        <v>245</v>
      </c>
      <c r="CA38" s="2" t="s">
        <v>401</v>
      </c>
      <c r="CB38" s="2" t="s">
        <v>405</v>
      </c>
      <c r="CC38" s="2" t="s">
        <v>246</v>
      </c>
      <c r="CD38" s="2" t="s">
        <v>233</v>
      </c>
      <c r="CE38" s="4">
        <v>252</v>
      </c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</row>
    <row r="39">
      <c r="A39" s="2" t="s">
        <v>406</v>
      </c>
      <c r="B39" s="2" t="s">
        <v>264</v>
      </c>
      <c r="C39" s="2" t="s">
        <v>265</v>
      </c>
      <c r="D39" s="2" t="s">
        <v>266</v>
      </c>
      <c r="E39" s="2" t="s">
        <v>267</v>
      </c>
      <c r="F39" s="2" t="s">
        <v>407</v>
      </c>
      <c r="G39" s="2" t="s">
        <v>407</v>
      </c>
      <c r="H39" s="2" t="s">
        <v>407</v>
      </c>
      <c r="I39" s="2" t="s">
        <v>310</v>
      </c>
      <c r="J39" s="2" t="s">
        <v>270</v>
      </c>
      <c r="K39" s="2" t="s">
        <v>271</v>
      </c>
      <c r="L39" s="3">
        <v>41.4</v>
      </c>
      <c r="M39" s="3">
        <v>43.47</v>
      </c>
      <c r="N39" s="3">
        <v>89.99</v>
      </c>
      <c r="O39" s="2" t="s">
        <v>245</v>
      </c>
      <c r="P39" s="2" t="s">
        <v>272</v>
      </c>
      <c r="Q39" s="2" t="s">
        <v>239</v>
      </c>
      <c r="R39" s="2" t="s">
        <v>233</v>
      </c>
      <c r="S39" s="2" t="s">
        <v>408</v>
      </c>
      <c r="T39" s="2" t="s">
        <v>274</v>
      </c>
      <c r="U39" s="2" t="s">
        <v>233</v>
      </c>
      <c r="V39" s="2" t="s">
        <v>241</v>
      </c>
      <c r="W39" s="2" t="s">
        <v>275</v>
      </c>
      <c r="X39" s="2" t="s">
        <v>233</v>
      </c>
      <c r="Y39" s="2" t="s">
        <v>276</v>
      </c>
      <c r="Z39" s="4">
        <v>163</v>
      </c>
      <c r="AA39" s="4">
        <f>=ROUNDDOWN(16.3,0)</f>
      </c>
      <c r="AB39" s="5">
        <v>10</v>
      </c>
      <c r="AC39" s="2" t="s">
        <v>277</v>
      </c>
      <c r="AD39" s="4">
        <v>160</v>
      </c>
      <c r="AE39" s="4">
        <v>350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233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233</v>
      </c>
      <c r="AW39" s="8" t="s">
        <v>233</v>
      </c>
      <c r="AX39" s="4" t="s">
        <v>233</v>
      </c>
      <c r="AY39" s="8" t="s">
        <v>233</v>
      </c>
      <c r="AZ39" s="7" t="s">
        <v>233</v>
      </c>
      <c r="BA39" s="7" t="s">
        <v>233</v>
      </c>
      <c r="BB39" s="7"/>
      <c r="BC39" s="4" t="s">
        <v>233</v>
      </c>
      <c r="BD39" s="8" t="s">
        <v>233</v>
      </c>
      <c r="BE39" s="4" t="s">
        <v>233</v>
      </c>
      <c r="BF39" s="8" t="s">
        <v>233</v>
      </c>
      <c r="BG39" s="7" t="s">
        <v>233</v>
      </c>
      <c r="BH39" s="7" t="s">
        <v>233</v>
      </c>
      <c r="BI39" s="7"/>
      <c r="BJ39" s="4">
        <v>28</v>
      </c>
      <c r="BK39" s="8">
        <v>1295.53</v>
      </c>
      <c r="BL39" s="2" t="s">
        <v>409</v>
      </c>
      <c r="BM39" s="7"/>
      <c r="BN39" s="7"/>
      <c r="BO39" s="4"/>
      <c r="BP39" s="8"/>
      <c r="BQ39" s="4"/>
      <c r="BR39" s="8"/>
      <c r="BS39" s="7"/>
      <c r="BT39" s="7"/>
      <c r="BU39" s="2" t="s">
        <v>410</v>
      </c>
      <c r="BV39" s="2" t="s">
        <v>233</v>
      </c>
      <c r="BW39" s="2" t="s">
        <v>233</v>
      </c>
      <c r="BX39" s="2" t="s">
        <v>233</v>
      </c>
      <c r="BY39" s="2" t="s">
        <v>280</v>
      </c>
      <c r="BZ39" s="2" t="s">
        <v>245</v>
      </c>
      <c r="CA39" s="2" t="s">
        <v>411</v>
      </c>
      <c r="CB39" s="2" t="s">
        <v>412</v>
      </c>
      <c r="CC39" s="2" t="s">
        <v>246</v>
      </c>
      <c r="CD39" s="2" t="s">
        <v>233</v>
      </c>
      <c r="CE39" s="4">
        <v>163</v>
      </c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>
        <v>160</v>
      </c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>
        <v>190</v>
      </c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</row>
    <row r="40">
      <c r="A40" s="2" t="s">
        <v>413</v>
      </c>
      <c r="B40" s="2" t="s">
        <v>264</v>
      </c>
      <c r="C40" s="2" t="s">
        <v>265</v>
      </c>
      <c r="D40" s="2" t="s">
        <v>266</v>
      </c>
      <c r="E40" s="2" t="s">
        <v>267</v>
      </c>
      <c r="F40" s="2" t="s">
        <v>407</v>
      </c>
      <c r="G40" s="2" t="s">
        <v>407</v>
      </c>
      <c r="H40" s="2" t="s">
        <v>407</v>
      </c>
      <c r="I40" s="2" t="s">
        <v>310</v>
      </c>
      <c r="J40" s="2" t="s">
        <v>290</v>
      </c>
      <c r="K40" s="2" t="s">
        <v>271</v>
      </c>
      <c r="L40" s="3">
        <v>54</v>
      </c>
      <c r="M40" s="3">
        <v>56.7</v>
      </c>
      <c r="N40" s="3">
        <v>119.99</v>
      </c>
      <c r="O40" s="2" t="s">
        <v>245</v>
      </c>
      <c r="P40" s="2" t="s">
        <v>272</v>
      </c>
      <c r="Q40" s="2" t="s">
        <v>239</v>
      </c>
      <c r="R40" s="2" t="s">
        <v>233</v>
      </c>
      <c r="S40" s="2" t="s">
        <v>408</v>
      </c>
      <c r="T40" s="2" t="s">
        <v>274</v>
      </c>
      <c r="U40" s="2" t="s">
        <v>233</v>
      </c>
      <c r="V40" s="2" t="s">
        <v>241</v>
      </c>
      <c r="W40" s="2" t="s">
        <v>275</v>
      </c>
      <c r="X40" s="2" t="s">
        <v>233</v>
      </c>
      <c r="Y40" s="2" t="s">
        <v>276</v>
      </c>
      <c r="Z40" s="4">
        <v>291</v>
      </c>
      <c r="AA40" s="4">
        <f>=ROUNDDOWN(58.2,0)</f>
      </c>
      <c r="AB40" s="5">
        <v>5</v>
      </c>
      <c r="AC40" s="2" t="s">
        <v>414</v>
      </c>
      <c r="AD40" s="4">
        <v>50</v>
      </c>
      <c r="AE40" s="4">
        <v>50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233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233</v>
      </c>
      <c r="AW40" s="8" t="s">
        <v>233</v>
      </c>
      <c r="AX40" s="4" t="s">
        <v>233</v>
      </c>
      <c r="AY40" s="8" t="s">
        <v>233</v>
      </c>
      <c r="AZ40" s="7" t="s">
        <v>233</v>
      </c>
      <c r="BA40" s="7" t="s">
        <v>233</v>
      </c>
      <c r="BB40" s="7"/>
      <c r="BC40" s="4" t="s">
        <v>233</v>
      </c>
      <c r="BD40" s="8" t="s">
        <v>233</v>
      </c>
      <c r="BE40" s="4" t="s">
        <v>233</v>
      </c>
      <c r="BF40" s="8" t="s">
        <v>233</v>
      </c>
      <c r="BG40" s="7" t="s">
        <v>233</v>
      </c>
      <c r="BH40" s="7" t="s">
        <v>233</v>
      </c>
      <c r="BI40" s="7"/>
      <c r="BJ40" s="4">
        <v>17</v>
      </c>
      <c r="BK40" s="8">
        <v>1031.61</v>
      </c>
      <c r="BL40" s="2" t="s">
        <v>415</v>
      </c>
      <c r="BM40" s="7"/>
      <c r="BN40" s="7"/>
      <c r="BO40" s="4"/>
      <c r="BP40" s="8"/>
      <c r="BQ40" s="4"/>
      <c r="BR40" s="8"/>
      <c r="BS40" s="7"/>
      <c r="BT40" s="7"/>
      <c r="BU40" s="2" t="s">
        <v>416</v>
      </c>
      <c r="BV40" s="2" t="s">
        <v>233</v>
      </c>
      <c r="BW40" s="2" t="s">
        <v>233</v>
      </c>
      <c r="BX40" s="2" t="s">
        <v>233</v>
      </c>
      <c r="BY40" s="2" t="s">
        <v>280</v>
      </c>
      <c r="BZ40" s="2" t="s">
        <v>245</v>
      </c>
      <c r="CA40" s="2" t="s">
        <v>411</v>
      </c>
      <c r="CB40" s="2" t="s">
        <v>417</v>
      </c>
      <c r="CC40" s="2" t="s">
        <v>246</v>
      </c>
      <c r="CD40" s="2" t="s">
        <v>233</v>
      </c>
      <c r="CE40" s="4">
        <v>291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>
        <v>50</v>
      </c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</row>
    <row r="41">
      <c r="A41" s="2" t="s">
        <v>418</v>
      </c>
      <c r="B41" s="2" t="s">
        <v>264</v>
      </c>
      <c r="C41" s="2" t="s">
        <v>265</v>
      </c>
      <c r="D41" s="2" t="s">
        <v>266</v>
      </c>
      <c r="E41" s="2" t="s">
        <v>267</v>
      </c>
      <c r="F41" s="2" t="s">
        <v>407</v>
      </c>
      <c r="G41" s="2" t="s">
        <v>407</v>
      </c>
      <c r="H41" s="2" t="s">
        <v>407</v>
      </c>
      <c r="I41" s="2" t="s">
        <v>310</v>
      </c>
      <c r="J41" s="2" t="s">
        <v>328</v>
      </c>
      <c r="K41" s="2" t="s">
        <v>271</v>
      </c>
      <c r="L41" s="3">
        <v>76.8</v>
      </c>
      <c r="M41" s="3">
        <v>80.64</v>
      </c>
      <c r="N41" s="3">
        <v>159.99</v>
      </c>
      <c r="O41" s="2" t="s">
        <v>245</v>
      </c>
      <c r="P41" s="2" t="s">
        <v>272</v>
      </c>
      <c r="Q41" s="2" t="s">
        <v>239</v>
      </c>
      <c r="R41" s="2" t="s">
        <v>233</v>
      </c>
      <c r="S41" s="2" t="s">
        <v>408</v>
      </c>
      <c r="T41" s="2" t="s">
        <v>274</v>
      </c>
      <c r="U41" s="2" t="s">
        <v>233</v>
      </c>
      <c r="V41" s="2" t="s">
        <v>241</v>
      </c>
      <c r="W41" s="2" t="s">
        <v>275</v>
      </c>
      <c r="X41" s="2" t="s">
        <v>233</v>
      </c>
      <c r="Y41" s="2" t="s">
        <v>276</v>
      </c>
      <c r="Z41" s="4">
        <v>205</v>
      </c>
      <c r="AA41" s="4">
        <f>=ROUNDDOWN(18.6363636363636,0)</f>
      </c>
      <c r="AB41" s="5">
        <v>11</v>
      </c>
      <c r="AC41" s="2" t="s">
        <v>277</v>
      </c>
      <c r="AD41" s="4">
        <v>110</v>
      </c>
      <c r="AE41" s="4">
        <v>200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233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233</v>
      </c>
      <c r="AW41" s="8" t="s">
        <v>233</v>
      </c>
      <c r="AX41" s="4" t="s">
        <v>233</v>
      </c>
      <c r="AY41" s="8" t="s">
        <v>233</v>
      </c>
      <c r="AZ41" s="7" t="s">
        <v>233</v>
      </c>
      <c r="BA41" s="7" t="s">
        <v>233</v>
      </c>
      <c r="BB41" s="7"/>
      <c r="BC41" s="4" t="s">
        <v>233</v>
      </c>
      <c r="BD41" s="8" t="s">
        <v>233</v>
      </c>
      <c r="BE41" s="4" t="s">
        <v>233</v>
      </c>
      <c r="BF41" s="8" t="s">
        <v>233</v>
      </c>
      <c r="BG41" s="7" t="s">
        <v>233</v>
      </c>
      <c r="BH41" s="7" t="s">
        <v>233</v>
      </c>
      <c r="BI41" s="7"/>
      <c r="BJ41" s="4">
        <v>20</v>
      </c>
      <c r="BK41" s="8">
        <v>1724.13</v>
      </c>
      <c r="BL41" s="2" t="s">
        <v>419</v>
      </c>
      <c r="BM41" s="7"/>
      <c r="BN41" s="7"/>
      <c r="BO41" s="4"/>
      <c r="BP41" s="8"/>
      <c r="BQ41" s="4"/>
      <c r="BR41" s="8"/>
      <c r="BS41" s="7"/>
      <c r="BT41" s="7"/>
      <c r="BU41" s="2" t="s">
        <v>420</v>
      </c>
      <c r="BV41" s="2" t="s">
        <v>233</v>
      </c>
      <c r="BW41" s="2" t="s">
        <v>233</v>
      </c>
      <c r="BX41" s="2" t="s">
        <v>233</v>
      </c>
      <c r="BY41" s="2" t="s">
        <v>280</v>
      </c>
      <c r="BZ41" s="2" t="s">
        <v>245</v>
      </c>
      <c r="CA41" s="2" t="s">
        <v>411</v>
      </c>
      <c r="CB41" s="2" t="s">
        <v>421</v>
      </c>
      <c r="CC41" s="2" t="s">
        <v>246</v>
      </c>
      <c r="CD41" s="2" t="s">
        <v>233</v>
      </c>
      <c r="CE41" s="4">
        <v>205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>
        <v>110</v>
      </c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>
        <v>90</v>
      </c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</row>
    <row r="42">
      <c r="A42" s="2" t="s">
        <v>422</v>
      </c>
      <c r="B42" s="2" t="s">
        <v>264</v>
      </c>
      <c r="C42" s="2" t="s">
        <v>265</v>
      </c>
      <c r="D42" s="2" t="s">
        <v>266</v>
      </c>
      <c r="E42" s="2" t="s">
        <v>267</v>
      </c>
      <c r="F42" s="2" t="s">
        <v>423</v>
      </c>
      <c r="G42" s="2" t="s">
        <v>424</v>
      </c>
      <c r="H42" s="2" t="s">
        <v>423</v>
      </c>
      <c r="I42" s="2" t="s">
        <v>425</v>
      </c>
      <c r="J42" s="2" t="s">
        <v>270</v>
      </c>
      <c r="K42" s="2" t="s">
        <v>297</v>
      </c>
      <c r="L42" s="3">
        <v>79.49</v>
      </c>
      <c r="M42" s="3">
        <v>83.46</v>
      </c>
      <c r="N42" s="3">
        <v>149.99</v>
      </c>
      <c r="O42" s="2" t="s">
        <v>245</v>
      </c>
      <c r="P42" s="2" t="s">
        <v>272</v>
      </c>
      <c r="Q42" s="2" t="s">
        <v>239</v>
      </c>
      <c r="R42" s="2" t="s">
        <v>233</v>
      </c>
      <c r="S42" s="2" t="s">
        <v>426</v>
      </c>
      <c r="T42" s="2" t="s">
        <v>274</v>
      </c>
      <c r="U42" s="2" t="s">
        <v>233</v>
      </c>
      <c r="V42" s="2" t="s">
        <v>241</v>
      </c>
      <c r="W42" s="2" t="s">
        <v>275</v>
      </c>
      <c r="X42" s="2" t="s">
        <v>233</v>
      </c>
      <c r="Y42" s="2" t="s">
        <v>276</v>
      </c>
      <c r="Z42" s="4">
        <v>222</v>
      </c>
      <c r="AA42" s="4">
        <f>=ROUNDDOWN(55.5,0)</f>
      </c>
      <c r="AB42" s="5">
        <v>4</v>
      </c>
      <c r="AC42" s="2" t="s">
        <v>319</v>
      </c>
      <c r="AD42" s="4">
        <v>50</v>
      </c>
      <c r="AE42" s="4">
        <v>50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233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233</v>
      </c>
      <c r="AW42" s="8" t="s">
        <v>233</v>
      </c>
      <c r="AX42" s="4" t="s">
        <v>233</v>
      </c>
      <c r="AY42" s="8" t="s">
        <v>233</v>
      </c>
      <c r="AZ42" s="7" t="s">
        <v>233</v>
      </c>
      <c r="BA42" s="7" t="s">
        <v>233</v>
      </c>
      <c r="BB42" s="7"/>
      <c r="BC42" s="4" t="s">
        <v>233</v>
      </c>
      <c r="BD42" s="8" t="s">
        <v>233</v>
      </c>
      <c r="BE42" s="4" t="s">
        <v>233</v>
      </c>
      <c r="BF42" s="8" t="s">
        <v>233</v>
      </c>
      <c r="BG42" s="7" t="s">
        <v>233</v>
      </c>
      <c r="BH42" s="7" t="s">
        <v>233</v>
      </c>
      <c r="BI42" s="7"/>
      <c r="BJ42" s="4">
        <v>6</v>
      </c>
      <c r="BK42" s="8">
        <v>449.61</v>
      </c>
      <c r="BL42" s="2" t="s">
        <v>427</v>
      </c>
      <c r="BM42" s="7"/>
      <c r="BN42" s="7"/>
      <c r="BO42" s="4"/>
      <c r="BP42" s="8"/>
      <c r="BQ42" s="4"/>
      <c r="BR42" s="8"/>
      <c r="BS42" s="7"/>
      <c r="BT42" s="7"/>
      <c r="BU42" s="2" t="s">
        <v>428</v>
      </c>
      <c r="BV42" s="2" t="s">
        <v>233</v>
      </c>
      <c r="BW42" s="2" t="s">
        <v>233</v>
      </c>
      <c r="BX42" s="2" t="s">
        <v>233</v>
      </c>
      <c r="BY42" s="2" t="s">
        <v>280</v>
      </c>
      <c r="BZ42" s="2" t="s">
        <v>245</v>
      </c>
      <c r="CA42" s="2" t="s">
        <v>315</v>
      </c>
      <c r="CB42" s="2" t="s">
        <v>429</v>
      </c>
      <c r="CC42" s="2" t="s">
        <v>246</v>
      </c>
      <c r="CD42" s="2" t="s">
        <v>233</v>
      </c>
      <c r="CE42" s="4">
        <v>222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>
        <v>50</v>
      </c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</row>
    <row r="43">
      <c r="A43" s="2" t="s">
        <v>430</v>
      </c>
      <c r="B43" s="2" t="s">
        <v>264</v>
      </c>
      <c r="C43" s="2" t="s">
        <v>265</v>
      </c>
      <c r="D43" s="2" t="s">
        <v>266</v>
      </c>
      <c r="E43" s="2" t="s">
        <v>267</v>
      </c>
      <c r="F43" s="2" t="s">
        <v>423</v>
      </c>
      <c r="G43" s="2" t="s">
        <v>424</v>
      </c>
      <c r="H43" s="2" t="s">
        <v>423</v>
      </c>
      <c r="I43" s="2" t="s">
        <v>425</v>
      </c>
      <c r="J43" s="2" t="s">
        <v>284</v>
      </c>
      <c r="K43" s="2" t="s">
        <v>297</v>
      </c>
      <c r="L43" s="3">
        <v>79.49</v>
      </c>
      <c r="M43" s="3">
        <v>83.46</v>
      </c>
      <c r="N43" s="3">
        <v>149.99</v>
      </c>
      <c r="O43" s="2" t="s">
        <v>245</v>
      </c>
      <c r="P43" s="2" t="s">
        <v>272</v>
      </c>
      <c r="Q43" s="2" t="s">
        <v>239</v>
      </c>
      <c r="R43" s="2" t="s">
        <v>233</v>
      </c>
      <c r="S43" s="2" t="s">
        <v>426</v>
      </c>
      <c r="T43" s="2" t="s">
        <v>274</v>
      </c>
      <c r="U43" s="2" t="s">
        <v>233</v>
      </c>
      <c r="V43" s="2" t="s">
        <v>241</v>
      </c>
      <c r="W43" s="2" t="s">
        <v>275</v>
      </c>
      <c r="X43" s="2" t="s">
        <v>233</v>
      </c>
      <c r="Y43" s="2" t="s">
        <v>276</v>
      </c>
      <c r="Z43" s="4">
        <v>224</v>
      </c>
      <c r="AA43" s="4">
        <f>=ROUNDDOWN(28,0)</f>
      </c>
      <c r="AB43" s="5">
        <v>8</v>
      </c>
      <c r="AC43" s="2" t="s">
        <v>319</v>
      </c>
      <c r="AD43" s="4">
        <v>300</v>
      </c>
      <c r="AE43" s="4">
        <v>400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233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233</v>
      </c>
      <c r="AW43" s="8" t="s">
        <v>233</v>
      </c>
      <c r="AX43" s="4" t="s">
        <v>233</v>
      </c>
      <c r="AY43" s="8" t="s">
        <v>233</v>
      </c>
      <c r="AZ43" s="7" t="s">
        <v>233</v>
      </c>
      <c r="BA43" s="7" t="s">
        <v>233</v>
      </c>
      <c r="BB43" s="7"/>
      <c r="BC43" s="4" t="s">
        <v>233</v>
      </c>
      <c r="BD43" s="8" t="s">
        <v>233</v>
      </c>
      <c r="BE43" s="4" t="s">
        <v>233</v>
      </c>
      <c r="BF43" s="8" t="s">
        <v>233</v>
      </c>
      <c r="BG43" s="7" t="s">
        <v>233</v>
      </c>
      <c r="BH43" s="7" t="s">
        <v>233</v>
      </c>
      <c r="BI43" s="7"/>
      <c r="BJ43" s="4">
        <v>7</v>
      </c>
      <c r="BK43" s="8">
        <v>555.15</v>
      </c>
      <c r="BL43" s="2" t="s">
        <v>431</v>
      </c>
      <c r="BM43" s="7"/>
      <c r="BN43" s="7"/>
      <c r="BO43" s="4"/>
      <c r="BP43" s="8"/>
      <c r="BQ43" s="4"/>
      <c r="BR43" s="8"/>
      <c r="BS43" s="7"/>
      <c r="BT43" s="7"/>
      <c r="BU43" s="2" t="s">
        <v>432</v>
      </c>
      <c r="BV43" s="2" t="s">
        <v>233</v>
      </c>
      <c r="BW43" s="2" t="s">
        <v>233</v>
      </c>
      <c r="BX43" s="2" t="s">
        <v>233</v>
      </c>
      <c r="BY43" s="2" t="s">
        <v>280</v>
      </c>
      <c r="BZ43" s="2" t="s">
        <v>245</v>
      </c>
      <c r="CA43" s="2" t="s">
        <v>315</v>
      </c>
      <c r="CB43" s="2" t="s">
        <v>433</v>
      </c>
      <c r="CC43" s="2" t="s">
        <v>246</v>
      </c>
      <c r="CD43" s="2" t="s">
        <v>233</v>
      </c>
      <c r="CE43" s="4">
        <v>224</v>
      </c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>
        <v>300</v>
      </c>
      <c r="DV43" s="4"/>
      <c r="DW43" s="4"/>
      <c r="DX43" s="4"/>
      <c r="DY43" s="4"/>
      <c r="DZ43" s="4"/>
      <c r="EA43" s="4">
        <v>100</v>
      </c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</row>
    <row r="44">
      <c r="A44" s="2" t="s">
        <v>434</v>
      </c>
      <c r="B44" s="2" t="s">
        <v>264</v>
      </c>
      <c r="C44" s="2" t="s">
        <v>265</v>
      </c>
      <c r="D44" s="2" t="s">
        <v>266</v>
      </c>
      <c r="E44" s="2" t="s">
        <v>267</v>
      </c>
      <c r="F44" s="2" t="s">
        <v>423</v>
      </c>
      <c r="G44" s="2" t="s">
        <v>424</v>
      </c>
      <c r="H44" s="2" t="s">
        <v>423</v>
      </c>
      <c r="I44" s="2" t="s">
        <v>425</v>
      </c>
      <c r="J44" s="2" t="s">
        <v>290</v>
      </c>
      <c r="K44" s="2" t="s">
        <v>297</v>
      </c>
      <c r="L44" s="3">
        <v>100.69</v>
      </c>
      <c r="M44" s="3">
        <v>105.72</v>
      </c>
      <c r="N44" s="3">
        <v>189.99</v>
      </c>
      <c r="O44" s="2" t="s">
        <v>245</v>
      </c>
      <c r="P44" s="2" t="s">
        <v>272</v>
      </c>
      <c r="Q44" s="2" t="s">
        <v>239</v>
      </c>
      <c r="R44" s="2" t="s">
        <v>233</v>
      </c>
      <c r="S44" s="2" t="s">
        <v>426</v>
      </c>
      <c r="T44" s="2" t="s">
        <v>274</v>
      </c>
      <c r="U44" s="2" t="s">
        <v>233</v>
      </c>
      <c r="V44" s="2" t="s">
        <v>241</v>
      </c>
      <c r="W44" s="2" t="s">
        <v>275</v>
      </c>
      <c r="X44" s="2" t="s">
        <v>233</v>
      </c>
      <c r="Y44" s="2" t="s">
        <v>276</v>
      </c>
      <c r="Z44" s="4">
        <v>128</v>
      </c>
      <c r="AA44" s="4">
        <f>=ROUNDDOWN(25.6,0)</f>
      </c>
      <c r="AB44" s="5">
        <v>5</v>
      </c>
      <c r="AC44" s="2" t="s">
        <v>319</v>
      </c>
      <c r="AD44" s="4">
        <v>50</v>
      </c>
      <c r="AE44" s="4">
        <v>100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233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233</v>
      </c>
      <c r="AW44" s="8" t="s">
        <v>233</v>
      </c>
      <c r="AX44" s="4" t="s">
        <v>233</v>
      </c>
      <c r="AY44" s="8" t="s">
        <v>233</v>
      </c>
      <c r="AZ44" s="7" t="s">
        <v>233</v>
      </c>
      <c r="BA44" s="7" t="s">
        <v>233</v>
      </c>
      <c r="BB44" s="7"/>
      <c r="BC44" s="4" t="s">
        <v>233</v>
      </c>
      <c r="BD44" s="8" t="s">
        <v>233</v>
      </c>
      <c r="BE44" s="4" t="s">
        <v>233</v>
      </c>
      <c r="BF44" s="8" t="s">
        <v>233</v>
      </c>
      <c r="BG44" s="7" t="s">
        <v>233</v>
      </c>
      <c r="BH44" s="7" t="s">
        <v>233</v>
      </c>
      <c r="BI44" s="7"/>
      <c r="BJ44" s="4">
        <v>10</v>
      </c>
      <c r="BK44" s="8">
        <v>957.7</v>
      </c>
      <c r="BL44" s="2" t="s">
        <v>435</v>
      </c>
      <c r="BM44" s="7"/>
      <c r="BN44" s="7"/>
      <c r="BO44" s="4"/>
      <c r="BP44" s="8"/>
      <c r="BQ44" s="4"/>
      <c r="BR44" s="8"/>
      <c r="BS44" s="7"/>
      <c r="BT44" s="7"/>
      <c r="BU44" s="2" t="s">
        <v>436</v>
      </c>
      <c r="BV44" s="2" t="s">
        <v>233</v>
      </c>
      <c r="BW44" s="2" t="s">
        <v>233</v>
      </c>
      <c r="BX44" s="2" t="s">
        <v>233</v>
      </c>
      <c r="BY44" s="2" t="s">
        <v>280</v>
      </c>
      <c r="BZ44" s="2" t="s">
        <v>245</v>
      </c>
      <c r="CA44" s="2" t="s">
        <v>315</v>
      </c>
      <c r="CB44" s="2" t="s">
        <v>437</v>
      </c>
      <c r="CC44" s="2" t="s">
        <v>246</v>
      </c>
      <c r="CD44" s="2" t="s">
        <v>233</v>
      </c>
      <c r="CE44" s="4">
        <v>128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>
        <v>50</v>
      </c>
      <c r="DV44" s="4"/>
      <c r="DW44" s="4"/>
      <c r="DX44" s="4"/>
      <c r="DY44" s="4"/>
      <c r="DZ44" s="4"/>
      <c r="EA44" s="4">
        <v>50</v>
      </c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</row>
    <row r="45">
      <c r="A45" s="2" t="s">
        <v>438</v>
      </c>
      <c r="B45" s="2" t="s">
        <v>264</v>
      </c>
      <c r="C45" s="2" t="s">
        <v>265</v>
      </c>
      <c r="D45" s="2" t="s">
        <v>266</v>
      </c>
      <c r="E45" s="2" t="s">
        <v>267</v>
      </c>
      <c r="F45" s="2" t="s">
        <v>423</v>
      </c>
      <c r="G45" s="2" t="s">
        <v>424</v>
      </c>
      <c r="H45" s="2" t="s">
        <v>423</v>
      </c>
      <c r="I45" s="2" t="s">
        <v>425</v>
      </c>
      <c r="J45" s="2" t="s">
        <v>348</v>
      </c>
      <c r="K45" s="2" t="s">
        <v>297</v>
      </c>
      <c r="L45" s="3">
        <v>111.29</v>
      </c>
      <c r="M45" s="3">
        <v>116.85</v>
      </c>
      <c r="N45" s="3">
        <v>209.99</v>
      </c>
      <c r="O45" s="2" t="s">
        <v>245</v>
      </c>
      <c r="P45" s="2" t="s">
        <v>272</v>
      </c>
      <c r="Q45" s="2" t="s">
        <v>239</v>
      </c>
      <c r="R45" s="2" t="s">
        <v>233</v>
      </c>
      <c r="S45" s="2" t="s">
        <v>426</v>
      </c>
      <c r="T45" s="2" t="s">
        <v>274</v>
      </c>
      <c r="U45" s="2" t="s">
        <v>233</v>
      </c>
      <c r="V45" s="2" t="s">
        <v>241</v>
      </c>
      <c r="W45" s="2" t="s">
        <v>275</v>
      </c>
      <c r="X45" s="2" t="s">
        <v>233</v>
      </c>
      <c r="Y45" s="2" t="s">
        <v>276</v>
      </c>
      <c r="Z45" s="4">
        <v>249</v>
      </c>
      <c r="AA45" s="4">
        <f>=ROUNDDOWN(31.125,0)</f>
      </c>
      <c r="AB45" s="5">
        <v>8</v>
      </c>
      <c r="AC45" s="2" t="s">
        <v>319</v>
      </c>
      <c r="AD45" s="4">
        <v>60</v>
      </c>
      <c r="AE45" s="4">
        <v>60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233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233</v>
      </c>
      <c r="AW45" s="8" t="s">
        <v>233</v>
      </c>
      <c r="AX45" s="4" t="s">
        <v>233</v>
      </c>
      <c r="AY45" s="8" t="s">
        <v>233</v>
      </c>
      <c r="AZ45" s="7" t="s">
        <v>233</v>
      </c>
      <c r="BA45" s="7" t="s">
        <v>233</v>
      </c>
      <c r="BB45" s="7"/>
      <c r="BC45" s="4" t="s">
        <v>233</v>
      </c>
      <c r="BD45" s="8" t="s">
        <v>233</v>
      </c>
      <c r="BE45" s="4" t="s">
        <v>233</v>
      </c>
      <c r="BF45" s="8" t="s">
        <v>233</v>
      </c>
      <c r="BG45" s="7" t="s">
        <v>233</v>
      </c>
      <c r="BH45" s="7" t="s">
        <v>233</v>
      </c>
      <c r="BI45" s="7"/>
      <c r="BJ45" s="4">
        <v>13</v>
      </c>
      <c r="BK45" s="8">
        <v>1476.84</v>
      </c>
      <c r="BL45" s="2" t="s">
        <v>439</v>
      </c>
      <c r="BM45" s="7"/>
      <c r="BN45" s="7"/>
      <c r="BO45" s="4"/>
      <c r="BP45" s="8"/>
      <c r="BQ45" s="4"/>
      <c r="BR45" s="8"/>
      <c r="BS45" s="7"/>
      <c r="BT45" s="7"/>
      <c r="BU45" s="2" t="s">
        <v>440</v>
      </c>
      <c r="BV45" s="2" t="s">
        <v>233</v>
      </c>
      <c r="BW45" s="2" t="s">
        <v>233</v>
      </c>
      <c r="BX45" s="2" t="s">
        <v>233</v>
      </c>
      <c r="BY45" s="2" t="s">
        <v>280</v>
      </c>
      <c r="BZ45" s="2" t="s">
        <v>245</v>
      </c>
      <c r="CA45" s="2" t="s">
        <v>315</v>
      </c>
      <c r="CB45" s="2" t="s">
        <v>441</v>
      </c>
      <c r="CC45" s="2" t="s">
        <v>246</v>
      </c>
      <c r="CD45" s="2" t="s">
        <v>233</v>
      </c>
      <c r="CE45" s="4">
        <v>249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>
        <v>60</v>
      </c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</row>
    <row r="46">
      <c r="A46" s="2" t="s">
        <v>442</v>
      </c>
      <c r="B46" s="2" t="s">
        <v>264</v>
      </c>
      <c r="C46" s="2" t="s">
        <v>265</v>
      </c>
      <c r="D46" s="2" t="s">
        <v>266</v>
      </c>
      <c r="E46" s="2" t="s">
        <v>267</v>
      </c>
      <c r="F46" s="2" t="s">
        <v>423</v>
      </c>
      <c r="G46" s="2" t="s">
        <v>424</v>
      </c>
      <c r="H46" s="2" t="s">
        <v>423</v>
      </c>
      <c r="I46" s="2" t="s">
        <v>425</v>
      </c>
      <c r="J46" s="2" t="s">
        <v>328</v>
      </c>
      <c r="K46" s="2" t="s">
        <v>297</v>
      </c>
      <c r="L46" s="3">
        <v>137.79</v>
      </c>
      <c r="M46" s="3">
        <v>144.68</v>
      </c>
      <c r="N46" s="3">
        <v>259.99</v>
      </c>
      <c r="O46" s="2" t="s">
        <v>245</v>
      </c>
      <c r="P46" s="2" t="s">
        <v>272</v>
      </c>
      <c r="Q46" s="2" t="s">
        <v>239</v>
      </c>
      <c r="R46" s="2" t="s">
        <v>233</v>
      </c>
      <c r="S46" s="2" t="s">
        <v>426</v>
      </c>
      <c r="T46" s="2" t="s">
        <v>274</v>
      </c>
      <c r="U46" s="2" t="s">
        <v>233</v>
      </c>
      <c r="V46" s="2" t="s">
        <v>241</v>
      </c>
      <c r="W46" s="2" t="s">
        <v>275</v>
      </c>
      <c r="X46" s="2" t="s">
        <v>233</v>
      </c>
      <c r="Y46" s="2" t="s">
        <v>276</v>
      </c>
      <c r="Z46" s="4">
        <v>186</v>
      </c>
      <c r="AA46" s="4">
        <f>=ROUNDDOWN(37.2,0)</f>
      </c>
      <c r="AB46" s="5">
        <v>5</v>
      </c>
      <c r="AC46" s="2" t="s">
        <v>319</v>
      </c>
      <c r="AD46" s="4">
        <v>50</v>
      </c>
      <c r="AE46" s="4">
        <v>50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233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233</v>
      </c>
      <c r="AW46" s="8" t="s">
        <v>233</v>
      </c>
      <c r="AX46" s="4" t="s">
        <v>233</v>
      </c>
      <c r="AY46" s="8" t="s">
        <v>233</v>
      </c>
      <c r="AZ46" s="7" t="s">
        <v>233</v>
      </c>
      <c r="BA46" s="7" t="s">
        <v>233</v>
      </c>
      <c r="BB46" s="7"/>
      <c r="BC46" s="4" t="s">
        <v>233</v>
      </c>
      <c r="BD46" s="8" t="s">
        <v>233</v>
      </c>
      <c r="BE46" s="4" t="s">
        <v>233</v>
      </c>
      <c r="BF46" s="8" t="s">
        <v>233</v>
      </c>
      <c r="BG46" s="7" t="s">
        <v>233</v>
      </c>
      <c r="BH46" s="7" t="s">
        <v>233</v>
      </c>
      <c r="BI46" s="7"/>
      <c r="BJ46" s="4">
        <v>6</v>
      </c>
      <c r="BK46" s="8">
        <v>864.51</v>
      </c>
      <c r="BL46" s="2" t="s">
        <v>443</v>
      </c>
      <c r="BM46" s="7"/>
      <c r="BN46" s="7"/>
      <c r="BO46" s="4"/>
      <c r="BP46" s="8"/>
      <c r="BQ46" s="4"/>
      <c r="BR46" s="8"/>
      <c r="BS46" s="7"/>
      <c r="BT46" s="7"/>
      <c r="BU46" s="2" t="s">
        <v>444</v>
      </c>
      <c r="BV46" s="2" t="s">
        <v>233</v>
      </c>
      <c r="BW46" s="2" t="s">
        <v>233</v>
      </c>
      <c r="BX46" s="2" t="s">
        <v>233</v>
      </c>
      <c r="BY46" s="2" t="s">
        <v>280</v>
      </c>
      <c r="BZ46" s="2" t="s">
        <v>245</v>
      </c>
      <c r="CA46" s="2" t="s">
        <v>315</v>
      </c>
      <c r="CB46" s="2" t="s">
        <v>441</v>
      </c>
      <c r="CC46" s="2" t="s">
        <v>246</v>
      </c>
      <c r="CD46" s="2" t="s">
        <v>233</v>
      </c>
      <c r="CE46" s="4">
        <v>186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>
        <v>50</v>
      </c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</row>
    <row r="47">
      <c r="A47" s="2" t="s">
        <v>445</v>
      </c>
      <c r="B47" s="2" t="s">
        <v>264</v>
      </c>
      <c r="C47" s="2" t="s">
        <v>446</v>
      </c>
      <c r="D47" s="2" t="s">
        <v>266</v>
      </c>
      <c r="E47" s="2" t="s">
        <v>267</v>
      </c>
      <c r="F47" s="2" t="s">
        <v>447</v>
      </c>
      <c r="G47" s="2" t="s">
        <v>447</v>
      </c>
      <c r="H47" s="2" t="s">
        <v>447</v>
      </c>
      <c r="I47" s="2" t="s">
        <v>448</v>
      </c>
      <c r="J47" s="2" t="s">
        <v>270</v>
      </c>
      <c r="K47" s="2" t="s">
        <v>449</v>
      </c>
      <c r="L47" s="3">
        <v>61.9</v>
      </c>
      <c r="M47" s="3">
        <v>65</v>
      </c>
      <c r="N47" s="3">
        <v>129.99</v>
      </c>
      <c r="O47" s="2" t="s">
        <v>237</v>
      </c>
      <c r="P47" s="2" t="s">
        <v>311</v>
      </c>
      <c r="Q47" s="2" t="s">
        <v>239</v>
      </c>
      <c r="R47" s="2" t="s">
        <v>233</v>
      </c>
      <c r="S47" s="2" t="s">
        <v>450</v>
      </c>
      <c r="T47" s="2" t="s">
        <v>274</v>
      </c>
      <c r="U47" s="2" t="s">
        <v>396</v>
      </c>
      <c r="V47" s="2" t="s">
        <v>241</v>
      </c>
      <c r="W47" s="2" t="s">
        <v>275</v>
      </c>
      <c r="X47" s="2" t="s">
        <v>451</v>
      </c>
      <c r="Y47" s="2" t="s">
        <v>452</v>
      </c>
      <c r="Z47" s="4">
        <v>119</v>
      </c>
      <c r="AA47" s="4">
        <f>=ROUNDDOWN(59.5,0)</f>
      </c>
      <c r="AB47" s="5">
        <v>2</v>
      </c>
      <c r="AC47" s="2" t="s">
        <v>233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233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233</v>
      </c>
      <c r="AW47" s="8" t="s">
        <v>233</v>
      </c>
      <c r="AX47" s="4" t="s">
        <v>233</v>
      </c>
      <c r="AY47" s="8" t="s">
        <v>233</v>
      </c>
      <c r="AZ47" s="7" t="s">
        <v>233</v>
      </c>
      <c r="BA47" s="7" t="s">
        <v>233</v>
      </c>
      <c r="BB47" s="7"/>
      <c r="BC47" s="4" t="s">
        <v>233</v>
      </c>
      <c r="BD47" s="8" t="s">
        <v>233</v>
      </c>
      <c r="BE47" s="4" t="s">
        <v>233</v>
      </c>
      <c r="BF47" s="8" t="s">
        <v>233</v>
      </c>
      <c r="BG47" s="7" t="s">
        <v>233</v>
      </c>
      <c r="BH47" s="7" t="s">
        <v>233</v>
      </c>
      <c r="BI47" s="7"/>
      <c r="BJ47" s="4"/>
      <c r="BK47" s="8"/>
      <c r="BL47" s="2" t="s">
        <v>453</v>
      </c>
      <c r="BM47" s="7"/>
      <c r="BN47" s="7"/>
      <c r="BO47" s="4"/>
      <c r="BP47" s="8"/>
      <c r="BQ47" s="4"/>
      <c r="BR47" s="8"/>
      <c r="BS47" s="7"/>
      <c r="BT47" s="7"/>
      <c r="BU47" s="2" t="s">
        <v>454</v>
      </c>
      <c r="BV47" s="2" t="s">
        <v>233</v>
      </c>
      <c r="BW47" s="2" t="s">
        <v>233</v>
      </c>
      <c r="BX47" s="2" t="s">
        <v>233</v>
      </c>
      <c r="BY47" s="2" t="s">
        <v>280</v>
      </c>
      <c r="BZ47" s="2" t="s">
        <v>245</v>
      </c>
      <c r="CA47" s="2" t="s">
        <v>455</v>
      </c>
      <c r="CB47" s="2" t="s">
        <v>233</v>
      </c>
      <c r="CC47" s="2" t="s">
        <v>246</v>
      </c>
      <c r="CD47" s="2" t="s">
        <v>233</v>
      </c>
      <c r="CE47" s="4">
        <v>119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</row>
    <row r="48">
      <c r="A48" s="2" t="s">
        <v>456</v>
      </c>
      <c r="B48" s="2" t="s">
        <v>264</v>
      </c>
      <c r="C48" s="2" t="s">
        <v>446</v>
      </c>
      <c r="D48" s="2" t="s">
        <v>266</v>
      </c>
      <c r="E48" s="2" t="s">
        <v>267</v>
      </c>
      <c r="F48" s="2" t="s">
        <v>447</v>
      </c>
      <c r="G48" s="2" t="s">
        <v>447</v>
      </c>
      <c r="H48" s="2" t="s">
        <v>447</v>
      </c>
      <c r="I48" s="2" t="s">
        <v>448</v>
      </c>
      <c r="J48" s="2" t="s">
        <v>328</v>
      </c>
      <c r="K48" s="2" t="s">
        <v>449</v>
      </c>
      <c r="L48" s="3">
        <v>119.04</v>
      </c>
      <c r="M48" s="3">
        <v>124.99</v>
      </c>
      <c r="N48" s="3">
        <v>249.99</v>
      </c>
      <c r="O48" s="2" t="s">
        <v>237</v>
      </c>
      <c r="P48" s="2" t="s">
        <v>311</v>
      </c>
      <c r="Q48" s="2" t="s">
        <v>239</v>
      </c>
      <c r="R48" s="2" t="s">
        <v>233</v>
      </c>
      <c r="S48" s="2" t="s">
        <v>450</v>
      </c>
      <c r="T48" s="2" t="s">
        <v>274</v>
      </c>
      <c r="U48" s="2" t="s">
        <v>396</v>
      </c>
      <c r="V48" s="2" t="s">
        <v>241</v>
      </c>
      <c r="W48" s="2" t="s">
        <v>275</v>
      </c>
      <c r="X48" s="2" t="s">
        <v>451</v>
      </c>
      <c r="Y48" s="2" t="s">
        <v>452</v>
      </c>
      <c r="Z48" s="4">
        <v>211</v>
      </c>
      <c r="AA48" s="4">
        <f>=ROUNDDOWN(105.5,0)</f>
      </c>
      <c r="AB48" s="5">
        <v>2</v>
      </c>
      <c r="AC48" s="2" t="s">
        <v>233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233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233</v>
      </c>
      <c r="AW48" s="8" t="s">
        <v>233</v>
      </c>
      <c r="AX48" s="4" t="s">
        <v>233</v>
      </c>
      <c r="AY48" s="8" t="s">
        <v>233</v>
      </c>
      <c r="AZ48" s="7" t="s">
        <v>233</v>
      </c>
      <c r="BA48" s="7" t="s">
        <v>233</v>
      </c>
      <c r="BB48" s="7"/>
      <c r="BC48" s="4" t="s">
        <v>233</v>
      </c>
      <c r="BD48" s="8" t="s">
        <v>233</v>
      </c>
      <c r="BE48" s="4" t="s">
        <v>233</v>
      </c>
      <c r="BF48" s="8" t="s">
        <v>233</v>
      </c>
      <c r="BG48" s="7" t="s">
        <v>233</v>
      </c>
      <c r="BH48" s="7" t="s">
        <v>233</v>
      </c>
      <c r="BI48" s="7"/>
      <c r="BJ48" s="4">
        <v>2</v>
      </c>
      <c r="BK48" s="8">
        <v>271.89</v>
      </c>
      <c r="BL48" s="2" t="s">
        <v>457</v>
      </c>
      <c r="BM48" s="7"/>
      <c r="BN48" s="7"/>
      <c r="BO48" s="4"/>
      <c r="BP48" s="8"/>
      <c r="BQ48" s="4"/>
      <c r="BR48" s="8"/>
      <c r="BS48" s="7"/>
      <c r="BT48" s="7"/>
      <c r="BU48" s="2" t="s">
        <v>458</v>
      </c>
      <c r="BV48" s="2" t="s">
        <v>233</v>
      </c>
      <c r="BW48" s="2" t="s">
        <v>233</v>
      </c>
      <c r="BX48" s="2" t="s">
        <v>233</v>
      </c>
      <c r="BY48" s="2" t="s">
        <v>280</v>
      </c>
      <c r="BZ48" s="2" t="s">
        <v>245</v>
      </c>
      <c r="CA48" s="2" t="s">
        <v>455</v>
      </c>
      <c r="CB48" s="2" t="s">
        <v>459</v>
      </c>
      <c r="CC48" s="2" t="s">
        <v>246</v>
      </c>
      <c r="CD48" s="2" t="s">
        <v>233</v>
      </c>
      <c r="CE48" s="4">
        <v>211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</row>
    <row r="49">
      <c r="A49" s="2" t="s">
        <v>460</v>
      </c>
      <c r="B49" s="2" t="s">
        <v>333</v>
      </c>
      <c r="C49" s="2" t="s">
        <v>446</v>
      </c>
      <c r="D49" s="2" t="s">
        <v>335</v>
      </c>
      <c r="E49" s="2" t="s">
        <v>336</v>
      </c>
      <c r="F49" s="2" t="s">
        <v>461</v>
      </c>
      <c r="G49" s="2" t="s">
        <v>461</v>
      </c>
      <c r="H49" s="2" t="s">
        <v>461</v>
      </c>
      <c r="I49" s="2" t="s">
        <v>462</v>
      </c>
      <c r="J49" s="2" t="s">
        <v>290</v>
      </c>
      <c r="K49" s="2" t="s">
        <v>271</v>
      </c>
      <c r="L49" s="3">
        <v>32</v>
      </c>
      <c r="M49" s="3">
        <v>33.6</v>
      </c>
      <c r="N49" s="3">
        <v>59.99</v>
      </c>
      <c r="O49" s="2" t="s">
        <v>237</v>
      </c>
      <c r="P49" s="2" t="s">
        <v>311</v>
      </c>
      <c r="Q49" s="2" t="s">
        <v>239</v>
      </c>
      <c r="R49" s="2" t="s">
        <v>233</v>
      </c>
      <c r="S49" s="2" t="s">
        <v>463</v>
      </c>
      <c r="T49" s="2" t="s">
        <v>341</v>
      </c>
      <c r="U49" s="2" t="s">
        <v>342</v>
      </c>
      <c r="V49" s="2" t="s">
        <v>241</v>
      </c>
      <c r="W49" s="2" t="s">
        <v>275</v>
      </c>
      <c r="X49" s="2" t="s">
        <v>275</v>
      </c>
      <c r="Y49" s="2" t="s">
        <v>464</v>
      </c>
      <c r="Z49" s="4">
        <v>52</v>
      </c>
      <c r="AA49" s="4">
        <f>=ROUNDDOWN(52,0)</f>
      </c>
      <c r="AB49" s="5">
        <v>1</v>
      </c>
      <c r="AC49" s="2" t="s">
        <v>233</v>
      </c>
      <c r="AD49" s="4"/>
      <c r="AE49" s="4"/>
      <c r="AF49" s="6">
        <v>70</v>
      </c>
      <c r="AG49" s="6"/>
      <c r="AH49" s="7">
        <v>1</v>
      </c>
      <c r="AI49" s="4"/>
      <c r="AJ49" s="4">
        <f>=ROUNDDOWN({0},0)</f>
      </c>
      <c r="AK49" s="5"/>
      <c r="AL49" s="2" t="s">
        <v>233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233</v>
      </c>
      <c r="AW49" s="8" t="s">
        <v>233</v>
      </c>
      <c r="AX49" s="4" t="s">
        <v>233</v>
      </c>
      <c r="AY49" s="8" t="s">
        <v>233</v>
      </c>
      <c r="AZ49" s="7" t="s">
        <v>233</v>
      </c>
      <c r="BA49" s="7" t="s">
        <v>233</v>
      </c>
      <c r="BB49" s="7"/>
      <c r="BC49" s="4" t="s">
        <v>233</v>
      </c>
      <c r="BD49" s="8" t="s">
        <v>233</v>
      </c>
      <c r="BE49" s="4" t="s">
        <v>233</v>
      </c>
      <c r="BF49" s="8" t="s">
        <v>233</v>
      </c>
      <c r="BG49" s="7" t="s">
        <v>233</v>
      </c>
      <c r="BH49" s="7" t="s">
        <v>233</v>
      </c>
      <c r="BI49" s="7"/>
      <c r="BJ49" s="4">
        <v>1</v>
      </c>
      <c r="BK49" s="8">
        <v>34.48</v>
      </c>
      <c r="BL49" s="2" t="s">
        <v>465</v>
      </c>
      <c r="BM49" s="7"/>
      <c r="BN49" s="7"/>
      <c r="BO49" s="4"/>
      <c r="BP49" s="8"/>
      <c r="BQ49" s="4"/>
      <c r="BR49" s="8"/>
      <c r="BS49" s="7"/>
      <c r="BT49" s="7"/>
      <c r="BU49" s="2" t="s">
        <v>466</v>
      </c>
      <c r="BV49" s="2" t="s">
        <v>233</v>
      </c>
      <c r="BW49" s="2" t="s">
        <v>233</v>
      </c>
      <c r="BX49" s="2" t="s">
        <v>233</v>
      </c>
      <c r="BY49" s="2" t="s">
        <v>280</v>
      </c>
      <c r="BZ49" s="2" t="s">
        <v>245</v>
      </c>
      <c r="CA49" s="2" t="s">
        <v>467</v>
      </c>
      <c r="CB49" s="2" t="s">
        <v>233</v>
      </c>
      <c r="CC49" s="2" t="s">
        <v>246</v>
      </c>
      <c r="CD49" s="2" t="s">
        <v>233</v>
      </c>
      <c r="CE49" s="4">
        <v>52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</row>
    <row r="50">
      <c r="A50" s="2" t="s">
        <v>468</v>
      </c>
      <c r="B50" s="2" t="s">
        <v>333</v>
      </c>
      <c r="C50" s="2" t="s">
        <v>446</v>
      </c>
      <c r="D50" s="2" t="s">
        <v>335</v>
      </c>
      <c r="E50" s="2" t="s">
        <v>336</v>
      </c>
      <c r="F50" s="2" t="s">
        <v>461</v>
      </c>
      <c r="G50" s="2" t="s">
        <v>461</v>
      </c>
      <c r="H50" s="2" t="s">
        <v>461</v>
      </c>
      <c r="I50" s="2" t="s">
        <v>462</v>
      </c>
      <c r="J50" s="2" t="s">
        <v>328</v>
      </c>
      <c r="K50" s="2" t="s">
        <v>271</v>
      </c>
      <c r="L50" s="3">
        <v>40</v>
      </c>
      <c r="M50" s="3">
        <v>42</v>
      </c>
      <c r="N50" s="3">
        <v>79.99</v>
      </c>
      <c r="O50" s="2" t="s">
        <v>237</v>
      </c>
      <c r="P50" s="2" t="s">
        <v>311</v>
      </c>
      <c r="Q50" s="2" t="s">
        <v>239</v>
      </c>
      <c r="R50" s="2" t="s">
        <v>233</v>
      </c>
      <c r="S50" s="2" t="s">
        <v>463</v>
      </c>
      <c r="T50" s="2" t="s">
        <v>341</v>
      </c>
      <c r="U50" s="2" t="s">
        <v>342</v>
      </c>
      <c r="V50" s="2" t="s">
        <v>241</v>
      </c>
      <c r="W50" s="2" t="s">
        <v>275</v>
      </c>
      <c r="X50" s="2" t="s">
        <v>275</v>
      </c>
      <c r="Y50" s="2" t="s">
        <v>464</v>
      </c>
      <c r="Z50" s="4">
        <v>17</v>
      </c>
      <c r="AA50" s="4">
        <f>=ROUNDDOWN(17,0)</f>
      </c>
      <c r="AB50" s="5">
        <v>1</v>
      </c>
      <c r="AC50" s="2" t="s">
        <v>233</v>
      </c>
      <c r="AD50" s="4"/>
      <c r="AE50" s="4"/>
      <c r="AF50" s="6">
        <v>70</v>
      </c>
      <c r="AG50" s="6"/>
      <c r="AH50" s="7">
        <v>1</v>
      </c>
      <c r="AI50" s="4"/>
      <c r="AJ50" s="4">
        <f>=ROUNDDOWN({0},0)</f>
      </c>
      <c r="AK50" s="5"/>
      <c r="AL50" s="2" t="s">
        <v>233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233</v>
      </c>
      <c r="AW50" s="8" t="s">
        <v>233</v>
      </c>
      <c r="AX50" s="4" t="s">
        <v>233</v>
      </c>
      <c r="AY50" s="8" t="s">
        <v>233</v>
      </c>
      <c r="AZ50" s="7" t="s">
        <v>233</v>
      </c>
      <c r="BA50" s="7" t="s">
        <v>233</v>
      </c>
      <c r="BB50" s="7"/>
      <c r="BC50" s="4" t="s">
        <v>233</v>
      </c>
      <c r="BD50" s="8" t="s">
        <v>233</v>
      </c>
      <c r="BE50" s="4" t="s">
        <v>233</v>
      </c>
      <c r="BF50" s="8" t="s">
        <v>233</v>
      </c>
      <c r="BG50" s="7" t="s">
        <v>233</v>
      </c>
      <c r="BH50" s="7" t="s">
        <v>233</v>
      </c>
      <c r="BI50" s="7"/>
      <c r="BJ50" s="4"/>
      <c r="BK50" s="8"/>
      <c r="BL50" s="2" t="s">
        <v>469</v>
      </c>
      <c r="BM50" s="7"/>
      <c r="BN50" s="7"/>
      <c r="BO50" s="4"/>
      <c r="BP50" s="8"/>
      <c r="BQ50" s="4"/>
      <c r="BR50" s="8"/>
      <c r="BS50" s="7"/>
      <c r="BT50" s="7"/>
      <c r="BU50" s="2" t="s">
        <v>470</v>
      </c>
      <c r="BV50" s="2" t="s">
        <v>233</v>
      </c>
      <c r="BW50" s="2" t="s">
        <v>233</v>
      </c>
      <c r="BX50" s="2" t="s">
        <v>233</v>
      </c>
      <c r="BY50" s="2" t="s">
        <v>280</v>
      </c>
      <c r="BZ50" s="2" t="s">
        <v>245</v>
      </c>
      <c r="CA50" s="2" t="s">
        <v>471</v>
      </c>
      <c r="CB50" s="2" t="s">
        <v>472</v>
      </c>
      <c r="CC50" s="2" t="s">
        <v>246</v>
      </c>
      <c r="CD50" s="2" t="s">
        <v>233</v>
      </c>
      <c r="CE50" s="4">
        <v>17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</row>
    <row r="51">
      <c r="A51" s="2" t="s">
        <v>473</v>
      </c>
      <c r="B51" s="2" t="s">
        <v>333</v>
      </c>
      <c r="C51" s="2" t="s">
        <v>446</v>
      </c>
      <c r="D51" s="2" t="s">
        <v>335</v>
      </c>
      <c r="E51" s="2" t="s">
        <v>336</v>
      </c>
      <c r="F51" s="2" t="s">
        <v>461</v>
      </c>
      <c r="G51" s="2" t="s">
        <v>461</v>
      </c>
      <c r="H51" s="2" t="s">
        <v>461</v>
      </c>
      <c r="I51" s="2" t="s">
        <v>462</v>
      </c>
      <c r="J51" s="2" t="s">
        <v>270</v>
      </c>
      <c r="K51" s="2" t="s">
        <v>255</v>
      </c>
      <c r="L51" s="3">
        <v>26.5</v>
      </c>
      <c r="M51" s="3">
        <v>27.83</v>
      </c>
      <c r="N51" s="3">
        <v>49.99</v>
      </c>
      <c r="O51" s="2" t="s">
        <v>237</v>
      </c>
      <c r="P51" s="2" t="s">
        <v>311</v>
      </c>
      <c r="Q51" s="2" t="s">
        <v>239</v>
      </c>
      <c r="R51" s="2" t="s">
        <v>233</v>
      </c>
      <c r="S51" s="2" t="s">
        <v>474</v>
      </c>
      <c r="T51" s="2" t="s">
        <v>341</v>
      </c>
      <c r="U51" s="2" t="s">
        <v>475</v>
      </c>
      <c r="V51" s="2" t="s">
        <v>241</v>
      </c>
      <c r="W51" s="2" t="s">
        <v>275</v>
      </c>
      <c r="X51" s="2" t="s">
        <v>275</v>
      </c>
      <c r="Y51" s="2" t="s">
        <v>464</v>
      </c>
      <c r="Z51" s="4">
        <v>48</v>
      </c>
      <c r="AA51" s="4">
        <f>=ROUNDDOWN(48,0)</f>
      </c>
      <c r="AB51" s="5">
        <v>1</v>
      </c>
      <c r="AC51" s="2" t="s">
        <v>233</v>
      </c>
      <c r="AD51" s="4"/>
      <c r="AE51" s="4"/>
      <c r="AF51" s="6">
        <v>70</v>
      </c>
      <c r="AG51" s="6"/>
      <c r="AH51" s="7">
        <v>1</v>
      </c>
      <c r="AI51" s="4"/>
      <c r="AJ51" s="4">
        <f>=ROUNDDOWN({0},0)</f>
      </c>
      <c r="AK51" s="5"/>
      <c r="AL51" s="2" t="s">
        <v>233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233</v>
      </c>
      <c r="AW51" s="8" t="s">
        <v>233</v>
      </c>
      <c r="AX51" s="4" t="s">
        <v>233</v>
      </c>
      <c r="AY51" s="8" t="s">
        <v>233</v>
      </c>
      <c r="AZ51" s="7" t="s">
        <v>233</v>
      </c>
      <c r="BA51" s="7" t="s">
        <v>233</v>
      </c>
      <c r="BB51" s="7"/>
      <c r="BC51" s="4" t="s">
        <v>233</v>
      </c>
      <c r="BD51" s="8" t="s">
        <v>233</v>
      </c>
      <c r="BE51" s="4" t="s">
        <v>233</v>
      </c>
      <c r="BF51" s="8" t="s">
        <v>233</v>
      </c>
      <c r="BG51" s="7" t="s">
        <v>233</v>
      </c>
      <c r="BH51" s="7" t="s">
        <v>233</v>
      </c>
      <c r="BI51" s="7"/>
      <c r="BJ51" s="4">
        <v>1</v>
      </c>
      <c r="BK51" s="8">
        <v>27.5</v>
      </c>
      <c r="BL51" s="2" t="s">
        <v>465</v>
      </c>
      <c r="BM51" s="7"/>
      <c r="BN51" s="7"/>
      <c r="BO51" s="4"/>
      <c r="BP51" s="8"/>
      <c r="BQ51" s="4"/>
      <c r="BR51" s="8"/>
      <c r="BS51" s="7"/>
      <c r="BT51" s="7"/>
      <c r="BU51" s="2" t="s">
        <v>476</v>
      </c>
      <c r="BV51" s="2" t="s">
        <v>233</v>
      </c>
      <c r="BW51" s="2" t="s">
        <v>233</v>
      </c>
      <c r="BX51" s="2" t="s">
        <v>233</v>
      </c>
      <c r="BY51" s="2" t="s">
        <v>280</v>
      </c>
      <c r="BZ51" s="2" t="s">
        <v>245</v>
      </c>
      <c r="CA51" s="2" t="s">
        <v>477</v>
      </c>
      <c r="CB51" s="2" t="s">
        <v>478</v>
      </c>
      <c r="CC51" s="2" t="s">
        <v>246</v>
      </c>
      <c r="CD51" s="2" t="s">
        <v>233</v>
      </c>
      <c r="CE51" s="4">
        <v>48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</row>
    <row r="52">
      <c r="A52" s="2" t="s">
        <v>479</v>
      </c>
      <c r="B52" s="2" t="s">
        <v>333</v>
      </c>
      <c r="C52" s="2" t="s">
        <v>446</v>
      </c>
      <c r="D52" s="2" t="s">
        <v>335</v>
      </c>
      <c r="E52" s="2" t="s">
        <v>336</v>
      </c>
      <c r="F52" s="2" t="s">
        <v>461</v>
      </c>
      <c r="G52" s="2" t="s">
        <v>461</v>
      </c>
      <c r="H52" s="2" t="s">
        <v>461</v>
      </c>
      <c r="I52" s="2" t="s">
        <v>462</v>
      </c>
      <c r="J52" s="2" t="s">
        <v>290</v>
      </c>
      <c r="K52" s="2" t="s">
        <v>255</v>
      </c>
      <c r="L52" s="3">
        <v>32</v>
      </c>
      <c r="M52" s="3">
        <v>33.6</v>
      </c>
      <c r="N52" s="3">
        <v>59.99</v>
      </c>
      <c r="O52" s="2" t="s">
        <v>237</v>
      </c>
      <c r="P52" s="2" t="s">
        <v>311</v>
      </c>
      <c r="Q52" s="2" t="s">
        <v>239</v>
      </c>
      <c r="R52" s="2" t="s">
        <v>233</v>
      </c>
      <c r="S52" s="2" t="s">
        <v>474</v>
      </c>
      <c r="T52" s="2" t="s">
        <v>341</v>
      </c>
      <c r="U52" s="2" t="s">
        <v>342</v>
      </c>
      <c r="V52" s="2" t="s">
        <v>241</v>
      </c>
      <c r="W52" s="2" t="s">
        <v>275</v>
      </c>
      <c r="X52" s="2" t="s">
        <v>275</v>
      </c>
      <c r="Y52" s="2" t="s">
        <v>464</v>
      </c>
      <c r="Z52" s="4">
        <v>176</v>
      </c>
      <c r="AA52" s="4">
        <f>=ROUNDDOWN(176,0)</f>
      </c>
      <c r="AB52" s="5">
        <v>1</v>
      </c>
      <c r="AC52" s="2" t="s">
        <v>233</v>
      </c>
      <c r="AD52" s="4"/>
      <c r="AE52" s="4"/>
      <c r="AF52" s="6">
        <v>70</v>
      </c>
      <c r="AG52" s="6"/>
      <c r="AH52" s="7">
        <v>1</v>
      </c>
      <c r="AI52" s="4"/>
      <c r="AJ52" s="4">
        <f>=ROUNDDOWN({0},0)</f>
      </c>
      <c r="AK52" s="5"/>
      <c r="AL52" s="2" t="s">
        <v>233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233</v>
      </c>
      <c r="AW52" s="8" t="s">
        <v>233</v>
      </c>
      <c r="AX52" s="4" t="s">
        <v>233</v>
      </c>
      <c r="AY52" s="8" t="s">
        <v>233</v>
      </c>
      <c r="AZ52" s="7" t="s">
        <v>233</v>
      </c>
      <c r="BA52" s="7" t="s">
        <v>233</v>
      </c>
      <c r="BB52" s="7"/>
      <c r="BC52" s="4" t="s">
        <v>233</v>
      </c>
      <c r="BD52" s="8" t="s">
        <v>233</v>
      </c>
      <c r="BE52" s="4" t="s">
        <v>233</v>
      </c>
      <c r="BF52" s="8" t="s">
        <v>233</v>
      </c>
      <c r="BG52" s="7" t="s">
        <v>233</v>
      </c>
      <c r="BH52" s="7" t="s">
        <v>233</v>
      </c>
      <c r="BI52" s="7"/>
      <c r="BJ52" s="4">
        <v>2</v>
      </c>
      <c r="BK52" s="8">
        <v>57.7</v>
      </c>
      <c r="BL52" s="2" t="s">
        <v>453</v>
      </c>
      <c r="BM52" s="7"/>
      <c r="BN52" s="7"/>
      <c r="BO52" s="4"/>
      <c r="BP52" s="8"/>
      <c r="BQ52" s="4"/>
      <c r="BR52" s="8"/>
      <c r="BS52" s="7"/>
      <c r="BT52" s="7"/>
      <c r="BU52" s="2" t="s">
        <v>480</v>
      </c>
      <c r="BV52" s="2" t="s">
        <v>233</v>
      </c>
      <c r="BW52" s="2" t="s">
        <v>233</v>
      </c>
      <c r="BX52" s="2" t="s">
        <v>233</v>
      </c>
      <c r="BY52" s="2" t="s">
        <v>280</v>
      </c>
      <c r="BZ52" s="2" t="s">
        <v>245</v>
      </c>
      <c r="CA52" s="2" t="s">
        <v>471</v>
      </c>
      <c r="CB52" s="2" t="s">
        <v>481</v>
      </c>
      <c r="CC52" s="2" t="s">
        <v>246</v>
      </c>
      <c r="CD52" s="2" t="s">
        <v>233</v>
      </c>
      <c r="CE52" s="4">
        <v>176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</row>
    <row r="53">
      <c r="A53" s="2" t="s">
        <v>482</v>
      </c>
      <c r="B53" s="2" t="s">
        <v>333</v>
      </c>
      <c r="C53" s="2" t="s">
        <v>446</v>
      </c>
      <c r="D53" s="2" t="s">
        <v>335</v>
      </c>
      <c r="E53" s="2" t="s">
        <v>336</v>
      </c>
      <c r="F53" s="2" t="s">
        <v>461</v>
      </c>
      <c r="G53" s="2" t="s">
        <v>461</v>
      </c>
      <c r="H53" s="2" t="s">
        <v>461</v>
      </c>
      <c r="I53" s="2" t="s">
        <v>462</v>
      </c>
      <c r="J53" s="2" t="s">
        <v>328</v>
      </c>
      <c r="K53" s="2" t="s">
        <v>255</v>
      </c>
      <c r="L53" s="3">
        <v>40</v>
      </c>
      <c r="M53" s="3">
        <v>42</v>
      </c>
      <c r="N53" s="3">
        <v>79.99</v>
      </c>
      <c r="O53" s="2" t="s">
        <v>237</v>
      </c>
      <c r="P53" s="2" t="s">
        <v>311</v>
      </c>
      <c r="Q53" s="2" t="s">
        <v>239</v>
      </c>
      <c r="R53" s="2" t="s">
        <v>233</v>
      </c>
      <c r="S53" s="2" t="s">
        <v>474</v>
      </c>
      <c r="T53" s="2" t="s">
        <v>341</v>
      </c>
      <c r="U53" s="2" t="s">
        <v>342</v>
      </c>
      <c r="V53" s="2" t="s">
        <v>241</v>
      </c>
      <c r="W53" s="2" t="s">
        <v>275</v>
      </c>
      <c r="X53" s="2" t="s">
        <v>275</v>
      </c>
      <c r="Y53" s="2" t="s">
        <v>464</v>
      </c>
      <c r="Z53" s="4">
        <v>149</v>
      </c>
      <c r="AA53" s="4">
        <f>=ROUNDDOWN(149,0)</f>
      </c>
      <c r="AB53" s="5">
        <v>1</v>
      </c>
      <c r="AC53" s="2" t="s">
        <v>233</v>
      </c>
      <c r="AD53" s="4"/>
      <c r="AE53" s="4"/>
      <c r="AF53" s="6">
        <v>70</v>
      </c>
      <c r="AG53" s="6"/>
      <c r="AH53" s="7">
        <v>1</v>
      </c>
      <c r="AI53" s="4"/>
      <c r="AJ53" s="4">
        <f>=ROUNDDOWN({0},0)</f>
      </c>
      <c r="AK53" s="5"/>
      <c r="AL53" s="2" t="s">
        <v>233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233</v>
      </c>
      <c r="AW53" s="8" t="s">
        <v>233</v>
      </c>
      <c r="AX53" s="4" t="s">
        <v>233</v>
      </c>
      <c r="AY53" s="8" t="s">
        <v>233</v>
      </c>
      <c r="AZ53" s="7" t="s">
        <v>233</v>
      </c>
      <c r="BA53" s="7" t="s">
        <v>233</v>
      </c>
      <c r="BB53" s="7"/>
      <c r="BC53" s="4" t="s">
        <v>233</v>
      </c>
      <c r="BD53" s="8" t="s">
        <v>233</v>
      </c>
      <c r="BE53" s="4" t="s">
        <v>233</v>
      </c>
      <c r="BF53" s="8" t="s">
        <v>233</v>
      </c>
      <c r="BG53" s="7" t="s">
        <v>233</v>
      </c>
      <c r="BH53" s="7" t="s">
        <v>233</v>
      </c>
      <c r="BI53" s="7"/>
      <c r="BJ53" s="4">
        <v>3</v>
      </c>
      <c r="BK53" s="8">
        <v>138.74</v>
      </c>
      <c r="BL53" s="2" t="s">
        <v>483</v>
      </c>
      <c r="BM53" s="7"/>
      <c r="BN53" s="7"/>
      <c r="BO53" s="4"/>
      <c r="BP53" s="8"/>
      <c r="BQ53" s="4"/>
      <c r="BR53" s="8"/>
      <c r="BS53" s="7"/>
      <c r="BT53" s="7"/>
      <c r="BU53" s="2" t="s">
        <v>484</v>
      </c>
      <c r="BV53" s="2" t="s">
        <v>233</v>
      </c>
      <c r="BW53" s="2" t="s">
        <v>233</v>
      </c>
      <c r="BX53" s="2" t="s">
        <v>233</v>
      </c>
      <c r="BY53" s="2" t="s">
        <v>280</v>
      </c>
      <c r="BZ53" s="2" t="s">
        <v>245</v>
      </c>
      <c r="CA53" s="2" t="s">
        <v>471</v>
      </c>
      <c r="CB53" s="2" t="s">
        <v>485</v>
      </c>
      <c r="CC53" s="2" t="s">
        <v>246</v>
      </c>
      <c r="CD53" s="2" t="s">
        <v>233</v>
      </c>
      <c r="CE53" s="4">
        <v>149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</row>
    <row r="54">
      <c r="A54" s="2" t="s">
        <v>486</v>
      </c>
      <c r="B54" s="2" t="s">
        <v>333</v>
      </c>
      <c r="C54" s="2" t="s">
        <v>446</v>
      </c>
      <c r="D54" s="2" t="s">
        <v>487</v>
      </c>
      <c r="E54" s="2" t="s">
        <v>488</v>
      </c>
      <c r="F54" s="2" t="s">
        <v>461</v>
      </c>
      <c r="G54" s="2" t="s">
        <v>461</v>
      </c>
      <c r="H54" s="2" t="s">
        <v>461</v>
      </c>
      <c r="I54" s="2" t="s">
        <v>489</v>
      </c>
      <c r="J54" s="2" t="s">
        <v>490</v>
      </c>
      <c r="K54" s="2" t="s">
        <v>255</v>
      </c>
      <c r="L54" s="3">
        <v>12</v>
      </c>
      <c r="M54" s="3">
        <v>12.6</v>
      </c>
      <c r="N54" s="3">
        <v>29.99</v>
      </c>
      <c r="O54" s="2" t="s">
        <v>237</v>
      </c>
      <c r="P54" s="2" t="s">
        <v>311</v>
      </c>
      <c r="Q54" s="2" t="s">
        <v>239</v>
      </c>
      <c r="R54" s="2" t="s">
        <v>233</v>
      </c>
      <c r="S54" s="2" t="s">
        <v>474</v>
      </c>
      <c r="T54" s="2" t="s">
        <v>341</v>
      </c>
      <c r="U54" s="2" t="s">
        <v>491</v>
      </c>
      <c r="V54" s="2" t="s">
        <v>241</v>
      </c>
      <c r="W54" s="2" t="s">
        <v>275</v>
      </c>
      <c r="X54" s="2" t="s">
        <v>275</v>
      </c>
      <c r="Y54" s="2" t="s">
        <v>464</v>
      </c>
      <c r="Z54" s="4">
        <v>12</v>
      </c>
      <c r="AA54" s="4">
        <f>=ROUNDDOWN(12,0)</f>
      </c>
      <c r="AB54" s="5">
        <v>1</v>
      </c>
      <c r="AC54" s="2" t="s">
        <v>233</v>
      </c>
      <c r="AD54" s="4"/>
      <c r="AE54" s="4"/>
      <c r="AF54" s="6">
        <v>70</v>
      </c>
      <c r="AG54" s="6"/>
      <c r="AH54" s="7">
        <v>1</v>
      </c>
      <c r="AI54" s="4"/>
      <c r="AJ54" s="4">
        <f>=ROUNDDOWN({0},0)</f>
      </c>
      <c r="AK54" s="5"/>
      <c r="AL54" s="2" t="s">
        <v>233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233</v>
      </c>
      <c r="AW54" s="8" t="s">
        <v>233</v>
      </c>
      <c r="AX54" s="4" t="s">
        <v>233</v>
      </c>
      <c r="AY54" s="8" t="s">
        <v>233</v>
      </c>
      <c r="AZ54" s="7" t="s">
        <v>233</v>
      </c>
      <c r="BA54" s="7" t="s">
        <v>233</v>
      </c>
      <c r="BB54" s="7"/>
      <c r="BC54" s="4" t="s">
        <v>233</v>
      </c>
      <c r="BD54" s="8" t="s">
        <v>233</v>
      </c>
      <c r="BE54" s="4" t="s">
        <v>233</v>
      </c>
      <c r="BF54" s="8" t="s">
        <v>233</v>
      </c>
      <c r="BG54" s="7" t="s">
        <v>233</v>
      </c>
      <c r="BH54" s="7" t="s">
        <v>233</v>
      </c>
      <c r="BI54" s="7"/>
      <c r="BJ54" s="4"/>
      <c r="BK54" s="8"/>
      <c r="BL54" s="2" t="s">
        <v>492</v>
      </c>
      <c r="BM54" s="7"/>
      <c r="BN54" s="7"/>
      <c r="BO54" s="4"/>
      <c r="BP54" s="8"/>
      <c r="BQ54" s="4"/>
      <c r="BR54" s="8"/>
      <c r="BS54" s="7"/>
      <c r="BT54" s="7"/>
      <c r="BU54" s="2" t="s">
        <v>493</v>
      </c>
      <c r="BV54" s="2" t="s">
        <v>233</v>
      </c>
      <c r="BW54" s="2" t="s">
        <v>233</v>
      </c>
      <c r="BX54" s="2" t="s">
        <v>233</v>
      </c>
      <c r="BY54" s="2" t="s">
        <v>280</v>
      </c>
      <c r="BZ54" s="2" t="s">
        <v>245</v>
      </c>
      <c r="CA54" s="2" t="s">
        <v>477</v>
      </c>
      <c r="CB54" s="2" t="s">
        <v>233</v>
      </c>
      <c r="CC54" s="2" t="s">
        <v>246</v>
      </c>
      <c r="CD54" s="2" t="s">
        <v>233</v>
      </c>
      <c r="CE54" s="4">
        <v>12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</row>
    <row r="55">
      <c r="A55" s="2" t="s">
        <v>494</v>
      </c>
      <c r="B55" s="2" t="s">
        <v>333</v>
      </c>
      <c r="C55" s="2" t="s">
        <v>446</v>
      </c>
      <c r="D55" s="2" t="s">
        <v>487</v>
      </c>
      <c r="E55" s="2" t="s">
        <v>488</v>
      </c>
      <c r="F55" s="2" t="s">
        <v>461</v>
      </c>
      <c r="G55" s="2" t="s">
        <v>461</v>
      </c>
      <c r="H55" s="2" t="s">
        <v>461</v>
      </c>
      <c r="I55" s="2" t="s">
        <v>489</v>
      </c>
      <c r="J55" s="2" t="s">
        <v>495</v>
      </c>
      <c r="K55" s="2" t="s">
        <v>255</v>
      </c>
      <c r="L55" s="3">
        <v>10</v>
      </c>
      <c r="M55" s="3">
        <v>10.5</v>
      </c>
      <c r="N55" s="3">
        <v>24.99</v>
      </c>
      <c r="O55" s="2" t="s">
        <v>237</v>
      </c>
      <c r="P55" s="2" t="s">
        <v>311</v>
      </c>
      <c r="Q55" s="2" t="s">
        <v>239</v>
      </c>
      <c r="R55" s="2" t="s">
        <v>233</v>
      </c>
      <c r="S55" s="2" t="s">
        <v>474</v>
      </c>
      <c r="T55" s="2" t="s">
        <v>341</v>
      </c>
      <c r="U55" s="2" t="s">
        <v>491</v>
      </c>
      <c r="V55" s="2" t="s">
        <v>241</v>
      </c>
      <c r="W55" s="2" t="s">
        <v>275</v>
      </c>
      <c r="X55" s="2" t="s">
        <v>275</v>
      </c>
      <c r="Y55" s="2" t="s">
        <v>464</v>
      </c>
      <c r="Z55" s="4">
        <v>47</v>
      </c>
      <c r="AA55" s="4">
        <f>=ROUNDDOWN(47,0)</f>
      </c>
      <c r="AB55" s="5">
        <v>1</v>
      </c>
      <c r="AC55" s="2" t="s">
        <v>233</v>
      </c>
      <c r="AD55" s="4"/>
      <c r="AE55" s="4"/>
      <c r="AF55" s="6">
        <v>70</v>
      </c>
      <c r="AG55" s="6"/>
      <c r="AH55" s="7">
        <v>1</v>
      </c>
      <c r="AI55" s="4"/>
      <c r="AJ55" s="4">
        <f>=ROUNDDOWN({0},0)</f>
      </c>
      <c r="AK55" s="5"/>
      <c r="AL55" s="2" t="s">
        <v>233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233</v>
      </c>
      <c r="AW55" s="8" t="s">
        <v>233</v>
      </c>
      <c r="AX55" s="4" t="s">
        <v>233</v>
      </c>
      <c r="AY55" s="8" t="s">
        <v>233</v>
      </c>
      <c r="AZ55" s="7" t="s">
        <v>233</v>
      </c>
      <c r="BA55" s="7" t="s">
        <v>233</v>
      </c>
      <c r="BB55" s="7"/>
      <c r="BC55" s="4" t="s">
        <v>233</v>
      </c>
      <c r="BD55" s="8" t="s">
        <v>233</v>
      </c>
      <c r="BE55" s="4" t="s">
        <v>233</v>
      </c>
      <c r="BF55" s="8" t="s">
        <v>233</v>
      </c>
      <c r="BG55" s="7" t="s">
        <v>233</v>
      </c>
      <c r="BH55" s="7" t="s">
        <v>233</v>
      </c>
      <c r="BI55" s="7"/>
      <c r="BJ55" s="4">
        <v>4</v>
      </c>
      <c r="BK55" s="8">
        <v>44.43</v>
      </c>
      <c r="BL55" s="2" t="s">
        <v>496</v>
      </c>
      <c r="BM55" s="7"/>
      <c r="BN55" s="7"/>
      <c r="BO55" s="4"/>
      <c r="BP55" s="8"/>
      <c r="BQ55" s="4"/>
      <c r="BR55" s="8"/>
      <c r="BS55" s="7"/>
      <c r="BT55" s="7"/>
      <c r="BU55" s="2" t="s">
        <v>497</v>
      </c>
      <c r="BV55" s="2" t="s">
        <v>233</v>
      </c>
      <c r="BW55" s="2" t="s">
        <v>233</v>
      </c>
      <c r="BX55" s="2" t="s">
        <v>233</v>
      </c>
      <c r="BY55" s="2" t="s">
        <v>280</v>
      </c>
      <c r="BZ55" s="2" t="s">
        <v>245</v>
      </c>
      <c r="CA55" s="2" t="s">
        <v>477</v>
      </c>
      <c r="CB55" s="2" t="s">
        <v>233</v>
      </c>
      <c r="CC55" s="2" t="s">
        <v>246</v>
      </c>
      <c r="CD55" s="2" t="s">
        <v>233</v>
      </c>
      <c r="CE55" s="4">
        <v>47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</row>
    <row r="56">
      <c r="A56" s="2" t="s">
        <v>498</v>
      </c>
      <c r="B56" s="2" t="s">
        <v>333</v>
      </c>
      <c r="C56" s="2" t="s">
        <v>446</v>
      </c>
      <c r="D56" s="2" t="s">
        <v>335</v>
      </c>
      <c r="E56" s="2" t="s">
        <v>336</v>
      </c>
      <c r="F56" s="2" t="s">
        <v>461</v>
      </c>
      <c r="G56" s="2" t="s">
        <v>461</v>
      </c>
      <c r="H56" s="2" t="s">
        <v>461</v>
      </c>
      <c r="I56" s="2" t="s">
        <v>462</v>
      </c>
      <c r="J56" s="2" t="s">
        <v>290</v>
      </c>
      <c r="K56" s="2" t="s">
        <v>499</v>
      </c>
      <c r="L56" s="3">
        <v>32</v>
      </c>
      <c r="M56" s="3">
        <v>33.6</v>
      </c>
      <c r="N56" s="3">
        <v>59.99</v>
      </c>
      <c r="O56" s="2" t="s">
        <v>237</v>
      </c>
      <c r="P56" s="2" t="s">
        <v>311</v>
      </c>
      <c r="Q56" s="2" t="s">
        <v>239</v>
      </c>
      <c r="R56" s="2" t="s">
        <v>233</v>
      </c>
      <c r="S56" s="2" t="s">
        <v>500</v>
      </c>
      <c r="T56" s="2" t="s">
        <v>341</v>
      </c>
      <c r="U56" s="2" t="s">
        <v>342</v>
      </c>
      <c r="V56" s="2" t="s">
        <v>241</v>
      </c>
      <c r="W56" s="2" t="s">
        <v>275</v>
      </c>
      <c r="X56" s="2" t="s">
        <v>275</v>
      </c>
      <c r="Y56" s="2" t="s">
        <v>464</v>
      </c>
      <c r="Z56" s="4">
        <v>49</v>
      </c>
      <c r="AA56" s="4">
        <f>=ROUNDDOWN(49,0)</f>
      </c>
      <c r="AB56" s="5">
        <v>1</v>
      </c>
      <c r="AC56" s="2" t="s">
        <v>233</v>
      </c>
      <c r="AD56" s="4"/>
      <c r="AE56" s="4"/>
      <c r="AF56" s="6">
        <v>70</v>
      </c>
      <c r="AG56" s="6"/>
      <c r="AH56" s="7">
        <v>1</v>
      </c>
      <c r="AI56" s="4"/>
      <c r="AJ56" s="4">
        <f>=ROUNDDOWN({0},0)</f>
      </c>
      <c r="AK56" s="5"/>
      <c r="AL56" s="2" t="s">
        <v>233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233</v>
      </c>
      <c r="AW56" s="8" t="s">
        <v>233</v>
      </c>
      <c r="AX56" s="4" t="s">
        <v>233</v>
      </c>
      <c r="AY56" s="8" t="s">
        <v>233</v>
      </c>
      <c r="AZ56" s="7" t="s">
        <v>233</v>
      </c>
      <c r="BA56" s="7" t="s">
        <v>233</v>
      </c>
      <c r="BB56" s="7"/>
      <c r="BC56" s="4" t="s">
        <v>233</v>
      </c>
      <c r="BD56" s="8" t="s">
        <v>233</v>
      </c>
      <c r="BE56" s="4" t="s">
        <v>233</v>
      </c>
      <c r="BF56" s="8" t="s">
        <v>233</v>
      </c>
      <c r="BG56" s="7" t="s">
        <v>233</v>
      </c>
      <c r="BH56" s="7" t="s">
        <v>233</v>
      </c>
      <c r="BI56" s="7"/>
      <c r="BJ56" s="4">
        <v>1</v>
      </c>
      <c r="BK56" s="8">
        <v>33</v>
      </c>
      <c r="BL56" s="2" t="s">
        <v>501</v>
      </c>
      <c r="BM56" s="7"/>
      <c r="BN56" s="7"/>
      <c r="BO56" s="4"/>
      <c r="BP56" s="8"/>
      <c r="BQ56" s="4"/>
      <c r="BR56" s="8"/>
      <c r="BS56" s="7"/>
      <c r="BT56" s="7"/>
      <c r="BU56" s="2" t="s">
        <v>502</v>
      </c>
      <c r="BV56" s="2" t="s">
        <v>233</v>
      </c>
      <c r="BW56" s="2" t="s">
        <v>233</v>
      </c>
      <c r="BX56" s="2" t="s">
        <v>233</v>
      </c>
      <c r="BY56" s="2" t="s">
        <v>280</v>
      </c>
      <c r="BZ56" s="2" t="s">
        <v>245</v>
      </c>
      <c r="CA56" s="2" t="s">
        <v>467</v>
      </c>
      <c r="CB56" s="2" t="s">
        <v>503</v>
      </c>
      <c r="CC56" s="2" t="s">
        <v>246</v>
      </c>
      <c r="CD56" s="2" t="s">
        <v>233</v>
      </c>
      <c r="CE56" s="4">
        <v>49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</row>
    <row r="57">
      <c r="A57" s="2" t="s">
        <v>504</v>
      </c>
      <c r="B57" s="2" t="s">
        <v>333</v>
      </c>
      <c r="C57" s="2" t="s">
        <v>446</v>
      </c>
      <c r="D57" s="2" t="s">
        <v>335</v>
      </c>
      <c r="E57" s="2" t="s">
        <v>336</v>
      </c>
      <c r="F57" s="2" t="s">
        <v>461</v>
      </c>
      <c r="G57" s="2" t="s">
        <v>461</v>
      </c>
      <c r="H57" s="2" t="s">
        <v>461</v>
      </c>
      <c r="I57" s="2" t="s">
        <v>462</v>
      </c>
      <c r="J57" s="2" t="s">
        <v>348</v>
      </c>
      <c r="K57" s="2" t="s">
        <v>499</v>
      </c>
      <c r="L57" s="3">
        <v>35</v>
      </c>
      <c r="M57" s="3">
        <v>36.75</v>
      </c>
      <c r="N57" s="3">
        <v>69.99</v>
      </c>
      <c r="O57" s="2" t="s">
        <v>237</v>
      </c>
      <c r="P57" s="2" t="s">
        <v>311</v>
      </c>
      <c r="Q57" s="2" t="s">
        <v>239</v>
      </c>
      <c r="R57" s="2" t="s">
        <v>233</v>
      </c>
      <c r="S57" s="2" t="s">
        <v>500</v>
      </c>
      <c r="T57" s="2" t="s">
        <v>341</v>
      </c>
      <c r="U57" s="2" t="s">
        <v>342</v>
      </c>
      <c r="V57" s="2" t="s">
        <v>241</v>
      </c>
      <c r="W57" s="2" t="s">
        <v>275</v>
      </c>
      <c r="X57" s="2" t="s">
        <v>275</v>
      </c>
      <c r="Y57" s="2" t="s">
        <v>464</v>
      </c>
      <c r="Z57" s="4">
        <v>96</v>
      </c>
      <c r="AA57" s="4">
        <f>=ROUNDDOWN(48,0)</f>
      </c>
      <c r="AB57" s="5">
        <v>2</v>
      </c>
      <c r="AC57" s="2" t="s">
        <v>233</v>
      </c>
      <c r="AD57" s="4"/>
      <c r="AE57" s="4"/>
      <c r="AF57" s="6">
        <v>70</v>
      </c>
      <c r="AG57" s="6"/>
      <c r="AH57" s="7">
        <v>1</v>
      </c>
      <c r="AI57" s="4"/>
      <c r="AJ57" s="4">
        <f>=ROUNDDOWN({0},0)</f>
      </c>
      <c r="AK57" s="5"/>
      <c r="AL57" s="2" t="s">
        <v>233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233</v>
      </c>
      <c r="AW57" s="8" t="s">
        <v>233</v>
      </c>
      <c r="AX57" s="4" t="s">
        <v>233</v>
      </c>
      <c r="AY57" s="8" t="s">
        <v>233</v>
      </c>
      <c r="AZ57" s="7" t="s">
        <v>233</v>
      </c>
      <c r="BA57" s="7" t="s">
        <v>233</v>
      </c>
      <c r="BB57" s="7"/>
      <c r="BC57" s="4" t="s">
        <v>233</v>
      </c>
      <c r="BD57" s="8" t="s">
        <v>233</v>
      </c>
      <c r="BE57" s="4" t="s">
        <v>233</v>
      </c>
      <c r="BF57" s="8" t="s">
        <v>233</v>
      </c>
      <c r="BG57" s="7" t="s">
        <v>233</v>
      </c>
      <c r="BH57" s="7" t="s">
        <v>233</v>
      </c>
      <c r="BI57" s="7"/>
      <c r="BJ57" s="4">
        <v>5</v>
      </c>
      <c r="BK57" s="8">
        <v>227.56</v>
      </c>
      <c r="BL57" s="2" t="s">
        <v>505</v>
      </c>
      <c r="BM57" s="7"/>
      <c r="BN57" s="7"/>
      <c r="BO57" s="4"/>
      <c r="BP57" s="8"/>
      <c r="BQ57" s="4"/>
      <c r="BR57" s="8"/>
      <c r="BS57" s="7"/>
      <c r="BT57" s="7"/>
      <c r="BU57" s="2" t="s">
        <v>506</v>
      </c>
      <c r="BV57" s="2" t="s">
        <v>233</v>
      </c>
      <c r="BW57" s="2" t="s">
        <v>233</v>
      </c>
      <c r="BX57" s="2" t="s">
        <v>233</v>
      </c>
      <c r="BY57" s="2" t="s">
        <v>280</v>
      </c>
      <c r="BZ57" s="2" t="s">
        <v>245</v>
      </c>
      <c r="CA57" s="2" t="s">
        <v>471</v>
      </c>
      <c r="CB57" s="2" t="s">
        <v>507</v>
      </c>
      <c r="CC57" s="2" t="s">
        <v>246</v>
      </c>
      <c r="CD57" s="2" t="s">
        <v>233</v>
      </c>
      <c r="CE57" s="4">
        <v>96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</row>
    <row r="58">
      <c r="A58" s="2" t="s">
        <v>508</v>
      </c>
      <c r="B58" s="2" t="s">
        <v>333</v>
      </c>
      <c r="C58" s="2" t="s">
        <v>446</v>
      </c>
      <c r="D58" s="2" t="s">
        <v>335</v>
      </c>
      <c r="E58" s="2" t="s">
        <v>336</v>
      </c>
      <c r="F58" s="2" t="s">
        <v>461</v>
      </c>
      <c r="G58" s="2" t="s">
        <v>461</v>
      </c>
      <c r="H58" s="2" t="s">
        <v>461</v>
      </c>
      <c r="I58" s="2" t="s">
        <v>462</v>
      </c>
      <c r="J58" s="2" t="s">
        <v>328</v>
      </c>
      <c r="K58" s="2" t="s">
        <v>499</v>
      </c>
      <c r="L58" s="3">
        <v>40</v>
      </c>
      <c r="M58" s="3">
        <v>42</v>
      </c>
      <c r="N58" s="3">
        <v>79.99</v>
      </c>
      <c r="O58" s="2" t="s">
        <v>237</v>
      </c>
      <c r="P58" s="2" t="s">
        <v>311</v>
      </c>
      <c r="Q58" s="2" t="s">
        <v>239</v>
      </c>
      <c r="R58" s="2" t="s">
        <v>233</v>
      </c>
      <c r="S58" s="2" t="s">
        <v>500</v>
      </c>
      <c r="T58" s="2" t="s">
        <v>341</v>
      </c>
      <c r="U58" s="2" t="s">
        <v>342</v>
      </c>
      <c r="V58" s="2" t="s">
        <v>241</v>
      </c>
      <c r="W58" s="2" t="s">
        <v>275</v>
      </c>
      <c r="X58" s="2" t="s">
        <v>275</v>
      </c>
      <c r="Y58" s="2" t="s">
        <v>464</v>
      </c>
      <c r="Z58" s="4">
        <v>83</v>
      </c>
      <c r="AA58" s="4">
        <f>=ROUNDDOWN(83,0)</f>
      </c>
      <c r="AB58" s="5">
        <v>1</v>
      </c>
      <c r="AC58" s="2" t="s">
        <v>233</v>
      </c>
      <c r="AD58" s="4"/>
      <c r="AE58" s="4"/>
      <c r="AF58" s="6">
        <v>70</v>
      </c>
      <c r="AG58" s="6"/>
      <c r="AH58" s="7">
        <v>1</v>
      </c>
      <c r="AI58" s="4"/>
      <c r="AJ58" s="4">
        <f>=ROUNDDOWN({0},0)</f>
      </c>
      <c r="AK58" s="5"/>
      <c r="AL58" s="2" t="s">
        <v>233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233</v>
      </c>
      <c r="AW58" s="8" t="s">
        <v>233</v>
      </c>
      <c r="AX58" s="4" t="s">
        <v>233</v>
      </c>
      <c r="AY58" s="8" t="s">
        <v>233</v>
      </c>
      <c r="AZ58" s="7" t="s">
        <v>233</v>
      </c>
      <c r="BA58" s="7" t="s">
        <v>233</v>
      </c>
      <c r="BB58" s="7"/>
      <c r="BC58" s="4" t="s">
        <v>233</v>
      </c>
      <c r="BD58" s="8" t="s">
        <v>233</v>
      </c>
      <c r="BE58" s="4" t="s">
        <v>233</v>
      </c>
      <c r="BF58" s="8" t="s">
        <v>233</v>
      </c>
      <c r="BG58" s="7" t="s">
        <v>233</v>
      </c>
      <c r="BH58" s="7" t="s">
        <v>233</v>
      </c>
      <c r="BI58" s="7"/>
      <c r="BJ58" s="4">
        <v>3</v>
      </c>
      <c r="BK58" s="8">
        <v>121.26</v>
      </c>
      <c r="BL58" s="2" t="s">
        <v>509</v>
      </c>
      <c r="BM58" s="7"/>
      <c r="BN58" s="7"/>
      <c r="BO58" s="4"/>
      <c r="BP58" s="8"/>
      <c r="BQ58" s="4"/>
      <c r="BR58" s="8"/>
      <c r="BS58" s="7"/>
      <c r="BT58" s="7"/>
      <c r="BU58" s="2" t="s">
        <v>510</v>
      </c>
      <c r="BV58" s="2" t="s">
        <v>233</v>
      </c>
      <c r="BW58" s="2" t="s">
        <v>233</v>
      </c>
      <c r="BX58" s="2" t="s">
        <v>233</v>
      </c>
      <c r="BY58" s="2" t="s">
        <v>280</v>
      </c>
      <c r="BZ58" s="2" t="s">
        <v>245</v>
      </c>
      <c r="CA58" s="2" t="s">
        <v>477</v>
      </c>
      <c r="CB58" s="2" t="s">
        <v>485</v>
      </c>
      <c r="CC58" s="2" t="s">
        <v>246</v>
      </c>
      <c r="CD58" s="2" t="s">
        <v>233</v>
      </c>
      <c r="CE58" s="4">
        <v>83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</row>
    <row r="59">
      <c r="A59" s="2" t="s">
        <v>511</v>
      </c>
      <c r="B59" s="2" t="s">
        <v>333</v>
      </c>
      <c r="C59" s="2" t="s">
        <v>446</v>
      </c>
      <c r="D59" s="2" t="s">
        <v>335</v>
      </c>
      <c r="E59" s="2" t="s">
        <v>336</v>
      </c>
      <c r="F59" s="2" t="s">
        <v>461</v>
      </c>
      <c r="G59" s="2" t="s">
        <v>461</v>
      </c>
      <c r="H59" s="2" t="s">
        <v>461</v>
      </c>
      <c r="I59" s="2" t="s">
        <v>462</v>
      </c>
      <c r="J59" s="2" t="s">
        <v>290</v>
      </c>
      <c r="K59" s="2" t="s">
        <v>297</v>
      </c>
      <c r="L59" s="3">
        <v>32</v>
      </c>
      <c r="M59" s="3">
        <v>33.6</v>
      </c>
      <c r="N59" s="3">
        <v>59.99</v>
      </c>
      <c r="O59" s="2" t="s">
        <v>237</v>
      </c>
      <c r="P59" s="2" t="s">
        <v>311</v>
      </c>
      <c r="Q59" s="2" t="s">
        <v>239</v>
      </c>
      <c r="R59" s="2" t="s">
        <v>233</v>
      </c>
      <c r="S59" s="2" t="s">
        <v>512</v>
      </c>
      <c r="T59" s="2" t="s">
        <v>341</v>
      </c>
      <c r="U59" s="2" t="s">
        <v>342</v>
      </c>
      <c r="V59" s="2" t="s">
        <v>241</v>
      </c>
      <c r="W59" s="2" t="s">
        <v>275</v>
      </c>
      <c r="X59" s="2" t="s">
        <v>275</v>
      </c>
      <c r="Y59" s="2" t="s">
        <v>464</v>
      </c>
      <c r="Z59" s="4">
        <v>192</v>
      </c>
      <c r="AA59" s="4">
        <f>=ROUNDDOWN(192,0)</f>
      </c>
      <c r="AB59" s="5">
        <v>1</v>
      </c>
      <c r="AC59" s="2" t="s">
        <v>233</v>
      </c>
      <c r="AD59" s="4"/>
      <c r="AE59" s="4"/>
      <c r="AF59" s="6">
        <v>70</v>
      </c>
      <c r="AG59" s="6"/>
      <c r="AH59" s="7">
        <v>1</v>
      </c>
      <c r="AI59" s="4"/>
      <c r="AJ59" s="4">
        <f>=ROUNDDOWN({0},0)</f>
      </c>
      <c r="AK59" s="5"/>
      <c r="AL59" s="2" t="s">
        <v>233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233</v>
      </c>
      <c r="AW59" s="8" t="s">
        <v>233</v>
      </c>
      <c r="AX59" s="4" t="s">
        <v>233</v>
      </c>
      <c r="AY59" s="8" t="s">
        <v>233</v>
      </c>
      <c r="AZ59" s="7" t="s">
        <v>233</v>
      </c>
      <c r="BA59" s="7" t="s">
        <v>233</v>
      </c>
      <c r="BB59" s="7"/>
      <c r="BC59" s="4" t="s">
        <v>233</v>
      </c>
      <c r="BD59" s="8" t="s">
        <v>233</v>
      </c>
      <c r="BE59" s="4" t="s">
        <v>233</v>
      </c>
      <c r="BF59" s="8" t="s">
        <v>233</v>
      </c>
      <c r="BG59" s="7" t="s">
        <v>233</v>
      </c>
      <c r="BH59" s="7" t="s">
        <v>233</v>
      </c>
      <c r="BI59" s="7"/>
      <c r="BJ59" s="4">
        <v>3</v>
      </c>
      <c r="BK59" s="8">
        <v>96.94</v>
      </c>
      <c r="BL59" s="2" t="s">
        <v>513</v>
      </c>
      <c r="BM59" s="7"/>
      <c r="BN59" s="7"/>
      <c r="BO59" s="4"/>
      <c r="BP59" s="8"/>
      <c r="BQ59" s="4"/>
      <c r="BR59" s="8"/>
      <c r="BS59" s="7"/>
      <c r="BT59" s="7"/>
      <c r="BU59" s="2" t="s">
        <v>514</v>
      </c>
      <c r="BV59" s="2" t="s">
        <v>233</v>
      </c>
      <c r="BW59" s="2" t="s">
        <v>233</v>
      </c>
      <c r="BX59" s="2" t="s">
        <v>233</v>
      </c>
      <c r="BY59" s="2" t="s">
        <v>280</v>
      </c>
      <c r="BZ59" s="2" t="s">
        <v>245</v>
      </c>
      <c r="CA59" s="2" t="s">
        <v>471</v>
      </c>
      <c r="CB59" s="2" t="s">
        <v>233</v>
      </c>
      <c r="CC59" s="2" t="s">
        <v>246</v>
      </c>
      <c r="CD59" s="2" t="s">
        <v>233</v>
      </c>
      <c r="CE59" s="4">
        <v>192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</row>
    <row r="60">
      <c r="A60" s="2" t="s">
        <v>515</v>
      </c>
      <c r="B60" s="2" t="s">
        <v>333</v>
      </c>
      <c r="C60" s="2" t="s">
        <v>446</v>
      </c>
      <c r="D60" s="2" t="s">
        <v>335</v>
      </c>
      <c r="E60" s="2" t="s">
        <v>336</v>
      </c>
      <c r="F60" s="2" t="s">
        <v>461</v>
      </c>
      <c r="G60" s="2" t="s">
        <v>461</v>
      </c>
      <c r="H60" s="2" t="s">
        <v>461</v>
      </c>
      <c r="I60" s="2" t="s">
        <v>462</v>
      </c>
      <c r="J60" s="2" t="s">
        <v>348</v>
      </c>
      <c r="K60" s="2" t="s">
        <v>297</v>
      </c>
      <c r="L60" s="3">
        <v>35</v>
      </c>
      <c r="M60" s="3">
        <v>36.75</v>
      </c>
      <c r="N60" s="3">
        <v>69.99</v>
      </c>
      <c r="O60" s="2" t="s">
        <v>237</v>
      </c>
      <c r="P60" s="2" t="s">
        <v>311</v>
      </c>
      <c r="Q60" s="2" t="s">
        <v>239</v>
      </c>
      <c r="R60" s="2" t="s">
        <v>233</v>
      </c>
      <c r="S60" s="2" t="s">
        <v>512</v>
      </c>
      <c r="T60" s="2" t="s">
        <v>341</v>
      </c>
      <c r="U60" s="2" t="s">
        <v>342</v>
      </c>
      <c r="V60" s="2" t="s">
        <v>241</v>
      </c>
      <c r="W60" s="2" t="s">
        <v>275</v>
      </c>
      <c r="X60" s="2" t="s">
        <v>275</v>
      </c>
      <c r="Y60" s="2" t="s">
        <v>464</v>
      </c>
      <c r="Z60" s="4">
        <v>1</v>
      </c>
      <c r="AA60" s="4">
        <f>=ROUNDDOWN(0.5,0)</f>
      </c>
      <c r="AB60" s="5">
        <v>2</v>
      </c>
      <c r="AC60" s="2" t="s">
        <v>233</v>
      </c>
      <c r="AD60" s="4"/>
      <c r="AE60" s="4"/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233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233</v>
      </c>
      <c r="AW60" s="8" t="s">
        <v>233</v>
      </c>
      <c r="AX60" s="4" t="s">
        <v>233</v>
      </c>
      <c r="AY60" s="8" t="s">
        <v>233</v>
      </c>
      <c r="AZ60" s="7" t="s">
        <v>233</v>
      </c>
      <c r="BA60" s="7" t="s">
        <v>233</v>
      </c>
      <c r="BB60" s="7"/>
      <c r="BC60" s="4" t="s">
        <v>233</v>
      </c>
      <c r="BD60" s="8" t="s">
        <v>233</v>
      </c>
      <c r="BE60" s="4" t="s">
        <v>233</v>
      </c>
      <c r="BF60" s="8" t="s">
        <v>233</v>
      </c>
      <c r="BG60" s="7" t="s">
        <v>233</v>
      </c>
      <c r="BH60" s="7" t="s">
        <v>233</v>
      </c>
      <c r="BI60" s="7"/>
      <c r="BJ60" s="4">
        <v>7</v>
      </c>
      <c r="BK60" s="8">
        <v>236.92</v>
      </c>
      <c r="BL60" s="2" t="s">
        <v>516</v>
      </c>
      <c r="BM60" s="7"/>
      <c r="BN60" s="7"/>
      <c r="BO60" s="4"/>
      <c r="BP60" s="8"/>
      <c r="BQ60" s="4"/>
      <c r="BR60" s="8"/>
      <c r="BS60" s="7"/>
      <c r="BT60" s="7"/>
      <c r="BU60" s="2" t="s">
        <v>517</v>
      </c>
      <c r="BV60" s="2" t="s">
        <v>233</v>
      </c>
      <c r="BW60" s="2" t="s">
        <v>233</v>
      </c>
      <c r="BX60" s="2" t="s">
        <v>233</v>
      </c>
      <c r="BY60" s="2" t="s">
        <v>280</v>
      </c>
      <c r="BZ60" s="2" t="s">
        <v>245</v>
      </c>
      <c r="CA60" s="2" t="s">
        <v>471</v>
      </c>
      <c r="CB60" s="2" t="s">
        <v>518</v>
      </c>
      <c r="CC60" s="2" t="s">
        <v>246</v>
      </c>
      <c r="CD60" s="2" t="s">
        <v>233</v>
      </c>
      <c r="CE60" s="4">
        <v>1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</row>
    <row r="61">
      <c r="A61" s="2" t="s">
        <v>519</v>
      </c>
      <c r="B61" s="2" t="s">
        <v>333</v>
      </c>
      <c r="C61" s="2" t="s">
        <v>446</v>
      </c>
      <c r="D61" s="2" t="s">
        <v>335</v>
      </c>
      <c r="E61" s="2" t="s">
        <v>336</v>
      </c>
      <c r="F61" s="2" t="s">
        <v>461</v>
      </c>
      <c r="G61" s="2" t="s">
        <v>461</v>
      </c>
      <c r="H61" s="2" t="s">
        <v>461</v>
      </c>
      <c r="I61" s="2" t="s">
        <v>462</v>
      </c>
      <c r="J61" s="2" t="s">
        <v>328</v>
      </c>
      <c r="K61" s="2" t="s">
        <v>297</v>
      </c>
      <c r="L61" s="3">
        <v>40</v>
      </c>
      <c r="M61" s="3">
        <v>42</v>
      </c>
      <c r="N61" s="3">
        <v>79.99</v>
      </c>
      <c r="O61" s="2" t="s">
        <v>237</v>
      </c>
      <c r="P61" s="2" t="s">
        <v>311</v>
      </c>
      <c r="Q61" s="2" t="s">
        <v>239</v>
      </c>
      <c r="R61" s="2" t="s">
        <v>233</v>
      </c>
      <c r="S61" s="2" t="s">
        <v>512</v>
      </c>
      <c r="T61" s="2" t="s">
        <v>341</v>
      </c>
      <c r="U61" s="2" t="s">
        <v>342</v>
      </c>
      <c r="V61" s="2" t="s">
        <v>241</v>
      </c>
      <c r="W61" s="2" t="s">
        <v>275</v>
      </c>
      <c r="X61" s="2" t="s">
        <v>275</v>
      </c>
      <c r="Y61" s="2" t="s">
        <v>464</v>
      </c>
      <c r="Z61" s="4">
        <v>30</v>
      </c>
      <c r="AA61" s="4">
        <f>=ROUNDDOWN(30,0)</f>
      </c>
      <c r="AB61" s="5">
        <v>1</v>
      </c>
      <c r="AC61" s="2" t="s">
        <v>233</v>
      </c>
      <c r="AD61" s="4"/>
      <c r="AE61" s="4"/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233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233</v>
      </c>
      <c r="AW61" s="8" t="s">
        <v>233</v>
      </c>
      <c r="AX61" s="4" t="s">
        <v>233</v>
      </c>
      <c r="AY61" s="8" t="s">
        <v>233</v>
      </c>
      <c r="AZ61" s="7" t="s">
        <v>233</v>
      </c>
      <c r="BA61" s="7" t="s">
        <v>233</v>
      </c>
      <c r="BB61" s="7"/>
      <c r="BC61" s="4" t="s">
        <v>233</v>
      </c>
      <c r="BD61" s="8" t="s">
        <v>233</v>
      </c>
      <c r="BE61" s="4" t="s">
        <v>233</v>
      </c>
      <c r="BF61" s="8" t="s">
        <v>233</v>
      </c>
      <c r="BG61" s="7" t="s">
        <v>233</v>
      </c>
      <c r="BH61" s="7" t="s">
        <v>233</v>
      </c>
      <c r="BI61" s="7"/>
      <c r="BJ61" s="4">
        <v>3</v>
      </c>
      <c r="BK61" s="8">
        <v>143.96</v>
      </c>
      <c r="BL61" s="2" t="s">
        <v>369</v>
      </c>
      <c r="BM61" s="7"/>
      <c r="BN61" s="7"/>
      <c r="BO61" s="4"/>
      <c r="BP61" s="8"/>
      <c r="BQ61" s="4"/>
      <c r="BR61" s="8"/>
      <c r="BS61" s="7"/>
      <c r="BT61" s="7"/>
      <c r="BU61" s="2" t="s">
        <v>520</v>
      </c>
      <c r="BV61" s="2" t="s">
        <v>233</v>
      </c>
      <c r="BW61" s="2" t="s">
        <v>233</v>
      </c>
      <c r="BX61" s="2" t="s">
        <v>233</v>
      </c>
      <c r="BY61" s="2" t="s">
        <v>280</v>
      </c>
      <c r="BZ61" s="2" t="s">
        <v>245</v>
      </c>
      <c r="CA61" s="2" t="s">
        <v>471</v>
      </c>
      <c r="CB61" s="2" t="s">
        <v>521</v>
      </c>
      <c r="CC61" s="2" t="s">
        <v>246</v>
      </c>
      <c r="CD61" s="2" t="s">
        <v>233</v>
      </c>
      <c r="CE61" s="4">
        <v>30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</row>
    <row r="62">
      <c r="A62" s="2" t="s">
        <v>522</v>
      </c>
      <c r="B62" s="2" t="s">
        <v>333</v>
      </c>
      <c r="C62" s="2" t="s">
        <v>265</v>
      </c>
      <c r="D62" s="2" t="s">
        <v>487</v>
      </c>
      <c r="E62" s="2" t="s">
        <v>488</v>
      </c>
      <c r="F62" s="2" t="s">
        <v>523</v>
      </c>
      <c r="G62" s="2" t="s">
        <v>233</v>
      </c>
      <c r="H62" s="2" t="s">
        <v>233</v>
      </c>
      <c r="I62" s="2" t="s">
        <v>524</v>
      </c>
      <c r="J62" s="2" t="s">
        <v>490</v>
      </c>
      <c r="K62" s="2" t="s">
        <v>525</v>
      </c>
      <c r="L62" s="3">
        <v>11.07</v>
      </c>
      <c r="M62" s="3">
        <v>11.62</v>
      </c>
      <c r="N62" s="3">
        <v>26.99</v>
      </c>
      <c r="O62" s="2" t="s">
        <v>252</v>
      </c>
      <c r="P62" s="2" t="s">
        <v>311</v>
      </c>
      <c r="Q62" s="2" t="s">
        <v>239</v>
      </c>
      <c r="R62" s="2" t="s">
        <v>233</v>
      </c>
      <c r="S62" s="2" t="s">
        <v>526</v>
      </c>
      <c r="T62" s="2" t="s">
        <v>341</v>
      </c>
      <c r="U62" s="2" t="s">
        <v>233</v>
      </c>
      <c r="V62" s="2" t="s">
        <v>241</v>
      </c>
      <c r="W62" s="2" t="s">
        <v>275</v>
      </c>
      <c r="X62" s="2" t="s">
        <v>233</v>
      </c>
      <c r="Y62" s="2" t="s">
        <v>276</v>
      </c>
      <c r="Z62" s="4"/>
      <c r="AA62" s="4">
        <f>=ROUNDDOWN({0},0)</f>
      </c>
      <c r="AB62" s="5">
        <v>0.5</v>
      </c>
      <c r="AC62" s="2" t="s">
        <v>233</v>
      </c>
      <c r="AD62" s="4"/>
      <c r="AE62" s="4"/>
      <c r="AF62" s="6">
        <v>69</v>
      </c>
      <c r="AG62" s="6"/>
      <c r="AH62" s="7">
        <v>0</v>
      </c>
      <c r="AI62" s="4"/>
      <c r="AJ62" s="4">
        <f>=ROUNDDOWN({0},0)</f>
      </c>
      <c r="AK62" s="5"/>
      <c r="AL62" s="2" t="s">
        <v>233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/>
      <c r="AW62" s="8"/>
      <c r="AX62" s="4"/>
      <c r="AY62" s="8"/>
      <c r="AZ62" s="7"/>
      <c r="BA62" s="7"/>
      <c r="BB62" s="7"/>
      <c r="BC62" s="4"/>
      <c r="BD62" s="8"/>
      <c r="BE62" s="4"/>
      <c r="BF62" s="8"/>
      <c r="BG62" s="7"/>
      <c r="BH62" s="7"/>
      <c r="BI62" s="7"/>
      <c r="BJ62" s="4"/>
      <c r="BK62" s="8"/>
      <c r="BL62" s="2" t="s">
        <v>233</v>
      </c>
      <c r="BM62" s="7"/>
      <c r="BN62" s="7"/>
      <c r="BO62" s="4"/>
      <c r="BP62" s="8"/>
      <c r="BQ62" s="4"/>
      <c r="BR62" s="8"/>
      <c r="BS62" s="7"/>
      <c r="BT62" s="7"/>
      <c r="BU62" s="2" t="s">
        <v>527</v>
      </c>
      <c r="BV62" s="2" t="s">
        <v>233</v>
      </c>
      <c r="BW62" s="2" t="s">
        <v>233</v>
      </c>
      <c r="BX62" s="2" t="s">
        <v>233</v>
      </c>
      <c r="BY62" s="2" t="s">
        <v>280</v>
      </c>
      <c r="BZ62" s="2" t="s">
        <v>245</v>
      </c>
      <c r="CA62" s="2" t="s">
        <v>281</v>
      </c>
      <c r="CB62" s="2" t="s">
        <v>528</v>
      </c>
      <c r="CC62" s="2" t="s">
        <v>246</v>
      </c>
      <c r="CD62" s="2" t="s">
        <v>233</v>
      </c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</row>
    <row r="63">
      <c r="A63" s="2" t="s">
        <v>529</v>
      </c>
      <c r="B63" s="2" t="s">
        <v>333</v>
      </c>
      <c r="C63" s="2" t="s">
        <v>530</v>
      </c>
      <c r="D63" s="2" t="s">
        <v>335</v>
      </c>
      <c r="E63" s="2" t="s">
        <v>336</v>
      </c>
      <c r="F63" s="2" t="s">
        <v>531</v>
      </c>
      <c r="G63" s="2" t="s">
        <v>531</v>
      </c>
      <c r="H63" s="2" t="s">
        <v>531</v>
      </c>
      <c r="I63" s="2" t="s">
        <v>532</v>
      </c>
      <c r="J63" s="2" t="s">
        <v>270</v>
      </c>
      <c r="K63" s="2" t="s">
        <v>271</v>
      </c>
      <c r="L63" s="3">
        <v>13.44</v>
      </c>
      <c r="M63" s="3">
        <v>14.11</v>
      </c>
      <c r="N63" s="3">
        <v>27.99</v>
      </c>
      <c r="O63" s="2" t="s">
        <v>245</v>
      </c>
      <c r="P63" s="2" t="s">
        <v>272</v>
      </c>
      <c r="Q63" s="2" t="s">
        <v>239</v>
      </c>
      <c r="R63" s="2" t="s">
        <v>233</v>
      </c>
      <c r="S63" s="2" t="s">
        <v>533</v>
      </c>
      <c r="T63" s="2" t="s">
        <v>395</v>
      </c>
      <c r="U63" s="2" t="s">
        <v>233</v>
      </c>
      <c r="V63" s="2" t="s">
        <v>241</v>
      </c>
      <c r="W63" s="2" t="s">
        <v>275</v>
      </c>
      <c r="X63" s="2" t="s">
        <v>233</v>
      </c>
      <c r="Y63" s="2" t="s">
        <v>276</v>
      </c>
      <c r="Z63" s="4">
        <v>139</v>
      </c>
      <c r="AA63" s="4">
        <f>=ROUNDDOWN(27.8,0)</f>
      </c>
      <c r="AB63" s="5">
        <v>5</v>
      </c>
      <c r="AC63" s="2" t="s">
        <v>319</v>
      </c>
      <c r="AD63" s="4">
        <v>50</v>
      </c>
      <c r="AE63" s="4">
        <v>50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233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233</v>
      </c>
      <c r="AW63" s="8" t="s">
        <v>233</v>
      </c>
      <c r="AX63" s="4" t="s">
        <v>233</v>
      </c>
      <c r="AY63" s="8" t="s">
        <v>233</v>
      </c>
      <c r="AZ63" s="7" t="s">
        <v>233</v>
      </c>
      <c r="BA63" s="7" t="s">
        <v>233</v>
      </c>
      <c r="BB63" s="7"/>
      <c r="BC63" s="4" t="s">
        <v>233</v>
      </c>
      <c r="BD63" s="8" t="s">
        <v>233</v>
      </c>
      <c r="BE63" s="4" t="s">
        <v>233</v>
      </c>
      <c r="BF63" s="8" t="s">
        <v>233</v>
      </c>
      <c r="BG63" s="7" t="s">
        <v>233</v>
      </c>
      <c r="BH63" s="7" t="s">
        <v>233</v>
      </c>
      <c r="BI63" s="7"/>
      <c r="BJ63" s="4">
        <v>17</v>
      </c>
      <c r="BK63" s="8">
        <v>234.96</v>
      </c>
      <c r="BL63" s="2" t="s">
        <v>534</v>
      </c>
      <c r="BM63" s="7"/>
      <c r="BN63" s="7"/>
      <c r="BO63" s="4"/>
      <c r="BP63" s="8"/>
      <c r="BQ63" s="4"/>
      <c r="BR63" s="8"/>
      <c r="BS63" s="7"/>
      <c r="BT63" s="7"/>
      <c r="BU63" s="2" t="s">
        <v>535</v>
      </c>
      <c r="BV63" s="2" t="s">
        <v>233</v>
      </c>
      <c r="BW63" s="2" t="s">
        <v>233</v>
      </c>
      <c r="BX63" s="2" t="s">
        <v>233</v>
      </c>
      <c r="BY63" s="2" t="s">
        <v>280</v>
      </c>
      <c r="BZ63" s="2" t="s">
        <v>245</v>
      </c>
      <c r="CA63" s="2" t="s">
        <v>281</v>
      </c>
      <c r="CB63" s="2" t="s">
        <v>536</v>
      </c>
      <c r="CC63" s="2" t="s">
        <v>246</v>
      </c>
      <c r="CD63" s="2" t="s">
        <v>233</v>
      </c>
      <c r="CE63" s="4">
        <v>139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>
        <v>50</v>
      </c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</row>
    <row r="64">
      <c r="A64" s="2" t="s">
        <v>537</v>
      </c>
      <c r="B64" s="2" t="s">
        <v>333</v>
      </c>
      <c r="C64" s="2" t="s">
        <v>530</v>
      </c>
      <c r="D64" s="2" t="s">
        <v>335</v>
      </c>
      <c r="E64" s="2" t="s">
        <v>336</v>
      </c>
      <c r="F64" s="2" t="s">
        <v>531</v>
      </c>
      <c r="G64" s="2" t="s">
        <v>531</v>
      </c>
      <c r="H64" s="2" t="s">
        <v>531</v>
      </c>
      <c r="I64" s="2" t="s">
        <v>532</v>
      </c>
      <c r="J64" s="2" t="s">
        <v>284</v>
      </c>
      <c r="K64" s="2" t="s">
        <v>271</v>
      </c>
      <c r="L64" s="3">
        <v>15.19</v>
      </c>
      <c r="M64" s="3">
        <v>15.95</v>
      </c>
      <c r="N64" s="3">
        <v>30.99</v>
      </c>
      <c r="O64" s="2" t="s">
        <v>245</v>
      </c>
      <c r="P64" s="2" t="s">
        <v>272</v>
      </c>
      <c r="Q64" s="2" t="s">
        <v>239</v>
      </c>
      <c r="R64" s="2" t="s">
        <v>233</v>
      </c>
      <c r="S64" s="2" t="s">
        <v>533</v>
      </c>
      <c r="T64" s="2" t="s">
        <v>395</v>
      </c>
      <c r="U64" s="2" t="s">
        <v>233</v>
      </c>
      <c r="V64" s="2" t="s">
        <v>241</v>
      </c>
      <c r="W64" s="2" t="s">
        <v>275</v>
      </c>
      <c r="X64" s="2" t="s">
        <v>233</v>
      </c>
      <c r="Y64" s="2" t="s">
        <v>276</v>
      </c>
      <c r="Z64" s="4">
        <v>158</v>
      </c>
      <c r="AA64" s="4">
        <f>=ROUNDDOWN(39.5,0)</f>
      </c>
      <c r="AB64" s="5">
        <v>4</v>
      </c>
      <c r="AC64" s="2" t="s">
        <v>319</v>
      </c>
      <c r="AD64" s="4">
        <v>20</v>
      </c>
      <c r="AE64" s="4">
        <v>220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233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233</v>
      </c>
      <c r="AW64" s="8" t="s">
        <v>233</v>
      </c>
      <c r="AX64" s="4" t="s">
        <v>233</v>
      </c>
      <c r="AY64" s="8" t="s">
        <v>233</v>
      </c>
      <c r="AZ64" s="7" t="s">
        <v>233</v>
      </c>
      <c r="BA64" s="7" t="s">
        <v>233</v>
      </c>
      <c r="BB64" s="7"/>
      <c r="BC64" s="4" t="s">
        <v>233</v>
      </c>
      <c r="BD64" s="8" t="s">
        <v>233</v>
      </c>
      <c r="BE64" s="4" t="s">
        <v>233</v>
      </c>
      <c r="BF64" s="8" t="s">
        <v>233</v>
      </c>
      <c r="BG64" s="7" t="s">
        <v>233</v>
      </c>
      <c r="BH64" s="7" t="s">
        <v>233</v>
      </c>
      <c r="BI64" s="7"/>
      <c r="BJ64" s="4">
        <v>18</v>
      </c>
      <c r="BK64" s="8">
        <v>269.55</v>
      </c>
      <c r="BL64" s="2" t="s">
        <v>538</v>
      </c>
      <c r="BM64" s="7"/>
      <c r="BN64" s="7"/>
      <c r="BO64" s="4"/>
      <c r="BP64" s="8"/>
      <c r="BQ64" s="4"/>
      <c r="BR64" s="8"/>
      <c r="BS64" s="7"/>
      <c r="BT64" s="7"/>
      <c r="BU64" s="2" t="s">
        <v>539</v>
      </c>
      <c r="BV64" s="2" t="s">
        <v>233</v>
      </c>
      <c r="BW64" s="2" t="s">
        <v>233</v>
      </c>
      <c r="BX64" s="2" t="s">
        <v>233</v>
      </c>
      <c r="BY64" s="2" t="s">
        <v>280</v>
      </c>
      <c r="BZ64" s="2" t="s">
        <v>245</v>
      </c>
      <c r="CA64" s="2" t="s">
        <v>281</v>
      </c>
      <c r="CB64" s="2" t="s">
        <v>540</v>
      </c>
      <c r="CC64" s="2" t="s">
        <v>246</v>
      </c>
      <c r="CD64" s="2" t="s">
        <v>233</v>
      </c>
      <c r="CE64" s="4">
        <v>158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>
        <v>20</v>
      </c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>
        <v>100</v>
      </c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>
        <v>70</v>
      </c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>
        <v>30</v>
      </c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</row>
    <row r="65">
      <c r="A65" s="2" t="s">
        <v>541</v>
      </c>
      <c r="B65" s="2" t="s">
        <v>333</v>
      </c>
      <c r="C65" s="2" t="s">
        <v>530</v>
      </c>
      <c r="D65" s="2" t="s">
        <v>335</v>
      </c>
      <c r="E65" s="2" t="s">
        <v>336</v>
      </c>
      <c r="F65" s="2" t="s">
        <v>531</v>
      </c>
      <c r="G65" s="2" t="s">
        <v>531</v>
      </c>
      <c r="H65" s="2" t="s">
        <v>531</v>
      </c>
      <c r="I65" s="2" t="s">
        <v>532</v>
      </c>
      <c r="J65" s="2" t="s">
        <v>290</v>
      </c>
      <c r="K65" s="2" t="s">
        <v>271</v>
      </c>
      <c r="L65" s="3">
        <v>16.5</v>
      </c>
      <c r="M65" s="3">
        <v>17.32</v>
      </c>
      <c r="N65" s="3">
        <v>32.99</v>
      </c>
      <c r="O65" s="2" t="s">
        <v>245</v>
      </c>
      <c r="P65" s="2" t="s">
        <v>272</v>
      </c>
      <c r="Q65" s="2" t="s">
        <v>239</v>
      </c>
      <c r="R65" s="2" t="s">
        <v>233</v>
      </c>
      <c r="S65" s="2" t="s">
        <v>533</v>
      </c>
      <c r="T65" s="2" t="s">
        <v>395</v>
      </c>
      <c r="U65" s="2" t="s">
        <v>233</v>
      </c>
      <c r="V65" s="2" t="s">
        <v>241</v>
      </c>
      <c r="W65" s="2" t="s">
        <v>275</v>
      </c>
      <c r="X65" s="2" t="s">
        <v>233</v>
      </c>
      <c r="Y65" s="2" t="s">
        <v>276</v>
      </c>
      <c r="Z65" s="4">
        <v>189</v>
      </c>
      <c r="AA65" s="4">
        <f>=ROUNDDOWN(21,0)</f>
      </c>
      <c r="AB65" s="5">
        <v>9</v>
      </c>
      <c r="AC65" s="2" t="s">
        <v>319</v>
      </c>
      <c r="AD65" s="4">
        <v>80</v>
      </c>
      <c r="AE65" s="4">
        <v>130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233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233</v>
      </c>
      <c r="AW65" s="8" t="s">
        <v>233</v>
      </c>
      <c r="AX65" s="4" t="s">
        <v>233</v>
      </c>
      <c r="AY65" s="8" t="s">
        <v>233</v>
      </c>
      <c r="AZ65" s="7" t="s">
        <v>233</v>
      </c>
      <c r="BA65" s="7" t="s">
        <v>233</v>
      </c>
      <c r="BB65" s="7"/>
      <c r="BC65" s="4" t="s">
        <v>233</v>
      </c>
      <c r="BD65" s="8" t="s">
        <v>233</v>
      </c>
      <c r="BE65" s="4" t="s">
        <v>233</v>
      </c>
      <c r="BF65" s="8" t="s">
        <v>233</v>
      </c>
      <c r="BG65" s="7" t="s">
        <v>233</v>
      </c>
      <c r="BH65" s="7" t="s">
        <v>233</v>
      </c>
      <c r="BI65" s="7"/>
      <c r="BJ65" s="4">
        <v>19</v>
      </c>
      <c r="BK65" s="8">
        <v>321.49</v>
      </c>
      <c r="BL65" s="2" t="s">
        <v>542</v>
      </c>
      <c r="BM65" s="7"/>
      <c r="BN65" s="7"/>
      <c r="BO65" s="4"/>
      <c r="BP65" s="8"/>
      <c r="BQ65" s="4"/>
      <c r="BR65" s="8"/>
      <c r="BS65" s="7"/>
      <c r="BT65" s="7"/>
      <c r="BU65" s="2" t="s">
        <v>543</v>
      </c>
      <c r="BV65" s="2" t="s">
        <v>233</v>
      </c>
      <c r="BW65" s="2" t="s">
        <v>233</v>
      </c>
      <c r="BX65" s="2" t="s">
        <v>233</v>
      </c>
      <c r="BY65" s="2" t="s">
        <v>280</v>
      </c>
      <c r="BZ65" s="2" t="s">
        <v>245</v>
      </c>
      <c r="CA65" s="2" t="s">
        <v>281</v>
      </c>
      <c r="CB65" s="2" t="s">
        <v>544</v>
      </c>
      <c r="CC65" s="2" t="s">
        <v>246</v>
      </c>
      <c r="CD65" s="2" t="s">
        <v>233</v>
      </c>
      <c r="CE65" s="4">
        <v>189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>
        <v>80</v>
      </c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>
        <v>30</v>
      </c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>
        <v>20</v>
      </c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</row>
    <row r="66">
      <c r="A66" s="2" t="s">
        <v>545</v>
      </c>
      <c r="B66" s="2" t="s">
        <v>333</v>
      </c>
      <c r="C66" s="2" t="s">
        <v>530</v>
      </c>
      <c r="D66" s="2" t="s">
        <v>335</v>
      </c>
      <c r="E66" s="2" t="s">
        <v>336</v>
      </c>
      <c r="F66" s="2" t="s">
        <v>531</v>
      </c>
      <c r="G66" s="2" t="s">
        <v>531</v>
      </c>
      <c r="H66" s="2" t="s">
        <v>531</v>
      </c>
      <c r="I66" s="2" t="s">
        <v>532</v>
      </c>
      <c r="J66" s="2" t="s">
        <v>546</v>
      </c>
      <c r="K66" s="2" t="s">
        <v>271</v>
      </c>
      <c r="L66" s="3">
        <v>21.5</v>
      </c>
      <c r="M66" s="3">
        <v>22.58</v>
      </c>
      <c r="N66" s="3">
        <v>42.99</v>
      </c>
      <c r="O66" s="2" t="s">
        <v>245</v>
      </c>
      <c r="P66" s="2" t="s">
        <v>272</v>
      </c>
      <c r="Q66" s="2" t="s">
        <v>239</v>
      </c>
      <c r="R66" s="2" t="s">
        <v>233</v>
      </c>
      <c r="S66" s="2" t="s">
        <v>533</v>
      </c>
      <c r="T66" s="2" t="s">
        <v>395</v>
      </c>
      <c r="U66" s="2" t="s">
        <v>233</v>
      </c>
      <c r="V66" s="2" t="s">
        <v>241</v>
      </c>
      <c r="W66" s="2" t="s">
        <v>275</v>
      </c>
      <c r="X66" s="2" t="s">
        <v>233</v>
      </c>
      <c r="Y66" s="2" t="s">
        <v>276</v>
      </c>
      <c r="Z66" s="4">
        <v>114</v>
      </c>
      <c r="AA66" s="4">
        <f>=ROUNDDOWN(19,0)</f>
      </c>
      <c r="AB66" s="5">
        <v>6</v>
      </c>
      <c r="AC66" s="2" t="s">
        <v>547</v>
      </c>
      <c r="AD66" s="4">
        <v>30</v>
      </c>
      <c r="AE66" s="4">
        <v>110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233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233</v>
      </c>
      <c r="AW66" s="8" t="s">
        <v>233</v>
      </c>
      <c r="AX66" s="4" t="s">
        <v>233</v>
      </c>
      <c r="AY66" s="8" t="s">
        <v>233</v>
      </c>
      <c r="AZ66" s="7" t="s">
        <v>233</v>
      </c>
      <c r="BA66" s="7" t="s">
        <v>233</v>
      </c>
      <c r="BB66" s="7"/>
      <c r="BC66" s="4" t="s">
        <v>233</v>
      </c>
      <c r="BD66" s="8" t="s">
        <v>233</v>
      </c>
      <c r="BE66" s="4" t="s">
        <v>233</v>
      </c>
      <c r="BF66" s="8" t="s">
        <v>233</v>
      </c>
      <c r="BG66" s="7" t="s">
        <v>233</v>
      </c>
      <c r="BH66" s="7" t="s">
        <v>233</v>
      </c>
      <c r="BI66" s="7"/>
      <c r="BJ66" s="4">
        <v>13</v>
      </c>
      <c r="BK66" s="8">
        <v>297.66</v>
      </c>
      <c r="BL66" s="2" t="s">
        <v>548</v>
      </c>
      <c r="BM66" s="7"/>
      <c r="BN66" s="7"/>
      <c r="BO66" s="4"/>
      <c r="BP66" s="8"/>
      <c r="BQ66" s="4"/>
      <c r="BR66" s="8"/>
      <c r="BS66" s="7"/>
      <c r="BT66" s="7"/>
      <c r="BU66" s="2" t="s">
        <v>549</v>
      </c>
      <c r="BV66" s="2" t="s">
        <v>233</v>
      </c>
      <c r="BW66" s="2" t="s">
        <v>233</v>
      </c>
      <c r="BX66" s="2" t="s">
        <v>233</v>
      </c>
      <c r="BY66" s="2" t="s">
        <v>280</v>
      </c>
      <c r="BZ66" s="2" t="s">
        <v>245</v>
      </c>
      <c r="CA66" s="2" t="s">
        <v>281</v>
      </c>
      <c r="CB66" s="2" t="s">
        <v>550</v>
      </c>
      <c r="CC66" s="2" t="s">
        <v>246</v>
      </c>
      <c r="CD66" s="2" t="s">
        <v>233</v>
      </c>
      <c r="CE66" s="4">
        <v>114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>
        <v>30</v>
      </c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>
        <v>40</v>
      </c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>
        <v>40</v>
      </c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</row>
    <row r="67">
      <c r="A67" s="2" t="s">
        <v>551</v>
      </c>
      <c r="B67" s="2" t="s">
        <v>333</v>
      </c>
      <c r="C67" s="2" t="s">
        <v>530</v>
      </c>
      <c r="D67" s="2" t="s">
        <v>335</v>
      </c>
      <c r="E67" s="2" t="s">
        <v>336</v>
      </c>
      <c r="F67" s="2" t="s">
        <v>531</v>
      </c>
      <c r="G67" s="2" t="s">
        <v>531</v>
      </c>
      <c r="H67" s="2" t="s">
        <v>531</v>
      </c>
      <c r="I67" s="2" t="s">
        <v>532</v>
      </c>
      <c r="J67" s="2" t="s">
        <v>284</v>
      </c>
      <c r="K67" s="2" t="s">
        <v>552</v>
      </c>
      <c r="L67" s="3">
        <v>15.19</v>
      </c>
      <c r="M67" s="3">
        <v>15.95</v>
      </c>
      <c r="N67" s="3">
        <v>30.99</v>
      </c>
      <c r="O67" s="2" t="s">
        <v>245</v>
      </c>
      <c r="P67" s="2" t="s">
        <v>272</v>
      </c>
      <c r="Q67" s="2" t="s">
        <v>239</v>
      </c>
      <c r="R67" s="2" t="s">
        <v>233</v>
      </c>
      <c r="S67" s="2" t="s">
        <v>553</v>
      </c>
      <c r="T67" s="2" t="s">
        <v>395</v>
      </c>
      <c r="U67" s="2" t="s">
        <v>233</v>
      </c>
      <c r="V67" s="2" t="s">
        <v>241</v>
      </c>
      <c r="W67" s="2" t="s">
        <v>275</v>
      </c>
      <c r="X67" s="2" t="s">
        <v>233</v>
      </c>
      <c r="Y67" s="2" t="s">
        <v>554</v>
      </c>
      <c r="Z67" s="4">
        <v>145</v>
      </c>
      <c r="AA67" s="4">
        <f>=ROUNDDOWN(36.25,0)</f>
      </c>
      <c r="AB67" s="5">
        <v>4</v>
      </c>
      <c r="AC67" s="2" t="s">
        <v>319</v>
      </c>
      <c r="AD67" s="4">
        <v>140</v>
      </c>
      <c r="AE67" s="4">
        <v>300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233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/>
      <c r="AW67" s="8"/>
      <c r="AX67" s="4"/>
      <c r="AY67" s="8"/>
      <c r="AZ67" s="7"/>
      <c r="BA67" s="7"/>
      <c r="BB67" s="7"/>
      <c r="BC67" s="4" t="s">
        <v>233</v>
      </c>
      <c r="BD67" s="8" t="s">
        <v>233</v>
      </c>
      <c r="BE67" s="4" t="s">
        <v>233</v>
      </c>
      <c r="BF67" s="8" t="s">
        <v>233</v>
      </c>
      <c r="BG67" s="7" t="s">
        <v>233</v>
      </c>
      <c r="BH67" s="7" t="s">
        <v>233</v>
      </c>
      <c r="BI67" s="7"/>
      <c r="BJ67" s="4">
        <v>11</v>
      </c>
      <c r="BK67" s="8">
        <v>173.75</v>
      </c>
      <c r="BL67" s="2" t="s">
        <v>555</v>
      </c>
      <c r="BM67" s="7"/>
      <c r="BN67" s="7"/>
      <c r="BO67" s="4"/>
      <c r="BP67" s="8"/>
      <c r="BQ67" s="4"/>
      <c r="BR67" s="8"/>
      <c r="BS67" s="7"/>
      <c r="BT67" s="7"/>
      <c r="BU67" s="2" t="s">
        <v>556</v>
      </c>
      <c r="BV67" s="2" t="s">
        <v>233</v>
      </c>
      <c r="BW67" s="2" t="s">
        <v>233</v>
      </c>
      <c r="BX67" s="2" t="s">
        <v>233</v>
      </c>
      <c r="BY67" s="2" t="s">
        <v>280</v>
      </c>
      <c r="BZ67" s="2" t="s">
        <v>245</v>
      </c>
      <c r="CA67" s="2" t="s">
        <v>557</v>
      </c>
      <c r="CB67" s="2" t="s">
        <v>558</v>
      </c>
      <c r="CC67" s="2" t="s">
        <v>246</v>
      </c>
      <c r="CD67" s="2" t="s">
        <v>233</v>
      </c>
      <c r="CE67" s="4">
        <v>105</v>
      </c>
      <c r="CF67" s="4"/>
      <c r="CG67" s="4"/>
      <c r="CH67" s="4"/>
      <c r="CI67" s="4"/>
      <c r="CJ67" s="4"/>
      <c r="CK67" s="4"/>
      <c r="CL67" s="4">
        <v>40</v>
      </c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>
        <v>140</v>
      </c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>
        <v>30</v>
      </c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>
        <v>60</v>
      </c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>
        <v>70</v>
      </c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</row>
    <row r="68">
      <c r="A68" s="2" t="s">
        <v>559</v>
      </c>
      <c r="B68" s="2" t="s">
        <v>333</v>
      </c>
      <c r="C68" s="2" t="s">
        <v>530</v>
      </c>
      <c r="D68" s="2" t="s">
        <v>335</v>
      </c>
      <c r="E68" s="2" t="s">
        <v>336</v>
      </c>
      <c r="F68" s="2" t="s">
        <v>531</v>
      </c>
      <c r="G68" s="2" t="s">
        <v>531</v>
      </c>
      <c r="H68" s="2" t="s">
        <v>531</v>
      </c>
      <c r="I68" s="2" t="s">
        <v>532</v>
      </c>
      <c r="J68" s="2" t="s">
        <v>270</v>
      </c>
      <c r="K68" s="2" t="s">
        <v>255</v>
      </c>
      <c r="L68" s="3">
        <v>13.44</v>
      </c>
      <c r="M68" s="3">
        <v>14.11</v>
      </c>
      <c r="N68" s="3">
        <v>27.99</v>
      </c>
      <c r="O68" s="2" t="s">
        <v>245</v>
      </c>
      <c r="P68" s="2" t="s">
        <v>272</v>
      </c>
      <c r="Q68" s="2" t="s">
        <v>239</v>
      </c>
      <c r="R68" s="2" t="s">
        <v>233</v>
      </c>
      <c r="S68" s="2" t="s">
        <v>560</v>
      </c>
      <c r="T68" s="2" t="s">
        <v>395</v>
      </c>
      <c r="U68" s="2" t="s">
        <v>233</v>
      </c>
      <c r="V68" s="2" t="s">
        <v>241</v>
      </c>
      <c r="W68" s="2" t="s">
        <v>275</v>
      </c>
      <c r="X68" s="2" t="s">
        <v>233</v>
      </c>
      <c r="Y68" s="2" t="s">
        <v>276</v>
      </c>
      <c r="Z68" s="4">
        <v>91</v>
      </c>
      <c r="AA68" s="4">
        <f>=ROUNDDOWN(22.75,0)</f>
      </c>
      <c r="AB68" s="5">
        <v>4</v>
      </c>
      <c r="AC68" s="2" t="s">
        <v>547</v>
      </c>
      <c r="AD68" s="4">
        <v>20</v>
      </c>
      <c r="AE68" s="4">
        <v>40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233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233</v>
      </c>
      <c r="AW68" s="8" t="s">
        <v>233</v>
      </c>
      <c r="AX68" s="4" t="s">
        <v>233</v>
      </c>
      <c r="AY68" s="8" t="s">
        <v>233</v>
      </c>
      <c r="AZ68" s="7" t="s">
        <v>233</v>
      </c>
      <c r="BA68" s="7" t="s">
        <v>233</v>
      </c>
      <c r="BB68" s="7"/>
      <c r="BC68" s="4" t="s">
        <v>233</v>
      </c>
      <c r="BD68" s="8" t="s">
        <v>233</v>
      </c>
      <c r="BE68" s="4" t="s">
        <v>233</v>
      </c>
      <c r="BF68" s="8" t="s">
        <v>233</v>
      </c>
      <c r="BG68" s="7" t="s">
        <v>233</v>
      </c>
      <c r="BH68" s="7" t="s">
        <v>233</v>
      </c>
      <c r="BI68" s="7"/>
      <c r="BJ68" s="4">
        <v>14</v>
      </c>
      <c r="BK68" s="8">
        <v>201.3</v>
      </c>
      <c r="BL68" s="2" t="s">
        <v>561</v>
      </c>
      <c r="BM68" s="7"/>
      <c r="BN68" s="7"/>
      <c r="BO68" s="4"/>
      <c r="BP68" s="8"/>
      <c r="BQ68" s="4"/>
      <c r="BR68" s="8"/>
      <c r="BS68" s="7"/>
      <c r="BT68" s="7"/>
      <c r="BU68" s="2" t="s">
        <v>562</v>
      </c>
      <c r="BV68" s="2" t="s">
        <v>233</v>
      </c>
      <c r="BW68" s="2" t="s">
        <v>233</v>
      </c>
      <c r="BX68" s="2" t="s">
        <v>233</v>
      </c>
      <c r="BY68" s="2" t="s">
        <v>280</v>
      </c>
      <c r="BZ68" s="2" t="s">
        <v>245</v>
      </c>
      <c r="CA68" s="2" t="s">
        <v>281</v>
      </c>
      <c r="CB68" s="2" t="s">
        <v>563</v>
      </c>
      <c r="CC68" s="2" t="s">
        <v>246</v>
      </c>
      <c r="CD68" s="2" t="s">
        <v>233</v>
      </c>
      <c r="CE68" s="4">
        <v>91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>
        <v>20</v>
      </c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>
        <v>20</v>
      </c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</row>
    <row r="69">
      <c r="A69" s="2" t="s">
        <v>564</v>
      </c>
      <c r="B69" s="2" t="s">
        <v>333</v>
      </c>
      <c r="C69" s="2" t="s">
        <v>530</v>
      </c>
      <c r="D69" s="2" t="s">
        <v>335</v>
      </c>
      <c r="E69" s="2" t="s">
        <v>336</v>
      </c>
      <c r="F69" s="2" t="s">
        <v>531</v>
      </c>
      <c r="G69" s="2" t="s">
        <v>531</v>
      </c>
      <c r="H69" s="2" t="s">
        <v>531</v>
      </c>
      <c r="I69" s="2" t="s">
        <v>532</v>
      </c>
      <c r="J69" s="2" t="s">
        <v>546</v>
      </c>
      <c r="K69" s="2" t="s">
        <v>255</v>
      </c>
      <c r="L69" s="3">
        <v>21.5</v>
      </c>
      <c r="M69" s="3">
        <v>22.58</v>
      </c>
      <c r="N69" s="3">
        <v>42.99</v>
      </c>
      <c r="O69" s="2" t="s">
        <v>245</v>
      </c>
      <c r="P69" s="2" t="s">
        <v>272</v>
      </c>
      <c r="Q69" s="2" t="s">
        <v>239</v>
      </c>
      <c r="R69" s="2" t="s">
        <v>233</v>
      </c>
      <c r="S69" s="2" t="s">
        <v>560</v>
      </c>
      <c r="T69" s="2" t="s">
        <v>395</v>
      </c>
      <c r="U69" s="2" t="s">
        <v>233</v>
      </c>
      <c r="V69" s="2" t="s">
        <v>241</v>
      </c>
      <c r="W69" s="2" t="s">
        <v>275</v>
      </c>
      <c r="X69" s="2" t="s">
        <v>233</v>
      </c>
      <c r="Y69" s="2" t="s">
        <v>276</v>
      </c>
      <c r="Z69" s="4">
        <v>55</v>
      </c>
      <c r="AA69" s="4">
        <f>=ROUNDDOWN(9.16666666666667,0)</f>
      </c>
      <c r="AB69" s="5">
        <v>6</v>
      </c>
      <c r="AC69" s="2" t="s">
        <v>319</v>
      </c>
      <c r="AD69" s="4">
        <v>30</v>
      </c>
      <c r="AE69" s="4">
        <v>170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233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233</v>
      </c>
      <c r="AW69" s="8" t="s">
        <v>233</v>
      </c>
      <c r="AX69" s="4" t="s">
        <v>233</v>
      </c>
      <c r="AY69" s="8" t="s">
        <v>233</v>
      </c>
      <c r="AZ69" s="7" t="s">
        <v>233</v>
      </c>
      <c r="BA69" s="7" t="s">
        <v>233</v>
      </c>
      <c r="BB69" s="7"/>
      <c r="BC69" s="4" t="s">
        <v>233</v>
      </c>
      <c r="BD69" s="8" t="s">
        <v>233</v>
      </c>
      <c r="BE69" s="4" t="s">
        <v>233</v>
      </c>
      <c r="BF69" s="8" t="s">
        <v>233</v>
      </c>
      <c r="BG69" s="7" t="s">
        <v>233</v>
      </c>
      <c r="BH69" s="7" t="s">
        <v>233</v>
      </c>
      <c r="BI69" s="7"/>
      <c r="BJ69" s="4">
        <v>18</v>
      </c>
      <c r="BK69" s="8">
        <v>413.67</v>
      </c>
      <c r="BL69" s="2" t="s">
        <v>565</v>
      </c>
      <c r="BM69" s="7"/>
      <c r="BN69" s="7"/>
      <c r="BO69" s="4"/>
      <c r="BP69" s="8"/>
      <c r="BQ69" s="4"/>
      <c r="BR69" s="8"/>
      <c r="BS69" s="7"/>
      <c r="BT69" s="7"/>
      <c r="BU69" s="2" t="s">
        <v>566</v>
      </c>
      <c r="BV69" s="2" t="s">
        <v>233</v>
      </c>
      <c r="BW69" s="2" t="s">
        <v>233</v>
      </c>
      <c r="BX69" s="2" t="s">
        <v>233</v>
      </c>
      <c r="BY69" s="2" t="s">
        <v>280</v>
      </c>
      <c r="BZ69" s="2" t="s">
        <v>245</v>
      </c>
      <c r="CA69" s="2" t="s">
        <v>281</v>
      </c>
      <c r="CB69" s="2" t="s">
        <v>567</v>
      </c>
      <c r="CC69" s="2" t="s">
        <v>246</v>
      </c>
      <c r="CD69" s="2" t="s">
        <v>233</v>
      </c>
      <c r="CE69" s="4">
        <v>55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>
        <v>30</v>
      </c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>
        <v>30</v>
      </c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>
        <v>40</v>
      </c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>
        <v>70</v>
      </c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</row>
    <row r="70">
      <c r="A70" s="2" t="s">
        <v>568</v>
      </c>
      <c r="B70" s="2" t="s">
        <v>333</v>
      </c>
      <c r="C70" s="2" t="s">
        <v>530</v>
      </c>
      <c r="D70" s="2" t="s">
        <v>335</v>
      </c>
      <c r="E70" s="2" t="s">
        <v>336</v>
      </c>
      <c r="F70" s="2" t="s">
        <v>531</v>
      </c>
      <c r="G70" s="2" t="s">
        <v>531</v>
      </c>
      <c r="H70" s="2" t="s">
        <v>531</v>
      </c>
      <c r="I70" s="2" t="s">
        <v>532</v>
      </c>
      <c r="J70" s="2" t="s">
        <v>270</v>
      </c>
      <c r="K70" s="2" t="s">
        <v>569</v>
      </c>
      <c r="L70" s="3">
        <v>13.44</v>
      </c>
      <c r="M70" s="3">
        <v>14.11</v>
      </c>
      <c r="N70" s="3">
        <v>27.99</v>
      </c>
      <c r="O70" s="2" t="s">
        <v>245</v>
      </c>
      <c r="P70" s="2" t="s">
        <v>272</v>
      </c>
      <c r="Q70" s="2" t="s">
        <v>239</v>
      </c>
      <c r="R70" s="2" t="s">
        <v>233</v>
      </c>
      <c r="S70" s="2" t="s">
        <v>570</v>
      </c>
      <c r="T70" s="2" t="s">
        <v>395</v>
      </c>
      <c r="U70" s="2" t="s">
        <v>233</v>
      </c>
      <c r="V70" s="2" t="s">
        <v>241</v>
      </c>
      <c r="W70" s="2" t="s">
        <v>275</v>
      </c>
      <c r="X70" s="2" t="s">
        <v>233</v>
      </c>
      <c r="Y70" s="2" t="s">
        <v>276</v>
      </c>
      <c r="Z70" s="4">
        <v>121</v>
      </c>
      <c r="AA70" s="4">
        <f>=ROUNDDOWN(30.25,0)</f>
      </c>
      <c r="AB70" s="5">
        <v>4</v>
      </c>
      <c r="AC70" s="2" t="s">
        <v>547</v>
      </c>
      <c r="AD70" s="4">
        <v>50</v>
      </c>
      <c r="AE70" s="4">
        <v>50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233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233</v>
      </c>
      <c r="AW70" s="8" t="s">
        <v>233</v>
      </c>
      <c r="AX70" s="4" t="s">
        <v>233</v>
      </c>
      <c r="AY70" s="8" t="s">
        <v>233</v>
      </c>
      <c r="AZ70" s="7" t="s">
        <v>233</v>
      </c>
      <c r="BA70" s="7" t="s">
        <v>233</v>
      </c>
      <c r="BB70" s="7"/>
      <c r="BC70" s="4" t="s">
        <v>233</v>
      </c>
      <c r="BD70" s="8" t="s">
        <v>233</v>
      </c>
      <c r="BE70" s="4" t="s">
        <v>233</v>
      </c>
      <c r="BF70" s="8" t="s">
        <v>233</v>
      </c>
      <c r="BG70" s="7" t="s">
        <v>233</v>
      </c>
      <c r="BH70" s="7" t="s">
        <v>233</v>
      </c>
      <c r="BI70" s="7"/>
      <c r="BJ70" s="4">
        <v>12</v>
      </c>
      <c r="BK70" s="8">
        <v>177.82</v>
      </c>
      <c r="BL70" s="2" t="s">
        <v>300</v>
      </c>
      <c r="BM70" s="7"/>
      <c r="BN70" s="7"/>
      <c r="BO70" s="4"/>
      <c r="BP70" s="8"/>
      <c r="BQ70" s="4"/>
      <c r="BR70" s="8"/>
      <c r="BS70" s="7"/>
      <c r="BT70" s="7"/>
      <c r="BU70" s="2" t="s">
        <v>571</v>
      </c>
      <c r="BV70" s="2" t="s">
        <v>233</v>
      </c>
      <c r="BW70" s="2" t="s">
        <v>233</v>
      </c>
      <c r="BX70" s="2" t="s">
        <v>233</v>
      </c>
      <c r="BY70" s="2" t="s">
        <v>280</v>
      </c>
      <c r="BZ70" s="2" t="s">
        <v>245</v>
      </c>
      <c r="CA70" s="2" t="s">
        <v>281</v>
      </c>
      <c r="CB70" s="2" t="s">
        <v>572</v>
      </c>
      <c r="CC70" s="2" t="s">
        <v>246</v>
      </c>
      <c r="CD70" s="2" t="s">
        <v>233</v>
      </c>
      <c r="CE70" s="4">
        <v>121</v>
      </c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>
        <v>50</v>
      </c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</row>
    <row r="71">
      <c r="A71" s="2" t="s">
        <v>573</v>
      </c>
      <c r="B71" s="2" t="s">
        <v>333</v>
      </c>
      <c r="C71" s="2" t="s">
        <v>530</v>
      </c>
      <c r="D71" s="2" t="s">
        <v>335</v>
      </c>
      <c r="E71" s="2" t="s">
        <v>336</v>
      </c>
      <c r="F71" s="2" t="s">
        <v>531</v>
      </c>
      <c r="G71" s="2" t="s">
        <v>531</v>
      </c>
      <c r="H71" s="2" t="s">
        <v>531</v>
      </c>
      <c r="I71" s="2" t="s">
        <v>532</v>
      </c>
      <c r="J71" s="2" t="s">
        <v>284</v>
      </c>
      <c r="K71" s="2" t="s">
        <v>569</v>
      </c>
      <c r="L71" s="3">
        <v>15.19</v>
      </c>
      <c r="M71" s="3">
        <v>15.95</v>
      </c>
      <c r="N71" s="3">
        <v>30.99</v>
      </c>
      <c r="O71" s="2" t="s">
        <v>245</v>
      </c>
      <c r="P71" s="2" t="s">
        <v>272</v>
      </c>
      <c r="Q71" s="2" t="s">
        <v>239</v>
      </c>
      <c r="R71" s="2" t="s">
        <v>233</v>
      </c>
      <c r="S71" s="2" t="s">
        <v>570</v>
      </c>
      <c r="T71" s="2" t="s">
        <v>395</v>
      </c>
      <c r="U71" s="2" t="s">
        <v>233</v>
      </c>
      <c r="V71" s="2" t="s">
        <v>241</v>
      </c>
      <c r="W71" s="2" t="s">
        <v>275</v>
      </c>
      <c r="X71" s="2" t="s">
        <v>233</v>
      </c>
      <c r="Y71" s="2" t="s">
        <v>276</v>
      </c>
      <c r="Z71" s="4">
        <v>213</v>
      </c>
      <c r="AA71" s="4">
        <f>=ROUNDDOWN(42.6,0)</f>
      </c>
      <c r="AB71" s="5">
        <v>5</v>
      </c>
      <c r="AC71" s="2" t="s">
        <v>547</v>
      </c>
      <c r="AD71" s="4">
        <v>90</v>
      </c>
      <c r="AE71" s="4">
        <v>280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233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233</v>
      </c>
      <c r="AW71" s="8" t="s">
        <v>233</v>
      </c>
      <c r="AX71" s="4" t="s">
        <v>233</v>
      </c>
      <c r="AY71" s="8" t="s">
        <v>233</v>
      </c>
      <c r="AZ71" s="7" t="s">
        <v>233</v>
      </c>
      <c r="BA71" s="7" t="s">
        <v>233</v>
      </c>
      <c r="BB71" s="7"/>
      <c r="BC71" s="4" t="s">
        <v>233</v>
      </c>
      <c r="BD71" s="8" t="s">
        <v>233</v>
      </c>
      <c r="BE71" s="4" t="s">
        <v>233</v>
      </c>
      <c r="BF71" s="8" t="s">
        <v>233</v>
      </c>
      <c r="BG71" s="7" t="s">
        <v>233</v>
      </c>
      <c r="BH71" s="7" t="s">
        <v>233</v>
      </c>
      <c r="BI71" s="7"/>
      <c r="BJ71" s="4">
        <v>6</v>
      </c>
      <c r="BK71" s="8">
        <v>94.8</v>
      </c>
      <c r="BL71" s="2" t="s">
        <v>574</v>
      </c>
      <c r="BM71" s="7"/>
      <c r="BN71" s="7"/>
      <c r="BO71" s="4"/>
      <c r="BP71" s="8"/>
      <c r="BQ71" s="4"/>
      <c r="BR71" s="8"/>
      <c r="BS71" s="7"/>
      <c r="BT71" s="7"/>
      <c r="BU71" s="2" t="s">
        <v>575</v>
      </c>
      <c r="BV71" s="2" t="s">
        <v>233</v>
      </c>
      <c r="BW71" s="2" t="s">
        <v>233</v>
      </c>
      <c r="BX71" s="2" t="s">
        <v>233</v>
      </c>
      <c r="BY71" s="2" t="s">
        <v>280</v>
      </c>
      <c r="BZ71" s="2" t="s">
        <v>245</v>
      </c>
      <c r="CA71" s="2" t="s">
        <v>281</v>
      </c>
      <c r="CB71" s="2" t="s">
        <v>576</v>
      </c>
      <c r="CC71" s="2" t="s">
        <v>246</v>
      </c>
      <c r="CD71" s="2" t="s">
        <v>233</v>
      </c>
      <c r="CE71" s="4">
        <v>213</v>
      </c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>
        <v>90</v>
      </c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>
        <v>140</v>
      </c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>
        <v>50</v>
      </c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</row>
    <row r="72">
      <c r="A72" s="2" t="s">
        <v>577</v>
      </c>
      <c r="B72" s="2" t="s">
        <v>333</v>
      </c>
      <c r="C72" s="2" t="s">
        <v>530</v>
      </c>
      <c r="D72" s="2" t="s">
        <v>335</v>
      </c>
      <c r="E72" s="2" t="s">
        <v>336</v>
      </c>
      <c r="F72" s="2" t="s">
        <v>531</v>
      </c>
      <c r="G72" s="2" t="s">
        <v>531</v>
      </c>
      <c r="H72" s="2" t="s">
        <v>531</v>
      </c>
      <c r="I72" s="2" t="s">
        <v>532</v>
      </c>
      <c r="J72" s="2" t="s">
        <v>546</v>
      </c>
      <c r="K72" s="2" t="s">
        <v>569</v>
      </c>
      <c r="L72" s="3">
        <v>21.5</v>
      </c>
      <c r="M72" s="3">
        <v>22.58</v>
      </c>
      <c r="N72" s="3">
        <v>42.99</v>
      </c>
      <c r="O72" s="2" t="s">
        <v>245</v>
      </c>
      <c r="P72" s="2" t="s">
        <v>272</v>
      </c>
      <c r="Q72" s="2" t="s">
        <v>239</v>
      </c>
      <c r="R72" s="2" t="s">
        <v>233</v>
      </c>
      <c r="S72" s="2" t="s">
        <v>570</v>
      </c>
      <c r="T72" s="2" t="s">
        <v>395</v>
      </c>
      <c r="U72" s="2" t="s">
        <v>233</v>
      </c>
      <c r="V72" s="2" t="s">
        <v>241</v>
      </c>
      <c r="W72" s="2" t="s">
        <v>275</v>
      </c>
      <c r="X72" s="2" t="s">
        <v>233</v>
      </c>
      <c r="Y72" s="2" t="s">
        <v>276</v>
      </c>
      <c r="Z72" s="4">
        <v>12</v>
      </c>
      <c r="AA72" s="4">
        <f>=ROUNDDOWN(3,0)</f>
      </c>
      <c r="AB72" s="5">
        <v>4</v>
      </c>
      <c r="AC72" s="2" t="s">
        <v>547</v>
      </c>
      <c r="AD72" s="4">
        <v>30</v>
      </c>
      <c r="AE72" s="4">
        <v>95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233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233</v>
      </c>
      <c r="AW72" s="8" t="s">
        <v>233</v>
      </c>
      <c r="AX72" s="4" t="s">
        <v>233</v>
      </c>
      <c r="AY72" s="8" t="s">
        <v>233</v>
      </c>
      <c r="AZ72" s="7" t="s">
        <v>233</v>
      </c>
      <c r="BA72" s="7" t="s">
        <v>233</v>
      </c>
      <c r="BB72" s="7"/>
      <c r="BC72" s="4" t="s">
        <v>233</v>
      </c>
      <c r="BD72" s="8" t="s">
        <v>233</v>
      </c>
      <c r="BE72" s="4" t="s">
        <v>233</v>
      </c>
      <c r="BF72" s="8" t="s">
        <v>233</v>
      </c>
      <c r="BG72" s="7" t="s">
        <v>233</v>
      </c>
      <c r="BH72" s="7" t="s">
        <v>233</v>
      </c>
      <c r="BI72" s="7"/>
      <c r="BJ72" s="4">
        <v>12</v>
      </c>
      <c r="BK72" s="8">
        <v>272.45</v>
      </c>
      <c r="BL72" s="2" t="s">
        <v>578</v>
      </c>
      <c r="BM72" s="7"/>
      <c r="BN72" s="7"/>
      <c r="BO72" s="4"/>
      <c r="BP72" s="8"/>
      <c r="BQ72" s="4"/>
      <c r="BR72" s="8"/>
      <c r="BS72" s="7"/>
      <c r="BT72" s="7"/>
      <c r="BU72" s="2" t="s">
        <v>579</v>
      </c>
      <c r="BV72" s="2" t="s">
        <v>233</v>
      </c>
      <c r="BW72" s="2" t="s">
        <v>233</v>
      </c>
      <c r="BX72" s="2" t="s">
        <v>233</v>
      </c>
      <c r="BY72" s="2" t="s">
        <v>280</v>
      </c>
      <c r="BZ72" s="2" t="s">
        <v>245</v>
      </c>
      <c r="CA72" s="2" t="s">
        <v>281</v>
      </c>
      <c r="CB72" s="2" t="s">
        <v>580</v>
      </c>
      <c r="CC72" s="2" t="s">
        <v>246</v>
      </c>
      <c r="CD72" s="2" t="s">
        <v>233</v>
      </c>
      <c r="CE72" s="4">
        <v>12</v>
      </c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>
        <v>30</v>
      </c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>
        <v>65</v>
      </c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</row>
    <row r="73">
      <c r="A73" s="2" t="s">
        <v>581</v>
      </c>
      <c r="B73" s="2" t="s">
        <v>333</v>
      </c>
      <c r="C73" s="2" t="s">
        <v>530</v>
      </c>
      <c r="D73" s="2" t="s">
        <v>335</v>
      </c>
      <c r="E73" s="2" t="s">
        <v>336</v>
      </c>
      <c r="F73" s="2" t="s">
        <v>531</v>
      </c>
      <c r="G73" s="2" t="s">
        <v>531</v>
      </c>
      <c r="H73" s="2" t="s">
        <v>531</v>
      </c>
      <c r="I73" s="2" t="s">
        <v>532</v>
      </c>
      <c r="J73" s="2" t="s">
        <v>270</v>
      </c>
      <c r="K73" s="2" t="s">
        <v>582</v>
      </c>
      <c r="L73" s="3">
        <v>13.44</v>
      </c>
      <c r="M73" s="3">
        <v>14.11</v>
      </c>
      <c r="N73" s="3">
        <v>27.99</v>
      </c>
      <c r="O73" s="2" t="s">
        <v>245</v>
      </c>
      <c r="P73" s="2" t="s">
        <v>272</v>
      </c>
      <c r="Q73" s="2" t="s">
        <v>239</v>
      </c>
      <c r="R73" s="2" t="s">
        <v>233</v>
      </c>
      <c r="S73" s="2" t="s">
        <v>583</v>
      </c>
      <c r="T73" s="2" t="s">
        <v>395</v>
      </c>
      <c r="U73" s="2" t="s">
        <v>233</v>
      </c>
      <c r="V73" s="2" t="s">
        <v>241</v>
      </c>
      <c r="W73" s="2" t="s">
        <v>275</v>
      </c>
      <c r="X73" s="2" t="s">
        <v>233</v>
      </c>
      <c r="Y73" s="2" t="s">
        <v>276</v>
      </c>
      <c r="Z73" s="4">
        <v>111</v>
      </c>
      <c r="AA73" s="4">
        <f>=ROUNDDOWN(27.75,0)</f>
      </c>
      <c r="AB73" s="5">
        <v>4</v>
      </c>
      <c r="AC73" s="2" t="s">
        <v>547</v>
      </c>
      <c r="AD73" s="4">
        <v>20</v>
      </c>
      <c r="AE73" s="4">
        <v>40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233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233</v>
      </c>
      <c r="AW73" s="8" t="s">
        <v>233</v>
      </c>
      <c r="AX73" s="4" t="s">
        <v>233</v>
      </c>
      <c r="AY73" s="8" t="s">
        <v>233</v>
      </c>
      <c r="AZ73" s="7" t="s">
        <v>233</v>
      </c>
      <c r="BA73" s="7" t="s">
        <v>233</v>
      </c>
      <c r="BB73" s="7"/>
      <c r="BC73" s="4" t="s">
        <v>233</v>
      </c>
      <c r="BD73" s="8" t="s">
        <v>233</v>
      </c>
      <c r="BE73" s="4" t="s">
        <v>233</v>
      </c>
      <c r="BF73" s="8" t="s">
        <v>233</v>
      </c>
      <c r="BG73" s="7" t="s">
        <v>233</v>
      </c>
      <c r="BH73" s="7" t="s">
        <v>233</v>
      </c>
      <c r="BI73" s="7"/>
      <c r="BJ73" s="4">
        <v>7</v>
      </c>
      <c r="BK73" s="8">
        <v>88.74</v>
      </c>
      <c r="BL73" s="2" t="s">
        <v>584</v>
      </c>
      <c r="BM73" s="7"/>
      <c r="BN73" s="7"/>
      <c r="BO73" s="4"/>
      <c r="BP73" s="8"/>
      <c r="BQ73" s="4"/>
      <c r="BR73" s="8"/>
      <c r="BS73" s="7"/>
      <c r="BT73" s="7"/>
      <c r="BU73" s="2" t="s">
        <v>585</v>
      </c>
      <c r="BV73" s="2" t="s">
        <v>233</v>
      </c>
      <c r="BW73" s="2" t="s">
        <v>233</v>
      </c>
      <c r="BX73" s="2" t="s">
        <v>233</v>
      </c>
      <c r="BY73" s="2" t="s">
        <v>280</v>
      </c>
      <c r="BZ73" s="2" t="s">
        <v>245</v>
      </c>
      <c r="CA73" s="2" t="s">
        <v>281</v>
      </c>
      <c r="CB73" s="2" t="s">
        <v>586</v>
      </c>
      <c r="CC73" s="2" t="s">
        <v>246</v>
      </c>
      <c r="CD73" s="2" t="s">
        <v>233</v>
      </c>
      <c r="CE73" s="4">
        <v>111</v>
      </c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>
        <v>20</v>
      </c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>
        <v>20</v>
      </c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</row>
    <row r="74">
      <c r="A74" s="2" t="s">
        <v>587</v>
      </c>
      <c r="B74" s="2" t="s">
        <v>333</v>
      </c>
      <c r="C74" s="2" t="s">
        <v>530</v>
      </c>
      <c r="D74" s="2" t="s">
        <v>335</v>
      </c>
      <c r="E74" s="2" t="s">
        <v>336</v>
      </c>
      <c r="F74" s="2" t="s">
        <v>531</v>
      </c>
      <c r="G74" s="2" t="s">
        <v>531</v>
      </c>
      <c r="H74" s="2" t="s">
        <v>531</v>
      </c>
      <c r="I74" s="2" t="s">
        <v>532</v>
      </c>
      <c r="J74" s="2" t="s">
        <v>546</v>
      </c>
      <c r="K74" s="2" t="s">
        <v>582</v>
      </c>
      <c r="L74" s="3">
        <v>21.5</v>
      </c>
      <c r="M74" s="3">
        <v>22.58</v>
      </c>
      <c r="N74" s="3">
        <v>42.99</v>
      </c>
      <c r="O74" s="2" t="s">
        <v>245</v>
      </c>
      <c r="P74" s="2" t="s">
        <v>272</v>
      </c>
      <c r="Q74" s="2" t="s">
        <v>239</v>
      </c>
      <c r="R74" s="2" t="s">
        <v>233</v>
      </c>
      <c r="S74" s="2" t="s">
        <v>583</v>
      </c>
      <c r="T74" s="2" t="s">
        <v>395</v>
      </c>
      <c r="U74" s="2" t="s">
        <v>233</v>
      </c>
      <c r="V74" s="2" t="s">
        <v>241</v>
      </c>
      <c r="W74" s="2" t="s">
        <v>275</v>
      </c>
      <c r="X74" s="2" t="s">
        <v>233</v>
      </c>
      <c r="Y74" s="2" t="s">
        <v>276</v>
      </c>
      <c r="Z74" s="4">
        <v>18</v>
      </c>
      <c r="AA74" s="4">
        <f>=ROUNDDOWN(3.6,0)</f>
      </c>
      <c r="AB74" s="5">
        <v>5</v>
      </c>
      <c r="AC74" s="2" t="s">
        <v>547</v>
      </c>
      <c r="AD74" s="4">
        <v>40</v>
      </c>
      <c r="AE74" s="4">
        <v>125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233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233</v>
      </c>
      <c r="AW74" s="8" t="s">
        <v>233</v>
      </c>
      <c r="AX74" s="4" t="s">
        <v>233</v>
      </c>
      <c r="AY74" s="8" t="s">
        <v>233</v>
      </c>
      <c r="AZ74" s="7" t="s">
        <v>233</v>
      </c>
      <c r="BA74" s="7" t="s">
        <v>233</v>
      </c>
      <c r="BB74" s="7"/>
      <c r="BC74" s="4" t="s">
        <v>233</v>
      </c>
      <c r="BD74" s="8" t="s">
        <v>233</v>
      </c>
      <c r="BE74" s="4" t="s">
        <v>233</v>
      </c>
      <c r="BF74" s="8" t="s">
        <v>233</v>
      </c>
      <c r="BG74" s="7" t="s">
        <v>233</v>
      </c>
      <c r="BH74" s="7" t="s">
        <v>233</v>
      </c>
      <c r="BI74" s="7"/>
      <c r="BJ74" s="4">
        <v>18</v>
      </c>
      <c r="BK74" s="8">
        <v>387.51</v>
      </c>
      <c r="BL74" s="2" t="s">
        <v>320</v>
      </c>
      <c r="BM74" s="7"/>
      <c r="BN74" s="7"/>
      <c r="BO74" s="4"/>
      <c r="BP74" s="8"/>
      <c r="BQ74" s="4"/>
      <c r="BR74" s="8"/>
      <c r="BS74" s="7"/>
      <c r="BT74" s="7"/>
      <c r="BU74" s="2" t="s">
        <v>588</v>
      </c>
      <c r="BV74" s="2" t="s">
        <v>233</v>
      </c>
      <c r="BW74" s="2" t="s">
        <v>233</v>
      </c>
      <c r="BX74" s="2" t="s">
        <v>233</v>
      </c>
      <c r="BY74" s="2" t="s">
        <v>280</v>
      </c>
      <c r="BZ74" s="2" t="s">
        <v>245</v>
      </c>
      <c r="CA74" s="2" t="s">
        <v>281</v>
      </c>
      <c r="CB74" s="2" t="s">
        <v>536</v>
      </c>
      <c r="CC74" s="2" t="s">
        <v>246</v>
      </c>
      <c r="CD74" s="2" t="s">
        <v>233</v>
      </c>
      <c r="CE74" s="4">
        <v>18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>
        <v>40</v>
      </c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>
        <v>55</v>
      </c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>
        <v>30</v>
      </c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</row>
    <row r="75">
      <c r="A75" s="2" t="s">
        <v>589</v>
      </c>
      <c r="B75" s="2" t="s">
        <v>333</v>
      </c>
      <c r="C75" s="2" t="s">
        <v>530</v>
      </c>
      <c r="D75" s="2" t="s">
        <v>335</v>
      </c>
      <c r="E75" s="2" t="s">
        <v>336</v>
      </c>
      <c r="F75" s="2" t="s">
        <v>531</v>
      </c>
      <c r="G75" s="2" t="s">
        <v>531</v>
      </c>
      <c r="H75" s="2" t="s">
        <v>531</v>
      </c>
      <c r="I75" s="2" t="s">
        <v>532</v>
      </c>
      <c r="J75" s="2" t="s">
        <v>546</v>
      </c>
      <c r="K75" s="2" t="s">
        <v>590</v>
      </c>
      <c r="L75" s="3">
        <v>21.5</v>
      </c>
      <c r="M75" s="3">
        <v>22.58</v>
      </c>
      <c r="N75" s="3">
        <v>42.99</v>
      </c>
      <c r="O75" s="2" t="s">
        <v>237</v>
      </c>
      <c r="P75" s="2" t="s">
        <v>311</v>
      </c>
      <c r="Q75" s="2" t="s">
        <v>239</v>
      </c>
      <c r="R75" s="2" t="s">
        <v>233</v>
      </c>
      <c r="S75" s="2" t="s">
        <v>591</v>
      </c>
      <c r="T75" s="2" t="s">
        <v>395</v>
      </c>
      <c r="U75" s="2" t="s">
        <v>342</v>
      </c>
      <c r="V75" s="2" t="s">
        <v>241</v>
      </c>
      <c r="W75" s="2" t="s">
        <v>275</v>
      </c>
      <c r="X75" s="2" t="s">
        <v>233</v>
      </c>
      <c r="Y75" s="2" t="s">
        <v>592</v>
      </c>
      <c r="Z75" s="4">
        <v>28</v>
      </c>
      <c r="AA75" s="4">
        <f>=ROUNDDOWN(20,0)</f>
      </c>
      <c r="AB75" s="5">
        <v>1.4</v>
      </c>
      <c r="AC75" s="2" t="s">
        <v>233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233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 t="s">
        <v>233</v>
      </c>
      <c r="BD75" s="8" t="s">
        <v>233</v>
      </c>
      <c r="BE75" s="4" t="s">
        <v>233</v>
      </c>
      <c r="BF75" s="8" t="s">
        <v>233</v>
      </c>
      <c r="BG75" s="7" t="s">
        <v>233</v>
      </c>
      <c r="BH75" s="7" t="s">
        <v>233</v>
      </c>
      <c r="BI75" s="7"/>
      <c r="BJ75" s="4">
        <v>6</v>
      </c>
      <c r="BK75" s="8">
        <v>130.08</v>
      </c>
      <c r="BL75" s="2" t="s">
        <v>593</v>
      </c>
      <c r="BM75" s="7"/>
      <c r="BN75" s="7"/>
      <c r="BO75" s="4"/>
      <c r="BP75" s="8"/>
      <c r="BQ75" s="4"/>
      <c r="BR75" s="8"/>
      <c r="BS75" s="7"/>
      <c r="BT75" s="7"/>
      <c r="BU75" s="2" t="s">
        <v>594</v>
      </c>
      <c r="BV75" s="2" t="s">
        <v>233</v>
      </c>
      <c r="BW75" s="2" t="s">
        <v>233</v>
      </c>
      <c r="BX75" s="2" t="s">
        <v>595</v>
      </c>
      <c r="BY75" s="2" t="s">
        <v>280</v>
      </c>
      <c r="BZ75" s="2" t="s">
        <v>245</v>
      </c>
      <c r="CA75" s="2" t="s">
        <v>596</v>
      </c>
      <c r="CB75" s="2" t="s">
        <v>597</v>
      </c>
      <c r="CC75" s="2" t="s">
        <v>246</v>
      </c>
      <c r="CD75" s="2" t="s">
        <v>233</v>
      </c>
      <c r="CE75" s="4">
        <v>28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</row>
    <row r="76">
      <c r="A76" s="2" t="s">
        <v>598</v>
      </c>
      <c r="B76" s="2" t="s">
        <v>333</v>
      </c>
      <c r="C76" s="2" t="s">
        <v>530</v>
      </c>
      <c r="D76" s="2" t="s">
        <v>335</v>
      </c>
      <c r="E76" s="2" t="s">
        <v>336</v>
      </c>
      <c r="F76" s="2" t="s">
        <v>531</v>
      </c>
      <c r="G76" s="2" t="s">
        <v>531</v>
      </c>
      <c r="H76" s="2" t="s">
        <v>531</v>
      </c>
      <c r="I76" s="2" t="s">
        <v>532</v>
      </c>
      <c r="J76" s="2" t="s">
        <v>270</v>
      </c>
      <c r="K76" s="2" t="s">
        <v>499</v>
      </c>
      <c r="L76" s="3">
        <v>13.44</v>
      </c>
      <c r="M76" s="3">
        <v>14.11</v>
      </c>
      <c r="N76" s="3">
        <v>27.99</v>
      </c>
      <c r="O76" s="2" t="s">
        <v>245</v>
      </c>
      <c r="P76" s="2" t="s">
        <v>272</v>
      </c>
      <c r="Q76" s="2" t="s">
        <v>239</v>
      </c>
      <c r="R76" s="2" t="s">
        <v>233</v>
      </c>
      <c r="S76" s="2" t="s">
        <v>599</v>
      </c>
      <c r="T76" s="2" t="s">
        <v>395</v>
      </c>
      <c r="U76" s="2" t="s">
        <v>233</v>
      </c>
      <c r="V76" s="2" t="s">
        <v>241</v>
      </c>
      <c r="W76" s="2" t="s">
        <v>275</v>
      </c>
      <c r="X76" s="2" t="s">
        <v>233</v>
      </c>
      <c r="Y76" s="2" t="s">
        <v>276</v>
      </c>
      <c r="Z76" s="4">
        <v>199</v>
      </c>
      <c r="AA76" s="4">
        <f>=ROUNDDOWN(28.4285714285714,0)</f>
      </c>
      <c r="AB76" s="5">
        <v>7</v>
      </c>
      <c r="AC76" s="2" t="s">
        <v>547</v>
      </c>
      <c r="AD76" s="4">
        <v>30</v>
      </c>
      <c r="AE76" s="4">
        <v>30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233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233</v>
      </c>
      <c r="AW76" s="8" t="s">
        <v>233</v>
      </c>
      <c r="AX76" s="4" t="s">
        <v>233</v>
      </c>
      <c r="AY76" s="8" t="s">
        <v>233</v>
      </c>
      <c r="AZ76" s="7" t="s">
        <v>233</v>
      </c>
      <c r="BA76" s="7" t="s">
        <v>233</v>
      </c>
      <c r="BB76" s="7"/>
      <c r="BC76" s="4" t="s">
        <v>233</v>
      </c>
      <c r="BD76" s="8" t="s">
        <v>233</v>
      </c>
      <c r="BE76" s="4" t="s">
        <v>233</v>
      </c>
      <c r="BF76" s="8" t="s">
        <v>233</v>
      </c>
      <c r="BG76" s="7" t="s">
        <v>233</v>
      </c>
      <c r="BH76" s="7" t="s">
        <v>233</v>
      </c>
      <c r="BI76" s="7"/>
      <c r="BJ76" s="4">
        <v>27</v>
      </c>
      <c r="BK76" s="8">
        <v>385.18</v>
      </c>
      <c r="BL76" s="2" t="s">
        <v>600</v>
      </c>
      <c r="BM76" s="7"/>
      <c r="BN76" s="7"/>
      <c r="BO76" s="4"/>
      <c r="BP76" s="8"/>
      <c r="BQ76" s="4"/>
      <c r="BR76" s="8"/>
      <c r="BS76" s="7"/>
      <c r="BT76" s="7"/>
      <c r="BU76" s="2" t="s">
        <v>601</v>
      </c>
      <c r="BV76" s="2" t="s">
        <v>233</v>
      </c>
      <c r="BW76" s="2" t="s">
        <v>233</v>
      </c>
      <c r="BX76" s="2" t="s">
        <v>233</v>
      </c>
      <c r="BY76" s="2" t="s">
        <v>280</v>
      </c>
      <c r="BZ76" s="2" t="s">
        <v>245</v>
      </c>
      <c r="CA76" s="2" t="s">
        <v>281</v>
      </c>
      <c r="CB76" s="2" t="s">
        <v>602</v>
      </c>
      <c r="CC76" s="2" t="s">
        <v>246</v>
      </c>
      <c r="CD76" s="2" t="s">
        <v>233</v>
      </c>
      <c r="CE76" s="4">
        <v>199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>
        <v>30</v>
      </c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</row>
    <row r="77">
      <c r="A77" s="2" t="s">
        <v>603</v>
      </c>
      <c r="B77" s="2" t="s">
        <v>333</v>
      </c>
      <c r="C77" s="2" t="s">
        <v>530</v>
      </c>
      <c r="D77" s="2" t="s">
        <v>335</v>
      </c>
      <c r="E77" s="2" t="s">
        <v>336</v>
      </c>
      <c r="F77" s="2" t="s">
        <v>531</v>
      </c>
      <c r="G77" s="2" t="s">
        <v>531</v>
      </c>
      <c r="H77" s="2" t="s">
        <v>531</v>
      </c>
      <c r="I77" s="2" t="s">
        <v>532</v>
      </c>
      <c r="J77" s="2" t="s">
        <v>284</v>
      </c>
      <c r="K77" s="2" t="s">
        <v>499</v>
      </c>
      <c r="L77" s="3">
        <v>15.19</v>
      </c>
      <c r="M77" s="3">
        <v>15.95</v>
      </c>
      <c r="N77" s="3">
        <v>30.99</v>
      </c>
      <c r="O77" s="2" t="s">
        <v>245</v>
      </c>
      <c r="P77" s="2" t="s">
        <v>272</v>
      </c>
      <c r="Q77" s="2" t="s">
        <v>239</v>
      </c>
      <c r="R77" s="2" t="s">
        <v>233</v>
      </c>
      <c r="S77" s="2" t="s">
        <v>599</v>
      </c>
      <c r="T77" s="2" t="s">
        <v>395</v>
      </c>
      <c r="U77" s="2" t="s">
        <v>233</v>
      </c>
      <c r="V77" s="2" t="s">
        <v>241</v>
      </c>
      <c r="W77" s="2" t="s">
        <v>275</v>
      </c>
      <c r="X77" s="2" t="s">
        <v>233</v>
      </c>
      <c r="Y77" s="2" t="s">
        <v>276</v>
      </c>
      <c r="Z77" s="4">
        <v>184</v>
      </c>
      <c r="AA77" s="4">
        <f>=ROUNDDOWN(46,0)</f>
      </c>
      <c r="AB77" s="5">
        <v>4</v>
      </c>
      <c r="AC77" s="2" t="s">
        <v>319</v>
      </c>
      <c r="AD77" s="4">
        <v>160</v>
      </c>
      <c r="AE77" s="4">
        <v>300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233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233</v>
      </c>
      <c r="AW77" s="8" t="s">
        <v>233</v>
      </c>
      <c r="AX77" s="4" t="s">
        <v>233</v>
      </c>
      <c r="AY77" s="8" t="s">
        <v>233</v>
      </c>
      <c r="AZ77" s="7" t="s">
        <v>233</v>
      </c>
      <c r="BA77" s="7" t="s">
        <v>233</v>
      </c>
      <c r="BB77" s="7"/>
      <c r="BC77" s="4" t="s">
        <v>233</v>
      </c>
      <c r="BD77" s="8" t="s">
        <v>233</v>
      </c>
      <c r="BE77" s="4" t="s">
        <v>233</v>
      </c>
      <c r="BF77" s="8" t="s">
        <v>233</v>
      </c>
      <c r="BG77" s="7" t="s">
        <v>233</v>
      </c>
      <c r="BH77" s="7" t="s">
        <v>233</v>
      </c>
      <c r="BI77" s="7"/>
      <c r="BJ77" s="4">
        <v>22</v>
      </c>
      <c r="BK77" s="8">
        <v>346.63</v>
      </c>
      <c r="BL77" s="2" t="s">
        <v>604</v>
      </c>
      <c r="BM77" s="7"/>
      <c r="BN77" s="7"/>
      <c r="BO77" s="4"/>
      <c r="BP77" s="8"/>
      <c r="BQ77" s="4"/>
      <c r="BR77" s="8"/>
      <c r="BS77" s="7"/>
      <c r="BT77" s="7"/>
      <c r="BU77" s="2" t="s">
        <v>605</v>
      </c>
      <c r="BV77" s="2" t="s">
        <v>233</v>
      </c>
      <c r="BW77" s="2" t="s">
        <v>233</v>
      </c>
      <c r="BX77" s="2" t="s">
        <v>233</v>
      </c>
      <c r="BY77" s="2" t="s">
        <v>280</v>
      </c>
      <c r="BZ77" s="2" t="s">
        <v>245</v>
      </c>
      <c r="CA77" s="2" t="s">
        <v>281</v>
      </c>
      <c r="CB77" s="2" t="s">
        <v>606</v>
      </c>
      <c r="CC77" s="2" t="s">
        <v>246</v>
      </c>
      <c r="CD77" s="2" t="s">
        <v>233</v>
      </c>
      <c r="CE77" s="4">
        <v>134</v>
      </c>
      <c r="CF77" s="4"/>
      <c r="CG77" s="4"/>
      <c r="CH77" s="4"/>
      <c r="CI77" s="4"/>
      <c r="CJ77" s="4"/>
      <c r="CK77" s="4"/>
      <c r="CL77" s="4">
        <v>50</v>
      </c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>
        <v>160</v>
      </c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>
        <v>140</v>
      </c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</row>
    <row r="78">
      <c r="A78" s="2" t="s">
        <v>607</v>
      </c>
      <c r="B78" s="2" t="s">
        <v>333</v>
      </c>
      <c r="C78" s="2" t="s">
        <v>530</v>
      </c>
      <c r="D78" s="2" t="s">
        <v>335</v>
      </c>
      <c r="E78" s="2" t="s">
        <v>336</v>
      </c>
      <c r="F78" s="2" t="s">
        <v>531</v>
      </c>
      <c r="G78" s="2" t="s">
        <v>531</v>
      </c>
      <c r="H78" s="2" t="s">
        <v>531</v>
      </c>
      <c r="I78" s="2" t="s">
        <v>532</v>
      </c>
      <c r="J78" s="2" t="s">
        <v>290</v>
      </c>
      <c r="K78" s="2" t="s">
        <v>499</v>
      </c>
      <c r="L78" s="3">
        <v>16.5</v>
      </c>
      <c r="M78" s="3">
        <v>17.32</v>
      </c>
      <c r="N78" s="3">
        <v>32.99</v>
      </c>
      <c r="O78" s="2" t="s">
        <v>245</v>
      </c>
      <c r="P78" s="2" t="s">
        <v>272</v>
      </c>
      <c r="Q78" s="2" t="s">
        <v>239</v>
      </c>
      <c r="R78" s="2" t="s">
        <v>233</v>
      </c>
      <c r="S78" s="2" t="s">
        <v>599</v>
      </c>
      <c r="T78" s="2" t="s">
        <v>395</v>
      </c>
      <c r="U78" s="2" t="s">
        <v>233</v>
      </c>
      <c r="V78" s="2" t="s">
        <v>241</v>
      </c>
      <c r="W78" s="2" t="s">
        <v>275</v>
      </c>
      <c r="X78" s="2" t="s">
        <v>233</v>
      </c>
      <c r="Y78" s="2" t="s">
        <v>276</v>
      </c>
      <c r="Z78" s="4">
        <v>92</v>
      </c>
      <c r="AA78" s="4">
        <f>=ROUNDDOWN(11.5,0)</f>
      </c>
      <c r="AB78" s="5">
        <v>8</v>
      </c>
      <c r="AC78" s="2" t="s">
        <v>319</v>
      </c>
      <c r="AD78" s="4">
        <v>40</v>
      </c>
      <c r="AE78" s="4">
        <v>120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233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233</v>
      </c>
      <c r="AW78" s="8" t="s">
        <v>233</v>
      </c>
      <c r="AX78" s="4" t="s">
        <v>233</v>
      </c>
      <c r="AY78" s="8" t="s">
        <v>233</v>
      </c>
      <c r="AZ78" s="7" t="s">
        <v>233</v>
      </c>
      <c r="BA78" s="7" t="s">
        <v>233</v>
      </c>
      <c r="BB78" s="7"/>
      <c r="BC78" s="4" t="s">
        <v>233</v>
      </c>
      <c r="BD78" s="8" t="s">
        <v>233</v>
      </c>
      <c r="BE78" s="4" t="s">
        <v>233</v>
      </c>
      <c r="BF78" s="8" t="s">
        <v>233</v>
      </c>
      <c r="BG78" s="7" t="s">
        <v>233</v>
      </c>
      <c r="BH78" s="7" t="s">
        <v>233</v>
      </c>
      <c r="BI78" s="7"/>
      <c r="BJ78" s="4">
        <v>21</v>
      </c>
      <c r="BK78" s="8">
        <v>374.31</v>
      </c>
      <c r="BL78" s="2" t="s">
        <v>608</v>
      </c>
      <c r="BM78" s="7"/>
      <c r="BN78" s="7"/>
      <c r="BO78" s="4"/>
      <c r="BP78" s="8"/>
      <c r="BQ78" s="4"/>
      <c r="BR78" s="8"/>
      <c r="BS78" s="7"/>
      <c r="BT78" s="7"/>
      <c r="BU78" s="2" t="s">
        <v>609</v>
      </c>
      <c r="BV78" s="2" t="s">
        <v>233</v>
      </c>
      <c r="BW78" s="2" t="s">
        <v>233</v>
      </c>
      <c r="BX78" s="2" t="s">
        <v>233</v>
      </c>
      <c r="BY78" s="2" t="s">
        <v>280</v>
      </c>
      <c r="BZ78" s="2" t="s">
        <v>245</v>
      </c>
      <c r="CA78" s="2" t="s">
        <v>281</v>
      </c>
      <c r="CB78" s="2" t="s">
        <v>610</v>
      </c>
      <c r="CC78" s="2" t="s">
        <v>246</v>
      </c>
      <c r="CD78" s="2" t="s">
        <v>233</v>
      </c>
      <c r="CE78" s="4">
        <v>92</v>
      </c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>
        <v>40</v>
      </c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>
        <v>20</v>
      </c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>
        <v>60</v>
      </c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</row>
    <row r="79">
      <c r="A79" s="2" t="s">
        <v>611</v>
      </c>
      <c r="B79" s="2" t="s">
        <v>333</v>
      </c>
      <c r="C79" s="2" t="s">
        <v>530</v>
      </c>
      <c r="D79" s="2" t="s">
        <v>335</v>
      </c>
      <c r="E79" s="2" t="s">
        <v>336</v>
      </c>
      <c r="F79" s="2" t="s">
        <v>531</v>
      </c>
      <c r="G79" s="2" t="s">
        <v>531</v>
      </c>
      <c r="H79" s="2" t="s">
        <v>531</v>
      </c>
      <c r="I79" s="2" t="s">
        <v>532</v>
      </c>
      <c r="J79" s="2" t="s">
        <v>328</v>
      </c>
      <c r="K79" s="2" t="s">
        <v>499</v>
      </c>
      <c r="L79" s="3">
        <v>21.5</v>
      </c>
      <c r="M79" s="3">
        <v>22.58</v>
      </c>
      <c r="N79" s="3">
        <v>42.99</v>
      </c>
      <c r="O79" s="2" t="s">
        <v>245</v>
      </c>
      <c r="P79" s="2" t="s">
        <v>272</v>
      </c>
      <c r="Q79" s="2" t="s">
        <v>239</v>
      </c>
      <c r="R79" s="2" t="s">
        <v>233</v>
      </c>
      <c r="S79" s="2" t="s">
        <v>599</v>
      </c>
      <c r="T79" s="2" t="s">
        <v>395</v>
      </c>
      <c r="U79" s="2" t="s">
        <v>233</v>
      </c>
      <c r="V79" s="2" t="s">
        <v>241</v>
      </c>
      <c r="W79" s="2" t="s">
        <v>275</v>
      </c>
      <c r="X79" s="2" t="s">
        <v>233</v>
      </c>
      <c r="Y79" s="2" t="s">
        <v>276</v>
      </c>
      <c r="Z79" s="4">
        <v>131</v>
      </c>
      <c r="AA79" s="4">
        <f>=ROUNDDOWN(7.27777777777778,0)</f>
      </c>
      <c r="AB79" s="5">
        <v>18</v>
      </c>
      <c r="AC79" s="2" t="s">
        <v>319</v>
      </c>
      <c r="AD79" s="4">
        <v>60</v>
      </c>
      <c r="AE79" s="4">
        <v>350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233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233</v>
      </c>
      <c r="AW79" s="8" t="s">
        <v>233</v>
      </c>
      <c r="AX79" s="4" t="s">
        <v>233</v>
      </c>
      <c r="AY79" s="8" t="s">
        <v>233</v>
      </c>
      <c r="AZ79" s="7" t="s">
        <v>233</v>
      </c>
      <c r="BA79" s="7" t="s">
        <v>233</v>
      </c>
      <c r="BB79" s="7"/>
      <c r="BC79" s="4" t="s">
        <v>233</v>
      </c>
      <c r="BD79" s="8" t="s">
        <v>233</v>
      </c>
      <c r="BE79" s="4" t="s">
        <v>233</v>
      </c>
      <c r="BF79" s="8" t="s">
        <v>233</v>
      </c>
      <c r="BG79" s="7" t="s">
        <v>233</v>
      </c>
      <c r="BH79" s="7" t="s">
        <v>233</v>
      </c>
      <c r="BI79" s="7"/>
      <c r="BJ79" s="4">
        <v>72</v>
      </c>
      <c r="BK79" s="8">
        <v>1658.72</v>
      </c>
      <c r="BL79" s="2" t="s">
        <v>612</v>
      </c>
      <c r="BM79" s="7"/>
      <c r="BN79" s="7"/>
      <c r="BO79" s="4"/>
      <c r="BP79" s="8"/>
      <c r="BQ79" s="4"/>
      <c r="BR79" s="8"/>
      <c r="BS79" s="7"/>
      <c r="BT79" s="7"/>
      <c r="BU79" s="2" t="s">
        <v>613</v>
      </c>
      <c r="BV79" s="2" t="s">
        <v>233</v>
      </c>
      <c r="BW79" s="2" t="s">
        <v>233</v>
      </c>
      <c r="BX79" s="2" t="s">
        <v>233</v>
      </c>
      <c r="BY79" s="2" t="s">
        <v>280</v>
      </c>
      <c r="BZ79" s="2" t="s">
        <v>245</v>
      </c>
      <c r="CA79" s="2" t="s">
        <v>281</v>
      </c>
      <c r="CB79" s="2" t="s">
        <v>614</v>
      </c>
      <c r="CC79" s="2" t="s">
        <v>246</v>
      </c>
      <c r="CD79" s="2" t="s">
        <v>233</v>
      </c>
      <c r="CE79" s="4">
        <v>131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>
        <v>60</v>
      </c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>
        <v>70</v>
      </c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>
        <v>50</v>
      </c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>
        <v>170</v>
      </c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</row>
    <row r="80">
      <c r="A80" s="2" t="s">
        <v>615</v>
      </c>
      <c r="B80" s="2" t="s">
        <v>333</v>
      </c>
      <c r="C80" s="2" t="s">
        <v>530</v>
      </c>
      <c r="D80" s="2" t="s">
        <v>335</v>
      </c>
      <c r="E80" s="2" t="s">
        <v>336</v>
      </c>
      <c r="F80" s="2" t="s">
        <v>531</v>
      </c>
      <c r="G80" s="2" t="s">
        <v>531</v>
      </c>
      <c r="H80" s="2" t="s">
        <v>531</v>
      </c>
      <c r="I80" s="2" t="s">
        <v>532</v>
      </c>
      <c r="J80" s="2" t="s">
        <v>546</v>
      </c>
      <c r="K80" s="2" t="s">
        <v>499</v>
      </c>
      <c r="L80" s="3">
        <v>21.5</v>
      </c>
      <c r="M80" s="3">
        <v>22.58</v>
      </c>
      <c r="N80" s="3">
        <v>42.99</v>
      </c>
      <c r="O80" s="2" t="s">
        <v>245</v>
      </c>
      <c r="P80" s="2" t="s">
        <v>272</v>
      </c>
      <c r="Q80" s="2" t="s">
        <v>239</v>
      </c>
      <c r="R80" s="2" t="s">
        <v>233</v>
      </c>
      <c r="S80" s="2" t="s">
        <v>599</v>
      </c>
      <c r="T80" s="2" t="s">
        <v>395</v>
      </c>
      <c r="U80" s="2" t="s">
        <v>233</v>
      </c>
      <c r="V80" s="2" t="s">
        <v>241</v>
      </c>
      <c r="W80" s="2" t="s">
        <v>275</v>
      </c>
      <c r="X80" s="2" t="s">
        <v>233</v>
      </c>
      <c r="Y80" s="2" t="s">
        <v>276</v>
      </c>
      <c r="Z80" s="4">
        <v>36</v>
      </c>
      <c r="AA80" s="4">
        <f>=ROUNDDOWN(5.14285714285714,0)</f>
      </c>
      <c r="AB80" s="5">
        <v>7</v>
      </c>
      <c r="AC80" s="2" t="s">
        <v>319</v>
      </c>
      <c r="AD80" s="4">
        <v>15</v>
      </c>
      <c r="AE80" s="4">
        <v>165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233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233</v>
      </c>
      <c r="AW80" s="8" t="s">
        <v>233</v>
      </c>
      <c r="AX80" s="4" t="s">
        <v>233</v>
      </c>
      <c r="AY80" s="8" t="s">
        <v>233</v>
      </c>
      <c r="AZ80" s="7" t="s">
        <v>233</v>
      </c>
      <c r="BA80" s="7" t="s">
        <v>233</v>
      </c>
      <c r="BB80" s="7"/>
      <c r="BC80" s="4" t="s">
        <v>233</v>
      </c>
      <c r="BD80" s="8" t="s">
        <v>233</v>
      </c>
      <c r="BE80" s="4" t="s">
        <v>233</v>
      </c>
      <c r="BF80" s="8" t="s">
        <v>233</v>
      </c>
      <c r="BG80" s="7" t="s">
        <v>233</v>
      </c>
      <c r="BH80" s="7" t="s">
        <v>233</v>
      </c>
      <c r="BI80" s="7"/>
      <c r="BJ80" s="4">
        <v>26</v>
      </c>
      <c r="BK80" s="8">
        <v>603.44</v>
      </c>
      <c r="BL80" s="2" t="s">
        <v>616</v>
      </c>
      <c r="BM80" s="7"/>
      <c r="BN80" s="7"/>
      <c r="BO80" s="4"/>
      <c r="BP80" s="8"/>
      <c r="BQ80" s="4"/>
      <c r="BR80" s="8"/>
      <c r="BS80" s="7"/>
      <c r="BT80" s="7"/>
      <c r="BU80" s="2" t="s">
        <v>617</v>
      </c>
      <c r="BV80" s="2" t="s">
        <v>233</v>
      </c>
      <c r="BW80" s="2" t="s">
        <v>233</v>
      </c>
      <c r="BX80" s="2" t="s">
        <v>233</v>
      </c>
      <c r="BY80" s="2" t="s">
        <v>280</v>
      </c>
      <c r="BZ80" s="2" t="s">
        <v>245</v>
      </c>
      <c r="CA80" s="2" t="s">
        <v>281</v>
      </c>
      <c r="CB80" s="2" t="s">
        <v>618</v>
      </c>
      <c r="CC80" s="2" t="s">
        <v>246</v>
      </c>
      <c r="CD80" s="2" t="s">
        <v>233</v>
      </c>
      <c r="CE80" s="4">
        <v>16</v>
      </c>
      <c r="CF80" s="4"/>
      <c r="CG80" s="4"/>
      <c r="CH80" s="4"/>
      <c r="CI80" s="4"/>
      <c r="CJ80" s="4"/>
      <c r="CK80" s="4"/>
      <c r="CL80" s="4">
        <v>20</v>
      </c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>
        <v>15</v>
      </c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>
        <v>30</v>
      </c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>
        <v>50</v>
      </c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>
        <v>70</v>
      </c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</row>
    <row r="81">
      <c r="A81" s="2" t="s">
        <v>619</v>
      </c>
      <c r="B81" s="2" t="s">
        <v>333</v>
      </c>
      <c r="C81" s="2" t="s">
        <v>530</v>
      </c>
      <c r="D81" s="2" t="s">
        <v>335</v>
      </c>
      <c r="E81" s="2" t="s">
        <v>336</v>
      </c>
      <c r="F81" s="2" t="s">
        <v>531</v>
      </c>
      <c r="G81" s="2" t="s">
        <v>531</v>
      </c>
      <c r="H81" s="2" t="s">
        <v>531</v>
      </c>
      <c r="I81" s="2" t="s">
        <v>532</v>
      </c>
      <c r="J81" s="2" t="s">
        <v>270</v>
      </c>
      <c r="K81" s="2" t="s">
        <v>620</v>
      </c>
      <c r="L81" s="3">
        <v>13.44</v>
      </c>
      <c r="M81" s="3">
        <v>14.11</v>
      </c>
      <c r="N81" s="3">
        <v>27.99</v>
      </c>
      <c r="O81" s="2" t="s">
        <v>245</v>
      </c>
      <c r="P81" s="2" t="s">
        <v>311</v>
      </c>
      <c r="Q81" s="2" t="s">
        <v>239</v>
      </c>
      <c r="R81" s="2" t="s">
        <v>233</v>
      </c>
      <c r="S81" s="2" t="s">
        <v>621</v>
      </c>
      <c r="T81" s="2" t="s">
        <v>395</v>
      </c>
      <c r="U81" s="2" t="s">
        <v>475</v>
      </c>
      <c r="V81" s="2" t="s">
        <v>241</v>
      </c>
      <c r="W81" s="2" t="s">
        <v>275</v>
      </c>
      <c r="X81" s="2" t="s">
        <v>233</v>
      </c>
      <c r="Y81" s="2" t="s">
        <v>592</v>
      </c>
      <c r="Z81" s="4">
        <v>18</v>
      </c>
      <c r="AA81" s="4">
        <f>=ROUNDDOWN(30,0)</f>
      </c>
      <c r="AB81" s="5">
        <v>0.6</v>
      </c>
      <c r="AC81" s="2" t="s">
        <v>233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233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233</v>
      </c>
      <c r="AW81" s="8" t="s">
        <v>233</v>
      </c>
      <c r="AX81" s="4" t="s">
        <v>233</v>
      </c>
      <c r="AY81" s="8" t="s">
        <v>233</v>
      </c>
      <c r="AZ81" s="7" t="s">
        <v>233</v>
      </c>
      <c r="BA81" s="7" t="s">
        <v>233</v>
      </c>
      <c r="BB81" s="7"/>
      <c r="BC81" s="4" t="s">
        <v>233</v>
      </c>
      <c r="BD81" s="8" t="s">
        <v>233</v>
      </c>
      <c r="BE81" s="4" t="s">
        <v>233</v>
      </c>
      <c r="BF81" s="8" t="s">
        <v>233</v>
      </c>
      <c r="BG81" s="7" t="s">
        <v>233</v>
      </c>
      <c r="BH81" s="7" t="s">
        <v>233</v>
      </c>
      <c r="BI81" s="7"/>
      <c r="BJ81" s="4">
        <v>3</v>
      </c>
      <c r="BK81" s="8">
        <v>41.37</v>
      </c>
      <c r="BL81" s="2" t="s">
        <v>622</v>
      </c>
      <c r="BM81" s="7"/>
      <c r="BN81" s="7"/>
      <c r="BO81" s="4"/>
      <c r="BP81" s="8"/>
      <c r="BQ81" s="4"/>
      <c r="BR81" s="8"/>
      <c r="BS81" s="7"/>
      <c r="BT81" s="7"/>
      <c r="BU81" s="2" t="s">
        <v>623</v>
      </c>
      <c r="BV81" s="2" t="s">
        <v>233</v>
      </c>
      <c r="BW81" s="2" t="s">
        <v>233</v>
      </c>
      <c r="BX81" s="2" t="s">
        <v>595</v>
      </c>
      <c r="BY81" s="2" t="s">
        <v>280</v>
      </c>
      <c r="BZ81" s="2" t="s">
        <v>245</v>
      </c>
      <c r="CA81" s="2" t="s">
        <v>596</v>
      </c>
      <c r="CB81" s="2" t="s">
        <v>624</v>
      </c>
      <c r="CC81" s="2" t="s">
        <v>246</v>
      </c>
      <c r="CD81" s="2" t="s">
        <v>233</v>
      </c>
      <c r="CE81" s="4">
        <v>18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</row>
    <row r="82">
      <c r="A82" s="2" t="s">
        <v>625</v>
      </c>
      <c r="B82" s="2" t="s">
        <v>333</v>
      </c>
      <c r="C82" s="2" t="s">
        <v>530</v>
      </c>
      <c r="D82" s="2" t="s">
        <v>335</v>
      </c>
      <c r="E82" s="2" t="s">
        <v>336</v>
      </c>
      <c r="F82" s="2" t="s">
        <v>531</v>
      </c>
      <c r="G82" s="2" t="s">
        <v>531</v>
      </c>
      <c r="H82" s="2" t="s">
        <v>531</v>
      </c>
      <c r="I82" s="2" t="s">
        <v>532</v>
      </c>
      <c r="J82" s="2" t="s">
        <v>546</v>
      </c>
      <c r="K82" s="2" t="s">
        <v>620</v>
      </c>
      <c r="L82" s="3">
        <v>21.5</v>
      </c>
      <c r="M82" s="3">
        <v>22.58</v>
      </c>
      <c r="N82" s="3">
        <v>42.99</v>
      </c>
      <c r="O82" s="2" t="s">
        <v>237</v>
      </c>
      <c r="P82" s="2" t="s">
        <v>311</v>
      </c>
      <c r="Q82" s="2" t="s">
        <v>239</v>
      </c>
      <c r="R82" s="2" t="s">
        <v>233</v>
      </c>
      <c r="S82" s="2" t="s">
        <v>621</v>
      </c>
      <c r="T82" s="2" t="s">
        <v>395</v>
      </c>
      <c r="U82" s="2" t="s">
        <v>342</v>
      </c>
      <c r="V82" s="2" t="s">
        <v>241</v>
      </c>
      <c r="W82" s="2" t="s">
        <v>275</v>
      </c>
      <c r="X82" s="2" t="s">
        <v>233</v>
      </c>
      <c r="Y82" s="2" t="s">
        <v>592</v>
      </c>
      <c r="Z82" s="4">
        <v>135</v>
      </c>
      <c r="AA82" s="4">
        <f>=ROUNDDOWN(192.857142857143,0)</f>
      </c>
      <c r="AB82" s="5">
        <v>0.7</v>
      </c>
      <c r="AC82" s="2" t="s">
        <v>233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233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233</v>
      </c>
      <c r="AW82" s="8" t="s">
        <v>233</v>
      </c>
      <c r="AX82" s="4" t="s">
        <v>233</v>
      </c>
      <c r="AY82" s="8" t="s">
        <v>233</v>
      </c>
      <c r="AZ82" s="7" t="s">
        <v>233</v>
      </c>
      <c r="BA82" s="7" t="s">
        <v>233</v>
      </c>
      <c r="BB82" s="7"/>
      <c r="BC82" s="4" t="s">
        <v>233</v>
      </c>
      <c r="BD82" s="8" t="s">
        <v>233</v>
      </c>
      <c r="BE82" s="4" t="s">
        <v>233</v>
      </c>
      <c r="BF82" s="8" t="s">
        <v>233</v>
      </c>
      <c r="BG82" s="7" t="s">
        <v>233</v>
      </c>
      <c r="BH82" s="7" t="s">
        <v>233</v>
      </c>
      <c r="BI82" s="7"/>
      <c r="BJ82" s="4">
        <v>1</v>
      </c>
      <c r="BK82" s="8">
        <v>21.32</v>
      </c>
      <c r="BL82" s="2" t="s">
        <v>626</v>
      </c>
      <c r="BM82" s="7"/>
      <c r="BN82" s="7"/>
      <c r="BO82" s="4"/>
      <c r="BP82" s="8"/>
      <c r="BQ82" s="4"/>
      <c r="BR82" s="8"/>
      <c r="BS82" s="7"/>
      <c r="BT82" s="7"/>
      <c r="BU82" s="2" t="s">
        <v>627</v>
      </c>
      <c r="BV82" s="2" t="s">
        <v>233</v>
      </c>
      <c r="BW82" s="2" t="s">
        <v>233</v>
      </c>
      <c r="BX82" s="2" t="s">
        <v>595</v>
      </c>
      <c r="BY82" s="2" t="s">
        <v>280</v>
      </c>
      <c r="BZ82" s="2" t="s">
        <v>245</v>
      </c>
      <c r="CA82" s="2" t="s">
        <v>596</v>
      </c>
      <c r="CB82" s="2" t="s">
        <v>628</v>
      </c>
      <c r="CC82" s="2" t="s">
        <v>246</v>
      </c>
      <c r="CD82" s="2" t="s">
        <v>233</v>
      </c>
      <c r="CE82" s="4">
        <v>135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</row>
    <row r="83">
      <c r="A83" s="2" t="s">
        <v>629</v>
      </c>
      <c r="B83" s="2" t="s">
        <v>333</v>
      </c>
      <c r="C83" s="2" t="s">
        <v>530</v>
      </c>
      <c r="D83" s="2" t="s">
        <v>335</v>
      </c>
      <c r="E83" s="2" t="s">
        <v>336</v>
      </c>
      <c r="F83" s="2" t="s">
        <v>531</v>
      </c>
      <c r="G83" s="2" t="s">
        <v>531</v>
      </c>
      <c r="H83" s="2" t="s">
        <v>531</v>
      </c>
      <c r="I83" s="2" t="s">
        <v>532</v>
      </c>
      <c r="J83" s="2" t="s">
        <v>270</v>
      </c>
      <c r="K83" s="2" t="s">
        <v>297</v>
      </c>
      <c r="L83" s="3">
        <v>13.44</v>
      </c>
      <c r="M83" s="3">
        <v>14.11</v>
      </c>
      <c r="N83" s="3">
        <v>27.99</v>
      </c>
      <c r="O83" s="2" t="s">
        <v>245</v>
      </c>
      <c r="P83" s="2" t="s">
        <v>272</v>
      </c>
      <c r="Q83" s="2" t="s">
        <v>239</v>
      </c>
      <c r="R83" s="2" t="s">
        <v>233</v>
      </c>
      <c r="S83" s="2" t="s">
        <v>630</v>
      </c>
      <c r="T83" s="2" t="s">
        <v>395</v>
      </c>
      <c r="U83" s="2" t="s">
        <v>233</v>
      </c>
      <c r="V83" s="2" t="s">
        <v>241</v>
      </c>
      <c r="W83" s="2" t="s">
        <v>275</v>
      </c>
      <c r="X83" s="2" t="s">
        <v>233</v>
      </c>
      <c r="Y83" s="2" t="s">
        <v>276</v>
      </c>
      <c r="Z83" s="4">
        <v>112</v>
      </c>
      <c r="AA83" s="4">
        <f>=ROUNDDOWN(18.6666666666667,0)</f>
      </c>
      <c r="AB83" s="5">
        <v>6</v>
      </c>
      <c r="AC83" s="2" t="s">
        <v>319</v>
      </c>
      <c r="AD83" s="4">
        <v>50</v>
      </c>
      <c r="AE83" s="4">
        <v>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233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233</v>
      </c>
      <c r="AW83" s="8" t="s">
        <v>233</v>
      </c>
      <c r="AX83" s="4" t="s">
        <v>233</v>
      </c>
      <c r="AY83" s="8" t="s">
        <v>233</v>
      </c>
      <c r="AZ83" s="7" t="s">
        <v>233</v>
      </c>
      <c r="BA83" s="7" t="s">
        <v>233</v>
      </c>
      <c r="BB83" s="7"/>
      <c r="BC83" s="4" t="s">
        <v>233</v>
      </c>
      <c r="BD83" s="8" t="s">
        <v>233</v>
      </c>
      <c r="BE83" s="4" t="s">
        <v>233</v>
      </c>
      <c r="BF83" s="8" t="s">
        <v>233</v>
      </c>
      <c r="BG83" s="7" t="s">
        <v>233</v>
      </c>
      <c r="BH83" s="7" t="s">
        <v>233</v>
      </c>
      <c r="BI83" s="7"/>
      <c r="BJ83" s="4">
        <v>25</v>
      </c>
      <c r="BK83" s="8">
        <v>344.87</v>
      </c>
      <c r="BL83" s="2" t="s">
        <v>631</v>
      </c>
      <c r="BM83" s="7"/>
      <c r="BN83" s="7"/>
      <c r="BO83" s="4"/>
      <c r="BP83" s="8"/>
      <c r="BQ83" s="4"/>
      <c r="BR83" s="8"/>
      <c r="BS83" s="7"/>
      <c r="BT83" s="7"/>
      <c r="BU83" s="2" t="s">
        <v>632</v>
      </c>
      <c r="BV83" s="2" t="s">
        <v>233</v>
      </c>
      <c r="BW83" s="2" t="s">
        <v>233</v>
      </c>
      <c r="BX83" s="2" t="s">
        <v>233</v>
      </c>
      <c r="BY83" s="2" t="s">
        <v>280</v>
      </c>
      <c r="BZ83" s="2" t="s">
        <v>245</v>
      </c>
      <c r="CA83" s="2" t="s">
        <v>281</v>
      </c>
      <c r="CB83" s="2" t="s">
        <v>633</v>
      </c>
      <c r="CC83" s="2" t="s">
        <v>246</v>
      </c>
      <c r="CD83" s="2" t="s">
        <v>233</v>
      </c>
      <c r="CE83" s="4">
        <v>111</v>
      </c>
      <c r="CF83" s="4">
        <v>1</v>
      </c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>
        <v>50</v>
      </c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>
        <v>20</v>
      </c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</row>
    <row r="84">
      <c r="A84" s="2" t="s">
        <v>634</v>
      </c>
      <c r="B84" s="2" t="s">
        <v>333</v>
      </c>
      <c r="C84" s="2" t="s">
        <v>530</v>
      </c>
      <c r="D84" s="2" t="s">
        <v>335</v>
      </c>
      <c r="E84" s="2" t="s">
        <v>336</v>
      </c>
      <c r="F84" s="2" t="s">
        <v>531</v>
      </c>
      <c r="G84" s="2" t="s">
        <v>531</v>
      </c>
      <c r="H84" s="2" t="s">
        <v>531</v>
      </c>
      <c r="I84" s="2" t="s">
        <v>532</v>
      </c>
      <c r="J84" s="2" t="s">
        <v>284</v>
      </c>
      <c r="K84" s="2" t="s">
        <v>297</v>
      </c>
      <c r="L84" s="3">
        <v>15.19</v>
      </c>
      <c r="M84" s="3">
        <v>15.95</v>
      </c>
      <c r="N84" s="3">
        <v>30.99</v>
      </c>
      <c r="O84" s="2" t="s">
        <v>245</v>
      </c>
      <c r="P84" s="2" t="s">
        <v>272</v>
      </c>
      <c r="Q84" s="2" t="s">
        <v>239</v>
      </c>
      <c r="R84" s="2" t="s">
        <v>233</v>
      </c>
      <c r="S84" s="2" t="s">
        <v>630</v>
      </c>
      <c r="T84" s="2" t="s">
        <v>395</v>
      </c>
      <c r="U84" s="2" t="s">
        <v>233</v>
      </c>
      <c r="V84" s="2" t="s">
        <v>241</v>
      </c>
      <c r="W84" s="2" t="s">
        <v>275</v>
      </c>
      <c r="X84" s="2" t="s">
        <v>233</v>
      </c>
      <c r="Y84" s="2" t="s">
        <v>276</v>
      </c>
      <c r="Z84" s="4">
        <v>68</v>
      </c>
      <c r="AA84" s="4">
        <f>=ROUNDDOWN(17,0)</f>
      </c>
      <c r="AB84" s="5">
        <v>4</v>
      </c>
      <c r="AC84" s="2" t="s">
        <v>319</v>
      </c>
      <c r="AD84" s="4">
        <v>50</v>
      </c>
      <c r="AE84" s="4">
        <v>300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233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233</v>
      </c>
      <c r="AW84" s="8" t="s">
        <v>233</v>
      </c>
      <c r="AX84" s="4" t="s">
        <v>233</v>
      </c>
      <c r="AY84" s="8" t="s">
        <v>233</v>
      </c>
      <c r="AZ84" s="7" t="s">
        <v>233</v>
      </c>
      <c r="BA84" s="7" t="s">
        <v>233</v>
      </c>
      <c r="BB84" s="7"/>
      <c r="BC84" s="4" t="s">
        <v>233</v>
      </c>
      <c r="BD84" s="8" t="s">
        <v>233</v>
      </c>
      <c r="BE84" s="4" t="s">
        <v>233</v>
      </c>
      <c r="BF84" s="8" t="s">
        <v>233</v>
      </c>
      <c r="BG84" s="7" t="s">
        <v>233</v>
      </c>
      <c r="BH84" s="7" t="s">
        <v>233</v>
      </c>
      <c r="BI84" s="7"/>
      <c r="BJ84" s="4">
        <v>13</v>
      </c>
      <c r="BK84" s="8">
        <v>195.09</v>
      </c>
      <c r="BL84" s="2" t="s">
        <v>635</v>
      </c>
      <c r="BM84" s="7"/>
      <c r="BN84" s="7"/>
      <c r="BO84" s="4"/>
      <c r="BP84" s="8"/>
      <c r="BQ84" s="4"/>
      <c r="BR84" s="8"/>
      <c r="BS84" s="7"/>
      <c r="BT84" s="7"/>
      <c r="BU84" s="2" t="s">
        <v>636</v>
      </c>
      <c r="BV84" s="2" t="s">
        <v>233</v>
      </c>
      <c r="BW84" s="2" t="s">
        <v>233</v>
      </c>
      <c r="BX84" s="2" t="s">
        <v>233</v>
      </c>
      <c r="BY84" s="2" t="s">
        <v>280</v>
      </c>
      <c r="BZ84" s="2" t="s">
        <v>245</v>
      </c>
      <c r="CA84" s="2" t="s">
        <v>281</v>
      </c>
      <c r="CB84" s="2" t="s">
        <v>606</v>
      </c>
      <c r="CC84" s="2" t="s">
        <v>246</v>
      </c>
      <c r="CD84" s="2" t="s">
        <v>233</v>
      </c>
      <c r="CE84" s="4">
        <v>68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>
        <v>50</v>
      </c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>
        <v>100</v>
      </c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>
        <v>110</v>
      </c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>
        <v>40</v>
      </c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</row>
    <row r="85">
      <c r="A85" s="2" t="s">
        <v>637</v>
      </c>
      <c r="B85" s="2" t="s">
        <v>333</v>
      </c>
      <c r="C85" s="2" t="s">
        <v>530</v>
      </c>
      <c r="D85" s="2" t="s">
        <v>335</v>
      </c>
      <c r="E85" s="2" t="s">
        <v>336</v>
      </c>
      <c r="F85" s="2" t="s">
        <v>531</v>
      </c>
      <c r="G85" s="2" t="s">
        <v>531</v>
      </c>
      <c r="H85" s="2" t="s">
        <v>531</v>
      </c>
      <c r="I85" s="2" t="s">
        <v>532</v>
      </c>
      <c r="J85" s="2" t="s">
        <v>328</v>
      </c>
      <c r="K85" s="2" t="s">
        <v>297</v>
      </c>
      <c r="L85" s="3">
        <v>21.5</v>
      </c>
      <c r="M85" s="3">
        <v>22.58</v>
      </c>
      <c r="N85" s="3">
        <v>42.99</v>
      </c>
      <c r="O85" s="2" t="s">
        <v>245</v>
      </c>
      <c r="P85" s="2" t="s">
        <v>272</v>
      </c>
      <c r="Q85" s="2" t="s">
        <v>239</v>
      </c>
      <c r="R85" s="2" t="s">
        <v>233</v>
      </c>
      <c r="S85" s="2" t="s">
        <v>630</v>
      </c>
      <c r="T85" s="2" t="s">
        <v>395</v>
      </c>
      <c r="U85" s="2" t="s">
        <v>233</v>
      </c>
      <c r="V85" s="2" t="s">
        <v>241</v>
      </c>
      <c r="W85" s="2" t="s">
        <v>275</v>
      </c>
      <c r="X85" s="2" t="s">
        <v>233</v>
      </c>
      <c r="Y85" s="2" t="s">
        <v>276</v>
      </c>
      <c r="Z85" s="4">
        <v>77</v>
      </c>
      <c r="AA85" s="4">
        <f>=ROUNDDOWN(7,0)</f>
      </c>
      <c r="AB85" s="5">
        <v>11</v>
      </c>
      <c r="AC85" s="2" t="s">
        <v>319</v>
      </c>
      <c r="AD85" s="4">
        <v>70</v>
      </c>
      <c r="AE85" s="4">
        <v>150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233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233</v>
      </c>
      <c r="AW85" s="8" t="s">
        <v>233</v>
      </c>
      <c r="AX85" s="4" t="s">
        <v>233</v>
      </c>
      <c r="AY85" s="8" t="s">
        <v>233</v>
      </c>
      <c r="AZ85" s="7" t="s">
        <v>233</v>
      </c>
      <c r="BA85" s="7" t="s">
        <v>233</v>
      </c>
      <c r="BB85" s="7"/>
      <c r="BC85" s="4" t="s">
        <v>233</v>
      </c>
      <c r="BD85" s="8" t="s">
        <v>233</v>
      </c>
      <c r="BE85" s="4" t="s">
        <v>233</v>
      </c>
      <c r="BF85" s="8" t="s">
        <v>233</v>
      </c>
      <c r="BG85" s="7" t="s">
        <v>233</v>
      </c>
      <c r="BH85" s="7" t="s">
        <v>233</v>
      </c>
      <c r="BI85" s="7"/>
      <c r="BJ85" s="4">
        <v>57</v>
      </c>
      <c r="BK85" s="8">
        <v>1285.97</v>
      </c>
      <c r="BL85" s="2" t="s">
        <v>638</v>
      </c>
      <c r="BM85" s="7"/>
      <c r="BN85" s="7"/>
      <c r="BO85" s="4"/>
      <c r="BP85" s="8"/>
      <c r="BQ85" s="4"/>
      <c r="BR85" s="8"/>
      <c r="BS85" s="7"/>
      <c r="BT85" s="7"/>
      <c r="BU85" s="2" t="s">
        <v>639</v>
      </c>
      <c r="BV85" s="2" t="s">
        <v>233</v>
      </c>
      <c r="BW85" s="2" t="s">
        <v>233</v>
      </c>
      <c r="BX85" s="2" t="s">
        <v>233</v>
      </c>
      <c r="BY85" s="2" t="s">
        <v>280</v>
      </c>
      <c r="BZ85" s="2" t="s">
        <v>245</v>
      </c>
      <c r="CA85" s="2" t="s">
        <v>281</v>
      </c>
      <c r="CB85" s="2" t="s">
        <v>640</v>
      </c>
      <c r="CC85" s="2" t="s">
        <v>246</v>
      </c>
      <c r="CD85" s="2" t="s">
        <v>233</v>
      </c>
      <c r="CE85" s="4">
        <v>77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>
        <v>70</v>
      </c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>
        <v>30</v>
      </c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>
        <v>50</v>
      </c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</row>
    <row r="86">
      <c r="A86" s="2" t="s">
        <v>641</v>
      </c>
      <c r="B86" s="2" t="s">
        <v>333</v>
      </c>
      <c r="C86" s="2" t="s">
        <v>642</v>
      </c>
      <c r="D86" s="2" t="s">
        <v>335</v>
      </c>
      <c r="E86" s="2" t="s">
        <v>336</v>
      </c>
      <c r="F86" s="2" t="s">
        <v>643</v>
      </c>
      <c r="G86" s="2" t="s">
        <v>643</v>
      </c>
      <c r="H86" s="2" t="s">
        <v>233</v>
      </c>
      <c r="I86" s="2" t="s">
        <v>644</v>
      </c>
      <c r="J86" s="2" t="s">
        <v>348</v>
      </c>
      <c r="K86" s="2" t="s">
        <v>645</v>
      </c>
      <c r="L86" s="3">
        <v>34.32</v>
      </c>
      <c r="M86" s="3">
        <v>36.04</v>
      </c>
      <c r="N86" s="3">
        <v>69.99</v>
      </c>
      <c r="O86" s="2" t="s">
        <v>245</v>
      </c>
      <c r="P86" s="2" t="s">
        <v>311</v>
      </c>
      <c r="Q86" s="2" t="s">
        <v>239</v>
      </c>
      <c r="R86" s="2" t="s">
        <v>233</v>
      </c>
      <c r="S86" s="2" t="s">
        <v>646</v>
      </c>
      <c r="T86" s="2" t="s">
        <v>647</v>
      </c>
      <c r="U86" s="2" t="s">
        <v>233</v>
      </c>
      <c r="V86" s="2" t="s">
        <v>241</v>
      </c>
      <c r="W86" s="2" t="s">
        <v>275</v>
      </c>
      <c r="X86" s="2" t="s">
        <v>233</v>
      </c>
      <c r="Y86" s="2" t="s">
        <v>648</v>
      </c>
      <c r="Z86" s="4">
        <v>414</v>
      </c>
      <c r="AA86" s="4">
        <f>=ROUNDDOWN(115,0)</f>
      </c>
      <c r="AB86" s="5">
        <v>3.6</v>
      </c>
      <c r="AC86" s="2" t="s">
        <v>233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233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233</v>
      </c>
      <c r="AW86" s="8" t="s">
        <v>233</v>
      </c>
      <c r="AX86" s="4" t="s">
        <v>233</v>
      </c>
      <c r="AY86" s="8" t="s">
        <v>233</v>
      </c>
      <c r="AZ86" s="7" t="s">
        <v>233</v>
      </c>
      <c r="BA86" s="7" t="s">
        <v>233</v>
      </c>
      <c r="BB86" s="7"/>
      <c r="BC86" s="4" t="s">
        <v>233</v>
      </c>
      <c r="BD86" s="8" t="s">
        <v>233</v>
      </c>
      <c r="BE86" s="4" t="s">
        <v>233</v>
      </c>
      <c r="BF86" s="8" t="s">
        <v>233</v>
      </c>
      <c r="BG86" s="7" t="s">
        <v>233</v>
      </c>
      <c r="BH86" s="7" t="s">
        <v>233</v>
      </c>
      <c r="BI86" s="7"/>
      <c r="BJ86" s="4">
        <v>4</v>
      </c>
      <c r="BK86" s="8">
        <v>151.42</v>
      </c>
      <c r="BL86" s="2" t="s">
        <v>649</v>
      </c>
      <c r="BM86" s="7"/>
      <c r="BN86" s="7"/>
      <c r="BO86" s="4"/>
      <c r="BP86" s="8"/>
      <c r="BQ86" s="4"/>
      <c r="BR86" s="8"/>
      <c r="BS86" s="7"/>
      <c r="BT86" s="7"/>
      <c r="BU86" s="2" t="s">
        <v>650</v>
      </c>
      <c r="BV86" s="2" t="s">
        <v>233</v>
      </c>
      <c r="BW86" s="2" t="s">
        <v>233</v>
      </c>
      <c r="BX86" s="2" t="s">
        <v>233</v>
      </c>
      <c r="BY86" s="2" t="s">
        <v>280</v>
      </c>
      <c r="BZ86" s="2" t="s">
        <v>245</v>
      </c>
      <c r="CA86" s="2" t="s">
        <v>281</v>
      </c>
      <c r="CB86" s="2" t="s">
        <v>651</v>
      </c>
      <c r="CC86" s="2" t="s">
        <v>246</v>
      </c>
      <c r="CD86" s="2" t="s">
        <v>233</v>
      </c>
      <c r="CE86" s="4">
        <v>414</v>
      </c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</row>
    <row r="87">
      <c r="A87" s="2" t="s">
        <v>652</v>
      </c>
      <c r="B87" s="2" t="s">
        <v>333</v>
      </c>
      <c r="C87" s="2" t="s">
        <v>642</v>
      </c>
      <c r="D87" s="2" t="s">
        <v>335</v>
      </c>
      <c r="E87" s="2" t="s">
        <v>336</v>
      </c>
      <c r="F87" s="2" t="s">
        <v>643</v>
      </c>
      <c r="G87" s="2" t="s">
        <v>643</v>
      </c>
      <c r="H87" s="2" t="s">
        <v>233</v>
      </c>
      <c r="I87" s="2" t="s">
        <v>644</v>
      </c>
      <c r="J87" s="2" t="s">
        <v>328</v>
      </c>
      <c r="K87" s="2" t="s">
        <v>645</v>
      </c>
      <c r="L87" s="3">
        <v>37.49</v>
      </c>
      <c r="M87" s="3">
        <v>39.36</v>
      </c>
      <c r="N87" s="3">
        <v>75.99</v>
      </c>
      <c r="O87" s="2" t="s">
        <v>245</v>
      </c>
      <c r="P87" s="2" t="s">
        <v>311</v>
      </c>
      <c r="Q87" s="2" t="s">
        <v>239</v>
      </c>
      <c r="R87" s="2" t="s">
        <v>233</v>
      </c>
      <c r="S87" s="2" t="s">
        <v>646</v>
      </c>
      <c r="T87" s="2" t="s">
        <v>647</v>
      </c>
      <c r="U87" s="2" t="s">
        <v>233</v>
      </c>
      <c r="V87" s="2" t="s">
        <v>241</v>
      </c>
      <c r="W87" s="2" t="s">
        <v>275</v>
      </c>
      <c r="X87" s="2" t="s">
        <v>233</v>
      </c>
      <c r="Y87" s="2" t="s">
        <v>276</v>
      </c>
      <c r="Z87" s="4">
        <v>356</v>
      </c>
      <c r="AA87" s="4">
        <f>=ROUNDDOWN(178,0)</f>
      </c>
      <c r="AB87" s="5">
        <v>2</v>
      </c>
      <c r="AC87" s="2" t="s">
        <v>233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233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233</v>
      </c>
      <c r="AW87" s="8" t="s">
        <v>233</v>
      </c>
      <c r="AX87" s="4" t="s">
        <v>233</v>
      </c>
      <c r="AY87" s="8" t="s">
        <v>233</v>
      </c>
      <c r="AZ87" s="7" t="s">
        <v>233</v>
      </c>
      <c r="BA87" s="7" t="s">
        <v>233</v>
      </c>
      <c r="BB87" s="7"/>
      <c r="BC87" s="4" t="s">
        <v>233</v>
      </c>
      <c r="BD87" s="8" t="s">
        <v>233</v>
      </c>
      <c r="BE87" s="4" t="s">
        <v>233</v>
      </c>
      <c r="BF87" s="8" t="s">
        <v>233</v>
      </c>
      <c r="BG87" s="7" t="s">
        <v>233</v>
      </c>
      <c r="BH87" s="7" t="s">
        <v>233</v>
      </c>
      <c r="BI87" s="7"/>
      <c r="BJ87" s="4">
        <v>4</v>
      </c>
      <c r="BK87" s="8">
        <v>168.5</v>
      </c>
      <c r="BL87" s="2" t="s">
        <v>653</v>
      </c>
      <c r="BM87" s="7"/>
      <c r="BN87" s="7"/>
      <c r="BO87" s="4"/>
      <c r="BP87" s="8"/>
      <c r="BQ87" s="4"/>
      <c r="BR87" s="8"/>
      <c r="BS87" s="7"/>
      <c r="BT87" s="7"/>
      <c r="BU87" s="2" t="s">
        <v>654</v>
      </c>
      <c r="BV87" s="2" t="s">
        <v>233</v>
      </c>
      <c r="BW87" s="2" t="s">
        <v>233</v>
      </c>
      <c r="BX87" s="2" t="s">
        <v>233</v>
      </c>
      <c r="BY87" s="2" t="s">
        <v>280</v>
      </c>
      <c r="BZ87" s="2" t="s">
        <v>245</v>
      </c>
      <c r="CA87" s="2" t="s">
        <v>281</v>
      </c>
      <c r="CB87" s="2" t="s">
        <v>655</v>
      </c>
      <c r="CC87" s="2" t="s">
        <v>246</v>
      </c>
      <c r="CD87" s="2" t="s">
        <v>233</v>
      </c>
      <c r="CE87" s="4">
        <v>356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</row>
    <row r="88">
      <c r="A88" s="2" t="s">
        <v>656</v>
      </c>
      <c r="B88" s="2" t="s">
        <v>333</v>
      </c>
      <c r="C88" s="2" t="s">
        <v>642</v>
      </c>
      <c r="D88" s="2" t="s">
        <v>335</v>
      </c>
      <c r="E88" s="2" t="s">
        <v>336</v>
      </c>
      <c r="F88" s="2" t="s">
        <v>643</v>
      </c>
      <c r="G88" s="2" t="s">
        <v>643</v>
      </c>
      <c r="H88" s="2" t="s">
        <v>233</v>
      </c>
      <c r="I88" s="2" t="s">
        <v>644</v>
      </c>
      <c r="J88" s="2" t="s">
        <v>270</v>
      </c>
      <c r="K88" s="2" t="s">
        <v>255</v>
      </c>
      <c r="L88" s="3">
        <v>25.34</v>
      </c>
      <c r="M88" s="3">
        <v>26.61</v>
      </c>
      <c r="N88" s="3">
        <v>52.99</v>
      </c>
      <c r="O88" s="2" t="s">
        <v>237</v>
      </c>
      <c r="P88" s="2" t="s">
        <v>311</v>
      </c>
      <c r="Q88" s="2" t="s">
        <v>239</v>
      </c>
      <c r="R88" s="2" t="s">
        <v>233</v>
      </c>
      <c r="S88" s="2" t="s">
        <v>657</v>
      </c>
      <c r="T88" s="2" t="s">
        <v>647</v>
      </c>
      <c r="U88" s="2" t="s">
        <v>233</v>
      </c>
      <c r="V88" s="2" t="s">
        <v>241</v>
      </c>
      <c r="W88" s="2" t="s">
        <v>275</v>
      </c>
      <c r="X88" s="2" t="s">
        <v>233</v>
      </c>
      <c r="Y88" s="2" t="s">
        <v>276</v>
      </c>
      <c r="Z88" s="4">
        <v>239</v>
      </c>
      <c r="AA88" s="4">
        <f>=ROUNDDOWN(298.75,0)</f>
      </c>
      <c r="AB88" s="5">
        <v>0.8</v>
      </c>
      <c r="AC88" s="2" t="s">
        <v>233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233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233</v>
      </c>
      <c r="AW88" s="8" t="s">
        <v>233</v>
      </c>
      <c r="AX88" s="4" t="s">
        <v>233</v>
      </c>
      <c r="AY88" s="8" t="s">
        <v>233</v>
      </c>
      <c r="AZ88" s="7" t="s">
        <v>233</v>
      </c>
      <c r="BA88" s="7" t="s">
        <v>233</v>
      </c>
      <c r="BB88" s="7"/>
      <c r="BC88" s="4" t="s">
        <v>233</v>
      </c>
      <c r="BD88" s="8" t="s">
        <v>233</v>
      </c>
      <c r="BE88" s="4" t="s">
        <v>233</v>
      </c>
      <c r="BF88" s="8" t="s">
        <v>233</v>
      </c>
      <c r="BG88" s="7" t="s">
        <v>233</v>
      </c>
      <c r="BH88" s="7" t="s">
        <v>233</v>
      </c>
      <c r="BI88" s="7"/>
      <c r="BJ88" s="4">
        <v>2</v>
      </c>
      <c r="BK88" s="8">
        <v>51.85</v>
      </c>
      <c r="BL88" s="2" t="s">
        <v>658</v>
      </c>
      <c r="BM88" s="7"/>
      <c r="BN88" s="7"/>
      <c r="BO88" s="4"/>
      <c r="BP88" s="8"/>
      <c r="BQ88" s="4"/>
      <c r="BR88" s="8"/>
      <c r="BS88" s="7"/>
      <c r="BT88" s="7"/>
      <c r="BU88" s="2" t="s">
        <v>659</v>
      </c>
      <c r="BV88" s="2" t="s">
        <v>233</v>
      </c>
      <c r="BW88" s="2" t="s">
        <v>233</v>
      </c>
      <c r="BX88" s="2" t="s">
        <v>233</v>
      </c>
      <c r="BY88" s="2" t="s">
        <v>280</v>
      </c>
      <c r="BZ88" s="2" t="s">
        <v>245</v>
      </c>
      <c r="CA88" s="2" t="s">
        <v>281</v>
      </c>
      <c r="CB88" s="2" t="s">
        <v>660</v>
      </c>
      <c r="CC88" s="2" t="s">
        <v>246</v>
      </c>
      <c r="CD88" s="2" t="s">
        <v>233</v>
      </c>
      <c r="CE88" s="4">
        <v>239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</row>
    <row r="89">
      <c r="A89" s="2" t="s">
        <v>661</v>
      </c>
      <c r="B89" s="2" t="s">
        <v>333</v>
      </c>
      <c r="C89" s="2" t="s">
        <v>642</v>
      </c>
      <c r="D89" s="2" t="s">
        <v>335</v>
      </c>
      <c r="E89" s="2" t="s">
        <v>336</v>
      </c>
      <c r="F89" s="2" t="s">
        <v>643</v>
      </c>
      <c r="G89" s="2" t="s">
        <v>643</v>
      </c>
      <c r="H89" s="2" t="s">
        <v>233</v>
      </c>
      <c r="I89" s="2" t="s">
        <v>644</v>
      </c>
      <c r="J89" s="2" t="s">
        <v>348</v>
      </c>
      <c r="K89" s="2" t="s">
        <v>255</v>
      </c>
      <c r="L89" s="3">
        <v>34.32</v>
      </c>
      <c r="M89" s="3">
        <v>36.04</v>
      </c>
      <c r="N89" s="3">
        <v>69.99</v>
      </c>
      <c r="O89" s="2" t="s">
        <v>245</v>
      </c>
      <c r="P89" s="2" t="s">
        <v>311</v>
      </c>
      <c r="Q89" s="2" t="s">
        <v>239</v>
      </c>
      <c r="R89" s="2" t="s">
        <v>233</v>
      </c>
      <c r="S89" s="2" t="s">
        <v>657</v>
      </c>
      <c r="T89" s="2" t="s">
        <v>647</v>
      </c>
      <c r="U89" s="2" t="s">
        <v>233</v>
      </c>
      <c r="V89" s="2" t="s">
        <v>241</v>
      </c>
      <c r="W89" s="2" t="s">
        <v>275</v>
      </c>
      <c r="X89" s="2" t="s">
        <v>233</v>
      </c>
      <c r="Y89" s="2" t="s">
        <v>276</v>
      </c>
      <c r="Z89" s="4">
        <v>196</v>
      </c>
      <c r="AA89" s="4">
        <f>=ROUNDDOWN(72.5925925925926,0)</f>
      </c>
      <c r="AB89" s="5">
        <v>2.7</v>
      </c>
      <c r="AC89" s="2" t="s">
        <v>233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233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233</v>
      </c>
      <c r="AW89" s="8" t="s">
        <v>233</v>
      </c>
      <c r="AX89" s="4" t="s">
        <v>233</v>
      </c>
      <c r="AY89" s="8" t="s">
        <v>233</v>
      </c>
      <c r="AZ89" s="7" t="s">
        <v>233</v>
      </c>
      <c r="BA89" s="7" t="s">
        <v>233</v>
      </c>
      <c r="BB89" s="7"/>
      <c r="BC89" s="4" t="s">
        <v>233</v>
      </c>
      <c r="BD89" s="8" t="s">
        <v>233</v>
      </c>
      <c r="BE89" s="4" t="s">
        <v>233</v>
      </c>
      <c r="BF89" s="8" t="s">
        <v>233</v>
      </c>
      <c r="BG89" s="7" t="s">
        <v>233</v>
      </c>
      <c r="BH89" s="7" t="s">
        <v>233</v>
      </c>
      <c r="BI89" s="7"/>
      <c r="BJ89" s="4">
        <v>1</v>
      </c>
      <c r="BK89" s="8">
        <v>38.2</v>
      </c>
      <c r="BL89" s="2" t="s">
        <v>662</v>
      </c>
      <c r="BM89" s="7"/>
      <c r="BN89" s="7"/>
      <c r="BO89" s="4"/>
      <c r="BP89" s="8"/>
      <c r="BQ89" s="4"/>
      <c r="BR89" s="8"/>
      <c r="BS89" s="7"/>
      <c r="BT89" s="7"/>
      <c r="BU89" s="2" t="s">
        <v>663</v>
      </c>
      <c r="BV89" s="2" t="s">
        <v>233</v>
      </c>
      <c r="BW89" s="2" t="s">
        <v>233</v>
      </c>
      <c r="BX89" s="2" t="s">
        <v>233</v>
      </c>
      <c r="BY89" s="2" t="s">
        <v>280</v>
      </c>
      <c r="BZ89" s="2" t="s">
        <v>245</v>
      </c>
      <c r="CA89" s="2" t="s">
        <v>281</v>
      </c>
      <c r="CB89" s="2" t="s">
        <v>664</v>
      </c>
      <c r="CC89" s="2" t="s">
        <v>246</v>
      </c>
      <c r="CD89" s="2" t="s">
        <v>233</v>
      </c>
      <c r="CE89" s="4">
        <v>196</v>
      </c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</row>
    <row r="90">
      <c r="A90" s="2" t="s">
        <v>665</v>
      </c>
      <c r="B90" s="2" t="s">
        <v>333</v>
      </c>
      <c r="C90" s="2" t="s">
        <v>642</v>
      </c>
      <c r="D90" s="2" t="s">
        <v>335</v>
      </c>
      <c r="E90" s="2" t="s">
        <v>336</v>
      </c>
      <c r="F90" s="2" t="s">
        <v>643</v>
      </c>
      <c r="G90" s="2" t="s">
        <v>643</v>
      </c>
      <c r="H90" s="2" t="s">
        <v>233</v>
      </c>
      <c r="I90" s="2" t="s">
        <v>644</v>
      </c>
      <c r="J90" s="2" t="s">
        <v>270</v>
      </c>
      <c r="K90" s="2" t="s">
        <v>569</v>
      </c>
      <c r="L90" s="3">
        <v>25.34</v>
      </c>
      <c r="M90" s="3">
        <v>26.61</v>
      </c>
      <c r="N90" s="3">
        <v>52.99</v>
      </c>
      <c r="O90" s="2" t="s">
        <v>245</v>
      </c>
      <c r="P90" s="2" t="s">
        <v>311</v>
      </c>
      <c r="Q90" s="2" t="s">
        <v>239</v>
      </c>
      <c r="R90" s="2" t="s">
        <v>233</v>
      </c>
      <c r="S90" s="2" t="s">
        <v>666</v>
      </c>
      <c r="T90" s="2" t="s">
        <v>647</v>
      </c>
      <c r="U90" s="2" t="s">
        <v>233</v>
      </c>
      <c r="V90" s="2" t="s">
        <v>241</v>
      </c>
      <c r="W90" s="2" t="s">
        <v>275</v>
      </c>
      <c r="X90" s="2" t="s">
        <v>233</v>
      </c>
      <c r="Y90" s="2" t="s">
        <v>667</v>
      </c>
      <c r="Z90" s="4">
        <v>69</v>
      </c>
      <c r="AA90" s="4">
        <f>=ROUNDDOWN(32.8571428571429,0)</f>
      </c>
      <c r="AB90" s="5">
        <v>2.1</v>
      </c>
      <c r="AC90" s="2" t="s">
        <v>233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233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 t="s">
        <v>233</v>
      </c>
      <c r="BD90" s="8" t="s">
        <v>233</v>
      </c>
      <c r="BE90" s="4" t="s">
        <v>233</v>
      </c>
      <c r="BF90" s="8" t="s">
        <v>233</v>
      </c>
      <c r="BG90" s="7" t="s">
        <v>233</v>
      </c>
      <c r="BH90" s="7" t="s">
        <v>233</v>
      </c>
      <c r="BI90" s="7"/>
      <c r="BJ90" s="4">
        <v>2</v>
      </c>
      <c r="BK90" s="8">
        <v>45.34</v>
      </c>
      <c r="BL90" s="2" t="s">
        <v>668</v>
      </c>
      <c r="BM90" s="7"/>
      <c r="BN90" s="7"/>
      <c r="BO90" s="4"/>
      <c r="BP90" s="8"/>
      <c r="BQ90" s="4"/>
      <c r="BR90" s="8"/>
      <c r="BS90" s="7"/>
      <c r="BT90" s="7"/>
      <c r="BU90" s="2" t="s">
        <v>669</v>
      </c>
      <c r="BV90" s="2" t="s">
        <v>233</v>
      </c>
      <c r="BW90" s="2" t="s">
        <v>233</v>
      </c>
      <c r="BX90" s="2" t="s">
        <v>233</v>
      </c>
      <c r="BY90" s="2" t="s">
        <v>280</v>
      </c>
      <c r="BZ90" s="2" t="s">
        <v>245</v>
      </c>
      <c r="CA90" s="2" t="s">
        <v>281</v>
      </c>
      <c r="CB90" s="2" t="s">
        <v>670</v>
      </c>
      <c r="CC90" s="2" t="s">
        <v>246</v>
      </c>
      <c r="CD90" s="2" t="s">
        <v>233</v>
      </c>
      <c r="CE90" s="4">
        <v>69</v>
      </c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</row>
    <row r="91">
      <c r="A91" s="2" t="s">
        <v>671</v>
      </c>
      <c r="B91" s="2" t="s">
        <v>333</v>
      </c>
      <c r="C91" s="2" t="s">
        <v>642</v>
      </c>
      <c r="D91" s="2" t="s">
        <v>335</v>
      </c>
      <c r="E91" s="2" t="s">
        <v>336</v>
      </c>
      <c r="F91" s="2" t="s">
        <v>643</v>
      </c>
      <c r="G91" s="2" t="s">
        <v>643</v>
      </c>
      <c r="H91" s="2" t="s">
        <v>233</v>
      </c>
      <c r="I91" s="2" t="s">
        <v>644</v>
      </c>
      <c r="J91" s="2" t="s">
        <v>270</v>
      </c>
      <c r="K91" s="2" t="s">
        <v>672</v>
      </c>
      <c r="L91" s="3">
        <v>25.34</v>
      </c>
      <c r="M91" s="3">
        <v>26.61</v>
      </c>
      <c r="N91" s="3">
        <v>52.99</v>
      </c>
      <c r="O91" s="2" t="s">
        <v>245</v>
      </c>
      <c r="P91" s="2" t="s">
        <v>311</v>
      </c>
      <c r="Q91" s="2" t="s">
        <v>239</v>
      </c>
      <c r="R91" s="2" t="s">
        <v>233</v>
      </c>
      <c r="S91" s="2" t="s">
        <v>673</v>
      </c>
      <c r="T91" s="2" t="s">
        <v>647</v>
      </c>
      <c r="U91" s="2" t="s">
        <v>233</v>
      </c>
      <c r="V91" s="2" t="s">
        <v>241</v>
      </c>
      <c r="W91" s="2" t="s">
        <v>275</v>
      </c>
      <c r="X91" s="2" t="s">
        <v>233</v>
      </c>
      <c r="Y91" s="2" t="s">
        <v>276</v>
      </c>
      <c r="Z91" s="4">
        <v>84</v>
      </c>
      <c r="AA91" s="4">
        <f>=ROUNDDOWN(105,0)</f>
      </c>
      <c r="AB91" s="5">
        <v>0.8</v>
      </c>
      <c r="AC91" s="2" t="s">
        <v>233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233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233</v>
      </c>
      <c r="AW91" s="8" t="s">
        <v>233</v>
      </c>
      <c r="AX91" s="4" t="s">
        <v>233</v>
      </c>
      <c r="AY91" s="8" t="s">
        <v>233</v>
      </c>
      <c r="AZ91" s="7" t="s">
        <v>233</v>
      </c>
      <c r="BA91" s="7" t="s">
        <v>233</v>
      </c>
      <c r="BB91" s="7"/>
      <c r="BC91" s="4" t="s">
        <v>233</v>
      </c>
      <c r="BD91" s="8" t="s">
        <v>233</v>
      </c>
      <c r="BE91" s="4" t="s">
        <v>233</v>
      </c>
      <c r="BF91" s="8" t="s">
        <v>233</v>
      </c>
      <c r="BG91" s="7" t="s">
        <v>233</v>
      </c>
      <c r="BH91" s="7" t="s">
        <v>233</v>
      </c>
      <c r="BI91" s="7"/>
      <c r="BJ91" s="4">
        <v>1</v>
      </c>
      <c r="BK91" s="8">
        <v>27.87</v>
      </c>
      <c r="BL91" s="2" t="s">
        <v>674</v>
      </c>
      <c r="BM91" s="7"/>
      <c r="BN91" s="7"/>
      <c r="BO91" s="4"/>
      <c r="BP91" s="8"/>
      <c r="BQ91" s="4"/>
      <c r="BR91" s="8"/>
      <c r="BS91" s="7"/>
      <c r="BT91" s="7"/>
      <c r="BU91" s="2" t="s">
        <v>675</v>
      </c>
      <c r="BV91" s="2" t="s">
        <v>233</v>
      </c>
      <c r="BW91" s="2" t="s">
        <v>233</v>
      </c>
      <c r="BX91" s="2" t="s">
        <v>233</v>
      </c>
      <c r="BY91" s="2" t="s">
        <v>280</v>
      </c>
      <c r="BZ91" s="2" t="s">
        <v>245</v>
      </c>
      <c r="CA91" s="2" t="s">
        <v>281</v>
      </c>
      <c r="CB91" s="2" t="s">
        <v>676</v>
      </c>
      <c r="CC91" s="2" t="s">
        <v>246</v>
      </c>
      <c r="CD91" s="2" t="s">
        <v>233</v>
      </c>
      <c r="CE91" s="4">
        <v>84</v>
      </c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</row>
    <row r="92">
      <c r="A92" s="2" t="s">
        <v>677</v>
      </c>
      <c r="B92" s="2" t="s">
        <v>333</v>
      </c>
      <c r="C92" s="2" t="s">
        <v>642</v>
      </c>
      <c r="D92" s="2" t="s">
        <v>335</v>
      </c>
      <c r="E92" s="2" t="s">
        <v>336</v>
      </c>
      <c r="F92" s="2" t="s">
        <v>643</v>
      </c>
      <c r="G92" s="2" t="s">
        <v>643</v>
      </c>
      <c r="H92" s="2" t="s">
        <v>233</v>
      </c>
      <c r="I92" s="2" t="s">
        <v>644</v>
      </c>
      <c r="J92" s="2" t="s">
        <v>290</v>
      </c>
      <c r="K92" s="2" t="s">
        <v>672</v>
      </c>
      <c r="L92" s="3">
        <v>31.68</v>
      </c>
      <c r="M92" s="3">
        <v>33.26</v>
      </c>
      <c r="N92" s="3">
        <v>64.99</v>
      </c>
      <c r="O92" s="2" t="s">
        <v>245</v>
      </c>
      <c r="P92" s="2" t="s">
        <v>311</v>
      </c>
      <c r="Q92" s="2" t="s">
        <v>239</v>
      </c>
      <c r="R92" s="2" t="s">
        <v>233</v>
      </c>
      <c r="S92" s="2" t="s">
        <v>673</v>
      </c>
      <c r="T92" s="2" t="s">
        <v>647</v>
      </c>
      <c r="U92" s="2" t="s">
        <v>233</v>
      </c>
      <c r="V92" s="2" t="s">
        <v>241</v>
      </c>
      <c r="W92" s="2" t="s">
        <v>275</v>
      </c>
      <c r="X92" s="2" t="s">
        <v>233</v>
      </c>
      <c r="Y92" s="2" t="s">
        <v>276</v>
      </c>
      <c r="Z92" s="4">
        <v>63</v>
      </c>
      <c r="AA92" s="4">
        <f>=ROUNDDOWN(31.5,0)</f>
      </c>
      <c r="AB92" s="5">
        <v>2</v>
      </c>
      <c r="AC92" s="2" t="s">
        <v>233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233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233</v>
      </c>
      <c r="AW92" s="8" t="s">
        <v>233</v>
      </c>
      <c r="AX92" s="4" t="s">
        <v>233</v>
      </c>
      <c r="AY92" s="8" t="s">
        <v>233</v>
      </c>
      <c r="AZ92" s="7" t="s">
        <v>233</v>
      </c>
      <c r="BA92" s="7" t="s">
        <v>233</v>
      </c>
      <c r="BB92" s="7"/>
      <c r="BC92" s="4" t="s">
        <v>233</v>
      </c>
      <c r="BD92" s="8" t="s">
        <v>233</v>
      </c>
      <c r="BE92" s="4" t="s">
        <v>233</v>
      </c>
      <c r="BF92" s="8" t="s">
        <v>233</v>
      </c>
      <c r="BG92" s="7" t="s">
        <v>233</v>
      </c>
      <c r="BH92" s="7" t="s">
        <v>233</v>
      </c>
      <c r="BI92" s="7"/>
      <c r="BJ92" s="4">
        <v>2</v>
      </c>
      <c r="BK92" s="8">
        <v>68.12</v>
      </c>
      <c r="BL92" s="2" t="s">
        <v>678</v>
      </c>
      <c r="BM92" s="7"/>
      <c r="BN92" s="7"/>
      <c r="BO92" s="4"/>
      <c r="BP92" s="8"/>
      <c r="BQ92" s="4"/>
      <c r="BR92" s="8"/>
      <c r="BS92" s="7"/>
      <c r="BT92" s="7"/>
      <c r="BU92" s="2" t="s">
        <v>679</v>
      </c>
      <c r="BV92" s="2" t="s">
        <v>233</v>
      </c>
      <c r="BW92" s="2" t="s">
        <v>233</v>
      </c>
      <c r="BX92" s="2" t="s">
        <v>233</v>
      </c>
      <c r="BY92" s="2" t="s">
        <v>280</v>
      </c>
      <c r="BZ92" s="2" t="s">
        <v>245</v>
      </c>
      <c r="CA92" s="2" t="s">
        <v>281</v>
      </c>
      <c r="CB92" s="2" t="s">
        <v>680</v>
      </c>
      <c r="CC92" s="2" t="s">
        <v>246</v>
      </c>
      <c r="CD92" s="2" t="s">
        <v>233</v>
      </c>
      <c r="CE92" s="4">
        <v>63</v>
      </c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</row>
    <row r="93">
      <c r="A93" s="2" t="s">
        <v>681</v>
      </c>
      <c r="B93" s="2" t="s">
        <v>333</v>
      </c>
      <c r="C93" s="2" t="s">
        <v>642</v>
      </c>
      <c r="D93" s="2" t="s">
        <v>335</v>
      </c>
      <c r="E93" s="2" t="s">
        <v>336</v>
      </c>
      <c r="F93" s="2" t="s">
        <v>643</v>
      </c>
      <c r="G93" s="2" t="s">
        <v>643</v>
      </c>
      <c r="H93" s="2" t="s">
        <v>233</v>
      </c>
      <c r="I93" s="2" t="s">
        <v>644</v>
      </c>
      <c r="J93" s="2" t="s">
        <v>348</v>
      </c>
      <c r="K93" s="2" t="s">
        <v>672</v>
      </c>
      <c r="L93" s="3">
        <v>34.32</v>
      </c>
      <c r="M93" s="3">
        <v>36.04</v>
      </c>
      <c r="N93" s="3">
        <v>69.99</v>
      </c>
      <c r="O93" s="2" t="s">
        <v>245</v>
      </c>
      <c r="P93" s="2" t="s">
        <v>311</v>
      </c>
      <c r="Q93" s="2" t="s">
        <v>239</v>
      </c>
      <c r="R93" s="2" t="s">
        <v>233</v>
      </c>
      <c r="S93" s="2" t="s">
        <v>673</v>
      </c>
      <c r="T93" s="2" t="s">
        <v>647</v>
      </c>
      <c r="U93" s="2" t="s">
        <v>233</v>
      </c>
      <c r="V93" s="2" t="s">
        <v>241</v>
      </c>
      <c r="W93" s="2" t="s">
        <v>275</v>
      </c>
      <c r="X93" s="2" t="s">
        <v>233</v>
      </c>
      <c r="Y93" s="2" t="s">
        <v>276</v>
      </c>
      <c r="Z93" s="4"/>
      <c r="AA93" s="4">
        <f>=ROUNDDOWN({0},0)</f>
      </c>
      <c r="AB93" s="5">
        <v>9.5</v>
      </c>
      <c r="AC93" s="2" t="s">
        <v>233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233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233</v>
      </c>
      <c r="AW93" s="8" t="s">
        <v>233</v>
      </c>
      <c r="AX93" s="4" t="s">
        <v>233</v>
      </c>
      <c r="AY93" s="8" t="s">
        <v>233</v>
      </c>
      <c r="AZ93" s="7" t="s">
        <v>233</v>
      </c>
      <c r="BA93" s="7" t="s">
        <v>233</v>
      </c>
      <c r="BB93" s="7"/>
      <c r="BC93" s="4" t="s">
        <v>233</v>
      </c>
      <c r="BD93" s="8" t="s">
        <v>233</v>
      </c>
      <c r="BE93" s="4" t="s">
        <v>233</v>
      </c>
      <c r="BF93" s="8" t="s">
        <v>233</v>
      </c>
      <c r="BG93" s="7" t="s">
        <v>233</v>
      </c>
      <c r="BH93" s="7" t="s">
        <v>233</v>
      </c>
      <c r="BI93" s="7"/>
      <c r="BJ93" s="4"/>
      <c r="BK93" s="8"/>
      <c r="BL93" s="2" t="s">
        <v>682</v>
      </c>
      <c r="BM93" s="7"/>
      <c r="BN93" s="7"/>
      <c r="BO93" s="4"/>
      <c r="BP93" s="8"/>
      <c r="BQ93" s="4"/>
      <c r="BR93" s="8"/>
      <c r="BS93" s="7"/>
      <c r="BT93" s="7"/>
      <c r="BU93" s="2" t="s">
        <v>683</v>
      </c>
      <c r="BV93" s="2" t="s">
        <v>233</v>
      </c>
      <c r="BW93" s="2" t="s">
        <v>233</v>
      </c>
      <c r="BX93" s="2" t="s">
        <v>233</v>
      </c>
      <c r="BY93" s="2" t="s">
        <v>280</v>
      </c>
      <c r="BZ93" s="2" t="s">
        <v>245</v>
      </c>
      <c r="CA93" s="2" t="s">
        <v>281</v>
      </c>
      <c r="CB93" s="2" t="s">
        <v>684</v>
      </c>
      <c r="CC93" s="2" t="s">
        <v>246</v>
      </c>
      <c r="CD93" s="2" t="s">
        <v>233</v>
      </c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</row>
    <row r="94">
      <c r="A94" s="2" t="s">
        <v>685</v>
      </c>
      <c r="B94" s="2" t="s">
        <v>333</v>
      </c>
      <c r="C94" s="2" t="s">
        <v>642</v>
      </c>
      <c r="D94" s="2" t="s">
        <v>335</v>
      </c>
      <c r="E94" s="2" t="s">
        <v>336</v>
      </c>
      <c r="F94" s="2" t="s">
        <v>643</v>
      </c>
      <c r="G94" s="2" t="s">
        <v>643</v>
      </c>
      <c r="H94" s="2" t="s">
        <v>233</v>
      </c>
      <c r="I94" s="2" t="s">
        <v>644</v>
      </c>
      <c r="J94" s="2" t="s">
        <v>270</v>
      </c>
      <c r="K94" s="2" t="s">
        <v>257</v>
      </c>
      <c r="L94" s="3">
        <v>25.34</v>
      </c>
      <c r="M94" s="3">
        <v>26.61</v>
      </c>
      <c r="N94" s="3">
        <v>52.99</v>
      </c>
      <c r="O94" s="2" t="s">
        <v>237</v>
      </c>
      <c r="P94" s="2" t="s">
        <v>311</v>
      </c>
      <c r="Q94" s="2" t="s">
        <v>239</v>
      </c>
      <c r="R94" s="2" t="s">
        <v>233</v>
      </c>
      <c r="S94" s="2" t="s">
        <v>686</v>
      </c>
      <c r="T94" s="2" t="s">
        <v>647</v>
      </c>
      <c r="U94" s="2" t="s">
        <v>233</v>
      </c>
      <c r="V94" s="2" t="s">
        <v>241</v>
      </c>
      <c r="W94" s="2" t="s">
        <v>275</v>
      </c>
      <c r="X94" s="2" t="s">
        <v>233</v>
      </c>
      <c r="Y94" s="2" t="s">
        <v>687</v>
      </c>
      <c r="Z94" s="4">
        <v>107</v>
      </c>
      <c r="AA94" s="4">
        <f>=ROUNDDOWN(133.75,0)</f>
      </c>
      <c r="AB94" s="5">
        <v>0.8</v>
      </c>
      <c r="AC94" s="2" t="s">
        <v>233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233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233</v>
      </c>
      <c r="AW94" s="8" t="s">
        <v>233</v>
      </c>
      <c r="AX94" s="4" t="s">
        <v>233</v>
      </c>
      <c r="AY94" s="8" t="s">
        <v>233</v>
      </c>
      <c r="AZ94" s="7" t="s">
        <v>233</v>
      </c>
      <c r="BA94" s="7" t="s">
        <v>233</v>
      </c>
      <c r="BB94" s="7"/>
      <c r="BC94" s="4" t="s">
        <v>233</v>
      </c>
      <c r="BD94" s="8" t="s">
        <v>233</v>
      </c>
      <c r="BE94" s="4" t="s">
        <v>233</v>
      </c>
      <c r="BF94" s="8" t="s">
        <v>233</v>
      </c>
      <c r="BG94" s="7" t="s">
        <v>233</v>
      </c>
      <c r="BH94" s="7" t="s">
        <v>233</v>
      </c>
      <c r="BI94" s="7"/>
      <c r="BJ94" s="4">
        <v>1</v>
      </c>
      <c r="BK94" s="8">
        <v>22.67</v>
      </c>
      <c r="BL94" s="2" t="s">
        <v>688</v>
      </c>
      <c r="BM94" s="7"/>
      <c r="BN94" s="7"/>
      <c r="BO94" s="4"/>
      <c r="BP94" s="8"/>
      <c r="BQ94" s="4"/>
      <c r="BR94" s="8"/>
      <c r="BS94" s="7"/>
      <c r="BT94" s="7"/>
      <c r="BU94" s="2" t="s">
        <v>689</v>
      </c>
      <c r="BV94" s="2" t="s">
        <v>233</v>
      </c>
      <c r="BW94" s="2" t="s">
        <v>233</v>
      </c>
      <c r="BX94" s="2" t="s">
        <v>233</v>
      </c>
      <c r="BY94" s="2" t="s">
        <v>280</v>
      </c>
      <c r="BZ94" s="2" t="s">
        <v>245</v>
      </c>
      <c r="CA94" s="2" t="s">
        <v>281</v>
      </c>
      <c r="CB94" s="2" t="s">
        <v>670</v>
      </c>
      <c r="CC94" s="2" t="s">
        <v>246</v>
      </c>
      <c r="CD94" s="2" t="s">
        <v>233</v>
      </c>
      <c r="CE94" s="4">
        <v>107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</row>
    <row r="95">
      <c r="A95" s="2" t="s">
        <v>690</v>
      </c>
      <c r="B95" s="2" t="s">
        <v>333</v>
      </c>
      <c r="C95" s="2" t="s">
        <v>642</v>
      </c>
      <c r="D95" s="2" t="s">
        <v>335</v>
      </c>
      <c r="E95" s="2" t="s">
        <v>336</v>
      </c>
      <c r="F95" s="2" t="s">
        <v>643</v>
      </c>
      <c r="G95" s="2" t="s">
        <v>643</v>
      </c>
      <c r="H95" s="2" t="s">
        <v>233</v>
      </c>
      <c r="I95" s="2" t="s">
        <v>644</v>
      </c>
      <c r="J95" s="2" t="s">
        <v>290</v>
      </c>
      <c r="K95" s="2" t="s">
        <v>257</v>
      </c>
      <c r="L95" s="3">
        <v>31.68</v>
      </c>
      <c r="M95" s="3">
        <v>33.26</v>
      </c>
      <c r="N95" s="3">
        <v>64.99</v>
      </c>
      <c r="O95" s="2" t="s">
        <v>245</v>
      </c>
      <c r="P95" s="2" t="s">
        <v>311</v>
      </c>
      <c r="Q95" s="2" t="s">
        <v>239</v>
      </c>
      <c r="R95" s="2" t="s">
        <v>233</v>
      </c>
      <c r="S95" s="2" t="s">
        <v>686</v>
      </c>
      <c r="T95" s="2" t="s">
        <v>647</v>
      </c>
      <c r="U95" s="2" t="s">
        <v>233</v>
      </c>
      <c r="V95" s="2" t="s">
        <v>241</v>
      </c>
      <c r="W95" s="2" t="s">
        <v>275</v>
      </c>
      <c r="X95" s="2" t="s">
        <v>233</v>
      </c>
      <c r="Y95" s="2" t="s">
        <v>276</v>
      </c>
      <c r="Z95" s="4">
        <v>210</v>
      </c>
      <c r="AA95" s="4">
        <f>=ROUNDDOWN({0},0)</f>
      </c>
      <c r="AB95" s="5"/>
      <c r="AC95" s="2" t="s">
        <v>233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233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233</v>
      </c>
      <c r="AW95" s="8" t="s">
        <v>233</v>
      </c>
      <c r="AX95" s="4" t="s">
        <v>233</v>
      </c>
      <c r="AY95" s="8" t="s">
        <v>233</v>
      </c>
      <c r="AZ95" s="7" t="s">
        <v>233</v>
      </c>
      <c r="BA95" s="7" t="s">
        <v>233</v>
      </c>
      <c r="BB95" s="7"/>
      <c r="BC95" s="4" t="s">
        <v>233</v>
      </c>
      <c r="BD95" s="8" t="s">
        <v>233</v>
      </c>
      <c r="BE95" s="4" t="s">
        <v>233</v>
      </c>
      <c r="BF95" s="8" t="s">
        <v>233</v>
      </c>
      <c r="BG95" s="7" t="s">
        <v>233</v>
      </c>
      <c r="BH95" s="7" t="s">
        <v>233</v>
      </c>
      <c r="BI95" s="7"/>
      <c r="BJ95" s="4"/>
      <c r="BK95" s="8"/>
      <c r="BL95" s="2" t="s">
        <v>691</v>
      </c>
      <c r="BM95" s="7"/>
      <c r="BN95" s="7"/>
      <c r="BO95" s="4"/>
      <c r="BP95" s="8"/>
      <c r="BQ95" s="4"/>
      <c r="BR95" s="8"/>
      <c r="BS95" s="7"/>
      <c r="BT95" s="7"/>
      <c r="BU95" s="2" t="s">
        <v>692</v>
      </c>
      <c r="BV95" s="2" t="s">
        <v>233</v>
      </c>
      <c r="BW95" s="2" t="s">
        <v>233</v>
      </c>
      <c r="BX95" s="2" t="s">
        <v>233</v>
      </c>
      <c r="BY95" s="2" t="s">
        <v>280</v>
      </c>
      <c r="BZ95" s="2" t="s">
        <v>245</v>
      </c>
      <c r="CA95" s="2" t="s">
        <v>281</v>
      </c>
      <c r="CB95" s="2" t="s">
        <v>633</v>
      </c>
      <c r="CC95" s="2" t="s">
        <v>246</v>
      </c>
      <c r="CD95" s="2" t="s">
        <v>233</v>
      </c>
      <c r="CE95" s="4">
        <v>210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</row>
    <row r="96">
      <c r="A96" s="2" t="s">
        <v>693</v>
      </c>
      <c r="B96" s="2" t="s">
        <v>333</v>
      </c>
      <c r="C96" s="2" t="s">
        <v>642</v>
      </c>
      <c r="D96" s="2" t="s">
        <v>335</v>
      </c>
      <c r="E96" s="2" t="s">
        <v>336</v>
      </c>
      <c r="F96" s="2" t="s">
        <v>643</v>
      </c>
      <c r="G96" s="2" t="s">
        <v>643</v>
      </c>
      <c r="H96" s="2" t="s">
        <v>233</v>
      </c>
      <c r="I96" s="2" t="s">
        <v>644</v>
      </c>
      <c r="J96" s="2" t="s">
        <v>348</v>
      </c>
      <c r="K96" s="2" t="s">
        <v>257</v>
      </c>
      <c r="L96" s="3">
        <v>34.32</v>
      </c>
      <c r="M96" s="3">
        <v>36.04</v>
      </c>
      <c r="N96" s="3">
        <v>69.99</v>
      </c>
      <c r="O96" s="2" t="s">
        <v>245</v>
      </c>
      <c r="P96" s="2" t="s">
        <v>311</v>
      </c>
      <c r="Q96" s="2" t="s">
        <v>239</v>
      </c>
      <c r="R96" s="2" t="s">
        <v>233</v>
      </c>
      <c r="S96" s="2" t="s">
        <v>686</v>
      </c>
      <c r="T96" s="2" t="s">
        <v>647</v>
      </c>
      <c r="U96" s="2" t="s">
        <v>233</v>
      </c>
      <c r="V96" s="2" t="s">
        <v>241</v>
      </c>
      <c r="W96" s="2" t="s">
        <v>275</v>
      </c>
      <c r="X96" s="2" t="s">
        <v>233</v>
      </c>
      <c r="Y96" s="2" t="s">
        <v>276</v>
      </c>
      <c r="Z96" s="4">
        <v>312</v>
      </c>
      <c r="AA96" s="4">
        <f>=ROUNDDOWN(66.3829787234042,0)</f>
      </c>
      <c r="AB96" s="5">
        <v>4.7</v>
      </c>
      <c r="AC96" s="2" t="s">
        <v>233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233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233</v>
      </c>
      <c r="AW96" s="8" t="s">
        <v>233</v>
      </c>
      <c r="AX96" s="4" t="s">
        <v>233</v>
      </c>
      <c r="AY96" s="8" t="s">
        <v>233</v>
      </c>
      <c r="AZ96" s="7" t="s">
        <v>233</v>
      </c>
      <c r="BA96" s="7" t="s">
        <v>233</v>
      </c>
      <c r="BB96" s="7"/>
      <c r="BC96" s="4" t="s">
        <v>233</v>
      </c>
      <c r="BD96" s="8" t="s">
        <v>233</v>
      </c>
      <c r="BE96" s="4" t="s">
        <v>233</v>
      </c>
      <c r="BF96" s="8" t="s">
        <v>233</v>
      </c>
      <c r="BG96" s="7" t="s">
        <v>233</v>
      </c>
      <c r="BH96" s="7" t="s">
        <v>233</v>
      </c>
      <c r="BI96" s="7"/>
      <c r="BJ96" s="4">
        <v>4</v>
      </c>
      <c r="BK96" s="8">
        <v>153.88</v>
      </c>
      <c r="BL96" s="2" t="s">
        <v>694</v>
      </c>
      <c r="BM96" s="7"/>
      <c r="BN96" s="7"/>
      <c r="BO96" s="4"/>
      <c r="BP96" s="8"/>
      <c r="BQ96" s="4"/>
      <c r="BR96" s="8"/>
      <c r="BS96" s="7"/>
      <c r="BT96" s="7"/>
      <c r="BU96" s="2" t="s">
        <v>695</v>
      </c>
      <c r="BV96" s="2" t="s">
        <v>233</v>
      </c>
      <c r="BW96" s="2" t="s">
        <v>233</v>
      </c>
      <c r="BX96" s="2" t="s">
        <v>233</v>
      </c>
      <c r="BY96" s="2" t="s">
        <v>280</v>
      </c>
      <c r="BZ96" s="2" t="s">
        <v>245</v>
      </c>
      <c r="CA96" s="2" t="s">
        <v>281</v>
      </c>
      <c r="CB96" s="2" t="s">
        <v>696</v>
      </c>
      <c r="CC96" s="2" t="s">
        <v>246</v>
      </c>
      <c r="CD96" s="2" t="s">
        <v>233</v>
      </c>
      <c r="CE96" s="4">
        <v>312</v>
      </c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</row>
    <row r="97">
      <c r="A97" s="2" t="s">
        <v>697</v>
      </c>
      <c r="B97" s="2" t="s">
        <v>333</v>
      </c>
      <c r="C97" s="2" t="s">
        <v>642</v>
      </c>
      <c r="D97" s="2" t="s">
        <v>335</v>
      </c>
      <c r="E97" s="2" t="s">
        <v>336</v>
      </c>
      <c r="F97" s="2" t="s">
        <v>643</v>
      </c>
      <c r="G97" s="2" t="s">
        <v>643</v>
      </c>
      <c r="H97" s="2" t="s">
        <v>233</v>
      </c>
      <c r="I97" s="2" t="s">
        <v>644</v>
      </c>
      <c r="J97" s="2" t="s">
        <v>328</v>
      </c>
      <c r="K97" s="2" t="s">
        <v>257</v>
      </c>
      <c r="L97" s="3">
        <v>37.49</v>
      </c>
      <c r="M97" s="3">
        <v>39.36</v>
      </c>
      <c r="N97" s="3">
        <v>75.99</v>
      </c>
      <c r="O97" s="2" t="s">
        <v>245</v>
      </c>
      <c r="P97" s="2" t="s">
        <v>311</v>
      </c>
      <c r="Q97" s="2" t="s">
        <v>239</v>
      </c>
      <c r="R97" s="2" t="s">
        <v>233</v>
      </c>
      <c r="S97" s="2" t="s">
        <v>686</v>
      </c>
      <c r="T97" s="2" t="s">
        <v>647</v>
      </c>
      <c r="U97" s="2" t="s">
        <v>233</v>
      </c>
      <c r="V97" s="2" t="s">
        <v>241</v>
      </c>
      <c r="W97" s="2" t="s">
        <v>275</v>
      </c>
      <c r="X97" s="2" t="s">
        <v>233</v>
      </c>
      <c r="Y97" s="2" t="s">
        <v>276</v>
      </c>
      <c r="Z97" s="4">
        <v>275</v>
      </c>
      <c r="AA97" s="4">
        <f>=ROUNDDOWN(211.538461538462,0)</f>
      </c>
      <c r="AB97" s="5">
        <v>1.3</v>
      </c>
      <c r="AC97" s="2" t="s">
        <v>233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233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233</v>
      </c>
      <c r="AW97" s="8" t="s">
        <v>233</v>
      </c>
      <c r="AX97" s="4" t="s">
        <v>233</v>
      </c>
      <c r="AY97" s="8" t="s">
        <v>233</v>
      </c>
      <c r="AZ97" s="7" t="s">
        <v>233</v>
      </c>
      <c r="BA97" s="7" t="s">
        <v>233</v>
      </c>
      <c r="BB97" s="7"/>
      <c r="BC97" s="4" t="s">
        <v>233</v>
      </c>
      <c r="BD97" s="8" t="s">
        <v>233</v>
      </c>
      <c r="BE97" s="4" t="s">
        <v>233</v>
      </c>
      <c r="BF97" s="8" t="s">
        <v>233</v>
      </c>
      <c r="BG97" s="7" t="s">
        <v>233</v>
      </c>
      <c r="BH97" s="7" t="s">
        <v>233</v>
      </c>
      <c r="BI97" s="7"/>
      <c r="BJ97" s="4">
        <v>2</v>
      </c>
      <c r="BK97" s="8">
        <v>86.98</v>
      </c>
      <c r="BL97" s="2" t="s">
        <v>698</v>
      </c>
      <c r="BM97" s="7"/>
      <c r="BN97" s="7"/>
      <c r="BO97" s="4"/>
      <c r="BP97" s="8"/>
      <c r="BQ97" s="4"/>
      <c r="BR97" s="8"/>
      <c r="BS97" s="7"/>
      <c r="BT97" s="7"/>
      <c r="BU97" s="2" t="s">
        <v>699</v>
      </c>
      <c r="BV97" s="2" t="s">
        <v>233</v>
      </c>
      <c r="BW97" s="2" t="s">
        <v>233</v>
      </c>
      <c r="BX97" s="2" t="s">
        <v>233</v>
      </c>
      <c r="BY97" s="2" t="s">
        <v>280</v>
      </c>
      <c r="BZ97" s="2" t="s">
        <v>245</v>
      </c>
      <c r="CA97" s="2" t="s">
        <v>281</v>
      </c>
      <c r="CB97" s="2" t="s">
        <v>670</v>
      </c>
      <c r="CC97" s="2" t="s">
        <v>246</v>
      </c>
      <c r="CD97" s="2" t="s">
        <v>233</v>
      </c>
      <c r="CE97" s="4">
        <v>275</v>
      </c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</row>
    <row r="98">
      <c r="A98" s="2" t="s">
        <v>700</v>
      </c>
      <c r="B98" s="2" t="s">
        <v>333</v>
      </c>
      <c r="C98" s="2" t="s">
        <v>701</v>
      </c>
      <c r="D98" s="2" t="s">
        <v>335</v>
      </c>
      <c r="E98" s="2" t="s">
        <v>336</v>
      </c>
      <c r="F98" s="2" t="s">
        <v>702</v>
      </c>
      <c r="G98" s="2" t="s">
        <v>702</v>
      </c>
      <c r="H98" s="2" t="s">
        <v>702</v>
      </c>
      <c r="I98" s="2" t="s">
        <v>703</v>
      </c>
      <c r="J98" s="2" t="s">
        <v>348</v>
      </c>
      <c r="K98" s="2" t="s">
        <v>255</v>
      </c>
      <c r="L98" s="3">
        <v>36.75</v>
      </c>
      <c r="M98" s="3">
        <v>38.59</v>
      </c>
      <c r="N98" s="3">
        <v>74.99</v>
      </c>
      <c r="O98" s="2" t="s">
        <v>245</v>
      </c>
      <c r="P98" s="2" t="s">
        <v>311</v>
      </c>
      <c r="Q98" s="2" t="s">
        <v>239</v>
      </c>
      <c r="R98" s="2" t="s">
        <v>233</v>
      </c>
      <c r="S98" s="2" t="s">
        <v>704</v>
      </c>
      <c r="T98" s="2" t="s">
        <v>341</v>
      </c>
      <c r="U98" s="2" t="s">
        <v>342</v>
      </c>
      <c r="V98" s="2" t="s">
        <v>241</v>
      </c>
      <c r="W98" s="2" t="s">
        <v>275</v>
      </c>
      <c r="X98" s="2" t="s">
        <v>705</v>
      </c>
      <c r="Y98" s="2" t="s">
        <v>706</v>
      </c>
      <c r="Z98" s="4">
        <v>119</v>
      </c>
      <c r="AA98" s="4">
        <f>=ROUNDDOWN(15.8666666666667,0)</f>
      </c>
      <c r="AB98" s="5">
        <v>7.5</v>
      </c>
      <c r="AC98" s="2" t="s">
        <v>707</v>
      </c>
      <c r="AD98" s="4">
        <v>170</v>
      </c>
      <c r="AE98" s="4">
        <v>170</v>
      </c>
      <c r="AF98" s="6">
        <v>70</v>
      </c>
      <c r="AG98" s="6"/>
      <c r="AH98" s="7">
        <v>0.0323</v>
      </c>
      <c r="AI98" s="4"/>
      <c r="AJ98" s="4">
        <f>=ROUNDDOWN({0},0)</f>
      </c>
      <c r="AK98" s="5"/>
      <c r="AL98" s="2" t="s">
        <v>233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233</v>
      </c>
      <c r="AW98" s="8" t="s">
        <v>233</v>
      </c>
      <c r="AX98" s="4" t="s">
        <v>233</v>
      </c>
      <c r="AY98" s="8" t="s">
        <v>233</v>
      </c>
      <c r="AZ98" s="7" t="s">
        <v>233</v>
      </c>
      <c r="BA98" s="7" t="s">
        <v>233</v>
      </c>
      <c r="BB98" s="7"/>
      <c r="BC98" s="4" t="s">
        <v>233</v>
      </c>
      <c r="BD98" s="8" t="s">
        <v>233</v>
      </c>
      <c r="BE98" s="4" t="s">
        <v>233</v>
      </c>
      <c r="BF98" s="8" t="s">
        <v>233</v>
      </c>
      <c r="BG98" s="7" t="s">
        <v>233</v>
      </c>
      <c r="BH98" s="7" t="s">
        <v>233</v>
      </c>
      <c r="BI98" s="7"/>
      <c r="BJ98" s="4">
        <v>1</v>
      </c>
      <c r="BK98" s="8">
        <v>38.59</v>
      </c>
      <c r="BL98" s="2" t="s">
        <v>708</v>
      </c>
      <c r="BM98" s="7"/>
      <c r="BN98" s="7"/>
      <c r="BO98" s="4"/>
      <c r="BP98" s="8"/>
      <c r="BQ98" s="4"/>
      <c r="BR98" s="8"/>
      <c r="BS98" s="7"/>
      <c r="BT98" s="7"/>
      <c r="BU98" s="2" t="s">
        <v>709</v>
      </c>
      <c r="BV98" s="2" t="s">
        <v>233</v>
      </c>
      <c r="BW98" s="2" t="s">
        <v>233</v>
      </c>
      <c r="BX98" s="2" t="s">
        <v>233</v>
      </c>
      <c r="BY98" s="2" t="s">
        <v>280</v>
      </c>
      <c r="BZ98" s="2" t="s">
        <v>245</v>
      </c>
      <c r="CA98" s="2" t="s">
        <v>710</v>
      </c>
      <c r="CB98" s="2" t="s">
        <v>711</v>
      </c>
      <c r="CC98" s="2" t="s">
        <v>246</v>
      </c>
      <c r="CD98" s="2" t="s">
        <v>233</v>
      </c>
      <c r="CE98" s="4">
        <v>119</v>
      </c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>
        <v>170</v>
      </c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</row>
    <row r="99">
      <c r="A99" s="2" t="s">
        <v>712</v>
      </c>
      <c r="B99" s="2" t="s">
        <v>333</v>
      </c>
      <c r="C99" s="2" t="s">
        <v>701</v>
      </c>
      <c r="D99" s="2" t="s">
        <v>335</v>
      </c>
      <c r="E99" s="2" t="s">
        <v>336</v>
      </c>
      <c r="F99" s="2" t="s">
        <v>702</v>
      </c>
      <c r="G99" s="2" t="s">
        <v>702</v>
      </c>
      <c r="H99" s="2" t="s">
        <v>702</v>
      </c>
      <c r="I99" s="2" t="s">
        <v>703</v>
      </c>
      <c r="J99" s="2" t="s">
        <v>546</v>
      </c>
      <c r="K99" s="2" t="s">
        <v>255</v>
      </c>
      <c r="L99" s="3">
        <v>39.2</v>
      </c>
      <c r="M99" s="3">
        <v>41.16</v>
      </c>
      <c r="N99" s="3">
        <v>79.99</v>
      </c>
      <c r="O99" s="2" t="s">
        <v>245</v>
      </c>
      <c r="P99" s="2" t="s">
        <v>311</v>
      </c>
      <c r="Q99" s="2" t="s">
        <v>239</v>
      </c>
      <c r="R99" s="2" t="s">
        <v>233</v>
      </c>
      <c r="S99" s="2" t="s">
        <v>704</v>
      </c>
      <c r="T99" s="2" t="s">
        <v>341</v>
      </c>
      <c r="U99" s="2" t="s">
        <v>342</v>
      </c>
      <c r="V99" s="2" t="s">
        <v>241</v>
      </c>
      <c r="W99" s="2" t="s">
        <v>275</v>
      </c>
      <c r="X99" s="2" t="s">
        <v>705</v>
      </c>
      <c r="Y99" s="2" t="s">
        <v>706</v>
      </c>
      <c r="Z99" s="4">
        <v>30</v>
      </c>
      <c r="AA99" s="4">
        <f>=ROUNDDOWN(10.7142857142857,0)</f>
      </c>
      <c r="AB99" s="5">
        <v>2.8</v>
      </c>
      <c r="AC99" s="2" t="s">
        <v>707</v>
      </c>
      <c r="AD99" s="4">
        <v>30</v>
      </c>
      <c r="AE99" s="4">
        <v>30</v>
      </c>
      <c r="AF99" s="6">
        <v>70</v>
      </c>
      <c r="AG99" s="6"/>
      <c r="AH99" s="7">
        <v>0.0968</v>
      </c>
      <c r="AI99" s="4"/>
      <c r="AJ99" s="4">
        <f>=ROUNDDOWN({0},0)</f>
      </c>
      <c r="AK99" s="5"/>
      <c r="AL99" s="2" t="s">
        <v>233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233</v>
      </c>
      <c r="AW99" s="8" t="s">
        <v>233</v>
      </c>
      <c r="AX99" s="4" t="s">
        <v>233</v>
      </c>
      <c r="AY99" s="8" t="s">
        <v>233</v>
      </c>
      <c r="AZ99" s="7" t="s">
        <v>233</v>
      </c>
      <c r="BA99" s="7" t="s">
        <v>233</v>
      </c>
      <c r="BB99" s="7"/>
      <c r="BC99" s="4" t="s">
        <v>233</v>
      </c>
      <c r="BD99" s="8" t="s">
        <v>233</v>
      </c>
      <c r="BE99" s="4" t="s">
        <v>233</v>
      </c>
      <c r="BF99" s="8" t="s">
        <v>233</v>
      </c>
      <c r="BG99" s="7" t="s">
        <v>233</v>
      </c>
      <c r="BH99" s="7" t="s">
        <v>233</v>
      </c>
      <c r="BI99" s="7"/>
      <c r="BJ99" s="4">
        <v>2</v>
      </c>
      <c r="BK99" s="8">
        <v>85.46</v>
      </c>
      <c r="BL99" s="2" t="s">
        <v>713</v>
      </c>
      <c r="BM99" s="7"/>
      <c r="BN99" s="7"/>
      <c r="BO99" s="4"/>
      <c r="BP99" s="8"/>
      <c r="BQ99" s="4"/>
      <c r="BR99" s="8"/>
      <c r="BS99" s="7"/>
      <c r="BT99" s="7"/>
      <c r="BU99" s="2" t="s">
        <v>714</v>
      </c>
      <c r="BV99" s="2" t="s">
        <v>233</v>
      </c>
      <c r="BW99" s="2" t="s">
        <v>233</v>
      </c>
      <c r="BX99" s="2" t="s">
        <v>233</v>
      </c>
      <c r="BY99" s="2" t="s">
        <v>280</v>
      </c>
      <c r="BZ99" s="2" t="s">
        <v>245</v>
      </c>
      <c r="CA99" s="2" t="s">
        <v>715</v>
      </c>
      <c r="CB99" s="2" t="s">
        <v>716</v>
      </c>
      <c r="CC99" s="2" t="s">
        <v>246</v>
      </c>
      <c r="CD99" s="2" t="s">
        <v>233</v>
      </c>
      <c r="CE99" s="4">
        <v>30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>
        <v>30</v>
      </c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</row>
    <row r="100">
      <c r="A100" s="2" t="s">
        <v>717</v>
      </c>
      <c r="B100" s="2" t="s">
        <v>333</v>
      </c>
      <c r="C100" s="2" t="s">
        <v>701</v>
      </c>
      <c r="D100" s="2" t="s">
        <v>335</v>
      </c>
      <c r="E100" s="2" t="s">
        <v>336</v>
      </c>
      <c r="F100" s="2" t="s">
        <v>702</v>
      </c>
      <c r="G100" s="2" t="s">
        <v>702</v>
      </c>
      <c r="H100" s="2" t="s">
        <v>702</v>
      </c>
      <c r="I100" s="2" t="s">
        <v>703</v>
      </c>
      <c r="J100" s="2" t="s">
        <v>546</v>
      </c>
      <c r="K100" s="2" t="s">
        <v>569</v>
      </c>
      <c r="L100" s="3">
        <v>39.2</v>
      </c>
      <c r="M100" s="3">
        <v>41.16</v>
      </c>
      <c r="N100" s="3">
        <v>79.99</v>
      </c>
      <c r="O100" s="2" t="s">
        <v>245</v>
      </c>
      <c r="P100" s="2" t="s">
        <v>311</v>
      </c>
      <c r="Q100" s="2" t="s">
        <v>239</v>
      </c>
      <c r="R100" s="2" t="s">
        <v>233</v>
      </c>
      <c r="S100" s="2" t="s">
        <v>718</v>
      </c>
      <c r="T100" s="2" t="s">
        <v>341</v>
      </c>
      <c r="U100" s="2" t="s">
        <v>342</v>
      </c>
      <c r="V100" s="2" t="s">
        <v>241</v>
      </c>
      <c r="W100" s="2" t="s">
        <v>275</v>
      </c>
      <c r="X100" s="2" t="s">
        <v>705</v>
      </c>
      <c r="Y100" s="2" t="s">
        <v>706</v>
      </c>
      <c r="Z100" s="4">
        <v>27</v>
      </c>
      <c r="AA100" s="4">
        <f>=ROUNDDOWN(10.3846153846154,0)</f>
      </c>
      <c r="AB100" s="5">
        <v>2.6</v>
      </c>
      <c r="AC100" s="2" t="s">
        <v>707</v>
      </c>
      <c r="AD100" s="4">
        <v>50</v>
      </c>
      <c r="AE100" s="4">
        <v>50</v>
      </c>
      <c r="AF100" s="6">
        <v>70</v>
      </c>
      <c r="AG100" s="6"/>
      <c r="AH100" s="7">
        <v>0.129</v>
      </c>
      <c r="AI100" s="4"/>
      <c r="AJ100" s="4">
        <f>=ROUNDDOWN({0},0)</f>
      </c>
      <c r="AK100" s="5"/>
      <c r="AL100" s="2" t="s">
        <v>233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233</v>
      </c>
      <c r="BD100" s="8" t="s">
        <v>233</v>
      </c>
      <c r="BE100" s="4" t="s">
        <v>233</v>
      </c>
      <c r="BF100" s="8" t="s">
        <v>233</v>
      </c>
      <c r="BG100" s="7" t="s">
        <v>233</v>
      </c>
      <c r="BH100" s="7" t="s">
        <v>233</v>
      </c>
      <c r="BI100" s="7"/>
      <c r="BJ100" s="4">
        <v>7</v>
      </c>
      <c r="BK100" s="8">
        <v>299.38</v>
      </c>
      <c r="BL100" s="2" t="s">
        <v>719</v>
      </c>
      <c r="BM100" s="7"/>
      <c r="BN100" s="7"/>
      <c r="BO100" s="4"/>
      <c r="BP100" s="8"/>
      <c r="BQ100" s="4"/>
      <c r="BR100" s="8"/>
      <c r="BS100" s="7"/>
      <c r="BT100" s="7"/>
      <c r="BU100" s="2" t="s">
        <v>720</v>
      </c>
      <c r="BV100" s="2" t="s">
        <v>233</v>
      </c>
      <c r="BW100" s="2" t="s">
        <v>233</v>
      </c>
      <c r="BX100" s="2" t="s">
        <v>233</v>
      </c>
      <c r="BY100" s="2" t="s">
        <v>280</v>
      </c>
      <c r="BZ100" s="2" t="s">
        <v>245</v>
      </c>
      <c r="CA100" s="2" t="s">
        <v>721</v>
      </c>
      <c r="CB100" s="2" t="s">
        <v>722</v>
      </c>
      <c r="CC100" s="2" t="s">
        <v>246</v>
      </c>
      <c r="CD100" s="2" t="s">
        <v>233</v>
      </c>
      <c r="CE100" s="4">
        <v>27</v>
      </c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>
        <v>50</v>
      </c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</row>
    <row r="101">
      <c r="A101" s="2" t="s">
        <v>723</v>
      </c>
      <c r="B101" s="2" t="s">
        <v>333</v>
      </c>
      <c r="C101" s="2" t="s">
        <v>701</v>
      </c>
      <c r="D101" s="2" t="s">
        <v>335</v>
      </c>
      <c r="E101" s="2" t="s">
        <v>336</v>
      </c>
      <c r="F101" s="2" t="s">
        <v>702</v>
      </c>
      <c r="G101" s="2" t="s">
        <v>702</v>
      </c>
      <c r="H101" s="2" t="s">
        <v>702</v>
      </c>
      <c r="I101" s="2" t="s">
        <v>703</v>
      </c>
      <c r="J101" s="2" t="s">
        <v>290</v>
      </c>
      <c r="K101" s="2" t="s">
        <v>499</v>
      </c>
      <c r="L101" s="3">
        <v>34.3</v>
      </c>
      <c r="M101" s="3">
        <v>36.02</v>
      </c>
      <c r="N101" s="3">
        <v>69.99</v>
      </c>
      <c r="O101" s="2" t="s">
        <v>245</v>
      </c>
      <c r="P101" s="2" t="s">
        <v>311</v>
      </c>
      <c r="Q101" s="2" t="s">
        <v>239</v>
      </c>
      <c r="R101" s="2" t="s">
        <v>233</v>
      </c>
      <c r="S101" s="2" t="s">
        <v>724</v>
      </c>
      <c r="T101" s="2" t="s">
        <v>341</v>
      </c>
      <c r="U101" s="2" t="s">
        <v>342</v>
      </c>
      <c r="V101" s="2" t="s">
        <v>241</v>
      </c>
      <c r="W101" s="2" t="s">
        <v>275</v>
      </c>
      <c r="X101" s="2" t="s">
        <v>705</v>
      </c>
      <c r="Y101" s="2" t="s">
        <v>706</v>
      </c>
      <c r="Z101" s="4">
        <v>143</v>
      </c>
      <c r="AA101" s="4">
        <f>=ROUNDDOWN(71.5,0)</f>
      </c>
      <c r="AB101" s="5">
        <v>2</v>
      </c>
      <c r="AC101" s="2" t="s">
        <v>707</v>
      </c>
      <c r="AD101" s="4">
        <v>20</v>
      </c>
      <c r="AE101" s="4">
        <v>20</v>
      </c>
      <c r="AF101" s="6">
        <v>70</v>
      </c>
      <c r="AG101" s="6"/>
      <c r="AH101" s="7">
        <v>1</v>
      </c>
      <c r="AI101" s="4"/>
      <c r="AJ101" s="4">
        <f>=ROUNDDOWN({0},0)</f>
      </c>
      <c r="AK101" s="5"/>
      <c r="AL101" s="2" t="s">
        <v>233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233</v>
      </c>
      <c r="AW101" s="8" t="s">
        <v>233</v>
      </c>
      <c r="AX101" s="4" t="s">
        <v>233</v>
      </c>
      <c r="AY101" s="8" t="s">
        <v>233</v>
      </c>
      <c r="AZ101" s="7" t="s">
        <v>233</v>
      </c>
      <c r="BA101" s="7" t="s">
        <v>233</v>
      </c>
      <c r="BB101" s="7"/>
      <c r="BC101" s="4" t="s">
        <v>233</v>
      </c>
      <c r="BD101" s="8" t="s">
        <v>233</v>
      </c>
      <c r="BE101" s="4" t="s">
        <v>233</v>
      </c>
      <c r="BF101" s="8" t="s">
        <v>233</v>
      </c>
      <c r="BG101" s="7" t="s">
        <v>233</v>
      </c>
      <c r="BH101" s="7" t="s">
        <v>233</v>
      </c>
      <c r="BI101" s="7"/>
      <c r="BJ101" s="4">
        <v>5</v>
      </c>
      <c r="BK101" s="8">
        <v>182.41</v>
      </c>
      <c r="BL101" s="2" t="s">
        <v>725</v>
      </c>
      <c r="BM101" s="7"/>
      <c r="BN101" s="7"/>
      <c r="BO101" s="4"/>
      <c r="BP101" s="8"/>
      <c r="BQ101" s="4"/>
      <c r="BR101" s="8"/>
      <c r="BS101" s="7"/>
      <c r="BT101" s="7"/>
      <c r="BU101" s="2" t="s">
        <v>726</v>
      </c>
      <c r="BV101" s="2" t="s">
        <v>233</v>
      </c>
      <c r="BW101" s="2" t="s">
        <v>233</v>
      </c>
      <c r="BX101" s="2" t="s">
        <v>233</v>
      </c>
      <c r="BY101" s="2" t="s">
        <v>280</v>
      </c>
      <c r="BZ101" s="2" t="s">
        <v>245</v>
      </c>
      <c r="CA101" s="2" t="s">
        <v>710</v>
      </c>
      <c r="CB101" s="2" t="s">
        <v>727</v>
      </c>
      <c r="CC101" s="2" t="s">
        <v>246</v>
      </c>
      <c r="CD101" s="2" t="s">
        <v>233</v>
      </c>
      <c r="CE101" s="4">
        <v>143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>
        <v>20</v>
      </c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</row>
    <row r="102">
      <c r="A102" s="2" t="s">
        <v>728</v>
      </c>
      <c r="B102" s="2" t="s">
        <v>333</v>
      </c>
      <c r="C102" s="2" t="s">
        <v>701</v>
      </c>
      <c r="D102" s="2" t="s">
        <v>335</v>
      </c>
      <c r="E102" s="2" t="s">
        <v>336</v>
      </c>
      <c r="F102" s="2" t="s">
        <v>702</v>
      </c>
      <c r="G102" s="2" t="s">
        <v>702</v>
      </c>
      <c r="H102" s="2" t="s">
        <v>702</v>
      </c>
      <c r="I102" s="2" t="s">
        <v>703</v>
      </c>
      <c r="J102" s="2" t="s">
        <v>546</v>
      </c>
      <c r="K102" s="2" t="s">
        <v>499</v>
      </c>
      <c r="L102" s="3">
        <v>39.2</v>
      </c>
      <c r="M102" s="3">
        <v>41.16</v>
      </c>
      <c r="N102" s="3">
        <v>79.99</v>
      </c>
      <c r="O102" s="2" t="s">
        <v>245</v>
      </c>
      <c r="P102" s="2" t="s">
        <v>311</v>
      </c>
      <c r="Q102" s="2" t="s">
        <v>239</v>
      </c>
      <c r="R102" s="2" t="s">
        <v>233</v>
      </c>
      <c r="S102" s="2" t="s">
        <v>724</v>
      </c>
      <c r="T102" s="2" t="s">
        <v>341</v>
      </c>
      <c r="U102" s="2" t="s">
        <v>342</v>
      </c>
      <c r="V102" s="2" t="s">
        <v>241</v>
      </c>
      <c r="W102" s="2" t="s">
        <v>275</v>
      </c>
      <c r="X102" s="2" t="s">
        <v>705</v>
      </c>
      <c r="Y102" s="2" t="s">
        <v>706</v>
      </c>
      <c r="Z102" s="4">
        <v>46</v>
      </c>
      <c r="AA102" s="4">
        <f>=ROUNDDOWN(41.8181818181818,0)</f>
      </c>
      <c r="AB102" s="5">
        <v>1.1</v>
      </c>
      <c r="AC102" s="2" t="s">
        <v>707</v>
      </c>
      <c r="AD102" s="4">
        <v>30</v>
      </c>
      <c r="AE102" s="4">
        <v>30</v>
      </c>
      <c r="AF102" s="6">
        <v>70</v>
      </c>
      <c r="AG102" s="6"/>
      <c r="AH102" s="7">
        <v>1</v>
      </c>
      <c r="AI102" s="4"/>
      <c r="AJ102" s="4">
        <f>=ROUNDDOWN({0},0)</f>
      </c>
      <c r="AK102" s="5"/>
      <c r="AL102" s="2" t="s">
        <v>233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233</v>
      </c>
      <c r="AW102" s="8" t="s">
        <v>233</v>
      </c>
      <c r="AX102" s="4" t="s">
        <v>233</v>
      </c>
      <c r="AY102" s="8" t="s">
        <v>233</v>
      </c>
      <c r="AZ102" s="7" t="s">
        <v>233</v>
      </c>
      <c r="BA102" s="7" t="s">
        <v>233</v>
      </c>
      <c r="BB102" s="7"/>
      <c r="BC102" s="4" t="s">
        <v>233</v>
      </c>
      <c r="BD102" s="8" t="s">
        <v>233</v>
      </c>
      <c r="BE102" s="4" t="s">
        <v>233</v>
      </c>
      <c r="BF102" s="8" t="s">
        <v>233</v>
      </c>
      <c r="BG102" s="7" t="s">
        <v>233</v>
      </c>
      <c r="BH102" s="7" t="s">
        <v>233</v>
      </c>
      <c r="BI102" s="7"/>
      <c r="BJ102" s="4">
        <v>4</v>
      </c>
      <c r="BK102" s="8">
        <v>170.92</v>
      </c>
      <c r="BL102" s="2" t="s">
        <v>729</v>
      </c>
      <c r="BM102" s="7"/>
      <c r="BN102" s="7"/>
      <c r="BO102" s="4"/>
      <c r="BP102" s="8"/>
      <c r="BQ102" s="4"/>
      <c r="BR102" s="8"/>
      <c r="BS102" s="7"/>
      <c r="BT102" s="7"/>
      <c r="BU102" s="2" t="s">
        <v>730</v>
      </c>
      <c r="BV102" s="2" t="s">
        <v>233</v>
      </c>
      <c r="BW102" s="2" t="s">
        <v>233</v>
      </c>
      <c r="BX102" s="2" t="s">
        <v>233</v>
      </c>
      <c r="BY102" s="2" t="s">
        <v>280</v>
      </c>
      <c r="BZ102" s="2" t="s">
        <v>245</v>
      </c>
      <c r="CA102" s="2" t="s">
        <v>731</v>
      </c>
      <c r="CB102" s="2" t="s">
        <v>628</v>
      </c>
      <c r="CC102" s="2" t="s">
        <v>246</v>
      </c>
      <c r="CD102" s="2" t="s">
        <v>233</v>
      </c>
      <c r="CE102" s="4">
        <v>46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>
        <v>30</v>
      </c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</row>
    <row r="103">
      <c r="A103" s="2" t="s">
        <v>732</v>
      </c>
      <c r="B103" s="2" t="s">
        <v>333</v>
      </c>
      <c r="C103" s="2" t="s">
        <v>701</v>
      </c>
      <c r="D103" s="2" t="s">
        <v>335</v>
      </c>
      <c r="E103" s="2" t="s">
        <v>336</v>
      </c>
      <c r="F103" s="2" t="s">
        <v>702</v>
      </c>
      <c r="G103" s="2" t="s">
        <v>702</v>
      </c>
      <c r="H103" s="2" t="s">
        <v>702</v>
      </c>
      <c r="I103" s="2" t="s">
        <v>703</v>
      </c>
      <c r="J103" s="2" t="s">
        <v>546</v>
      </c>
      <c r="K103" s="2" t="s">
        <v>297</v>
      </c>
      <c r="L103" s="3">
        <v>39.2</v>
      </c>
      <c r="M103" s="3">
        <v>41.16</v>
      </c>
      <c r="N103" s="3">
        <v>79.99</v>
      </c>
      <c r="O103" s="2" t="s">
        <v>245</v>
      </c>
      <c r="P103" s="2" t="s">
        <v>311</v>
      </c>
      <c r="Q103" s="2" t="s">
        <v>239</v>
      </c>
      <c r="R103" s="2" t="s">
        <v>233</v>
      </c>
      <c r="S103" s="2" t="s">
        <v>733</v>
      </c>
      <c r="T103" s="2" t="s">
        <v>341</v>
      </c>
      <c r="U103" s="2" t="s">
        <v>342</v>
      </c>
      <c r="V103" s="2" t="s">
        <v>241</v>
      </c>
      <c r="W103" s="2" t="s">
        <v>275</v>
      </c>
      <c r="X103" s="2" t="s">
        <v>705</v>
      </c>
      <c r="Y103" s="2" t="s">
        <v>706</v>
      </c>
      <c r="Z103" s="4">
        <v>47</v>
      </c>
      <c r="AA103" s="4">
        <f>=ROUNDDOWN(20.4347826086957,0)</f>
      </c>
      <c r="AB103" s="5">
        <v>2.3</v>
      </c>
      <c r="AC103" s="2" t="s">
        <v>707</v>
      </c>
      <c r="AD103" s="4">
        <v>98</v>
      </c>
      <c r="AE103" s="4">
        <v>98</v>
      </c>
      <c r="AF103" s="6">
        <v>70</v>
      </c>
      <c r="AG103" s="6"/>
      <c r="AH103" s="7">
        <v>0.0968</v>
      </c>
      <c r="AI103" s="4"/>
      <c r="AJ103" s="4">
        <f>=ROUNDDOWN({0},0)</f>
      </c>
      <c r="AK103" s="5"/>
      <c r="AL103" s="2" t="s">
        <v>233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 t="s">
        <v>233</v>
      </c>
      <c r="BD103" s="8" t="s">
        <v>233</v>
      </c>
      <c r="BE103" s="4" t="s">
        <v>233</v>
      </c>
      <c r="BF103" s="8" t="s">
        <v>233</v>
      </c>
      <c r="BG103" s="7" t="s">
        <v>233</v>
      </c>
      <c r="BH103" s="7" t="s">
        <v>233</v>
      </c>
      <c r="BI103" s="7"/>
      <c r="BJ103" s="4">
        <v>2</v>
      </c>
      <c r="BK103" s="8">
        <v>86.38</v>
      </c>
      <c r="BL103" s="2" t="s">
        <v>734</v>
      </c>
      <c r="BM103" s="7"/>
      <c r="BN103" s="7"/>
      <c r="BO103" s="4"/>
      <c r="BP103" s="8"/>
      <c r="BQ103" s="4"/>
      <c r="BR103" s="8"/>
      <c r="BS103" s="7"/>
      <c r="BT103" s="7"/>
      <c r="BU103" s="2" t="s">
        <v>735</v>
      </c>
      <c r="BV103" s="2" t="s">
        <v>233</v>
      </c>
      <c r="BW103" s="2" t="s">
        <v>233</v>
      </c>
      <c r="BX103" s="2" t="s">
        <v>233</v>
      </c>
      <c r="BY103" s="2" t="s">
        <v>280</v>
      </c>
      <c r="BZ103" s="2" t="s">
        <v>245</v>
      </c>
      <c r="CA103" s="2" t="s">
        <v>736</v>
      </c>
      <c r="CB103" s="2" t="s">
        <v>737</v>
      </c>
      <c r="CC103" s="2" t="s">
        <v>246</v>
      </c>
      <c r="CD103" s="2" t="s">
        <v>233</v>
      </c>
      <c r="CE103" s="4">
        <v>47</v>
      </c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>
        <v>98</v>
      </c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</row>
    <row r="104">
      <c r="A104" s="2" t="s">
        <v>738</v>
      </c>
      <c r="B104" s="2" t="s">
        <v>333</v>
      </c>
      <c r="C104" s="2" t="s">
        <v>530</v>
      </c>
      <c r="D104" s="2" t="s">
        <v>335</v>
      </c>
      <c r="E104" s="2" t="s">
        <v>336</v>
      </c>
      <c r="F104" s="2" t="s">
        <v>739</v>
      </c>
      <c r="G104" s="2" t="s">
        <v>739</v>
      </c>
      <c r="H104" s="2" t="s">
        <v>739</v>
      </c>
      <c r="I104" s="2" t="s">
        <v>740</v>
      </c>
      <c r="J104" s="2" t="s">
        <v>348</v>
      </c>
      <c r="K104" s="2" t="s">
        <v>271</v>
      </c>
      <c r="L104" s="3">
        <v>40.25</v>
      </c>
      <c r="M104" s="3">
        <v>42.26</v>
      </c>
      <c r="N104" s="3">
        <v>89.99</v>
      </c>
      <c r="O104" s="2" t="s">
        <v>245</v>
      </c>
      <c r="P104" s="2" t="s">
        <v>741</v>
      </c>
      <c r="Q104" s="2" t="s">
        <v>239</v>
      </c>
      <c r="R104" s="2" t="s">
        <v>233</v>
      </c>
      <c r="S104" s="2" t="s">
        <v>742</v>
      </c>
      <c r="T104" s="2" t="s">
        <v>341</v>
      </c>
      <c r="U104" s="2" t="s">
        <v>342</v>
      </c>
      <c r="V104" s="2" t="s">
        <v>241</v>
      </c>
      <c r="W104" s="2" t="s">
        <v>705</v>
      </c>
      <c r="X104" s="2" t="s">
        <v>275</v>
      </c>
      <c r="Y104" s="2" t="s">
        <v>743</v>
      </c>
      <c r="Z104" s="4">
        <v>105</v>
      </c>
      <c r="AA104" s="4">
        <f>=ROUNDDOWN(11.6666666666667,0)</f>
      </c>
      <c r="AB104" s="5">
        <v>9</v>
      </c>
      <c r="AC104" s="2" t="s">
        <v>547</v>
      </c>
      <c r="AD104" s="4">
        <v>170</v>
      </c>
      <c r="AE104" s="4">
        <v>170</v>
      </c>
      <c r="AF104" s="6">
        <v>73</v>
      </c>
      <c r="AG104" s="6"/>
      <c r="AH104" s="7">
        <v>0</v>
      </c>
      <c r="AI104" s="4"/>
      <c r="AJ104" s="4">
        <f>=ROUNDDOWN({0},0)</f>
      </c>
      <c r="AK104" s="5"/>
      <c r="AL104" s="2" t="s">
        <v>233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233</v>
      </c>
      <c r="AW104" s="8" t="s">
        <v>233</v>
      </c>
      <c r="AX104" s="4" t="s">
        <v>233</v>
      </c>
      <c r="AY104" s="8" t="s">
        <v>233</v>
      </c>
      <c r="AZ104" s="7" t="s">
        <v>233</v>
      </c>
      <c r="BA104" s="7" t="s">
        <v>233</v>
      </c>
      <c r="BB104" s="7"/>
      <c r="BC104" s="4" t="s">
        <v>233</v>
      </c>
      <c r="BD104" s="8" t="s">
        <v>233</v>
      </c>
      <c r="BE104" s="4" t="s">
        <v>233</v>
      </c>
      <c r="BF104" s="8" t="s">
        <v>233</v>
      </c>
      <c r="BG104" s="7" t="s">
        <v>233</v>
      </c>
      <c r="BH104" s="7" t="s">
        <v>233</v>
      </c>
      <c r="BI104" s="7"/>
      <c r="BJ104" s="4">
        <v>1</v>
      </c>
      <c r="BK104" s="8">
        <v>62.68</v>
      </c>
      <c r="BL104" s="2" t="s">
        <v>744</v>
      </c>
      <c r="BM104" s="7"/>
      <c r="BN104" s="7"/>
      <c r="BO104" s="4"/>
      <c r="BP104" s="8"/>
      <c r="BQ104" s="4"/>
      <c r="BR104" s="8"/>
      <c r="BS104" s="7"/>
      <c r="BT104" s="7"/>
      <c r="BU104" s="2" t="s">
        <v>745</v>
      </c>
      <c r="BV104" s="2" t="s">
        <v>233</v>
      </c>
      <c r="BW104" s="2" t="s">
        <v>233</v>
      </c>
      <c r="BX104" s="2" t="s">
        <v>233</v>
      </c>
      <c r="BY104" s="2" t="s">
        <v>280</v>
      </c>
      <c r="BZ104" s="2" t="s">
        <v>245</v>
      </c>
      <c r="CA104" s="2" t="s">
        <v>746</v>
      </c>
      <c r="CB104" s="2" t="s">
        <v>747</v>
      </c>
      <c r="CC104" s="2" t="s">
        <v>246</v>
      </c>
      <c r="CD104" s="2" t="s">
        <v>233</v>
      </c>
      <c r="CE104" s="4">
        <v>105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>
        <v>170</v>
      </c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</row>
    <row r="105">
      <c r="A105" s="2" t="s">
        <v>748</v>
      </c>
      <c r="B105" s="2" t="s">
        <v>333</v>
      </c>
      <c r="C105" s="2" t="s">
        <v>530</v>
      </c>
      <c r="D105" s="2" t="s">
        <v>335</v>
      </c>
      <c r="E105" s="2" t="s">
        <v>336</v>
      </c>
      <c r="F105" s="2" t="s">
        <v>739</v>
      </c>
      <c r="G105" s="2" t="s">
        <v>739</v>
      </c>
      <c r="H105" s="2" t="s">
        <v>739</v>
      </c>
      <c r="I105" s="2" t="s">
        <v>740</v>
      </c>
      <c r="J105" s="2" t="s">
        <v>328</v>
      </c>
      <c r="K105" s="2" t="s">
        <v>271</v>
      </c>
      <c r="L105" s="3">
        <v>45.5</v>
      </c>
      <c r="M105" s="3">
        <v>47.78</v>
      </c>
      <c r="N105" s="3">
        <v>99.99</v>
      </c>
      <c r="O105" s="2" t="s">
        <v>245</v>
      </c>
      <c r="P105" s="2" t="s">
        <v>272</v>
      </c>
      <c r="Q105" s="2" t="s">
        <v>239</v>
      </c>
      <c r="R105" s="2" t="s">
        <v>233</v>
      </c>
      <c r="S105" s="2" t="s">
        <v>742</v>
      </c>
      <c r="T105" s="2" t="s">
        <v>341</v>
      </c>
      <c r="U105" s="2" t="s">
        <v>342</v>
      </c>
      <c r="V105" s="2" t="s">
        <v>241</v>
      </c>
      <c r="W105" s="2" t="s">
        <v>705</v>
      </c>
      <c r="X105" s="2" t="s">
        <v>275</v>
      </c>
      <c r="Y105" s="2" t="s">
        <v>743</v>
      </c>
      <c r="Z105" s="4">
        <v>77</v>
      </c>
      <c r="AA105" s="4">
        <f>=ROUNDDOWN(12.8333333333333,0)</f>
      </c>
      <c r="AB105" s="5">
        <v>6</v>
      </c>
      <c r="AC105" s="2" t="s">
        <v>547</v>
      </c>
      <c r="AD105" s="4">
        <v>110</v>
      </c>
      <c r="AE105" s="4">
        <v>110</v>
      </c>
      <c r="AF105" s="6">
        <v>73</v>
      </c>
      <c r="AG105" s="6"/>
      <c r="AH105" s="7">
        <v>0</v>
      </c>
      <c r="AI105" s="4"/>
      <c r="AJ105" s="4">
        <f>=ROUNDDOWN({0},0)</f>
      </c>
      <c r="AK105" s="5"/>
      <c r="AL105" s="2" t="s">
        <v>233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233</v>
      </c>
      <c r="AW105" s="8" t="s">
        <v>233</v>
      </c>
      <c r="AX105" s="4" t="s">
        <v>233</v>
      </c>
      <c r="AY105" s="8" t="s">
        <v>233</v>
      </c>
      <c r="AZ105" s="7" t="s">
        <v>233</v>
      </c>
      <c r="BA105" s="7" t="s">
        <v>233</v>
      </c>
      <c r="BB105" s="7"/>
      <c r="BC105" s="4" t="s">
        <v>233</v>
      </c>
      <c r="BD105" s="8" t="s">
        <v>233</v>
      </c>
      <c r="BE105" s="4" t="s">
        <v>233</v>
      </c>
      <c r="BF105" s="8" t="s">
        <v>233</v>
      </c>
      <c r="BG105" s="7" t="s">
        <v>233</v>
      </c>
      <c r="BH105" s="7" t="s">
        <v>233</v>
      </c>
      <c r="BI105" s="7"/>
      <c r="BJ105" s="4"/>
      <c r="BK105" s="8"/>
      <c r="BL105" s="2" t="s">
        <v>233</v>
      </c>
      <c r="BM105" s="7"/>
      <c r="BN105" s="7"/>
      <c r="BO105" s="4"/>
      <c r="BP105" s="8"/>
      <c r="BQ105" s="4"/>
      <c r="BR105" s="8"/>
      <c r="BS105" s="7"/>
      <c r="BT105" s="7"/>
      <c r="BU105" s="2" t="s">
        <v>749</v>
      </c>
      <c r="BV105" s="2" t="s">
        <v>233</v>
      </c>
      <c r="BW105" s="2" t="s">
        <v>233</v>
      </c>
      <c r="BX105" s="2" t="s">
        <v>233</v>
      </c>
      <c r="BY105" s="2" t="s">
        <v>280</v>
      </c>
      <c r="BZ105" s="2" t="s">
        <v>245</v>
      </c>
      <c r="CA105" s="2" t="s">
        <v>746</v>
      </c>
      <c r="CB105" s="2" t="s">
        <v>750</v>
      </c>
      <c r="CC105" s="2" t="s">
        <v>246</v>
      </c>
      <c r="CD105" s="2" t="s">
        <v>233</v>
      </c>
      <c r="CE105" s="4">
        <v>77</v>
      </c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>
        <v>110</v>
      </c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</row>
    <row r="106">
      <c r="A106" s="2" t="s">
        <v>751</v>
      </c>
      <c r="B106" s="2" t="s">
        <v>333</v>
      </c>
      <c r="C106" s="2" t="s">
        <v>530</v>
      </c>
      <c r="D106" s="2" t="s">
        <v>335</v>
      </c>
      <c r="E106" s="2" t="s">
        <v>336</v>
      </c>
      <c r="F106" s="2" t="s">
        <v>739</v>
      </c>
      <c r="G106" s="2" t="s">
        <v>739</v>
      </c>
      <c r="H106" s="2" t="s">
        <v>739</v>
      </c>
      <c r="I106" s="2" t="s">
        <v>740</v>
      </c>
      <c r="J106" s="2" t="s">
        <v>348</v>
      </c>
      <c r="K106" s="2" t="s">
        <v>255</v>
      </c>
      <c r="L106" s="3">
        <v>40.25</v>
      </c>
      <c r="M106" s="3">
        <v>42.26</v>
      </c>
      <c r="N106" s="3">
        <v>89.99</v>
      </c>
      <c r="O106" s="2" t="s">
        <v>245</v>
      </c>
      <c r="P106" s="2" t="s">
        <v>741</v>
      </c>
      <c r="Q106" s="2" t="s">
        <v>239</v>
      </c>
      <c r="R106" s="2" t="s">
        <v>233</v>
      </c>
      <c r="S106" s="2" t="s">
        <v>752</v>
      </c>
      <c r="T106" s="2" t="s">
        <v>341</v>
      </c>
      <c r="U106" s="2" t="s">
        <v>342</v>
      </c>
      <c r="V106" s="2" t="s">
        <v>241</v>
      </c>
      <c r="W106" s="2" t="s">
        <v>705</v>
      </c>
      <c r="X106" s="2" t="s">
        <v>275</v>
      </c>
      <c r="Y106" s="2" t="s">
        <v>743</v>
      </c>
      <c r="Z106" s="4">
        <v>157</v>
      </c>
      <c r="AA106" s="4">
        <f>=ROUNDDOWN(12.0769230769231,0)</f>
      </c>
      <c r="AB106" s="5">
        <v>13</v>
      </c>
      <c r="AC106" s="2" t="s">
        <v>547</v>
      </c>
      <c r="AD106" s="4">
        <v>200</v>
      </c>
      <c r="AE106" s="4">
        <v>550</v>
      </c>
      <c r="AF106" s="6">
        <v>73</v>
      </c>
      <c r="AG106" s="6"/>
      <c r="AH106" s="7">
        <v>0</v>
      </c>
      <c r="AI106" s="4"/>
      <c r="AJ106" s="4">
        <f>=ROUNDDOWN({0},0)</f>
      </c>
      <c r="AK106" s="5"/>
      <c r="AL106" s="2" t="s">
        <v>233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233</v>
      </c>
      <c r="AW106" s="8" t="s">
        <v>233</v>
      </c>
      <c r="AX106" s="4" t="s">
        <v>233</v>
      </c>
      <c r="AY106" s="8" t="s">
        <v>233</v>
      </c>
      <c r="AZ106" s="7" t="s">
        <v>233</v>
      </c>
      <c r="BA106" s="7" t="s">
        <v>233</v>
      </c>
      <c r="BB106" s="7"/>
      <c r="BC106" s="4" t="s">
        <v>233</v>
      </c>
      <c r="BD106" s="8" t="s">
        <v>233</v>
      </c>
      <c r="BE106" s="4" t="s">
        <v>233</v>
      </c>
      <c r="BF106" s="8" t="s">
        <v>233</v>
      </c>
      <c r="BG106" s="7" t="s">
        <v>233</v>
      </c>
      <c r="BH106" s="7" t="s">
        <v>233</v>
      </c>
      <c r="BI106" s="7"/>
      <c r="BJ106" s="4"/>
      <c r="BK106" s="8"/>
      <c r="BL106" s="2" t="s">
        <v>233</v>
      </c>
      <c r="BM106" s="7"/>
      <c r="BN106" s="7"/>
      <c r="BO106" s="4"/>
      <c r="BP106" s="8"/>
      <c r="BQ106" s="4"/>
      <c r="BR106" s="8"/>
      <c r="BS106" s="7"/>
      <c r="BT106" s="7"/>
      <c r="BU106" s="2" t="s">
        <v>753</v>
      </c>
      <c r="BV106" s="2" t="s">
        <v>233</v>
      </c>
      <c r="BW106" s="2" t="s">
        <v>233</v>
      </c>
      <c r="BX106" s="2" t="s">
        <v>233</v>
      </c>
      <c r="BY106" s="2" t="s">
        <v>280</v>
      </c>
      <c r="BZ106" s="2" t="s">
        <v>245</v>
      </c>
      <c r="CA106" s="2" t="s">
        <v>746</v>
      </c>
      <c r="CB106" s="2" t="s">
        <v>754</v>
      </c>
      <c r="CC106" s="2" t="s">
        <v>246</v>
      </c>
      <c r="CD106" s="2" t="s">
        <v>233</v>
      </c>
      <c r="CE106" s="4">
        <v>157</v>
      </c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>
        <v>200</v>
      </c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>
        <v>100</v>
      </c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>
        <v>250</v>
      </c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</row>
    <row r="107">
      <c r="A107" s="2" t="s">
        <v>755</v>
      </c>
      <c r="B107" s="2" t="s">
        <v>333</v>
      </c>
      <c r="C107" s="2" t="s">
        <v>530</v>
      </c>
      <c r="D107" s="2" t="s">
        <v>335</v>
      </c>
      <c r="E107" s="2" t="s">
        <v>336</v>
      </c>
      <c r="F107" s="2" t="s">
        <v>739</v>
      </c>
      <c r="G107" s="2" t="s">
        <v>739</v>
      </c>
      <c r="H107" s="2" t="s">
        <v>739</v>
      </c>
      <c r="I107" s="2" t="s">
        <v>740</v>
      </c>
      <c r="J107" s="2" t="s">
        <v>328</v>
      </c>
      <c r="K107" s="2" t="s">
        <v>255</v>
      </c>
      <c r="L107" s="3">
        <v>45.5</v>
      </c>
      <c r="M107" s="3">
        <v>47.78</v>
      </c>
      <c r="N107" s="3">
        <v>99.99</v>
      </c>
      <c r="O107" s="2" t="s">
        <v>245</v>
      </c>
      <c r="P107" s="2" t="s">
        <v>741</v>
      </c>
      <c r="Q107" s="2" t="s">
        <v>239</v>
      </c>
      <c r="R107" s="2" t="s">
        <v>233</v>
      </c>
      <c r="S107" s="2" t="s">
        <v>752</v>
      </c>
      <c r="T107" s="2" t="s">
        <v>341</v>
      </c>
      <c r="U107" s="2" t="s">
        <v>342</v>
      </c>
      <c r="V107" s="2" t="s">
        <v>241</v>
      </c>
      <c r="W107" s="2" t="s">
        <v>705</v>
      </c>
      <c r="X107" s="2" t="s">
        <v>275</v>
      </c>
      <c r="Y107" s="2" t="s">
        <v>743</v>
      </c>
      <c r="Z107" s="4">
        <v>102</v>
      </c>
      <c r="AA107" s="4">
        <f>=ROUNDDOWN(11.3333333333333,0)</f>
      </c>
      <c r="AB107" s="5">
        <v>9</v>
      </c>
      <c r="AC107" s="2" t="s">
        <v>547</v>
      </c>
      <c r="AD107" s="4">
        <v>110</v>
      </c>
      <c r="AE107" s="4">
        <v>360</v>
      </c>
      <c r="AF107" s="6">
        <v>73</v>
      </c>
      <c r="AG107" s="6"/>
      <c r="AH107" s="7">
        <v>0</v>
      </c>
      <c r="AI107" s="4"/>
      <c r="AJ107" s="4">
        <f>=ROUNDDOWN({0},0)</f>
      </c>
      <c r="AK107" s="5"/>
      <c r="AL107" s="2" t="s">
        <v>233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233</v>
      </c>
      <c r="AW107" s="8" t="s">
        <v>233</v>
      </c>
      <c r="AX107" s="4" t="s">
        <v>233</v>
      </c>
      <c r="AY107" s="8" t="s">
        <v>233</v>
      </c>
      <c r="AZ107" s="7" t="s">
        <v>233</v>
      </c>
      <c r="BA107" s="7" t="s">
        <v>233</v>
      </c>
      <c r="BB107" s="7"/>
      <c r="BC107" s="4" t="s">
        <v>233</v>
      </c>
      <c r="BD107" s="8" t="s">
        <v>233</v>
      </c>
      <c r="BE107" s="4" t="s">
        <v>233</v>
      </c>
      <c r="BF107" s="8" t="s">
        <v>233</v>
      </c>
      <c r="BG107" s="7" t="s">
        <v>233</v>
      </c>
      <c r="BH107" s="7" t="s">
        <v>233</v>
      </c>
      <c r="BI107" s="7"/>
      <c r="BJ107" s="4"/>
      <c r="BK107" s="8"/>
      <c r="BL107" s="2" t="s">
        <v>233</v>
      </c>
      <c r="BM107" s="7"/>
      <c r="BN107" s="7"/>
      <c r="BO107" s="4"/>
      <c r="BP107" s="8"/>
      <c r="BQ107" s="4"/>
      <c r="BR107" s="8"/>
      <c r="BS107" s="7"/>
      <c r="BT107" s="7"/>
      <c r="BU107" s="2" t="s">
        <v>756</v>
      </c>
      <c r="BV107" s="2" t="s">
        <v>233</v>
      </c>
      <c r="BW107" s="2" t="s">
        <v>233</v>
      </c>
      <c r="BX107" s="2" t="s">
        <v>233</v>
      </c>
      <c r="BY107" s="2" t="s">
        <v>280</v>
      </c>
      <c r="BZ107" s="2" t="s">
        <v>245</v>
      </c>
      <c r="CA107" s="2" t="s">
        <v>746</v>
      </c>
      <c r="CB107" s="2" t="s">
        <v>747</v>
      </c>
      <c r="CC107" s="2" t="s">
        <v>246</v>
      </c>
      <c r="CD107" s="2" t="s">
        <v>233</v>
      </c>
      <c r="CE107" s="4">
        <v>102</v>
      </c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>
        <v>110</v>
      </c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>
        <v>100</v>
      </c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>
        <v>150</v>
      </c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</row>
    <row r="108">
      <c r="A108" s="2" t="s">
        <v>757</v>
      </c>
      <c r="B108" s="2" t="s">
        <v>333</v>
      </c>
      <c r="C108" s="2" t="s">
        <v>530</v>
      </c>
      <c r="D108" s="2" t="s">
        <v>335</v>
      </c>
      <c r="E108" s="2" t="s">
        <v>336</v>
      </c>
      <c r="F108" s="2" t="s">
        <v>739</v>
      </c>
      <c r="G108" s="2" t="s">
        <v>739</v>
      </c>
      <c r="H108" s="2" t="s">
        <v>739</v>
      </c>
      <c r="I108" s="2" t="s">
        <v>740</v>
      </c>
      <c r="J108" s="2" t="s">
        <v>348</v>
      </c>
      <c r="K108" s="2" t="s">
        <v>758</v>
      </c>
      <c r="L108" s="3">
        <v>40.25</v>
      </c>
      <c r="M108" s="3">
        <v>42.26</v>
      </c>
      <c r="N108" s="3">
        <v>89.99</v>
      </c>
      <c r="O108" s="2" t="s">
        <v>245</v>
      </c>
      <c r="P108" s="2" t="s">
        <v>741</v>
      </c>
      <c r="Q108" s="2" t="s">
        <v>239</v>
      </c>
      <c r="R108" s="2" t="s">
        <v>233</v>
      </c>
      <c r="S108" s="2" t="s">
        <v>759</v>
      </c>
      <c r="T108" s="2" t="s">
        <v>341</v>
      </c>
      <c r="U108" s="2" t="s">
        <v>342</v>
      </c>
      <c r="V108" s="2" t="s">
        <v>241</v>
      </c>
      <c r="W108" s="2" t="s">
        <v>705</v>
      </c>
      <c r="X108" s="2" t="s">
        <v>275</v>
      </c>
      <c r="Y108" s="2" t="s">
        <v>743</v>
      </c>
      <c r="Z108" s="4">
        <v>107</v>
      </c>
      <c r="AA108" s="4">
        <f>=ROUNDDOWN(10.7,0)</f>
      </c>
      <c r="AB108" s="5">
        <v>10</v>
      </c>
      <c r="AC108" s="2" t="s">
        <v>547</v>
      </c>
      <c r="AD108" s="4">
        <v>200</v>
      </c>
      <c r="AE108" s="4">
        <v>200</v>
      </c>
      <c r="AF108" s="6">
        <v>73</v>
      </c>
      <c r="AG108" s="6"/>
      <c r="AH108" s="7">
        <v>0</v>
      </c>
      <c r="AI108" s="4"/>
      <c r="AJ108" s="4">
        <f>=ROUNDDOWN({0},0)</f>
      </c>
      <c r="AK108" s="5"/>
      <c r="AL108" s="2" t="s">
        <v>233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 t="s">
        <v>233</v>
      </c>
      <c r="BD108" s="8" t="s">
        <v>233</v>
      </c>
      <c r="BE108" s="4" t="s">
        <v>233</v>
      </c>
      <c r="BF108" s="8" t="s">
        <v>233</v>
      </c>
      <c r="BG108" s="7" t="s">
        <v>233</v>
      </c>
      <c r="BH108" s="7" t="s">
        <v>233</v>
      </c>
      <c r="BI108" s="7"/>
      <c r="BJ108" s="4"/>
      <c r="BK108" s="8"/>
      <c r="BL108" s="2" t="s">
        <v>233</v>
      </c>
      <c r="BM108" s="7"/>
      <c r="BN108" s="7"/>
      <c r="BO108" s="4"/>
      <c r="BP108" s="8"/>
      <c r="BQ108" s="4"/>
      <c r="BR108" s="8"/>
      <c r="BS108" s="7"/>
      <c r="BT108" s="7"/>
      <c r="BU108" s="2" t="s">
        <v>760</v>
      </c>
      <c r="BV108" s="2" t="s">
        <v>233</v>
      </c>
      <c r="BW108" s="2" t="s">
        <v>233</v>
      </c>
      <c r="BX108" s="2" t="s">
        <v>233</v>
      </c>
      <c r="BY108" s="2" t="s">
        <v>280</v>
      </c>
      <c r="BZ108" s="2" t="s">
        <v>245</v>
      </c>
      <c r="CA108" s="2" t="s">
        <v>746</v>
      </c>
      <c r="CB108" s="2" t="s">
        <v>761</v>
      </c>
      <c r="CC108" s="2" t="s">
        <v>246</v>
      </c>
      <c r="CD108" s="2" t="s">
        <v>233</v>
      </c>
      <c r="CE108" s="4">
        <v>106</v>
      </c>
      <c r="CF108" s="4"/>
      <c r="CG108" s="4"/>
      <c r="CH108" s="4"/>
      <c r="CI108" s="4"/>
      <c r="CJ108" s="4"/>
      <c r="CK108" s="4"/>
      <c r="CL108" s="4">
        <v>1</v>
      </c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>
        <v>200</v>
      </c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</row>
    <row r="109">
      <c r="A109" s="2" t="s">
        <v>762</v>
      </c>
      <c r="B109" s="2" t="s">
        <v>333</v>
      </c>
      <c r="C109" s="2" t="s">
        <v>530</v>
      </c>
      <c r="D109" s="2" t="s">
        <v>335</v>
      </c>
      <c r="E109" s="2" t="s">
        <v>336</v>
      </c>
      <c r="F109" s="2" t="s">
        <v>739</v>
      </c>
      <c r="G109" s="2" t="s">
        <v>739</v>
      </c>
      <c r="H109" s="2" t="s">
        <v>739</v>
      </c>
      <c r="I109" s="2" t="s">
        <v>740</v>
      </c>
      <c r="J109" s="2" t="s">
        <v>348</v>
      </c>
      <c r="K109" s="2" t="s">
        <v>297</v>
      </c>
      <c r="L109" s="3">
        <v>40.25</v>
      </c>
      <c r="M109" s="3">
        <v>42.26</v>
      </c>
      <c r="N109" s="3">
        <v>89.99</v>
      </c>
      <c r="O109" s="2" t="s">
        <v>245</v>
      </c>
      <c r="P109" s="2" t="s">
        <v>763</v>
      </c>
      <c r="Q109" s="2" t="s">
        <v>239</v>
      </c>
      <c r="R109" s="2" t="s">
        <v>233</v>
      </c>
      <c r="S109" s="2" t="s">
        <v>764</v>
      </c>
      <c r="T109" s="2" t="s">
        <v>341</v>
      </c>
      <c r="U109" s="2" t="s">
        <v>342</v>
      </c>
      <c r="V109" s="2" t="s">
        <v>241</v>
      </c>
      <c r="W109" s="2" t="s">
        <v>705</v>
      </c>
      <c r="X109" s="2" t="s">
        <v>275</v>
      </c>
      <c r="Y109" s="2" t="s">
        <v>743</v>
      </c>
      <c r="Z109" s="4">
        <v>189</v>
      </c>
      <c r="AA109" s="4">
        <f>=ROUNDDOWN(11.1176470588235,0)</f>
      </c>
      <c r="AB109" s="5">
        <v>17</v>
      </c>
      <c r="AC109" s="2" t="s">
        <v>547</v>
      </c>
      <c r="AD109" s="4">
        <v>160</v>
      </c>
      <c r="AE109" s="4">
        <v>560</v>
      </c>
      <c r="AF109" s="6">
        <v>73</v>
      </c>
      <c r="AG109" s="6"/>
      <c r="AH109" s="7">
        <v>0</v>
      </c>
      <c r="AI109" s="4"/>
      <c r="AJ109" s="4">
        <f>=ROUNDDOWN({0},0)</f>
      </c>
      <c r="AK109" s="5"/>
      <c r="AL109" s="2" t="s">
        <v>233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233</v>
      </c>
      <c r="AW109" s="8" t="s">
        <v>233</v>
      </c>
      <c r="AX109" s="4" t="s">
        <v>233</v>
      </c>
      <c r="AY109" s="8" t="s">
        <v>233</v>
      </c>
      <c r="AZ109" s="7" t="s">
        <v>233</v>
      </c>
      <c r="BA109" s="7" t="s">
        <v>233</v>
      </c>
      <c r="BB109" s="7"/>
      <c r="BC109" s="4" t="s">
        <v>233</v>
      </c>
      <c r="BD109" s="8" t="s">
        <v>233</v>
      </c>
      <c r="BE109" s="4" t="s">
        <v>233</v>
      </c>
      <c r="BF109" s="8" t="s">
        <v>233</v>
      </c>
      <c r="BG109" s="7" t="s">
        <v>233</v>
      </c>
      <c r="BH109" s="7" t="s">
        <v>233</v>
      </c>
      <c r="BI109" s="7"/>
      <c r="BJ109" s="4"/>
      <c r="BK109" s="8"/>
      <c r="BL109" s="2" t="s">
        <v>233</v>
      </c>
      <c r="BM109" s="7"/>
      <c r="BN109" s="7"/>
      <c r="BO109" s="4"/>
      <c r="BP109" s="8"/>
      <c r="BQ109" s="4"/>
      <c r="BR109" s="8"/>
      <c r="BS109" s="7"/>
      <c r="BT109" s="7"/>
      <c r="BU109" s="2" t="s">
        <v>765</v>
      </c>
      <c r="BV109" s="2" t="s">
        <v>233</v>
      </c>
      <c r="BW109" s="2" t="s">
        <v>233</v>
      </c>
      <c r="BX109" s="2" t="s">
        <v>233</v>
      </c>
      <c r="BY109" s="2" t="s">
        <v>280</v>
      </c>
      <c r="BZ109" s="2" t="s">
        <v>245</v>
      </c>
      <c r="CA109" s="2" t="s">
        <v>746</v>
      </c>
      <c r="CB109" s="2" t="s">
        <v>766</v>
      </c>
      <c r="CC109" s="2" t="s">
        <v>246</v>
      </c>
      <c r="CD109" s="2" t="s">
        <v>233</v>
      </c>
      <c r="CE109" s="4">
        <v>189</v>
      </c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>
        <v>160</v>
      </c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>
        <v>240</v>
      </c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>
        <v>160</v>
      </c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</row>
    <row r="110">
      <c r="A110" s="2" t="s">
        <v>767</v>
      </c>
      <c r="B110" s="2" t="s">
        <v>333</v>
      </c>
      <c r="C110" s="2" t="s">
        <v>530</v>
      </c>
      <c r="D110" s="2" t="s">
        <v>335</v>
      </c>
      <c r="E110" s="2" t="s">
        <v>336</v>
      </c>
      <c r="F110" s="2" t="s">
        <v>739</v>
      </c>
      <c r="G110" s="2" t="s">
        <v>739</v>
      </c>
      <c r="H110" s="2" t="s">
        <v>739</v>
      </c>
      <c r="I110" s="2" t="s">
        <v>740</v>
      </c>
      <c r="J110" s="2" t="s">
        <v>328</v>
      </c>
      <c r="K110" s="2" t="s">
        <v>297</v>
      </c>
      <c r="L110" s="3">
        <v>45.5</v>
      </c>
      <c r="M110" s="3">
        <v>47.78</v>
      </c>
      <c r="N110" s="3">
        <v>99.99</v>
      </c>
      <c r="O110" s="2" t="s">
        <v>245</v>
      </c>
      <c r="P110" s="2" t="s">
        <v>741</v>
      </c>
      <c r="Q110" s="2" t="s">
        <v>239</v>
      </c>
      <c r="R110" s="2" t="s">
        <v>233</v>
      </c>
      <c r="S110" s="2" t="s">
        <v>764</v>
      </c>
      <c r="T110" s="2" t="s">
        <v>341</v>
      </c>
      <c r="U110" s="2" t="s">
        <v>342</v>
      </c>
      <c r="V110" s="2" t="s">
        <v>241</v>
      </c>
      <c r="W110" s="2" t="s">
        <v>705</v>
      </c>
      <c r="X110" s="2" t="s">
        <v>275</v>
      </c>
      <c r="Y110" s="2" t="s">
        <v>743</v>
      </c>
      <c r="Z110" s="4">
        <v>116</v>
      </c>
      <c r="AA110" s="4">
        <f>=ROUNDDOWN(8.92307692307692,0)</f>
      </c>
      <c r="AB110" s="5">
        <v>13</v>
      </c>
      <c r="AC110" s="2" t="s">
        <v>547</v>
      </c>
      <c r="AD110" s="4">
        <v>110</v>
      </c>
      <c r="AE110" s="4">
        <v>310</v>
      </c>
      <c r="AF110" s="6">
        <v>73</v>
      </c>
      <c r="AG110" s="6"/>
      <c r="AH110" s="7">
        <v>0</v>
      </c>
      <c r="AI110" s="4"/>
      <c r="AJ110" s="4">
        <f>=ROUNDDOWN({0},0)</f>
      </c>
      <c r="AK110" s="5"/>
      <c r="AL110" s="2" t="s">
        <v>233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233</v>
      </c>
      <c r="AW110" s="8" t="s">
        <v>233</v>
      </c>
      <c r="AX110" s="4" t="s">
        <v>233</v>
      </c>
      <c r="AY110" s="8" t="s">
        <v>233</v>
      </c>
      <c r="AZ110" s="7" t="s">
        <v>233</v>
      </c>
      <c r="BA110" s="7" t="s">
        <v>233</v>
      </c>
      <c r="BB110" s="7"/>
      <c r="BC110" s="4" t="s">
        <v>233</v>
      </c>
      <c r="BD110" s="8" t="s">
        <v>233</v>
      </c>
      <c r="BE110" s="4" t="s">
        <v>233</v>
      </c>
      <c r="BF110" s="8" t="s">
        <v>233</v>
      </c>
      <c r="BG110" s="7" t="s">
        <v>233</v>
      </c>
      <c r="BH110" s="7" t="s">
        <v>233</v>
      </c>
      <c r="BI110" s="7"/>
      <c r="BJ110" s="4">
        <v>1</v>
      </c>
      <c r="BK110" s="8">
        <v>51.6</v>
      </c>
      <c r="BL110" s="2" t="s">
        <v>768</v>
      </c>
      <c r="BM110" s="7"/>
      <c r="BN110" s="7"/>
      <c r="BO110" s="4"/>
      <c r="BP110" s="8"/>
      <c r="BQ110" s="4"/>
      <c r="BR110" s="8"/>
      <c r="BS110" s="7"/>
      <c r="BT110" s="7"/>
      <c r="BU110" s="2" t="s">
        <v>769</v>
      </c>
      <c r="BV110" s="2" t="s">
        <v>233</v>
      </c>
      <c r="BW110" s="2" t="s">
        <v>233</v>
      </c>
      <c r="BX110" s="2" t="s">
        <v>233</v>
      </c>
      <c r="BY110" s="2" t="s">
        <v>280</v>
      </c>
      <c r="BZ110" s="2" t="s">
        <v>245</v>
      </c>
      <c r="CA110" s="2" t="s">
        <v>485</v>
      </c>
      <c r="CB110" s="2" t="s">
        <v>761</v>
      </c>
      <c r="CC110" s="2" t="s">
        <v>246</v>
      </c>
      <c r="CD110" s="2" t="s">
        <v>233</v>
      </c>
      <c r="CE110" s="4">
        <v>116</v>
      </c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>
        <v>110</v>
      </c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>
        <v>100</v>
      </c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>
        <v>100</v>
      </c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</row>
    <row r="111">
      <c r="A111" s="2" t="s">
        <v>770</v>
      </c>
      <c r="B111" s="2" t="s">
        <v>333</v>
      </c>
      <c r="C111" s="2" t="s">
        <v>530</v>
      </c>
      <c r="D111" s="2" t="s">
        <v>335</v>
      </c>
      <c r="E111" s="2" t="s">
        <v>336</v>
      </c>
      <c r="F111" s="2" t="s">
        <v>771</v>
      </c>
      <c r="G111" s="2" t="s">
        <v>771</v>
      </c>
      <c r="H111" s="2" t="s">
        <v>771</v>
      </c>
      <c r="I111" s="2" t="s">
        <v>772</v>
      </c>
      <c r="J111" s="2" t="s">
        <v>348</v>
      </c>
      <c r="K111" s="2" t="s">
        <v>773</v>
      </c>
      <c r="L111" s="3">
        <v>30.24</v>
      </c>
      <c r="M111" s="3">
        <v>31.75</v>
      </c>
      <c r="N111" s="3">
        <v>62.99</v>
      </c>
      <c r="O111" s="2" t="s">
        <v>245</v>
      </c>
      <c r="P111" s="2" t="s">
        <v>311</v>
      </c>
      <c r="Q111" s="2" t="s">
        <v>239</v>
      </c>
      <c r="R111" s="2" t="s">
        <v>233</v>
      </c>
      <c r="S111" s="2" t="s">
        <v>774</v>
      </c>
      <c r="T111" s="2" t="s">
        <v>775</v>
      </c>
      <c r="U111" s="2" t="s">
        <v>342</v>
      </c>
      <c r="V111" s="2" t="s">
        <v>241</v>
      </c>
      <c r="W111" s="2" t="s">
        <v>275</v>
      </c>
      <c r="X111" s="2" t="s">
        <v>776</v>
      </c>
      <c r="Y111" s="2" t="s">
        <v>777</v>
      </c>
      <c r="Z111" s="4">
        <v>117</v>
      </c>
      <c r="AA111" s="4">
        <f>=ROUNDDOWN(13,0)</f>
      </c>
      <c r="AB111" s="5">
        <v>9</v>
      </c>
      <c r="AC111" s="2" t="s">
        <v>350</v>
      </c>
      <c r="AD111" s="4">
        <v>50</v>
      </c>
      <c r="AE111" s="4">
        <v>65</v>
      </c>
      <c r="AF111" s="6">
        <v>70</v>
      </c>
      <c r="AG111" s="6"/>
      <c r="AH111" s="7">
        <v>1</v>
      </c>
      <c r="AI111" s="4"/>
      <c r="AJ111" s="4">
        <f>=ROUNDDOWN({0},0)</f>
      </c>
      <c r="AK111" s="5"/>
      <c r="AL111" s="2" t="s">
        <v>233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233</v>
      </c>
      <c r="BD111" s="8" t="s">
        <v>233</v>
      </c>
      <c r="BE111" s="4" t="s">
        <v>233</v>
      </c>
      <c r="BF111" s="8" t="s">
        <v>233</v>
      </c>
      <c r="BG111" s="7" t="s">
        <v>233</v>
      </c>
      <c r="BH111" s="7" t="s">
        <v>233</v>
      </c>
      <c r="BI111" s="7"/>
      <c r="BJ111" s="4">
        <v>48</v>
      </c>
      <c r="BK111" s="8">
        <v>1571.08</v>
      </c>
      <c r="BL111" s="2" t="s">
        <v>778</v>
      </c>
      <c r="BM111" s="7"/>
      <c r="BN111" s="7"/>
      <c r="BO111" s="4"/>
      <c r="BP111" s="8"/>
      <c r="BQ111" s="4"/>
      <c r="BR111" s="8"/>
      <c r="BS111" s="7"/>
      <c r="BT111" s="7"/>
      <c r="BU111" s="2" t="s">
        <v>779</v>
      </c>
      <c r="BV111" s="2" t="s">
        <v>233</v>
      </c>
      <c r="BW111" s="2" t="s">
        <v>233</v>
      </c>
      <c r="BX111" s="2" t="s">
        <v>233</v>
      </c>
      <c r="BY111" s="2" t="s">
        <v>280</v>
      </c>
      <c r="BZ111" s="2" t="s">
        <v>245</v>
      </c>
      <c r="CA111" s="2" t="s">
        <v>777</v>
      </c>
      <c r="CB111" s="2" t="s">
        <v>780</v>
      </c>
      <c r="CC111" s="2" t="s">
        <v>246</v>
      </c>
      <c r="CD111" s="2" t="s">
        <v>233</v>
      </c>
      <c r="CE111" s="4">
        <v>117</v>
      </c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>
        <v>50</v>
      </c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>
        <v>15</v>
      </c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</row>
    <row r="112">
      <c r="A112" s="2" t="s">
        <v>781</v>
      </c>
      <c r="B112" s="2" t="s">
        <v>333</v>
      </c>
      <c r="C112" s="2" t="s">
        <v>530</v>
      </c>
      <c r="D112" s="2" t="s">
        <v>335</v>
      </c>
      <c r="E112" s="2" t="s">
        <v>336</v>
      </c>
      <c r="F112" s="2" t="s">
        <v>771</v>
      </c>
      <c r="G112" s="2" t="s">
        <v>771</v>
      </c>
      <c r="H112" s="2" t="s">
        <v>771</v>
      </c>
      <c r="I112" s="2" t="s">
        <v>772</v>
      </c>
      <c r="J112" s="2" t="s">
        <v>290</v>
      </c>
      <c r="K112" s="2" t="s">
        <v>582</v>
      </c>
      <c r="L112" s="3">
        <v>25.99</v>
      </c>
      <c r="M112" s="3">
        <v>27.29</v>
      </c>
      <c r="N112" s="3">
        <v>57.99</v>
      </c>
      <c r="O112" s="2" t="s">
        <v>245</v>
      </c>
      <c r="P112" s="2" t="s">
        <v>311</v>
      </c>
      <c r="Q112" s="2" t="s">
        <v>239</v>
      </c>
      <c r="R112" s="2" t="s">
        <v>233</v>
      </c>
      <c r="S112" s="2" t="s">
        <v>782</v>
      </c>
      <c r="T112" s="2" t="s">
        <v>775</v>
      </c>
      <c r="U112" s="2" t="s">
        <v>342</v>
      </c>
      <c r="V112" s="2" t="s">
        <v>241</v>
      </c>
      <c r="W112" s="2" t="s">
        <v>275</v>
      </c>
      <c r="X112" s="2" t="s">
        <v>776</v>
      </c>
      <c r="Y112" s="2" t="s">
        <v>777</v>
      </c>
      <c r="Z112" s="4">
        <v>19</v>
      </c>
      <c r="AA112" s="4">
        <f>=ROUNDDOWN(4.75,0)</f>
      </c>
      <c r="AB112" s="5">
        <v>4</v>
      </c>
      <c r="AC112" s="2" t="s">
        <v>350</v>
      </c>
      <c r="AD112" s="4">
        <v>60</v>
      </c>
      <c r="AE112" s="4">
        <v>120</v>
      </c>
      <c r="AF112" s="6">
        <v>70</v>
      </c>
      <c r="AG112" s="6"/>
      <c r="AH112" s="7">
        <v>1</v>
      </c>
      <c r="AI112" s="4"/>
      <c r="AJ112" s="4">
        <f>=ROUNDDOWN({0},0)</f>
      </c>
      <c r="AK112" s="5"/>
      <c r="AL112" s="2" t="s">
        <v>233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233</v>
      </c>
      <c r="AW112" s="8" t="s">
        <v>233</v>
      </c>
      <c r="AX112" s="4" t="s">
        <v>233</v>
      </c>
      <c r="AY112" s="8" t="s">
        <v>233</v>
      </c>
      <c r="AZ112" s="7" t="s">
        <v>233</v>
      </c>
      <c r="BA112" s="7" t="s">
        <v>233</v>
      </c>
      <c r="BB112" s="7"/>
      <c r="BC112" s="4" t="s">
        <v>233</v>
      </c>
      <c r="BD112" s="8" t="s">
        <v>233</v>
      </c>
      <c r="BE112" s="4" t="s">
        <v>233</v>
      </c>
      <c r="BF112" s="8" t="s">
        <v>233</v>
      </c>
      <c r="BG112" s="7" t="s">
        <v>233</v>
      </c>
      <c r="BH112" s="7" t="s">
        <v>233</v>
      </c>
      <c r="BI112" s="7"/>
      <c r="BJ112" s="4">
        <v>15</v>
      </c>
      <c r="BK112" s="8">
        <v>427.35</v>
      </c>
      <c r="BL112" s="2" t="s">
        <v>453</v>
      </c>
      <c r="BM112" s="7"/>
      <c r="BN112" s="7"/>
      <c r="BO112" s="4"/>
      <c r="BP112" s="8"/>
      <c r="BQ112" s="4"/>
      <c r="BR112" s="8"/>
      <c r="BS112" s="7"/>
      <c r="BT112" s="7"/>
      <c r="BU112" s="2" t="s">
        <v>783</v>
      </c>
      <c r="BV112" s="2" t="s">
        <v>233</v>
      </c>
      <c r="BW112" s="2" t="s">
        <v>233</v>
      </c>
      <c r="BX112" s="2" t="s">
        <v>233</v>
      </c>
      <c r="BY112" s="2" t="s">
        <v>280</v>
      </c>
      <c r="BZ112" s="2" t="s">
        <v>245</v>
      </c>
      <c r="CA112" s="2" t="s">
        <v>777</v>
      </c>
      <c r="CB112" s="2" t="s">
        <v>784</v>
      </c>
      <c r="CC112" s="2" t="s">
        <v>246</v>
      </c>
      <c r="CD112" s="2" t="s">
        <v>233</v>
      </c>
      <c r="CE112" s="4">
        <v>19</v>
      </c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>
        <v>60</v>
      </c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>
        <v>60</v>
      </c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</row>
    <row r="113">
      <c r="A113" s="2" t="s">
        <v>785</v>
      </c>
      <c r="B113" s="2" t="s">
        <v>333</v>
      </c>
      <c r="C113" s="2" t="s">
        <v>530</v>
      </c>
      <c r="D113" s="2" t="s">
        <v>335</v>
      </c>
      <c r="E113" s="2" t="s">
        <v>336</v>
      </c>
      <c r="F113" s="2" t="s">
        <v>771</v>
      </c>
      <c r="G113" s="2" t="s">
        <v>771</v>
      </c>
      <c r="H113" s="2" t="s">
        <v>771</v>
      </c>
      <c r="I113" s="2" t="s">
        <v>772</v>
      </c>
      <c r="J113" s="2" t="s">
        <v>328</v>
      </c>
      <c r="K113" s="2" t="s">
        <v>582</v>
      </c>
      <c r="L113" s="3">
        <v>35.28</v>
      </c>
      <c r="M113" s="3">
        <v>37.04</v>
      </c>
      <c r="N113" s="3">
        <v>73.99</v>
      </c>
      <c r="O113" s="2" t="s">
        <v>245</v>
      </c>
      <c r="P113" s="2" t="s">
        <v>311</v>
      </c>
      <c r="Q113" s="2" t="s">
        <v>239</v>
      </c>
      <c r="R113" s="2" t="s">
        <v>233</v>
      </c>
      <c r="S113" s="2" t="s">
        <v>782</v>
      </c>
      <c r="T113" s="2" t="s">
        <v>775</v>
      </c>
      <c r="U113" s="2" t="s">
        <v>342</v>
      </c>
      <c r="V113" s="2" t="s">
        <v>241</v>
      </c>
      <c r="W113" s="2" t="s">
        <v>275</v>
      </c>
      <c r="X113" s="2" t="s">
        <v>776</v>
      </c>
      <c r="Y113" s="2" t="s">
        <v>777</v>
      </c>
      <c r="Z113" s="4"/>
      <c r="AA113" s="4">
        <f>=ROUNDDOWN({0},0)</f>
      </c>
      <c r="AB113" s="5">
        <v>6</v>
      </c>
      <c r="AC113" s="2" t="s">
        <v>350</v>
      </c>
      <c r="AD113" s="4">
        <v>70</v>
      </c>
      <c r="AE113" s="4">
        <v>169</v>
      </c>
      <c r="AF113" s="6">
        <v>70</v>
      </c>
      <c r="AG113" s="6"/>
      <c r="AH113" s="7">
        <v>0</v>
      </c>
      <c r="AI113" s="4"/>
      <c r="AJ113" s="4">
        <f>=ROUNDDOWN({0},0)</f>
      </c>
      <c r="AK113" s="5"/>
      <c r="AL113" s="2" t="s">
        <v>233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233</v>
      </c>
      <c r="AW113" s="8" t="s">
        <v>233</v>
      </c>
      <c r="AX113" s="4" t="s">
        <v>233</v>
      </c>
      <c r="AY113" s="8" t="s">
        <v>233</v>
      </c>
      <c r="AZ113" s="7" t="s">
        <v>233</v>
      </c>
      <c r="BA113" s="7" t="s">
        <v>233</v>
      </c>
      <c r="BB113" s="7"/>
      <c r="BC113" s="4" t="s">
        <v>233</v>
      </c>
      <c r="BD113" s="8" t="s">
        <v>233</v>
      </c>
      <c r="BE113" s="4" t="s">
        <v>233</v>
      </c>
      <c r="BF113" s="8" t="s">
        <v>233</v>
      </c>
      <c r="BG113" s="7" t="s">
        <v>233</v>
      </c>
      <c r="BH113" s="7" t="s">
        <v>233</v>
      </c>
      <c r="BI113" s="7"/>
      <c r="BJ113" s="4">
        <v>4</v>
      </c>
      <c r="BK113" s="8">
        <v>151.79</v>
      </c>
      <c r="BL113" s="2" t="s">
        <v>786</v>
      </c>
      <c r="BM113" s="7"/>
      <c r="BN113" s="7"/>
      <c r="BO113" s="4"/>
      <c r="BP113" s="8"/>
      <c r="BQ113" s="4"/>
      <c r="BR113" s="8"/>
      <c r="BS113" s="7"/>
      <c r="BT113" s="7"/>
      <c r="BU113" s="2" t="s">
        <v>787</v>
      </c>
      <c r="BV113" s="2" t="s">
        <v>233</v>
      </c>
      <c r="BW113" s="2" t="s">
        <v>233</v>
      </c>
      <c r="BX113" s="2" t="s">
        <v>233</v>
      </c>
      <c r="BY113" s="2" t="s">
        <v>280</v>
      </c>
      <c r="BZ113" s="2" t="s">
        <v>245</v>
      </c>
      <c r="CA113" s="2" t="s">
        <v>788</v>
      </c>
      <c r="CB113" s="2" t="s">
        <v>789</v>
      </c>
      <c r="CC113" s="2" t="s">
        <v>246</v>
      </c>
      <c r="CD113" s="2" t="s">
        <v>233</v>
      </c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>
        <v>70</v>
      </c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>
        <v>99</v>
      </c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</row>
    <row r="114">
      <c r="A114" s="2" t="s">
        <v>790</v>
      </c>
      <c r="B114" s="2" t="s">
        <v>333</v>
      </c>
      <c r="C114" s="2" t="s">
        <v>701</v>
      </c>
      <c r="D114" s="2" t="s">
        <v>335</v>
      </c>
      <c r="E114" s="2" t="s">
        <v>336</v>
      </c>
      <c r="F114" s="2" t="s">
        <v>791</v>
      </c>
      <c r="G114" s="2" t="s">
        <v>791</v>
      </c>
      <c r="H114" s="2" t="s">
        <v>791</v>
      </c>
      <c r="I114" s="2" t="s">
        <v>792</v>
      </c>
      <c r="J114" s="2" t="s">
        <v>290</v>
      </c>
      <c r="K114" s="2" t="s">
        <v>773</v>
      </c>
      <c r="L114" s="3">
        <v>27.72</v>
      </c>
      <c r="M114" s="3">
        <v>29.11</v>
      </c>
      <c r="N114" s="3">
        <v>59.99</v>
      </c>
      <c r="O114" s="2" t="s">
        <v>245</v>
      </c>
      <c r="P114" s="2" t="s">
        <v>272</v>
      </c>
      <c r="Q114" s="2" t="s">
        <v>239</v>
      </c>
      <c r="R114" s="2" t="s">
        <v>233</v>
      </c>
      <c r="S114" s="2" t="s">
        <v>793</v>
      </c>
      <c r="T114" s="2" t="s">
        <v>775</v>
      </c>
      <c r="U114" s="2" t="s">
        <v>342</v>
      </c>
      <c r="V114" s="2" t="s">
        <v>241</v>
      </c>
      <c r="W114" s="2" t="s">
        <v>275</v>
      </c>
      <c r="X114" s="2" t="s">
        <v>397</v>
      </c>
      <c r="Y114" s="2" t="s">
        <v>794</v>
      </c>
      <c r="Z114" s="4">
        <v>235</v>
      </c>
      <c r="AA114" s="4">
        <f>=ROUNDDOWN(47,0)</f>
      </c>
      <c r="AB114" s="5">
        <v>5</v>
      </c>
      <c r="AC114" s="2" t="s">
        <v>795</v>
      </c>
      <c r="AD114" s="4">
        <v>70</v>
      </c>
      <c r="AE114" s="4">
        <v>223</v>
      </c>
      <c r="AF114" s="6">
        <v>70</v>
      </c>
      <c r="AG114" s="6"/>
      <c r="AH114" s="7">
        <v>1</v>
      </c>
      <c r="AI114" s="4"/>
      <c r="AJ114" s="4">
        <f>=ROUNDDOWN({0},0)</f>
      </c>
      <c r="AK114" s="5"/>
      <c r="AL114" s="2" t="s">
        <v>233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233</v>
      </c>
      <c r="BD114" s="8" t="s">
        <v>233</v>
      </c>
      <c r="BE114" s="4" t="s">
        <v>233</v>
      </c>
      <c r="BF114" s="8" t="s">
        <v>233</v>
      </c>
      <c r="BG114" s="7" t="s">
        <v>233</v>
      </c>
      <c r="BH114" s="7" t="s">
        <v>233</v>
      </c>
      <c r="BI114" s="7"/>
      <c r="BJ114" s="4">
        <v>5</v>
      </c>
      <c r="BK114" s="8">
        <v>150.46</v>
      </c>
      <c r="BL114" s="2" t="s">
        <v>796</v>
      </c>
      <c r="BM114" s="7"/>
      <c r="BN114" s="7"/>
      <c r="BO114" s="4"/>
      <c r="BP114" s="8"/>
      <c r="BQ114" s="4"/>
      <c r="BR114" s="8"/>
      <c r="BS114" s="7"/>
      <c r="BT114" s="7"/>
      <c r="BU114" s="2" t="s">
        <v>797</v>
      </c>
      <c r="BV114" s="2" t="s">
        <v>233</v>
      </c>
      <c r="BW114" s="2" t="s">
        <v>233</v>
      </c>
      <c r="BX114" s="2" t="s">
        <v>798</v>
      </c>
      <c r="BY114" s="2" t="s">
        <v>280</v>
      </c>
      <c r="BZ114" s="2" t="s">
        <v>245</v>
      </c>
      <c r="CA114" s="2" t="s">
        <v>799</v>
      </c>
      <c r="CB114" s="2" t="s">
        <v>800</v>
      </c>
      <c r="CC114" s="2" t="s">
        <v>246</v>
      </c>
      <c r="CD114" s="2" t="s">
        <v>233</v>
      </c>
      <c r="CE114" s="4">
        <v>235</v>
      </c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>
        <v>70</v>
      </c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>
        <v>17</v>
      </c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>
        <v>6</v>
      </c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>
        <v>100</v>
      </c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>
        <v>30</v>
      </c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</row>
    <row r="115">
      <c r="A115" s="2" t="s">
        <v>801</v>
      </c>
      <c r="B115" s="2" t="s">
        <v>333</v>
      </c>
      <c r="C115" s="2" t="s">
        <v>701</v>
      </c>
      <c r="D115" s="2" t="s">
        <v>335</v>
      </c>
      <c r="E115" s="2" t="s">
        <v>336</v>
      </c>
      <c r="F115" s="2" t="s">
        <v>791</v>
      </c>
      <c r="G115" s="2" t="s">
        <v>791</v>
      </c>
      <c r="H115" s="2" t="s">
        <v>791</v>
      </c>
      <c r="I115" s="2" t="s">
        <v>792</v>
      </c>
      <c r="J115" s="2" t="s">
        <v>546</v>
      </c>
      <c r="K115" s="2" t="s">
        <v>582</v>
      </c>
      <c r="L115" s="3">
        <v>33.08</v>
      </c>
      <c r="M115" s="3">
        <v>34.73</v>
      </c>
      <c r="N115" s="3">
        <v>69.99</v>
      </c>
      <c r="O115" s="2" t="s">
        <v>245</v>
      </c>
      <c r="P115" s="2" t="s">
        <v>272</v>
      </c>
      <c r="Q115" s="2" t="s">
        <v>239</v>
      </c>
      <c r="R115" s="2" t="s">
        <v>233</v>
      </c>
      <c r="S115" s="2" t="s">
        <v>802</v>
      </c>
      <c r="T115" s="2" t="s">
        <v>775</v>
      </c>
      <c r="U115" s="2" t="s">
        <v>342</v>
      </c>
      <c r="V115" s="2" t="s">
        <v>241</v>
      </c>
      <c r="W115" s="2" t="s">
        <v>275</v>
      </c>
      <c r="X115" s="2" t="s">
        <v>397</v>
      </c>
      <c r="Y115" s="2" t="s">
        <v>803</v>
      </c>
      <c r="Z115" s="4">
        <v>156</v>
      </c>
      <c r="AA115" s="4">
        <f>=ROUNDDOWN(19.5,0)</f>
      </c>
      <c r="AB115" s="5">
        <v>8</v>
      </c>
      <c r="AC115" s="2" t="s">
        <v>795</v>
      </c>
      <c r="AD115" s="4">
        <v>40</v>
      </c>
      <c r="AE115" s="4">
        <v>180</v>
      </c>
      <c r="AF115" s="6">
        <v>70</v>
      </c>
      <c r="AG115" s="6"/>
      <c r="AH115" s="7">
        <v>1</v>
      </c>
      <c r="AI115" s="4"/>
      <c r="AJ115" s="4">
        <f>=ROUNDDOWN({0},0)</f>
      </c>
      <c r="AK115" s="5"/>
      <c r="AL115" s="2" t="s">
        <v>233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 t="s">
        <v>233</v>
      </c>
      <c r="BD115" s="8" t="s">
        <v>233</v>
      </c>
      <c r="BE115" s="4" t="s">
        <v>233</v>
      </c>
      <c r="BF115" s="8" t="s">
        <v>233</v>
      </c>
      <c r="BG115" s="7" t="s">
        <v>233</v>
      </c>
      <c r="BH115" s="7" t="s">
        <v>233</v>
      </c>
      <c r="BI115" s="7"/>
      <c r="BJ115" s="4">
        <v>23</v>
      </c>
      <c r="BK115" s="8">
        <v>805.65</v>
      </c>
      <c r="BL115" s="2" t="s">
        <v>804</v>
      </c>
      <c r="BM115" s="7"/>
      <c r="BN115" s="7"/>
      <c r="BO115" s="4"/>
      <c r="BP115" s="8"/>
      <c r="BQ115" s="4"/>
      <c r="BR115" s="8"/>
      <c r="BS115" s="7"/>
      <c r="BT115" s="7"/>
      <c r="BU115" s="2" t="s">
        <v>805</v>
      </c>
      <c r="BV115" s="2" t="s">
        <v>233</v>
      </c>
      <c r="BW115" s="2" t="s">
        <v>233</v>
      </c>
      <c r="BX115" s="2" t="s">
        <v>798</v>
      </c>
      <c r="BY115" s="2" t="s">
        <v>280</v>
      </c>
      <c r="BZ115" s="2" t="s">
        <v>245</v>
      </c>
      <c r="CA115" s="2" t="s">
        <v>806</v>
      </c>
      <c r="CB115" s="2" t="s">
        <v>807</v>
      </c>
      <c r="CC115" s="2" t="s">
        <v>246</v>
      </c>
      <c r="CD115" s="2" t="s">
        <v>233</v>
      </c>
      <c r="CE115" s="4">
        <v>156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>
        <v>40</v>
      </c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>
        <v>140</v>
      </c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</row>
    <row r="116">
      <c r="A116" s="2" t="s">
        <v>808</v>
      </c>
      <c r="B116" s="2" t="s">
        <v>333</v>
      </c>
      <c r="C116" s="2" t="s">
        <v>530</v>
      </c>
      <c r="D116" s="2" t="s">
        <v>335</v>
      </c>
      <c r="E116" s="2" t="s">
        <v>336</v>
      </c>
      <c r="F116" s="2" t="s">
        <v>791</v>
      </c>
      <c r="G116" s="2" t="s">
        <v>791</v>
      </c>
      <c r="H116" s="2" t="s">
        <v>791</v>
      </c>
      <c r="I116" s="2" t="s">
        <v>809</v>
      </c>
      <c r="J116" s="2" t="s">
        <v>328</v>
      </c>
      <c r="K116" s="2" t="s">
        <v>810</v>
      </c>
      <c r="L116" s="3">
        <v>63</v>
      </c>
      <c r="M116" s="3">
        <v>66.15</v>
      </c>
      <c r="N116" s="3">
        <v>124.99</v>
      </c>
      <c r="O116" s="2" t="s">
        <v>245</v>
      </c>
      <c r="P116" s="2" t="s">
        <v>272</v>
      </c>
      <c r="Q116" s="2" t="s">
        <v>239</v>
      </c>
      <c r="R116" s="2" t="s">
        <v>233</v>
      </c>
      <c r="S116" s="2" t="s">
        <v>811</v>
      </c>
      <c r="T116" s="2" t="s">
        <v>341</v>
      </c>
      <c r="U116" s="2" t="s">
        <v>342</v>
      </c>
      <c r="V116" s="2" t="s">
        <v>241</v>
      </c>
      <c r="W116" s="2" t="s">
        <v>275</v>
      </c>
      <c r="X116" s="2" t="s">
        <v>776</v>
      </c>
      <c r="Y116" s="2" t="s">
        <v>812</v>
      </c>
      <c r="Z116" s="4">
        <v>103</v>
      </c>
      <c r="AA116" s="4">
        <f>=ROUNDDOWN(20.6,0)</f>
      </c>
      <c r="AB116" s="5">
        <v>5</v>
      </c>
      <c r="AC116" s="2" t="s">
        <v>813</v>
      </c>
      <c r="AD116" s="4">
        <v>184</v>
      </c>
      <c r="AE116" s="4">
        <v>184</v>
      </c>
      <c r="AF116" s="6">
        <v>69</v>
      </c>
      <c r="AG116" s="6"/>
      <c r="AH116" s="7">
        <v>0</v>
      </c>
      <c r="AI116" s="4"/>
      <c r="AJ116" s="4">
        <f>=ROUNDDOWN({0},0)</f>
      </c>
      <c r="AK116" s="5"/>
      <c r="AL116" s="2" t="s">
        <v>233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233</v>
      </c>
      <c r="AW116" s="8" t="s">
        <v>233</v>
      </c>
      <c r="AX116" s="4" t="s">
        <v>233</v>
      </c>
      <c r="AY116" s="8" t="s">
        <v>233</v>
      </c>
      <c r="AZ116" s="7" t="s">
        <v>233</v>
      </c>
      <c r="BA116" s="7" t="s">
        <v>233</v>
      </c>
      <c r="BB116" s="7"/>
      <c r="BC116" s="4" t="s">
        <v>233</v>
      </c>
      <c r="BD116" s="8" t="s">
        <v>233</v>
      </c>
      <c r="BE116" s="4" t="s">
        <v>233</v>
      </c>
      <c r="BF116" s="8" t="s">
        <v>233</v>
      </c>
      <c r="BG116" s="7" t="s">
        <v>233</v>
      </c>
      <c r="BH116" s="7" t="s">
        <v>233</v>
      </c>
      <c r="BI116" s="7"/>
      <c r="BJ116" s="4"/>
      <c r="BK116" s="8"/>
      <c r="BL116" s="2" t="s">
        <v>814</v>
      </c>
      <c r="BM116" s="7"/>
      <c r="BN116" s="7"/>
      <c r="BO116" s="4"/>
      <c r="BP116" s="8"/>
      <c r="BQ116" s="4"/>
      <c r="BR116" s="8"/>
      <c r="BS116" s="7"/>
      <c r="BT116" s="7"/>
      <c r="BU116" s="2" t="s">
        <v>815</v>
      </c>
      <c r="BV116" s="2" t="s">
        <v>233</v>
      </c>
      <c r="BW116" s="2" t="s">
        <v>233</v>
      </c>
      <c r="BX116" s="2" t="s">
        <v>233</v>
      </c>
      <c r="BY116" s="2" t="s">
        <v>280</v>
      </c>
      <c r="BZ116" s="2" t="s">
        <v>245</v>
      </c>
      <c r="CA116" s="2" t="s">
        <v>816</v>
      </c>
      <c r="CB116" s="2" t="s">
        <v>817</v>
      </c>
      <c r="CC116" s="2" t="s">
        <v>246</v>
      </c>
      <c r="CD116" s="2" t="s">
        <v>233</v>
      </c>
      <c r="CE116" s="4">
        <v>103</v>
      </c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>
        <v>184</v>
      </c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</row>
    <row r="117">
      <c r="A117" s="2" t="s">
        <v>818</v>
      </c>
      <c r="B117" s="2" t="s">
        <v>333</v>
      </c>
      <c r="C117" s="2" t="s">
        <v>530</v>
      </c>
      <c r="D117" s="2" t="s">
        <v>335</v>
      </c>
      <c r="E117" s="2" t="s">
        <v>336</v>
      </c>
      <c r="F117" s="2" t="s">
        <v>791</v>
      </c>
      <c r="G117" s="2" t="s">
        <v>791</v>
      </c>
      <c r="H117" s="2" t="s">
        <v>791</v>
      </c>
      <c r="I117" s="2" t="s">
        <v>809</v>
      </c>
      <c r="J117" s="2" t="s">
        <v>546</v>
      </c>
      <c r="K117" s="2" t="s">
        <v>810</v>
      </c>
      <c r="L117" s="3">
        <v>63</v>
      </c>
      <c r="M117" s="3">
        <v>66.15</v>
      </c>
      <c r="N117" s="3">
        <v>124.99</v>
      </c>
      <c r="O117" s="2" t="s">
        <v>245</v>
      </c>
      <c r="P117" s="2" t="s">
        <v>272</v>
      </c>
      <c r="Q117" s="2" t="s">
        <v>239</v>
      </c>
      <c r="R117" s="2" t="s">
        <v>233</v>
      </c>
      <c r="S117" s="2" t="s">
        <v>811</v>
      </c>
      <c r="T117" s="2" t="s">
        <v>341</v>
      </c>
      <c r="U117" s="2" t="s">
        <v>342</v>
      </c>
      <c r="V117" s="2" t="s">
        <v>241</v>
      </c>
      <c r="W117" s="2" t="s">
        <v>275</v>
      </c>
      <c r="X117" s="2" t="s">
        <v>776</v>
      </c>
      <c r="Y117" s="2" t="s">
        <v>812</v>
      </c>
      <c r="Z117" s="4">
        <v>47</v>
      </c>
      <c r="AA117" s="4">
        <f>=ROUNDDOWN(47,0)</f>
      </c>
      <c r="AB117" s="5">
        <v>1</v>
      </c>
      <c r="AC117" s="2" t="s">
        <v>819</v>
      </c>
      <c r="AD117" s="4">
        <v>50</v>
      </c>
      <c r="AE117" s="4">
        <v>50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233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233</v>
      </c>
      <c r="AW117" s="8" t="s">
        <v>233</v>
      </c>
      <c r="AX117" s="4" t="s">
        <v>233</v>
      </c>
      <c r="AY117" s="8" t="s">
        <v>233</v>
      </c>
      <c r="AZ117" s="7" t="s">
        <v>233</v>
      </c>
      <c r="BA117" s="7" t="s">
        <v>233</v>
      </c>
      <c r="BB117" s="7"/>
      <c r="BC117" s="4" t="s">
        <v>233</v>
      </c>
      <c r="BD117" s="8" t="s">
        <v>233</v>
      </c>
      <c r="BE117" s="4" t="s">
        <v>233</v>
      </c>
      <c r="BF117" s="8" t="s">
        <v>233</v>
      </c>
      <c r="BG117" s="7" t="s">
        <v>233</v>
      </c>
      <c r="BH117" s="7" t="s">
        <v>233</v>
      </c>
      <c r="BI117" s="7"/>
      <c r="BJ117" s="4">
        <v>6</v>
      </c>
      <c r="BK117" s="8">
        <v>407.76</v>
      </c>
      <c r="BL117" s="2" t="s">
        <v>778</v>
      </c>
      <c r="BM117" s="7"/>
      <c r="BN117" s="7"/>
      <c r="BO117" s="4"/>
      <c r="BP117" s="8"/>
      <c r="BQ117" s="4"/>
      <c r="BR117" s="8"/>
      <c r="BS117" s="7"/>
      <c r="BT117" s="7"/>
      <c r="BU117" s="2" t="s">
        <v>820</v>
      </c>
      <c r="BV117" s="2" t="s">
        <v>233</v>
      </c>
      <c r="BW117" s="2" t="s">
        <v>233</v>
      </c>
      <c r="BX117" s="2" t="s">
        <v>233</v>
      </c>
      <c r="BY117" s="2" t="s">
        <v>280</v>
      </c>
      <c r="BZ117" s="2" t="s">
        <v>245</v>
      </c>
      <c r="CA117" s="2" t="s">
        <v>816</v>
      </c>
      <c r="CB117" s="2" t="s">
        <v>821</v>
      </c>
      <c r="CC117" s="2" t="s">
        <v>246</v>
      </c>
      <c r="CD117" s="2" t="s">
        <v>233</v>
      </c>
      <c r="CE117" s="4">
        <v>47</v>
      </c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>
        <v>50</v>
      </c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</row>
    <row r="118">
      <c r="A118" s="2" t="s">
        <v>822</v>
      </c>
      <c r="B118" s="2" t="s">
        <v>333</v>
      </c>
      <c r="C118" s="2" t="s">
        <v>530</v>
      </c>
      <c r="D118" s="2" t="s">
        <v>335</v>
      </c>
      <c r="E118" s="2" t="s">
        <v>336</v>
      </c>
      <c r="F118" s="2" t="s">
        <v>791</v>
      </c>
      <c r="G118" s="2" t="s">
        <v>791</v>
      </c>
      <c r="H118" s="2" t="s">
        <v>791</v>
      </c>
      <c r="I118" s="2" t="s">
        <v>809</v>
      </c>
      <c r="J118" s="2" t="s">
        <v>546</v>
      </c>
      <c r="K118" s="2" t="s">
        <v>823</v>
      </c>
      <c r="L118" s="3">
        <v>63</v>
      </c>
      <c r="M118" s="3">
        <v>66.15</v>
      </c>
      <c r="N118" s="3">
        <v>124.99</v>
      </c>
      <c r="O118" s="2" t="s">
        <v>245</v>
      </c>
      <c r="P118" s="2" t="s">
        <v>272</v>
      </c>
      <c r="Q118" s="2" t="s">
        <v>239</v>
      </c>
      <c r="R118" s="2" t="s">
        <v>233</v>
      </c>
      <c r="S118" s="2" t="s">
        <v>824</v>
      </c>
      <c r="T118" s="2" t="s">
        <v>341</v>
      </c>
      <c r="U118" s="2" t="s">
        <v>342</v>
      </c>
      <c r="V118" s="2" t="s">
        <v>241</v>
      </c>
      <c r="W118" s="2" t="s">
        <v>275</v>
      </c>
      <c r="X118" s="2" t="s">
        <v>776</v>
      </c>
      <c r="Y118" s="2" t="s">
        <v>812</v>
      </c>
      <c r="Z118" s="4">
        <v>73</v>
      </c>
      <c r="AA118" s="4">
        <f>=ROUNDDOWN(24.3333333333333,0)</f>
      </c>
      <c r="AB118" s="5">
        <v>3</v>
      </c>
      <c r="AC118" s="2" t="s">
        <v>825</v>
      </c>
      <c r="AD118" s="4">
        <v>70</v>
      </c>
      <c r="AE118" s="4">
        <v>120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233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 t="s">
        <v>233</v>
      </c>
      <c r="BD118" s="8" t="s">
        <v>233</v>
      </c>
      <c r="BE118" s="4" t="s">
        <v>233</v>
      </c>
      <c r="BF118" s="8" t="s">
        <v>233</v>
      </c>
      <c r="BG118" s="7" t="s">
        <v>233</v>
      </c>
      <c r="BH118" s="7" t="s">
        <v>233</v>
      </c>
      <c r="BI118" s="7"/>
      <c r="BJ118" s="4">
        <v>11</v>
      </c>
      <c r="BK118" s="8">
        <v>766.58</v>
      </c>
      <c r="BL118" s="2" t="s">
        <v>300</v>
      </c>
      <c r="BM118" s="7"/>
      <c r="BN118" s="7"/>
      <c r="BO118" s="4"/>
      <c r="BP118" s="8"/>
      <c r="BQ118" s="4"/>
      <c r="BR118" s="8"/>
      <c r="BS118" s="7"/>
      <c r="BT118" s="7"/>
      <c r="BU118" s="2" t="s">
        <v>826</v>
      </c>
      <c r="BV118" s="2" t="s">
        <v>233</v>
      </c>
      <c r="BW118" s="2" t="s">
        <v>233</v>
      </c>
      <c r="BX118" s="2" t="s">
        <v>233</v>
      </c>
      <c r="BY118" s="2" t="s">
        <v>280</v>
      </c>
      <c r="BZ118" s="2" t="s">
        <v>245</v>
      </c>
      <c r="CA118" s="2" t="s">
        <v>816</v>
      </c>
      <c r="CB118" s="2" t="s">
        <v>827</v>
      </c>
      <c r="CC118" s="2" t="s">
        <v>246</v>
      </c>
      <c r="CD118" s="2" t="s">
        <v>233</v>
      </c>
      <c r="CE118" s="4">
        <v>73</v>
      </c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>
        <v>70</v>
      </c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>
        <v>50</v>
      </c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</row>
    <row r="119">
      <c r="A119" s="2" t="s">
        <v>828</v>
      </c>
      <c r="B119" s="2" t="s">
        <v>333</v>
      </c>
      <c r="C119" s="2" t="s">
        <v>701</v>
      </c>
      <c r="D119" s="2" t="s">
        <v>335</v>
      </c>
      <c r="E119" s="2" t="s">
        <v>336</v>
      </c>
      <c r="F119" s="2" t="s">
        <v>829</v>
      </c>
      <c r="G119" s="2" t="s">
        <v>829</v>
      </c>
      <c r="H119" s="2" t="s">
        <v>829</v>
      </c>
      <c r="I119" s="2" t="s">
        <v>830</v>
      </c>
      <c r="J119" s="2" t="s">
        <v>328</v>
      </c>
      <c r="K119" s="2" t="s">
        <v>271</v>
      </c>
      <c r="L119" s="3">
        <v>34.78</v>
      </c>
      <c r="M119" s="3">
        <v>36.52</v>
      </c>
      <c r="N119" s="3">
        <v>72.99</v>
      </c>
      <c r="O119" s="2" t="s">
        <v>245</v>
      </c>
      <c r="P119" s="2" t="s">
        <v>311</v>
      </c>
      <c r="Q119" s="2" t="s">
        <v>239</v>
      </c>
      <c r="R119" s="2" t="s">
        <v>233</v>
      </c>
      <c r="S119" s="2" t="s">
        <v>831</v>
      </c>
      <c r="T119" s="2" t="s">
        <v>775</v>
      </c>
      <c r="U119" s="2" t="s">
        <v>342</v>
      </c>
      <c r="V119" s="2" t="s">
        <v>241</v>
      </c>
      <c r="W119" s="2" t="s">
        <v>275</v>
      </c>
      <c r="X119" s="2" t="s">
        <v>397</v>
      </c>
      <c r="Y119" s="2" t="s">
        <v>832</v>
      </c>
      <c r="Z119" s="4">
        <v>88</v>
      </c>
      <c r="AA119" s="4">
        <f>=ROUNDDOWN(22,0)</f>
      </c>
      <c r="AB119" s="5">
        <v>4</v>
      </c>
      <c r="AC119" s="2" t="s">
        <v>233</v>
      </c>
      <c r="AD119" s="4"/>
      <c r="AE119" s="4"/>
      <c r="AF119" s="6">
        <v>70</v>
      </c>
      <c r="AG119" s="6"/>
      <c r="AH119" s="7">
        <v>1</v>
      </c>
      <c r="AI119" s="4"/>
      <c r="AJ119" s="4">
        <f>=ROUNDDOWN({0},0)</f>
      </c>
      <c r="AK119" s="5"/>
      <c r="AL119" s="2" t="s">
        <v>233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233</v>
      </c>
      <c r="AW119" s="8" t="s">
        <v>233</v>
      </c>
      <c r="AX119" s="4" t="s">
        <v>233</v>
      </c>
      <c r="AY119" s="8" t="s">
        <v>233</v>
      </c>
      <c r="AZ119" s="7" t="s">
        <v>233</v>
      </c>
      <c r="BA119" s="7" t="s">
        <v>233</v>
      </c>
      <c r="BB119" s="7"/>
      <c r="BC119" s="4" t="s">
        <v>233</v>
      </c>
      <c r="BD119" s="8" t="s">
        <v>233</v>
      </c>
      <c r="BE119" s="4" t="s">
        <v>233</v>
      </c>
      <c r="BF119" s="8" t="s">
        <v>233</v>
      </c>
      <c r="BG119" s="7" t="s">
        <v>233</v>
      </c>
      <c r="BH119" s="7" t="s">
        <v>233</v>
      </c>
      <c r="BI119" s="7"/>
      <c r="BJ119" s="4">
        <v>27</v>
      </c>
      <c r="BK119" s="8">
        <v>1032.4</v>
      </c>
      <c r="BL119" s="2" t="s">
        <v>833</v>
      </c>
      <c r="BM119" s="7"/>
      <c r="BN119" s="7"/>
      <c r="BO119" s="4"/>
      <c r="BP119" s="8"/>
      <c r="BQ119" s="4"/>
      <c r="BR119" s="8"/>
      <c r="BS119" s="7"/>
      <c r="BT119" s="7"/>
      <c r="BU119" s="2" t="s">
        <v>834</v>
      </c>
      <c r="BV119" s="2" t="s">
        <v>233</v>
      </c>
      <c r="BW119" s="2" t="s">
        <v>233</v>
      </c>
      <c r="BX119" s="2" t="s">
        <v>233</v>
      </c>
      <c r="BY119" s="2" t="s">
        <v>280</v>
      </c>
      <c r="BZ119" s="2" t="s">
        <v>245</v>
      </c>
      <c r="CA119" s="2" t="s">
        <v>832</v>
      </c>
      <c r="CB119" s="2" t="s">
        <v>835</v>
      </c>
      <c r="CC119" s="2" t="s">
        <v>246</v>
      </c>
      <c r="CD119" s="2" t="s">
        <v>233</v>
      </c>
      <c r="CE119" s="4">
        <v>88</v>
      </c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</row>
    <row r="120">
      <c r="A120" s="2" t="s">
        <v>836</v>
      </c>
      <c r="B120" s="2" t="s">
        <v>333</v>
      </c>
      <c r="C120" s="2" t="s">
        <v>701</v>
      </c>
      <c r="D120" s="2" t="s">
        <v>335</v>
      </c>
      <c r="E120" s="2" t="s">
        <v>336</v>
      </c>
      <c r="F120" s="2" t="s">
        <v>829</v>
      </c>
      <c r="G120" s="2" t="s">
        <v>829</v>
      </c>
      <c r="H120" s="2" t="s">
        <v>829</v>
      </c>
      <c r="I120" s="2" t="s">
        <v>830</v>
      </c>
      <c r="J120" s="2" t="s">
        <v>546</v>
      </c>
      <c r="K120" s="2" t="s">
        <v>271</v>
      </c>
      <c r="L120" s="3">
        <v>34.78</v>
      </c>
      <c r="M120" s="3">
        <v>36.52</v>
      </c>
      <c r="N120" s="3">
        <v>72.99</v>
      </c>
      <c r="O120" s="2" t="s">
        <v>245</v>
      </c>
      <c r="P120" s="2" t="s">
        <v>311</v>
      </c>
      <c r="Q120" s="2" t="s">
        <v>239</v>
      </c>
      <c r="R120" s="2" t="s">
        <v>233</v>
      </c>
      <c r="S120" s="2" t="s">
        <v>831</v>
      </c>
      <c r="T120" s="2" t="s">
        <v>775</v>
      </c>
      <c r="U120" s="2" t="s">
        <v>342</v>
      </c>
      <c r="V120" s="2" t="s">
        <v>241</v>
      </c>
      <c r="W120" s="2" t="s">
        <v>275</v>
      </c>
      <c r="X120" s="2" t="s">
        <v>397</v>
      </c>
      <c r="Y120" s="2" t="s">
        <v>832</v>
      </c>
      <c r="Z120" s="4">
        <v>20</v>
      </c>
      <c r="AA120" s="4">
        <f>=ROUNDDOWN(6.66666666666667,0)</f>
      </c>
      <c r="AB120" s="5">
        <v>3</v>
      </c>
      <c r="AC120" s="2" t="s">
        <v>233</v>
      </c>
      <c r="AD120" s="4"/>
      <c r="AE120" s="4"/>
      <c r="AF120" s="6">
        <v>70</v>
      </c>
      <c r="AG120" s="6"/>
      <c r="AH120" s="7">
        <v>1</v>
      </c>
      <c r="AI120" s="4"/>
      <c r="AJ120" s="4">
        <f>=ROUNDDOWN({0},0)</f>
      </c>
      <c r="AK120" s="5"/>
      <c r="AL120" s="2" t="s">
        <v>233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233</v>
      </c>
      <c r="AW120" s="8" t="s">
        <v>233</v>
      </c>
      <c r="AX120" s="4" t="s">
        <v>233</v>
      </c>
      <c r="AY120" s="8" t="s">
        <v>233</v>
      </c>
      <c r="AZ120" s="7" t="s">
        <v>233</v>
      </c>
      <c r="BA120" s="7" t="s">
        <v>233</v>
      </c>
      <c r="BB120" s="7"/>
      <c r="BC120" s="4" t="s">
        <v>233</v>
      </c>
      <c r="BD120" s="8" t="s">
        <v>233</v>
      </c>
      <c r="BE120" s="4" t="s">
        <v>233</v>
      </c>
      <c r="BF120" s="8" t="s">
        <v>233</v>
      </c>
      <c r="BG120" s="7" t="s">
        <v>233</v>
      </c>
      <c r="BH120" s="7" t="s">
        <v>233</v>
      </c>
      <c r="BI120" s="7"/>
      <c r="BJ120" s="4">
        <v>12</v>
      </c>
      <c r="BK120" s="8">
        <v>460.34</v>
      </c>
      <c r="BL120" s="2" t="s">
        <v>837</v>
      </c>
      <c r="BM120" s="7"/>
      <c r="BN120" s="7"/>
      <c r="BO120" s="4"/>
      <c r="BP120" s="8"/>
      <c r="BQ120" s="4"/>
      <c r="BR120" s="8"/>
      <c r="BS120" s="7"/>
      <c r="BT120" s="7"/>
      <c r="BU120" s="2" t="s">
        <v>838</v>
      </c>
      <c r="BV120" s="2" t="s">
        <v>233</v>
      </c>
      <c r="BW120" s="2" t="s">
        <v>233</v>
      </c>
      <c r="BX120" s="2" t="s">
        <v>233</v>
      </c>
      <c r="BY120" s="2" t="s">
        <v>280</v>
      </c>
      <c r="BZ120" s="2" t="s">
        <v>245</v>
      </c>
      <c r="CA120" s="2" t="s">
        <v>832</v>
      </c>
      <c r="CB120" s="2" t="s">
        <v>839</v>
      </c>
      <c r="CC120" s="2" t="s">
        <v>246</v>
      </c>
      <c r="CD120" s="2" t="s">
        <v>233</v>
      </c>
      <c r="CE120" s="4">
        <v>20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</row>
    <row r="121">
      <c r="A121" s="2" t="s">
        <v>840</v>
      </c>
      <c r="B121" s="2" t="s">
        <v>333</v>
      </c>
      <c r="C121" s="2" t="s">
        <v>701</v>
      </c>
      <c r="D121" s="2" t="s">
        <v>335</v>
      </c>
      <c r="E121" s="2" t="s">
        <v>336</v>
      </c>
      <c r="F121" s="2" t="s">
        <v>829</v>
      </c>
      <c r="G121" s="2" t="s">
        <v>829</v>
      </c>
      <c r="H121" s="2" t="s">
        <v>829</v>
      </c>
      <c r="I121" s="2" t="s">
        <v>830</v>
      </c>
      <c r="J121" s="2" t="s">
        <v>290</v>
      </c>
      <c r="K121" s="2" t="s">
        <v>569</v>
      </c>
      <c r="L121" s="3">
        <v>28.84</v>
      </c>
      <c r="M121" s="3">
        <v>30.28</v>
      </c>
      <c r="N121" s="3">
        <v>59.99</v>
      </c>
      <c r="O121" s="2" t="s">
        <v>245</v>
      </c>
      <c r="P121" s="2" t="s">
        <v>311</v>
      </c>
      <c r="Q121" s="2" t="s">
        <v>239</v>
      </c>
      <c r="R121" s="2" t="s">
        <v>233</v>
      </c>
      <c r="S121" s="2" t="s">
        <v>841</v>
      </c>
      <c r="T121" s="2" t="s">
        <v>775</v>
      </c>
      <c r="U121" s="2" t="s">
        <v>342</v>
      </c>
      <c r="V121" s="2" t="s">
        <v>241</v>
      </c>
      <c r="W121" s="2" t="s">
        <v>275</v>
      </c>
      <c r="X121" s="2" t="s">
        <v>397</v>
      </c>
      <c r="Y121" s="2" t="s">
        <v>832</v>
      </c>
      <c r="Z121" s="4">
        <v>69</v>
      </c>
      <c r="AA121" s="4">
        <f>=ROUNDDOWN(17.25,0)</f>
      </c>
      <c r="AB121" s="5">
        <v>4</v>
      </c>
      <c r="AC121" s="2" t="s">
        <v>233</v>
      </c>
      <c r="AD121" s="4"/>
      <c r="AE121" s="4"/>
      <c r="AF121" s="6">
        <v>70</v>
      </c>
      <c r="AG121" s="6"/>
      <c r="AH121" s="7">
        <v>1</v>
      </c>
      <c r="AI121" s="4"/>
      <c r="AJ121" s="4">
        <f>=ROUNDDOWN({0},0)</f>
      </c>
      <c r="AK121" s="5"/>
      <c r="AL121" s="2" t="s">
        <v>233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233</v>
      </c>
      <c r="AW121" s="8" t="s">
        <v>233</v>
      </c>
      <c r="AX121" s="4" t="s">
        <v>233</v>
      </c>
      <c r="AY121" s="8" t="s">
        <v>233</v>
      </c>
      <c r="AZ121" s="7" t="s">
        <v>233</v>
      </c>
      <c r="BA121" s="7" t="s">
        <v>233</v>
      </c>
      <c r="BB121" s="7"/>
      <c r="BC121" s="4" t="s">
        <v>233</v>
      </c>
      <c r="BD121" s="8" t="s">
        <v>233</v>
      </c>
      <c r="BE121" s="4" t="s">
        <v>233</v>
      </c>
      <c r="BF121" s="8" t="s">
        <v>233</v>
      </c>
      <c r="BG121" s="7" t="s">
        <v>233</v>
      </c>
      <c r="BH121" s="7" t="s">
        <v>233</v>
      </c>
      <c r="BI121" s="7"/>
      <c r="BJ121" s="4">
        <v>8</v>
      </c>
      <c r="BK121" s="8">
        <v>252.55</v>
      </c>
      <c r="BL121" s="2" t="s">
        <v>842</v>
      </c>
      <c r="BM121" s="7"/>
      <c r="BN121" s="7"/>
      <c r="BO121" s="4"/>
      <c r="BP121" s="8"/>
      <c r="BQ121" s="4"/>
      <c r="BR121" s="8"/>
      <c r="BS121" s="7"/>
      <c r="BT121" s="7"/>
      <c r="BU121" s="2" t="s">
        <v>843</v>
      </c>
      <c r="BV121" s="2" t="s">
        <v>233</v>
      </c>
      <c r="BW121" s="2" t="s">
        <v>233</v>
      </c>
      <c r="BX121" s="2" t="s">
        <v>233</v>
      </c>
      <c r="BY121" s="2" t="s">
        <v>280</v>
      </c>
      <c r="BZ121" s="2" t="s">
        <v>245</v>
      </c>
      <c r="CA121" s="2" t="s">
        <v>832</v>
      </c>
      <c r="CB121" s="2" t="s">
        <v>844</v>
      </c>
      <c r="CC121" s="2" t="s">
        <v>246</v>
      </c>
      <c r="CD121" s="2" t="s">
        <v>233</v>
      </c>
      <c r="CE121" s="4">
        <v>69</v>
      </c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</row>
    <row r="122">
      <c r="A122" s="2" t="s">
        <v>845</v>
      </c>
      <c r="B122" s="2" t="s">
        <v>333</v>
      </c>
      <c r="C122" s="2" t="s">
        <v>701</v>
      </c>
      <c r="D122" s="2" t="s">
        <v>335</v>
      </c>
      <c r="E122" s="2" t="s">
        <v>336</v>
      </c>
      <c r="F122" s="2" t="s">
        <v>829</v>
      </c>
      <c r="G122" s="2" t="s">
        <v>829</v>
      </c>
      <c r="H122" s="2" t="s">
        <v>829</v>
      </c>
      <c r="I122" s="2" t="s">
        <v>830</v>
      </c>
      <c r="J122" s="2" t="s">
        <v>328</v>
      </c>
      <c r="K122" s="2" t="s">
        <v>569</v>
      </c>
      <c r="L122" s="3">
        <v>34.78</v>
      </c>
      <c r="M122" s="3">
        <v>36.52</v>
      </c>
      <c r="N122" s="3">
        <v>72.99</v>
      </c>
      <c r="O122" s="2" t="s">
        <v>245</v>
      </c>
      <c r="P122" s="2" t="s">
        <v>311</v>
      </c>
      <c r="Q122" s="2" t="s">
        <v>239</v>
      </c>
      <c r="R122" s="2" t="s">
        <v>233</v>
      </c>
      <c r="S122" s="2" t="s">
        <v>841</v>
      </c>
      <c r="T122" s="2" t="s">
        <v>775</v>
      </c>
      <c r="U122" s="2" t="s">
        <v>342</v>
      </c>
      <c r="V122" s="2" t="s">
        <v>241</v>
      </c>
      <c r="W122" s="2" t="s">
        <v>275</v>
      </c>
      <c r="X122" s="2" t="s">
        <v>397</v>
      </c>
      <c r="Y122" s="2" t="s">
        <v>832</v>
      </c>
      <c r="Z122" s="4">
        <v>142</v>
      </c>
      <c r="AA122" s="4">
        <f>=ROUNDDOWN(23.6666666666667,0)</f>
      </c>
      <c r="AB122" s="5">
        <v>6</v>
      </c>
      <c r="AC122" s="2" t="s">
        <v>233</v>
      </c>
      <c r="AD122" s="4"/>
      <c r="AE122" s="4"/>
      <c r="AF122" s="6">
        <v>70</v>
      </c>
      <c r="AG122" s="6"/>
      <c r="AH122" s="7">
        <v>1</v>
      </c>
      <c r="AI122" s="4"/>
      <c r="AJ122" s="4">
        <f>=ROUNDDOWN({0},0)</f>
      </c>
      <c r="AK122" s="5"/>
      <c r="AL122" s="2" t="s">
        <v>233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233</v>
      </c>
      <c r="AW122" s="8" t="s">
        <v>233</v>
      </c>
      <c r="AX122" s="4" t="s">
        <v>233</v>
      </c>
      <c r="AY122" s="8" t="s">
        <v>233</v>
      </c>
      <c r="AZ122" s="7" t="s">
        <v>233</v>
      </c>
      <c r="BA122" s="7" t="s">
        <v>233</v>
      </c>
      <c r="BB122" s="7"/>
      <c r="BC122" s="4" t="s">
        <v>233</v>
      </c>
      <c r="BD122" s="8" t="s">
        <v>233</v>
      </c>
      <c r="BE122" s="4" t="s">
        <v>233</v>
      </c>
      <c r="BF122" s="8" t="s">
        <v>233</v>
      </c>
      <c r="BG122" s="7" t="s">
        <v>233</v>
      </c>
      <c r="BH122" s="7" t="s">
        <v>233</v>
      </c>
      <c r="BI122" s="7"/>
      <c r="BJ122" s="4">
        <v>20</v>
      </c>
      <c r="BK122" s="8">
        <v>764.2</v>
      </c>
      <c r="BL122" s="2" t="s">
        <v>846</v>
      </c>
      <c r="BM122" s="7"/>
      <c r="BN122" s="7"/>
      <c r="BO122" s="4"/>
      <c r="BP122" s="8"/>
      <c r="BQ122" s="4"/>
      <c r="BR122" s="8"/>
      <c r="BS122" s="7"/>
      <c r="BT122" s="7"/>
      <c r="BU122" s="2" t="s">
        <v>847</v>
      </c>
      <c r="BV122" s="2" t="s">
        <v>233</v>
      </c>
      <c r="BW122" s="2" t="s">
        <v>233</v>
      </c>
      <c r="BX122" s="2" t="s">
        <v>233</v>
      </c>
      <c r="BY122" s="2" t="s">
        <v>280</v>
      </c>
      <c r="BZ122" s="2" t="s">
        <v>245</v>
      </c>
      <c r="CA122" s="2" t="s">
        <v>832</v>
      </c>
      <c r="CB122" s="2" t="s">
        <v>848</v>
      </c>
      <c r="CC122" s="2" t="s">
        <v>246</v>
      </c>
      <c r="CD122" s="2" t="s">
        <v>233</v>
      </c>
      <c r="CE122" s="4">
        <v>142</v>
      </c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</row>
    <row r="123">
      <c r="A123" s="2" t="s">
        <v>849</v>
      </c>
      <c r="B123" s="2" t="s">
        <v>333</v>
      </c>
      <c r="C123" s="2" t="s">
        <v>701</v>
      </c>
      <c r="D123" s="2" t="s">
        <v>335</v>
      </c>
      <c r="E123" s="2" t="s">
        <v>336</v>
      </c>
      <c r="F123" s="2" t="s">
        <v>829</v>
      </c>
      <c r="G123" s="2" t="s">
        <v>829</v>
      </c>
      <c r="H123" s="2" t="s">
        <v>829</v>
      </c>
      <c r="I123" s="2" t="s">
        <v>830</v>
      </c>
      <c r="J123" s="2" t="s">
        <v>546</v>
      </c>
      <c r="K123" s="2" t="s">
        <v>569</v>
      </c>
      <c r="L123" s="3">
        <v>34.78</v>
      </c>
      <c r="M123" s="3">
        <v>36.52</v>
      </c>
      <c r="N123" s="3">
        <v>72.99</v>
      </c>
      <c r="O123" s="2" t="s">
        <v>245</v>
      </c>
      <c r="P123" s="2" t="s">
        <v>311</v>
      </c>
      <c r="Q123" s="2" t="s">
        <v>239</v>
      </c>
      <c r="R123" s="2" t="s">
        <v>233</v>
      </c>
      <c r="S123" s="2" t="s">
        <v>841</v>
      </c>
      <c r="T123" s="2" t="s">
        <v>775</v>
      </c>
      <c r="U123" s="2" t="s">
        <v>342</v>
      </c>
      <c r="V123" s="2" t="s">
        <v>241</v>
      </c>
      <c r="W123" s="2" t="s">
        <v>275</v>
      </c>
      <c r="X123" s="2" t="s">
        <v>397</v>
      </c>
      <c r="Y123" s="2" t="s">
        <v>832</v>
      </c>
      <c r="Z123" s="4">
        <v>43</v>
      </c>
      <c r="AA123" s="4">
        <f>=ROUNDDOWN(21.5,0)</f>
      </c>
      <c r="AB123" s="5">
        <v>2</v>
      </c>
      <c r="AC123" s="2" t="s">
        <v>233</v>
      </c>
      <c r="AD123" s="4"/>
      <c r="AE123" s="4"/>
      <c r="AF123" s="6">
        <v>70</v>
      </c>
      <c r="AG123" s="6"/>
      <c r="AH123" s="7">
        <v>1</v>
      </c>
      <c r="AI123" s="4"/>
      <c r="AJ123" s="4">
        <f>=ROUNDDOWN({0},0)</f>
      </c>
      <c r="AK123" s="5"/>
      <c r="AL123" s="2" t="s">
        <v>233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233</v>
      </c>
      <c r="AW123" s="8" t="s">
        <v>233</v>
      </c>
      <c r="AX123" s="4" t="s">
        <v>233</v>
      </c>
      <c r="AY123" s="8" t="s">
        <v>233</v>
      </c>
      <c r="AZ123" s="7" t="s">
        <v>233</v>
      </c>
      <c r="BA123" s="7" t="s">
        <v>233</v>
      </c>
      <c r="BB123" s="7"/>
      <c r="BC123" s="4" t="s">
        <v>233</v>
      </c>
      <c r="BD123" s="8" t="s">
        <v>233</v>
      </c>
      <c r="BE123" s="4" t="s">
        <v>233</v>
      </c>
      <c r="BF123" s="8" t="s">
        <v>233</v>
      </c>
      <c r="BG123" s="7" t="s">
        <v>233</v>
      </c>
      <c r="BH123" s="7" t="s">
        <v>233</v>
      </c>
      <c r="BI123" s="7"/>
      <c r="BJ123" s="4">
        <v>13</v>
      </c>
      <c r="BK123" s="8">
        <v>500.12</v>
      </c>
      <c r="BL123" s="2" t="s">
        <v>729</v>
      </c>
      <c r="BM123" s="7"/>
      <c r="BN123" s="7"/>
      <c r="BO123" s="4"/>
      <c r="BP123" s="8"/>
      <c r="BQ123" s="4"/>
      <c r="BR123" s="8"/>
      <c r="BS123" s="7"/>
      <c r="BT123" s="7"/>
      <c r="BU123" s="2" t="s">
        <v>850</v>
      </c>
      <c r="BV123" s="2" t="s">
        <v>233</v>
      </c>
      <c r="BW123" s="2" t="s">
        <v>233</v>
      </c>
      <c r="BX123" s="2" t="s">
        <v>233</v>
      </c>
      <c r="BY123" s="2" t="s">
        <v>280</v>
      </c>
      <c r="BZ123" s="2" t="s">
        <v>245</v>
      </c>
      <c r="CA123" s="2" t="s">
        <v>832</v>
      </c>
      <c r="CB123" s="2" t="s">
        <v>851</v>
      </c>
      <c r="CC123" s="2" t="s">
        <v>246</v>
      </c>
      <c r="CD123" s="2" t="s">
        <v>233</v>
      </c>
      <c r="CE123" s="4">
        <v>43</v>
      </c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</row>
    <row r="124">
      <c r="A124" s="2" t="s">
        <v>852</v>
      </c>
      <c r="B124" s="2" t="s">
        <v>333</v>
      </c>
      <c r="C124" s="2" t="s">
        <v>701</v>
      </c>
      <c r="D124" s="2" t="s">
        <v>335</v>
      </c>
      <c r="E124" s="2" t="s">
        <v>336</v>
      </c>
      <c r="F124" s="2" t="s">
        <v>829</v>
      </c>
      <c r="G124" s="2" t="s">
        <v>829</v>
      </c>
      <c r="H124" s="2" t="s">
        <v>829</v>
      </c>
      <c r="I124" s="2" t="s">
        <v>830</v>
      </c>
      <c r="J124" s="2" t="s">
        <v>546</v>
      </c>
      <c r="K124" s="2" t="s">
        <v>853</v>
      </c>
      <c r="L124" s="3">
        <v>34.78</v>
      </c>
      <c r="M124" s="3">
        <v>36.52</v>
      </c>
      <c r="N124" s="3">
        <v>72.99</v>
      </c>
      <c r="O124" s="2" t="s">
        <v>245</v>
      </c>
      <c r="P124" s="2" t="s">
        <v>311</v>
      </c>
      <c r="Q124" s="2" t="s">
        <v>239</v>
      </c>
      <c r="R124" s="2" t="s">
        <v>233</v>
      </c>
      <c r="S124" s="2" t="s">
        <v>854</v>
      </c>
      <c r="T124" s="2" t="s">
        <v>775</v>
      </c>
      <c r="U124" s="2" t="s">
        <v>342</v>
      </c>
      <c r="V124" s="2" t="s">
        <v>241</v>
      </c>
      <c r="W124" s="2" t="s">
        <v>275</v>
      </c>
      <c r="X124" s="2" t="s">
        <v>397</v>
      </c>
      <c r="Y124" s="2" t="s">
        <v>832</v>
      </c>
      <c r="Z124" s="4">
        <v>32</v>
      </c>
      <c r="AA124" s="4">
        <f>=ROUNDDOWN(10.6666666666667,0)</f>
      </c>
      <c r="AB124" s="5">
        <v>3</v>
      </c>
      <c r="AC124" s="2" t="s">
        <v>233</v>
      </c>
      <c r="AD124" s="4"/>
      <c r="AE124" s="4"/>
      <c r="AF124" s="6">
        <v>70</v>
      </c>
      <c r="AG124" s="6"/>
      <c r="AH124" s="7">
        <v>1</v>
      </c>
      <c r="AI124" s="4"/>
      <c r="AJ124" s="4">
        <f>=ROUNDDOWN({0},0)</f>
      </c>
      <c r="AK124" s="5"/>
      <c r="AL124" s="2" t="s">
        <v>233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 t="s">
        <v>233</v>
      </c>
      <c r="BD124" s="8" t="s">
        <v>233</v>
      </c>
      <c r="BE124" s="4" t="s">
        <v>233</v>
      </c>
      <c r="BF124" s="8" t="s">
        <v>233</v>
      </c>
      <c r="BG124" s="7" t="s">
        <v>233</v>
      </c>
      <c r="BH124" s="7" t="s">
        <v>233</v>
      </c>
      <c r="BI124" s="7"/>
      <c r="BJ124" s="4">
        <v>7</v>
      </c>
      <c r="BK124" s="8">
        <v>269.06</v>
      </c>
      <c r="BL124" s="2" t="s">
        <v>855</v>
      </c>
      <c r="BM124" s="7"/>
      <c r="BN124" s="7"/>
      <c r="BO124" s="4"/>
      <c r="BP124" s="8"/>
      <c r="BQ124" s="4"/>
      <c r="BR124" s="8"/>
      <c r="BS124" s="7"/>
      <c r="BT124" s="7"/>
      <c r="BU124" s="2" t="s">
        <v>856</v>
      </c>
      <c r="BV124" s="2" t="s">
        <v>233</v>
      </c>
      <c r="BW124" s="2" t="s">
        <v>233</v>
      </c>
      <c r="BX124" s="2" t="s">
        <v>233</v>
      </c>
      <c r="BY124" s="2" t="s">
        <v>280</v>
      </c>
      <c r="BZ124" s="2" t="s">
        <v>245</v>
      </c>
      <c r="CA124" s="2" t="s">
        <v>832</v>
      </c>
      <c r="CB124" s="2" t="s">
        <v>857</v>
      </c>
      <c r="CC124" s="2" t="s">
        <v>246</v>
      </c>
      <c r="CD124" s="2" t="s">
        <v>233</v>
      </c>
      <c r="CE124" s="4">
        <v>32</v>
      </c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</row>
    <row r="125">
      <c r="A125" s="2" t="s">
        <v>858</v>
      </c>
      <c r="B125" s="2" t="s">
        <v>333</v>
      </c>
      <c r="C125" s="2" t="s">
        <v>701</v>
      </c>
      <c r="D125" s="2" t="s">
        <v>335</v>
      </c>
      <c r="E125" s="2" t="s">
        <v>336</v>
      </c>
      <c r="F125" s="2" t="s">
        <v>829</v>
      </c>
      <c r="G125" s="2" t="s">
        <v>829</v>
      </c>
      <c r="H125" s="2" t="s">
        <v>829</v>
      </c>
      <c r="I125" s="2" t="s">
        <v>830</v>
      </c>
      <c r="J125" s="2" t="s">
        <v>290</v>
      </c>
      <c r="K125" s="2" t="s">
        <v>297</v>
      </c>
      <c r="L125" s="3">
        <v>28.84</v>
      </c>
      <c r="M125" s="3">
        <v>30.28</v>
      </c>
      <c r="N125" s="3">
        <v>59.99</v>
      </c>
      <c r="O125" s="2" t="s">
        <v>245</v>
      </c>
      <c r="P125" s="2" t="s">
        <v>311</v>
      </c>
      <c r="Q125" s="2" t="s">
        <v>239</v>
      </c>
      <c r="R125" s="2" t="s">
        <v>233</v>
      </c>
      <c r="S125" s="2" t="s">
        <v>859</v>
      </c>
      <c r="T125" s="2" t="s">
        <v>775</v>
      </c>
      <c r="U125" s="2" t="s">
        <v>342</v>
      </c>
      <c r="V125" s="2" t="s">
        <v>241</v>
      </c>
      <c r="W125" s="2" t="s">
        <v>275</v>
      </c>
      <c r="X125" s="2" t="s">
        <v>397</v>
      </c>
      <c r="Y125" s="2" t="s">
        <v>832</v>
      </c>
      <c r="Z125" s="4">
        <v>114</v>
      </c>
      <c r="AA125" s="4">
        <f>=ROUNDDOWN(22.8,0)</f>
      </c>
      <c r="AB125" s="5">
        <v>5</v>
      </c>
      <c r="AC125" s="2" t="s">
        <v>233</v>
      </c>
      <c r="AD125" s="4"/>
      <c r="AE125" s="4"/>
      <c r="AF125" s="6">
        <v>70</v>
      </c>
      <c r="AG125" s="6"/>
      <c r="AH125" s="7">
        <v>1</v>
      </c>
      <c r="AI125" s="4"/>
      <c r="AJ125" s="4">
        <f>=ROUNDDOWN({0},0)</f>
      </c>
      <c r="AK125" s="5"/>
      <c r="AL125" s="2" t="s">
        <v>233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233</v>
      </c>
      <c r="AW125" s="8" t="s">
        <v>233</v>
      </c>
      <c r="AX125" s="4" t="s">
        <v>233</v>
      </c>
      <c r="AY125" s="8" t="s">
        <v>233</v>
      </c>
      <c r="AZ125" s="7" t="s">
        <v>233</v>
      </c>
      <c r="BA125" s="7" t="s">
        <v>233</v>
      </c>
      <c r="BB125" s="7"/>
      <c r="BC125" s="4" t="s">
        <v>233</v>
      </c>
      <c r="BD125" s="8" t="s">
        <v>233</v>
      </c>
      <c r="BE125" s="4" t="s">
        <v>233</v>
      </c>
      <c r="BF125" s="8" t="s">
        <v>233</v>
      </c>
      <c r="BG125" s="7" t="s">
        <v>233</v>
      </c>
      <c r="BH125" s="7" t="s">
        <v>233</v>
      </c>
      <c r="BI125" s="7"/>
      <c r="BJ125" s="4">
        <v>12</v>
      </c>
      <c r="BK125" s="8">
        <v>381.55</v>
      </c>
      <c r="BL125" s="2" t="s">
        <v>860</v>
      </c>
      <c r="BM125" s="7"/>
      <c r="BN125" s="7"/>
      <c r="BO125" s="4"/>
      <c r="BP125" s="8"/>
      <c r="BQ125" s="4"/>
      <c r="BR125" s="8"/>
      <c r="BS125" s="7"/>
      <c r="BT125" s="7"/>
      <c r="BU125" s="2" t="s">
        <v>861</v>
      </c>
      <c r="BV125" s="2" t="s">
        <v>233</v>
      </c>
      <c r="BW125" s="2" t="s">
        <v>233</v>
      </c>
      <c r="BX125" s="2" t="s">
        <v>233</v>
      </c>
      <c r="BY125" s="2" t="s">
        <v>280</v>
      </c>
      <c r="BZ125" s="2" t="s">
        <v>245</v>
      </c>
      <c r="CA125" s="2" t="s">
        <v>832</v>
      </c>
      <c r="CB125" s="2" t="s">
        <v>862</v>
      </c>
      <c r="CC125" s="2" t="s">
        <v>246</v>
      </c>
      <c r="CD125" s="2" t="s">
        <v>233</v>
      </c>
      <c r="CE125" s="4">
        <v>114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</row>
    <row r="126">
      <c r="A126" s="2" t="s">
        <v>863</v>
      </c>
      <c r="B126" s="2" t="s">
        <v>333</v>
      </c>
      <c r="C126" s="2" t="s">
        <v>701</v>
      </c>
      <c r="D126" s="2" t="s">
        <v>335</v>
      </c>
      <c r="E126" s="2" t="s">
        <v>336</v>
      </c>
      <c r="F126" s="2" t="s">
        <v>829</v>
      </c>
      <c r="G126" s="2" t="s">
        <v>829</v>
      </c>
      <c r="H126" s="2" t="s">
        <v>829</v>
      </c>
      <c r="I126" s="2" t="s">
        <v>830</v>
      </c>
      <c r="J126" s="2" t="s">
        <v>546</v>
      </c>
      <c r="K126" s="2" t="s">
        <v>297</v>
      </c>
      <c r="L126" s="3">
        <v>34.78</v>
      </c>
      <c r="M126" s="3">
        <v>36.52</v>
      </c>
      <c r="N126" s="3">
        <v>72.99</v>
      </c>
      <c r="O126" s="2" t="s">
        <v>245</v>
      </c>
      <c r="P126" s="2" t="s">
        <v>311</v>
      </c>
      <c r="Q126" s="2" t="s">
        <v>239</v>
      </c>
      <c r="R126" s="2" t="s">
        <v>233</v>
      </c>
      <c r="S126" s="2" t="s">
        <v>859</v>
      </c>
      <c r="T126" s="2" t="s">
        <v>775</v>
      </c>
      <c r="U126" s="2" t="s">
        <v>342</v>
      </c>
      <c r="V126" s="2" t="s">
        <v>241</v>
      </c>
      <c r="W126" s="2" t="s">
        <v>275</v>
      </c>
      <c r="X126" s="2" t="s">
        <v>397</v>
      </c>
      <c r="Y126" s="2" t="s">
        <v>832</v>
      </c>
      <c r="Z126" s="4">
        <v>67</v>
      </c>
      <c r="AA126" s="4">
        <f>=ROUNDDOWN(33.5,0)</f>
      </c>
      <c r="AB126" s="5">
        <v>2</v>
      </c>
      <c r="AC126" s="2" t="s">
        <v>233</v>
      </c>
      <c r="AD126" s="4"/>
      <c r="AE126" s="4"/>
      <c r="AF126" s="6">
        <v>70</v>
      </c>
      <c r="AG126" s="6"/>
      <c r="AH126" s="7">
        <v>1</v>
      </c>
      <c r="AI126" s="4"/>
      <c r="AJ126" s="4">
        <f>=ROUNDDOWN({0},0)</f>
      </c>
      <c r="AK126" s="5"/>
      <c r="AL126" s="2" t="s">
        <v>233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233</v>
      </c>
      <c r="AW126" s="8" t="s">
        <v>233</v>
      </c>
      <c r="AX126" s="4" t="s">
        <v>233</v>
      </c>
      <c r="AY126" s="8" t="s">
        <v>233</v>
      </c>
      <c r="AZ126" s="7" t="s">
        <v>233</v>
      </c>
      <c r="BA126" s="7" t="s">
        <v>233</v>
      </c>
      <c r="BB126" s="7"/>
      <c r="BC126" s="4" t="s">
        <v>233</v>
      </c>
      <c r="BD126" s="8" t="s">
        <v>233</v>
      </c>
      <c r="BE126" s="4" t="s">
        <v>233</v>
      </c>
      <c r="BF126" s="8" t="s">
        <v>233</v>
      </c>
      <c r="BG126" s="7" t="s">
        <v>233</v>
      </c>
      <c r="BH126" s="7" t="s">
        <v>233</v>
      </c>
      <c r="BI126" s="7"/>
      <c r="BJ126" s="4">
        <v>9</v>
      </c>
      <c r="BK126" s="8">
        <v>345.92</v>
      </c>
      <c r="BL126" s="2" t="s">
        <v>864</v>
      </c>
      <c r="BM126" s="7"/>
      <c r="BN126" s="7"/>
      <c r="BO126" s="4"/>
      <c r="BP126" s="8"/>
      <c r="BQ126" s="4"/>
      <c r="BR126" s="8"/>
      <c r="BS126" s="7"/>
      <c r="BT126" s="7"/>
      <c r="BU126" s="2" t="s">
        <v>865</v>
      </c>
      <c r="BV126" s="2" t="s">
        <v>233</v>
      </c>
      <c r="BW126" s="2" t="s">
        <v>233</v>
      </c>
      <c r="BX126" s="2" t="s">
        <v>233</v>
      </c>
      <c r="BY126" s="2" t="s">
        <v>280</v>
      </c>
      <c r="BZ126" s="2" t="s">
        <v>245</v>
      </c>
      <c r="CA126" s="2" t="s">
        <v>832</v>
      </c>
      <c r="CB126" s="2" t="s">
        <v>866</v>
      </c>
      <c r="CC126" s="2" t="s">
        <v>246</v>
      </c>
      <c r="CD126" s="2" t="s">
        <v>233</v>
      </c>
      <c r="CE126" s="4">
        <v>66</v>
      </c>
      <c r="CF126" s="4">
        <v>1</v>
      </c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</row>
    <row r="127">
      <c r="A127" s="2" t="s">
        <v>867</v>
      </c>
      <c r="B127" s="2" t="s">
        <v>333</v>
      </c>
      <c r="C127" s="2" t="s">
        <v>530</v>
      </c>
      <c r="D127" s="2" t="s">
        <v>335</v>
      </c>
      <c r="E127" s="2" t="s">
        <v>336</v>
      </c>
      <c r="F127" s="2" t="s">
        <v>868</v>
      </c>
      <c r="G127" s="2" t="s">
        <v>868</v>
      </c>
      <c r="H127" s="2" t="s">
        <v>868</v>
      </c>
      <c r="I127" s="2" t="s">
        <v>869</v>
      </c>
      <c r="J127" s="2" t="s">
        <v>546</v>
      </c>
      <c r="K127" s="2" t="s">
        <v>773</v>
      </c>
      <c r="L127" s="3">
        <v>39.84</v>
      </c>
      <c r="M127" s="3">
        <v>41.83</v>
      </c>
      <c r="N127" s="3">
        <v>82.99</v>
      </c>
      <c r="O127" s="2" t="s">
        <v>245</v>
      </c>
      <c r="P127" s="2" t="s">
        <v>272</v>
      </c>
      <c r="Q127" s="2" t="s">
        <v>239</v>
      </c>
      <c r="R127" s="2" t="s">
        <v>233</v>
      </c>
      <c r="S127" s="2" t="s">
        <v>870</v>
      </c>
      <c r="T127" s="2" t="s">
        <v>775</v>
      </c>
      <c r="U127" s="2" t="s">
        <v>871</v>
      </c>
      <c r="V127" s="2" t="s">
        <v>241</v>
      </c>
      <c r="W127" s="2" t="s">
        <v>275</v>
      </c>
      <c r="X127" s="2" t="s">
        <v>705</v>
      </c>
      <c r="Y127" s="2" t="s">
        <v>872</v>
      </c>
      <c r="Z127" s="4">
        <v>90</v>
      </c>
      <c r="AA127" s="4">
        <f>=ROUNDDOWN(22.5,0)</f>
      </c>
      <c r="AB127" s="5">
        <v>4</v>
      </c>
      <c r="AC127" s="2" t="s">
        <v>873</v>
      </c>
      <c r="AD127" s="4">
        <v>30</v>
      </c>
      <c r="AE127" s="4">
        <v>60</v>
      </c>
      <c r="AF127" s="6">
        <v>70</v>
      </c>
      <c r="AG127" s="6"/>
      <c r="AH127" s="7">
        <v>1</v>
      </c>
      <c r="AI127" s="4"/>
      <c r="AJ127" s="4">
        <f>=ROUNDDOWN({0},0)</f>
      </c>
      <c r="AK127" s="5"/>
      <c r="AL127" s="2" t="s">
        <v>233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233</v>
      </c>
      <c r="BD127" s="8" t="s">
        <v>233</v>
      </c>
      <c r="BE127" s="4" t="s">
        <v>233</v>
      </c>
      <c r="BF127" s="8" t="s">
        <v>233</v>
      </c>
      <c r="BG127" s="7" t="s">
        <v>233</v>
      </c>
      <c r="BH127" s="7" t="s">
        <v>233</v>
      </c>
      <c r="BI127" s="7"/>
      <c r="BJ127" s="4">
        <v>14</v>
      </c>
      <c r="BK127" s="8">
        <v>590.15</v>
      </c>
      <c r="BL127" s="2" t="s">
        <v>874</v>
      </c>
      <c r="BM127" s="7"/>
      <c r="BN127" s="7"/>
      <c r="BO127" s="4"/>
      <c r="BP127" s="8"/>
      <c r="BQ127" s="4"/>
      <c r="BR127" s="8"/>
      <c r="BS127" s="7"/>
      <c r="BT127" s="7"/>
      <c r="BU127" s="2" t="s">
        <v>875</v>
      </c>
      <c r="BV127" s="2" t="s">
        <v>233</v>
      </c>
      <c r="BW127" s="2" t="s">
        <v>233</v>
      </c>
      <c r="BX127" s="2" t="s">
        <v>798</v>
      </c>
      <c r="BY127" s="2" t="s">
        <v>280</v>
      </c>
      <c r="BZ127" s="2" t="s">
        <v>245</v>
      </c>
      <c r="CA127" s="2" t="s">
        <v>872</v>
      </c>
      <c r="CB127" s="2" t="s">
        <v>876</v>
      </c>
      <c r="CC127" s="2" t="s">
        <v>246</v>
      </c>
      <c r="CD127" s="2" t="s">
        <v>233</v>
      </c>
      <c r="CE127" s="4">
        <v>90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>
        <v>30</v>
      </c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>
        <v>30</v>
      </c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</row>
    <row r="128">
      <c r="A128" s="2" t="s">
        <v>877</v>
      </c>
      <c r="B128" s="2" t="s">
        <v>333</v>
      </c>
      <c r="C128" s="2" t="s">
        <v>530</v>
      </c>
      <c r="D128" s="2" t="s">
        <v>335</v>
      </c>
      <c r="E128" s="2" t="s">
        <v>336</v>
      </c>
      <c r="F128" s="2" t="s">
        <v>868</v>
      </c>
      <c r="G128" s="2" t="s">
        <v>868</v>
      </c>
      <c r="H128" s="2" t="s">
        <v>868</v>
      </c>
      <c r="I128" s="2" t="s">
        <v>869</v>
      </c>
      <c r="J128" s="2" t="s">
        <v>546</v>
      </c>
      <c r="K128" s="2" t="s">
        <v>620</v>
      </c>
      <c r="L128" s="3">
        <v>39.84</v>
      </c>
      <c r="M128" s="3">
        <v>41.83</v>
      </c>
      <c r="N128" s="3">
        <v>82.99</v>
      </c>
      <c r="O128" s="2" t="s">
        <v>245</v>
      </c>
      <c r="P128" s="2" t="s">
        <v>272</v>
      </c>
      <c r="Q128" s="2" t="s">
        <v>239</v>
      </c>
      <c r="R128" s="2" t="s">
        <v>233</v>
      </c>
      <c r="S128" s="2" t="s">
        <v>878</v>
      </c>
      <c r="T128" s="2" t="s">
        <v>775</v>
      </c>
      <c r="U128" s="2" t="s">
        <v>871</v>
      </c>
      <c r="V128" s="2" t="s">
        <v>241</v>
      </c>
      <c r="W128" s="2" t="s">
        <v>275</v>
      </c>
      <c r="X128" s="2" t="s">
        <v>233</v>
      </c>
      <c r="Y128" s="2" t="s">
        <v>879</v>
      </c>
      <c r="Z128" s="4">
        <v>96</v>
      </c>
      <c r="AA128" s="4">
        <f>=ROUNDDOWN(16,0)</f>
      </c>
      <c r="AB128" s="5">
        <v>6</v>
      </c>
      <c r="AC128" s="2" t="s">
        <v>880</v>
      </c>
      <c r="AD128" s="4">
        <v>60</v>
      </c>
      <c r="AE128" s="4">
        <v>60</v>
      </c>
      <c r="AF128" s="6">
        <v>70</v>
      </c>
      <c r="AG128" s="6"/>
      <c r="AH128" s="7">
        <v>1</v>
      </c>
      <c r="AI128" s="4"/>
      <c r="AJ128" s="4">
        <f>=ROUNDDOWN({0},0)</f>
      </c>
      <c r="AK128" s="5"/>
      <c r="AL128" s="2" t="s">
        <v>233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233</v>
      </c>
      <c r="BD128" s="8" t="s">
        <v>233</v>
      </c>
      <c r="BE128" s="4" t="s">
        <v>233</v>
      </c>
      <c r="BF128" s="8" t="s">
        <v>233</v>
      </c>
      <c r="BG128" s="7" t="s">
        <v>233</v>
      </c>
      <c r="BH128" s="7" t="s">
        <v>233</v>
      </c>
      <c r="BI128" s="7"/>
      <c r="BJ128" s="4">
        <v>18</v>
      </c>
      <c r="BK128" s="8">
        <v>765.75</v>
      </c>
      <c r="BL128" s="2" t="s">
        <v>881</v>
      </c>
      <c r="BM128" s="7"/>
      <c r="BN128" s="7"/>
      <c r="BO128" s="4"/>
      <c r="BP128" s="8"/>
      <c r="BQ128" s="4"/>
      <c r="BR128" s="8"/>
      <c r="BS128" s="7"/>
      <c r="BT128" s="7"/>
      <c r="BU128" s="2" t="s">
        <v>882</v>
      </c>
      <c r="BV128" s="2" t="s">
        <v>233</v>
      </c>
      <c r="BW128" s="2" t="s">
        <v>233</v>
      </c>
      <c r="BX128" s="2" t="s">
        <v>798</v>
      </c>
      <c r="BY128" s="2" t="s">
        <v>280</v>
      </c>
      <c r="BZ128" s="2" t="s">
        <v>245</v>
      </c>
      <c r="CA128" s="2" t="s">
        <v>883</v>
      </c>
      <c r="CB128" s="2" t="s">
        <v>884</v>
      </c>
      <c r="CC128" s="2" t="s">
        <v>246</v>
      </c>
      <c r="CD128" s="2" t="s">
        <v>233</v>
      </c>
      <c r="CE128" s="4">
        <v>96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>
        <v>60</v>
      </c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</row>
    <row r="129">
      <c r="A129" s="2" t="s">
        <v>885</v>
      </c>
      <c r="B129" s="2" t="s">
        <v>886</v>
      </c>
      <c r="C129" s="2" t="s">
        <v>887</v>
      </c>
      <c r="D129" s="2" t="s">
        <v>888</v>
      </c>
      <c r="E129" s="2" t="s">
        <v>889</v>
      </c>
      <c r="F129" s="2" t="s">
        <v>890</v>
      </c>
      <c r="G129" s="2" t="s">
        <v>890</v>
      </c>
      <c r="H129" s="2" t="s">
        <v>890</v>
      </c>
      <c r="I129" s="2" t="s">
        <v>891</v>
      </c>
      <c r="J129" s="2" t="s">
        <v>892</v>
      </c>
      <c r="K129" s="2" t="s">
        <v>297</v>
      </c>
      <c r="L129" s="3">
        <v>109.35</v>
      </c>
      <c r="M129" s="3">
        <v>114.82</v>
      </c>
      <c r="N129" s="3">
        <v>254.99</v>
      </c>
      <c r="O129" s="2" t="s">
        <v>245</v>
      </c>
      <c r="P129" s="2" t="s">
        <v>311</v>
      </c>
      <c r="Q129" s="2" t="s">
        <v>239</v>
      </c>
      <c r="R129" s="2" t="s">
        <v>233</v>
      </c>
      <c r="S129" s="2" t="s">
        <v>233</v>
      </c>
      <c r="T129" s="2" t="s">
        <v>233</v>
      </c>
      <c r="U129" s="2" t="s">
        <v>396</v>
      </c>
      <c r="V129" s="2" t="s">
        <v>893</v>
      </c>
      <c r="W129" s="2" t="s">
        <v>894</v>
      </c>
      <c r="X129" s="2" t="s">
        <v>233</v>
      </c>
      <c r="Y129" s="2" t="s">
        <v>895</v>
      </c>
      <c r="Z129" s="4">
        <v>64</v>
      </c>
      <c r="AA129" s="4">
        <f>=ROUNDDOWN(128,0)</f>
      </c>
      <c r="AB129" s="5">
        <v>0.5</v>
      </c>
      <c r="AC129" s="2" t="s">
        <v>233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233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/>
      <c r="BD129" s="8"/>
      <c r="BE129" s="4"/>
      <c r="BF129" s="8"/>
      <c r="BG129" s="7"/>
      <c r="BH129" s="7"/>
      <c r="BI129" s="7"/>
      <c r="BJ129" s="4">
        <v>2</v>
      </c>
      <c r="BK129" s="8">
        <v>238.82</v>
      </c>
      <c r="BL129" s="2" t="s">
        <v>896</v>
      </c>
      <c r="BM129" s="7"/>
      <c r="BN129" s="7"/>
      <c r="BO129" s="4"/>
      <c r="BP129" s="8"/>
      <c r="BQ129" s="4"/>
      <c r="BR129" s="8"/>
      <c r="BS129" s="7"/>
      <c r="BT129" s="7"/>
      <c r="BU129" s="2" t="s">
        <v>897</v>
      </c>
      <c r="BV129" s="2" t="s">
        <v>233</v>
      </c>
      <c r="BW129" s="2" t="s">
        <v>233</v>
      </c>
      <c r="BX129" s="2" t="s">
        <v>233</v>
      </c>
      <c r="BY129" s="2" t="s">
        <v>280</v>
      </c>
      <c r="BZ129" s="2" t="s">
        <v>245</v>
      </c>
      <c r="CA129" s="2" t="s">
        <v>898</v>
      </c>
      <c r="CB129" s="2" t="s">
        <v>899</v>
      </c>
      <c r="CC129" s="2" t="s">
        <v>246</v>
      </c>
      <c r="CD129" s="2" t="s">
        <v>233</v>
      </c>
      <c r="CE129" s="4"/>
      <c r="CF129" s="4">
        <v>64</v>
      </c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</row>
    <row r="130">
      <c r="A130" s="2" t="s">
        <v>900</v>
      </c>
      <c r="B130" s="2" t="s">
        <v>886</v>
      </c>
      <c r="C130" s="2" t="s">
        <v>901</v>
      </c>
      <c r="D130" s="2" t="s">
        <v>888</v>
      </c>
      <c r="E130" s="2" t="s">
        <v>889</v>
      </c>
      <c r="F130" s="2" t="s">
        <v>902</v>
      </c>
      <c r="G130" s="2" t="s">
        <v>902</v>
      </c>
      <c r="H130" s="2" t="s">
        <v>902</v>
      </c>
      <c r="I130" s="2" t="s">
        <v>903</v>
      </c>
      <c r="J130" s="2" t="s">
        <v>892</v>
      </c>
      <c r="K130" s="2" t="s">
        <v>904</v>
      </c>
      <c r="L130" s="3">
        <v>109.44</v>
      </c>
      <c r="M130" s="3">
        <v>114.91</v>
      </c>
      <c r="N130" s="3">
        <v>254.99</v>
      </c>
      <c r="O130" s="2" t="s">
        <v>245</v>
      </c>
      <c r="P130" s="2" t="s">
        <v>311</v>
      </c>
      <c r="Q130" s="2" t="s">
        <v>239</v>
      </c>
      <c r="R130" s="2" t="s">
        <v>233</v>
      </c>
      <c r="S130" s="2" t="s">
        <v>233</v>
      </c>
      <c r="T130" s="2" t="s">
        <v>233</v>
      </c>
      <c r="U130" s="2" t="s">
        <v>396</v>
      </c>
      <c r="V130" s="2" t="s">
        <v>893</v>
      </c>
      <c r="W130" s="2" t="s">
        <v>397</v>
      </c>
      <c r="X130" s="2" t="s">
        <v>894</v>
      </c>
      <c r="Y130" s="2" t="s">
        <v>905</v>
      </c>
      <c r="Z130" s="4">
        <v>93</v>
      </c>
      <c r="AA130" s="4">
        <f>=ROUNDDOWN(93,0)</f>
      </c>
      <c r="AB130" s="5">
        <v>1</v>
      </c>
      <c r="AC130" s="2" t="s">
        <v>233</v>
      </c>
      <c r="AD130" s="4"/>
      <c r="AE130" s="4"/>
      <c r="AF130" s="6">
        <v>63</v>
      </c>
      <c r="AG130" s="6"/>
      <c r="AH130" s="7">
        <v>1</v>
      </c>
      <c r="AI130" s="4"/>
      <c r="AJ130" s="4">
        <f>=ROUNDDOWN({0},0)</f>
      </c>
      <c r="AK130" s="5"/>
      <c r="AL130" s="2" t="s">
        <v>233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/>
      <c r="BD130" s="8"/>
      <c r="BE130" s="4"/>
      <c r="BF130" s="8"/>
      <c r="BG130" s="7"/>
      <c r="BH130" s="7"/>
      <c r="BI130" s="7"/>
      <c r="BJ130" s="4"/>
      <c r="BK130" s="8"/>
      <c r="BL130" s="2" t="s">
        <v>233</v>
      </c>
      <c r="BM130" s="7"/>
      <c r="BN130" s="7"/>
      <c r="BO130" s="4"/>
      <c r="BP130" s="8"/>
      <c r="BQ130" s="4"/>
      <c r="BR130" s="8"/>
      <c r="BS130" s="7"/>
      <c r="BT130" s="7"/>
      <c r="BU130" s="2" t="s">
        <v>906</v>
      </c>
      <c r="BV130" s="2" t="s">
        <v>233</v>
      </c>
      <c r="BW130" s="2" t="s">
        <v>233</v>
      </c>
      <c r="BX130" s="2" t="s">
        <v>233</v>
      </c>
      <c r="BY130" s="2" t="s">
        <v>280</v>
      </c>
      <c r="BZ130" s="2" t="s">
        <v>245</v>
      </c>
      <c r="CA130" s="2" t="s">
        <v>907</v>
      </c>
      <c r="CB130" s="2" t="s">
        <v>908</v>
      </c>
      <c r="CC130" s="2" t="s">
        <v>246</v>
      </c>
      <c r="CD130" s="2" t="s">
        <v>233</v>
      </c>
      <c r="CE130" s="4"/>
      <c r="CF130" s="4">
        <v>93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</row>
    <row r="131">
      <c r="A131" s="2" t="s">
        <v>909</v>
      </c>
      <c r="B131" s="2" t="s">
        <v>910</v>
      </c>
      <c r="C131" s="2" t="s">
        <v>911</v>
      </c>
      <c r="D131" s="2" t="s">
        <v>912</v>
      </c>
      <c r="E131" s="2" t="s">
        <v>913</v>
      </c>
      <c r="F131" s="2" t="s">
        <v>914</v>
      </c>
      <c r="G131" s="2" t="s">
        <v>915</v>
      </c>
      <c r="H131" s="2" t="s">
        <v>916</v>
      </c>
      <c r="I131" s="2" t="s">
        <v>917</v>
      </c>
      <c r="J131" s="2" t="s">
        <v>918</v>
      </c>
      <c r="K131" s="2" t="s">
        <v>919</v>
      </c>
      <c r="L131" s="3">
        <v>26.4</v>
      </c>
      <c r="M131" s="3">
        <v>27.72</v>
      </c>
      <c r="N131" s="3">
        <v>54.99</v>
      </c>
      <c r="O131" s="2" t="s">
        <v>245</v>
      </c>
      <c r="P131" s="2" t="s">
        <v>311</v>
      </c>
      <c r="Q131" s="2" t="s">
        <v>239</v>
      </c>
      <c r="R131" s="2" t="s">
        <v>233</v>
      </c>
      <c r="S131" s="2" t="s">
        <v>920</v>
      </c>
      <c r="T131" s="2" t="s">
        <v>395</v>
      </c>
      <c r="U131" s="2" t="s">
        <v>475</v>
      </c>
      <c r="V131" s="2" t="s">
        <v>921</v>
      </c>
      <c r="W131" s="2" t="s">
        <v>397</v>
      </c>
      <c r="X131" s="2" t="s">
        <v>275</v>
      </c>
      <c r="Y131" s="2" t="s">
        <v>922</v>
      </c>
      <c r="Z131" s="4">
        <v>63</v>
      </c>
      <c r="AA131" s="4">
        <f>=ROUNDDOWN(52.5,0)</f>
      </c>
      <c r="AB131" s="5">
        <v>1.2</v>
      </c>
      <c r="AC131" s="2" t="s">
        <v>233</v>
      </c>
      <c r="AD131" s="4"/>
      <c r="AE131" s="4"/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233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/>
      <c r="BD131" s="8"/>
      <c r="BE131" s="4"/>
      <c r="BF131" s="8"/>
      <c r="BG131" s="7"/>
      <c r="BH131" s="7"/>
      <c r="BI131" s="7"/>
      <c r="BJ131" s="4">
        <v>3</v>
      </c>
      <c r="BK131" s="8">
        <v>87.78</v>
      </c>
      <c r="BL131" s="2" t="s">
        <v>923</v>
      </c>
      <c r="BM131" s="7"/>
      <c r="BN131" s="7"/>
      <c r="BO131" s="4"/>
      <c r="BP131" s="8"/>
      <c r="BQ131" s="4"/>
      <c r="BR131" s="8"/>
      <c r="BS131" s="7"/>
      <c r="BT131" s="7"/>
      <c r="BU131" s="2" t="s">
        <v>924</v>
      </c>
      <c r="BV131" s="2" t="s">
        <v>233</v>
      </c>
      <c r="BW131" s="2" t="s">
        <v>233</v>
      </c>
      <c r="BX131" s="2" t="s">
        <v>233</v>
      </c>
      <c r="BY131" s="2" t="s">
        <v>280</v>
      </c>
      <c r="BZ131" s="2" t="s">
        <v>245</v>
      </c>
      <c r="CA131" s="2" t="s">
        <v>925</v>
      </c>
      <c r="CB131" s="2" t="s">
        <v>926</v>
      </c>
      <c r="CC131" s="2" t="s">
        <v>246</v>
      </c>
      <c r="CD131" s="2" t="s">
        <v>233</v>
      </c>
      <c r="CE131" s="4">
        <v>47</v>
      </c>
      <c r="CF131" s="4"/>
      <c r="CG131" s="4"/>
      <c r="CH131" s="4"/>
      <c r="CI131" s="4">
        <v>16</v>
      </c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</row>
    <row r="132">
      <c r="A132" s="2" t="s">
        <v>927</v>
      </c>
      <c r="B132" s="2" t="s">
        <v>928</v>
      </c>
      <c r="C132" s="2" t="s">
        <v>530</v>
      </c>
      <c r="D132" s="2" t="s">
        <v>929</v>
      </c>
      <c r="E132" s="2" t="s">
        <v>930</v>
      </c>
      <c r="F132" s="2" t="s">
        <v>931</v>
      </c>
      <c r="G132" s="2" t="s">
        <v>931</v>
      </c>
      <c r="H132" s="2" t="s">
        <v>931</v>
      </c>
      <c r="I132" s="2" t="s">
        <v>932</v>
      </c>
      <c r="J132" s="2" t="s">
        <v>892</v>
      </c>
      <c r="K132" s="2" t="s">
        <v>645</v>
      </c>
      <c r="L132" s="3">
        <v>40.71</v>
      </c>
      <c r="M132" s="3">
        <v>42.75</v>
      </c>
      <c r="N132" s="3">
        <v>89.99</v>
      </c>
      <c r="O132" s="2" t="s">
        <v>237</v>
      </c>
      <c r="P132" s="2" t="s">
        <v>311</v>
      </c>
      <c r="Q132" s="2" t="s">
        <v>239</v>
      </c>
      <c r="R132" s="2" t="s">
        <v>233</v>
      </c>
      <c r="S132" s="2" t="s">
        <v>933</v>
      </c>
      <c r="T132" s="2" t="s">
        <v>233</v>
      </c>
      <c r="U132" s="2" t="s">
        <v>396</v>
      </c>
      <c r="V132" s="2" t="s">
        <v>921</v>
      </c>
      <c r="W132" s="2" t="s">
        <v>397</v>
      </c>
      <c r="X132" s="2" t="s">
        <v>233</v>
      </c>
      <c r="Y132" s="2" t="s">
        <v>934</v>
      </c>
      <c r="Z132" s="4">
        <v>87</v>
      </c>
      <c r="AA132" s="4">
        <f>=ROUNDDOWN(435,0)</f>
      </c>
      <c r="AB132" s="5">
        <v>0.2</v>
      </c>
      <c r="AC132" s="2" t="s">
        <v>233</v>
      </c>
      <c r="AD132" s="4"/>
      <c r="AE132" s="4"/>
      <c r="AF132" s="6">
        <v>63</v>
      </c>
      <c r="AG132" s="6"/>
      <c r="AH132" s="7">
        <v>1</v>
      </c>
      <c r="AI132" s="4"/>
      <c r="AJ132" s="4">
        <f>=ROUNDDOWN({0},0)</f>
      </c>
      <c r="AK132" s="5"/>
      <c r="AL132" s="2" t="s">
        <v>233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/>
      <c r="BD132" s="8"/>
      <c r="BE132" s="4"/>
      <c r="BF132" s="8"/>
      <c r="BG132" s="7"/>
      <c r="BH132" s="7"/>
      <c r="BI132" s="7"/>
      <c r="BJ132" s="4">
        <v>1</v>
      </c>
      <c r="BK132" s="8">
        <v>46.16</v>
      </c>
      <c r="BL132" s="2" t="s">
        <v>935</v>
      </c>
      <c r="BM132" s="7"/>
      <c r="BN132" s="7"/>
      <c r="BO132" s="4"/>
      <c r="BP132" s="8"/>
      <c r="BQ132" s="4"/>
      <c r="BR132" s="8"/>
      <c r="BS132" s="7"/>
      <c r="BT132" s="7"/>
      <c r="BU132" s="2" t="s">
        <v>936</v>
      </c>
      <c r="BV132" s="2" t="s">
        <v>233</v>
      </c>
      <c r="BW132" s="2" t="s">
        <v>233</v>
      </c>
      <c r="BX132" s="2" t="s">
        <v>233</v>
      </c>
      <c r="BY132" s="2" t="s">
        <v>280</v>
      </c>
      <c r="BZ132" s="2" t="s">
        <v>245</v>
      </c>
      <c r="CA132" s="2" t="s">
        <v>507</v>
      </c>
      <c r="CB132" s="2" t="s">
        <v>937</v>
      </c>
      <c r="CC132" s="2" t="s">
        <v>246</v>
      </c>
      <c r="CD132" s="2" t="s">
        <v>233</v>
      </c>
      <c r="CE132" s="4"/>
      <c r="CF132" s="4">
        <v>87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</row>
    <row r="133">
      <c r="A133" s="2" t="s">
        <v>938</v>
      </c>
      <c r="B133" s="2" t="s">
        <v>928</v>
      </c>
      <c r="C133" s="2" t="s">
        <v>530</v>
      </c>
      <c r="D133" s="2" t="s">
        <v>929</v>
      </c>
      <c r="E133" s="2" t="s">
        <v>939</v>
      </c>
      <c r="F133" s="2" t="s">
        <v>940</v>
      </c>
      <c r="G133" s="2" t="s">
        <v>940</v>
      </c>
      <c r="H133" s="2" t="s">
        <v>940</v>
      </c>
      <c r="I133" s="2" t="s">
        <v>941</v>
      </c>
      <c r="J133" s="2" t="s">
        <v>892</v>
      </c>
      <c r="K133" s="2" t="s">
        <v>645</v>
      </c>
      <c r="L133" s="3">
        <v>32.38</v>
      </c>
      <c r="M133" s="3">
        <v>34</v>
      </c>
      <c r="N133" s="3">
        <v>67.99</v>
      </c>
      <c r="O133" s="2" t="s">
        <v>245</v>
      </c>
      <c r="P133" s="2" t="s">
        <v>393</v>
      </c>
      <c r="Q133" s="2" t="s">
        <v>239</v>
      </c>
      <c r="R133" s="2" t="s">
        <v>233</v>
      </c>
      <c r="S133" s="2" t="s">
        <v>233</v>
      </c>
      <c r="T133" s="2" t="s">
        <v>233</v>
      </c>
      <c r="U133" s="2" t="s">
        <v>396</v>
      </c>
      <c r="V133" s="2" t="s">
        <v>921</v>
      </c>
      <c r="W133" s="2" t="s">
        <v>451</v>
      </c>
      <c r="X133" s="2" t="s">
        <v>397</v>
      </c>
      <c r="Y133" s="2" t="s">
        <v>942</v>
      </c>
      <c r="Z133" s="4">
        <v>65</v>
      </c>
      <c r="AA133" s="4">
        <f>=ROUNDDOWN(46.4285714285714,0)</f>
      </c>
      <c r="AB133" s="5">
        <v>1.4</v>
      </c>
      <c r="AC133" s="2" t="s">
        <v>233</v>
      </c>
      <c r="AD133" s="4"/>
      <c r="AE133" s="4"/>
      <c r="AF133" s="6">
        <v>63</v>
      </c>
      <c r="AG133" s="6"/>
      <c r="AH133" s="7">
        <v>1</v>
      </c>
      <c r="AI133" s="4"/>
      <c r="AJ133" s="4">
        <f>=ROUNDDOWN({0},0)</f>
      </c>
      <c r="AK133" s="5"/>
      <c r="AL133" s="2" t="s">
        <v>233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/>
      <c r="BD133" s="8"/>
      <c r="BE133" s="4"/>
      <c r="BF133" s="8"/>
      <c r="BG133" s="7"/>
      <c r="BH133" s="7"/>
      <c r="BI133" s="7"/>
      <c r="BJ133" s="4">
        <v>6</v>
      </c>
      <c r="BK133" s="8">
        <v>188.91</v>
      </c>
      <c r="BL133" s="2" t="s">
        <v>943</v>
      </c>
      <c r="BM133" s="7"/>
      <c r="BN133" s="7"/>
      <c r="BO133" s="4"/>
      <c r="BP133" s="8"/>
      <c r="BQ133" s="4"/>
      <c r="BR133" s="8"/>
      <c r="BS133" s="7"/>
      <c r="BT133" s="7"/>
      <c r="BU133" s="2" t="s">
        <v>944</v>
      </c>
      <c r="BV133" s="2" t="s">
        <v>233</v>
      </c>
      <c r="BW133" s="2" t="s">
        <v>233</v>
      </c>
      <c r="BX133" s="2" t="s">
        <v>233</v>
      </c>
      <c r="BY133" s="2" t="s">
        <v>280</v>
      </c>
      <c r="BZ133" s="2" t="s">
        <v>245</v>
      </c>
      <c r="CA133" s="2" t="s">
        <v>945</v>
      </c>
      <c r="CB133" s="2" t="s">
        <v>233</v>
      </c>
      <c r="CC133" s="2" t="s">
        <v>246</v>
      </c>
      <c r="CD133" s="2" t="s">
        <v>233</v>
      </c>
      <c r="CE133" s="4"/>
      <c r="CF133" s="4">
        <v>65</v>
      </c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</row>
    <row r="134">
      <c r="A134" s="2" t="s">
        <v>946</v>
      </c>
      <c r="B134" s="2" t="s">
        <v>928</v>
      </c>
      <c r="C134" s="2" t="s">
        <v>947</v>
      </c>
      <c r="D134" s="2" t="s">
        <v>929</v>
      </c>
      <c r="E134" s="2" t="s">
        <v>939</v>
      </c>
      <c r="F134" s="2" t="s">
        <v>948</v>
      </c>
      <c r="G134" s="2" t="s">
        <v>948</v>
      </c>
      <c r="H134" s="2" t="s">
        <v>948</v>
      </c>
      <c r="I134" s="2" t="s">
        <v>949</v>
      </c>
      <c r="J134" s="2" t="s">
        <v>892</v>
      </c>
      <c r="K134" s="2" t="s">
        <v>950</v>
      </c>
      <c r="L134" s="3">
        <v>15.17</v>
      </c>
      <c r="M134" s="3">
        <v>15.93</v>
      </c>
      <c r="N134" s="3">
        <v>38.24</v>
      </c>
      <c r="O134" s="2" t="s">
        <v>245</v>
      </c>
      <c r="P134" s="2" t="s">
        <v>272</v>
      </c>
      <c r="Q134" s="2" t="s">
        <v>239</v>
      </c>
      <c r="R134" s="2" t="s">
        <v>233</v>
      </c>
      <c r="S134" s="2" t="s">
        <v>951</v>
      </c>
      <c r="T134" s="2" t="s">
        <v>233</v>
      </c>
      <c r="U134" s="2" t="s">
        <v>396</v>
      </c>
      <c r="V134" s="2" t="s">
        <v>952</v>
      </c>
      <c r="W134" s="2" t="s">
        <v>776</v>
      </c>
      <c r="X134" s="2" t="s">
        <v>953</v>
      </c>
      <c r="Y134" s="2" t="s">
        <v>954</v>
      </c>
      <c r="Z134" s="4">
        <v>67</v>
      </c>
      <c r="AA134" s="4">
        <f>=ROUNDDOWN(3.35,0)</f>
      </c>
      <c r="AB134" s="5">
        <v>20</v>
      </c>
      <c r="AC134" s="2" t="s">
        <v>955</v>
      </c>
      <c r="AD134" s="4">
        <v>100</v>
      </c>
      <c r="AE134" s="4">
        <v>500</v>
      </c>
      <c r="AF134" s="6">
        <v>63</v>
      </c>
      <c r="AG134" s="6"/>
      <c r="AH134" s="7">
        <v>1</v>
      </c>
      <c r="AI134" s="4"/>
      <c r="AJ134" s="4">
        <f>=ROUNDDOWN({0},0)</f>
      </c>
      <c r="AK134" s="5"/>
      <c r="AL134" s="2" t="s">
        <v>233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/>
      <c r="BD134" s="8"/>
      <c r="BE134" s="4"/>
      <c r="BF134" s="8"/>
      <c r="BG134" s="7"/>
      <c r="BH134" s="7"/>
      <c r="BI134" s="7"/>
      <c r="BJ134" s="4">
        <v>67</v>
      </c>
      <c r="BK134" s="8">
        <v>1317.52</v>
      </c>
      <c r="BL134" s="2" t="s">
        <v>956</v>
      </c>
      <c r="BM134" s="7"/>
      <c r="BN134" s="7"/>
      <c r="BO134" s="4"/>
      <c r="BP134" s="8"/>
      <c r="BQ134" s="4"/>
      <c r="BR134" s="8"/>
      <c r="BS134" s="7"/>
      <c r="BT134" s="7"/>
      <c r="BU134" s="2" t="s">
        <v>957</v>
      </c>
      <c r="BV134" s="2" t="s">
        <v>233</v>
      </c>
      <c r="BW134" s="2" t="s">
        <v>233</v>
      </c>
      <c r="BX134" s="2" t="s">
        <v>233</v>
      </c>
      <c r="BY134" s="2" t="s">
        <v>280</v>
      </c>
      <c r="BZ134" s="2" t="s">
        <v>245</v>
      </c>
      <c r="CA134" s="2" t="s">
        <v>958</v>
      </c>
      <c r="CB134" s="2" t="s">
        <v>959</v>
      </c>
      <c r="CC134" s="2" t="s">
        <v>246</v>
      </c>
      <c r="CD134" s="2" t="s">
        <v>233</v>
      </c>
      <c r="CE134" s="4"/>
      <c r="CF134" s="4">
        <v>67</v>
      </c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>
        <v>100</v>
      </c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>
        <v>400</v>
      </c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</row>
    <row r="135">
      <c r="A135" s="2" t="s">
        <v>960</v>
      </c>
      <c r="B135" s="2" t="s">
        <v>928</v>
      </c>
      <c r="C135" s="2" t="s">
        <v>947</v>
      </c>
      <c r="D135" s="2" t="s">
        <v>961</v>
      </c>
      <c r="E135" s="2" t="s">
        <v>939</v>
      </c>
      <c r="F135" s="2" t="s">
        <v>962</v>
      </c>
      <c r="G135" s="2" t="s">
        <v>962</v>
      </c>
      <c r="H135" s="2" t="s">
        <v>962</v>
      </c>
      <c r="I135" s="2" t="s">
        <v>963</v>
      </c>
      <c r="J135" s="2" t="s">
        <v>892</v>
      </c>
      <c r="K135" s="2" t="s">
        <v>950</v>
      </c>
      <c r="L135" s="3">
        <v>15.92</v>
      </c>
      <c r="M135" s="3">
        <v>16.72</v>
      </c>
      <c r="N135" s="3">
        <v>38.24</v>
      </c>
      <c r="O135" s="2" t="s">
        <v>245</v>
      </c>
      <c r="P135" s="2" t="s">
        <v>311</v>
      </c>
      <c r="Q135" s="2" t="s">
        <v>239</v>
      </c>
      <c r="R135" s="2" t="s">
        <v>233</v>
      </c>
      <c r="S135" s="2" t="s">
        <v>964</v>
      </c>
      <c r="T135" s="2" t="s">
        <v>233</v>
      </c>
      <c r="U135" s="2" t="s">
        <v>396</v>
      </c>
      <c r="V135" s="2" t="s">
        <v>952</v>
      </c>
      <c r="W135" s="2" t="s">
        <v>776</v>
      </c>
      <c r="X135" s="2" t="s">
        <v>953</v>
      </c>
      <c r="Y135" s="2" t="s">
        <v>954</v>
      </c>
      <c r="Z135" s="4">
        <v>117</v>
      </c>
      <c r="AA135" s="4">
        <f>=ROUNDDOWN(40.3448275862069,0)</f>
      </c>
      <c r="AB135" s="5">
        <v>2.9</v>
      </c>
      <c r="AC135" s="2" t="s">
        <v>233</v>
      </c>
      <c r="AD135" s="4"/>
      <c r="AE135" s="4"/>
      <c r="AF135" s="6">
        <v>63</v>
      </c>
      <c r="AG135" s="6"/>
      <c r="AH135" s="7">
        <v>1</v>
      </c>
      <c r="AI135" s="4"/>
      <c r="AJ135" s="4">
        <f>=ROUNDDOWN({0},0)</f>
      </c>
      <c r="AK135" s="5"/>
      <c r="AL135" s="2" t="s">
        <v>233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>
        <v>7</v>
      </c>
      <c r="BK135" s="8">
        <v>198.59</v>
      </c>
      <c r="BL135" s="2" t="s">
        <v>965</v>
      </c>
      <c r="BM135" s="7"/>
      <c r="BN135" s="7"/>
      <c r="BO135" s="4"/>
      <c r="BP135" s="8"/>
      <c r="BQ135" s="4"/>
      <c r="BR135" s="8"/>
      <c r="BS135" s="7"/>
      <c r="BT135" s="7"/>
      <c r="BU135" s="2" t="s">
        <v>966</v>
      </c>
      <c r="BV135" s="2" t="s">
        <v>233</v>
      </c>
      <c r="BW135" s="2" t="s">
        <v>233</v>
      </c>
      <c r="BX135" s="2" t="s">
        <v>233</v>
      </c>
      <c r="BY135" s="2" t="s">
        <v>280</v>
      </c>
      <c r="BZ135" s="2" t="s">
        <v>245</v>
      </c>
      <c r="CA135" s="2" t="s">
        <v>958</v>
      </c>
      <c r="CB135" s="2" t="s">
        <v>967</v>
      </c>
      <c r="CC135" s="2" t="s">
        <v>246</v>
      </c>
      <c r="CD135" s="2" t="s">
        <v>233</v>
      </c>
      <c r="CE135" s="4"/>
      <c r="CF135" s="4">
        <v>117</v>
      </c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</row>
    <row r="136">
      <c r="A136" s="2" t="s">
        <v>968</v>
      </c>
      <c r="B136" s="2" t="s">
        <v>228</v>
      </c>
      <c r="C136" s="2" t="s">
        <v>530</v>
      </c>
      <c r="D136" s="2" t="s">
        <v>969</v>
      </c>
      <c r="E136" s="2" t="s">
        <v>970</v>
      </c>
      <c r="F136" s="2" t="s">
        <v>971</v>
      </c>
      <c r="G136" s="2" t="s">
        <v>972</v>
      </c>
      <c r="H136" s="2" t="s">
        <v>972</v>
      </c>
      <c r="I136" s="2" t="s">
        <v>973</v>
      </c>
      <c r="J136" s="2" t="s">
        <v>270</v>
      </c>
      <c r="K136" s="2" t="s">
        <v>271</v>
      </c>
      <c r="L136" s="3">
        <v>33.33</v>
      </c>
      <c r="M136" s="3">
        <v>35</v>
      </c>
      <c r="N136" s="3">
        <v>69.99</v>
      </c>
      <c r="O136" s="2" t="s">
        <v>245</v>
      </c>
      <c r="P136" s="2" t="s">
        <v>974</v>
      </c>
      <c r="Q136" s="2" t="s">
        <v>239</v>
      </c>
      <c r="R136" s="2" t="s">
        <v>233</v>
      </c>
      <c r="S136" s="2" t="s">
        <v>975</v>
      </c>
      <c r="T136" s="2" t="s">
        <v>976</v>
      </c>
      <c r="U136" s="2" t="s">
        <v>491</v>
      </c>
      <c r="V136" s="2" t="s">
        <v>359</v>
      </c>
      <c r="W136" s="2" t="s">
        <v>977</v>
      </c>
      <c r="X136" s="2" t="s">
        <v>978</v>
      </c>
      <c r="Y136" s="2" t="s">
        <v>233</v>
      </c>
      <c r="Z136" s="4"/>
      <c r="AA136" s="4">
        <f>=ROUNDDOWN({0},0)</f>
      </c>
      <c r="AB136" s="5"/>
      <c r="AC136" s="2" t="s">
        <v>979</v>
      </c>
      <c r="AD136" s="4">
        <v>50</v>
      </c>
      <c r="AE136" s="4">
        <v>50</v>
      </c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233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233</v>
      </c>
      <c r="AW136" s="8" t="s">
        <v>233</v>
      </c>
      <c r="AX136" s="4" t="s">
        <v>233</v>
      </c>
      <c r="AY136" s="8" t="s">
        <v>233</v>
      </c>
      <c r="AZ136" s="7" t="s">
        <v>233</v>
      </c>
      <c r="BA136" s="7" t="s">
        <v>233</v>
      </c>
      <c r="BB136" s="7"/>
      <c r="BC136" s="4" t="s">
        <v>233</v>
      </c>
      <c r="BD136" s="8" t="s">
        <v>233</v>
      </c>
      <c r="BE136" s="4" t="s">
        <v>233</v>
      </c>
      <c r="BF136" s="8" t="s">
        <v>233</v>
      </c>
      <c r="BG136" s="7" t="s">
        <v>233</v>
      </c>
      <c r="BH136" s="7" t="s">
        <v>233</v>
      </c>
      <c r="BI136" s="7"/>
      <c r="BJ136" s="4"/>
      <c r="BK136" s="8"/>
      <c r="BL136" s="2" t="s">
        <v>233</v>
      </c>
      <c r="BM136" s="7"/>
      <c r="BN136" s="7"/>
      <c r="BO136" s="4"/>
      <c r="BP136" s="8"/>
      <c r="BQ136" s="4"/>
      <c r="BR136" s="8"/>
      <c r="BS136" s="7"/>
      <c r="BT136" s="7"/>
      <c r="BU136" s="2" t="s">
        <v>243</v>
      </c>
      <c r="BV136" s="2" t="s">
        <v>233</v>
      </c>
      <c r="BW136" s="2" t="s">
        <v>233</v>
      </c>
      <c r="BX136" s="2" t="s">
        <v>243</v>
      </c>
      <c r="BY136" s="2" t="s">
        <v>244</v>
      </c>
      <c r="BZ136" s="2" t="s">
        <v>245</v>
      </c>
      <c r="CA136" s="2" t="s">
        <v>233</v>
      </c>
      <c r="CB136" s="2" t="s">
        <v>233</v>
      </c>
      <c r="CC136" s="2" t="s">
        <v>246</v>
      </c>
      <c r="CD136" s="2" t="s">
        <v>233</v>
      </c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>
        <v>50</v>
      </c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</row>
    <row r="137">
      <c r="A137" s="2" t="s">
        <v>980</v>
      </c>
      <c r="B137" s="2" t="s">
        <v>228</v>
      </c>
      <c r="C137" s="2" t="s">
        <v>530</v>
      </c>
      <c r="D137" s="2" t="s">
        <v>969</v>
      </c>
      <c r="E137" s="2" t="s">
        <v>970</v>
      </c>
      <c r="F137" s="2" t="s">
        <v>971</v>
      </c>
      <c r="G137" s="2" t="s">
        <v>972</v>
      </c>
      <c r="H137" s="2" t="s">
        <v>972</v>
      </c>
      <c r="I137" s="2" t="s">
        <v>973</v>
      </c>
      <c r="J137" s="2" t="s">
        <v>981</v>
      </c>
      <c r="K137" s="2" t="s">
        <v>271</v>
      </c>
      <c r="L137" s="3">
        <v>40.47</v>
      </c>
      <c r="M137" s="3">
        <v>42.49</v>
      </c>
      <c r="N137" s="3">
        <v>84.99</v>
      </c>
      <c r="O137" s="2" t="s">
        <v>245</v>
      </c>
      <c r="P137" s="2" t="s">
        <v>974</v>
      </c>
      <c r="Q137" s="2" t="s">
        <v>239</v>
      </c>
      <c r="R137" s="2" t="s">
        <v>233</v>
      </c>
      <c r="S137" s="2" t="s">
        <v>975</v>
      </c>
      <c r="T137" s="2" t="s">
        <v>976</v>
      </c>
      <c r="U137" s="2" t="s">
        <v>475</v>
      </c>
      <c r="V137" s="2" t="s">
        <v>359</v>
      </c>
      <c r="W137" s="2" t="s">
        <v>977</v>
      </c>
      <c r="X137" s="2" t="s">
        <v>978</v>
      </c>
      <c r="Y137" s="2" t="s">
        <v>233</v>
      </c>
      <c r="Z137" s="4"/>
      <c r="AA137" s="4">
        <f>=ROUNDDOWN({0},0)</f>
      </c>
      <c r="AB137" s="5"/>
      <c r="AC137" s="2" t="s">
        <v>979</v>
      </c>
      <c r="AD137" s="4">
        <v>120</v>
      </c>
      <c r="AE137" s="4">
        <v>120</v>
      </c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233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233</v>
      </c>
      <c r="AW137" s="8" t="s">
        <v>233</v>
      </c>
      <c r="AX137" s="4" t="s">
        <v>233</v>
      </c>
      <c r="AY137" s="8" t="s">
        <v>233</v>
      </c>
      <c r="AZ137" s="7" t="s">
        <v>233</v>
      </c>
      <c r="BA137" s="7" t="s">
        <v>233</v>
      </c>
      <c r="BB137" s="7"/>
      <c r="BC137" s="4" t="s">
        <v>233</v>
      </c>
      <c r="BD137" s="8" t="s">
        <v>233</v>
      </c>
      <c r="BE137" s="4" t="s">
        <v>233</v>
      </c>
      <c r="BF137" s="8" t="s">
        <v>233</v>
      </c>
      <c r="BG137" s="7" t="s">
        <v>233</v>
      </c>
      <c r="BH137" s="7" t="s">
        <v>233</v>
      </c>
      <c r="BI137" s="7"/>
      <c r="BJ137" s="4"/>
      <c r="BK137" s="8"/>
      <c r="BL137" s="2" t="s">
        <v>233</v>
      </c>
      <c r="BM137" s="7"/>
      <c r="BN137" s="7"/>
      <c r="BO137" s="4"/>
      <c r="BP137" s="8"/>
      <c r="BQ137" s="4"/>
      <c r="BR137" s="8"/>
      <c r="BS137" s="7"/>
      <c r="BT137" s="7"/>
      <c r="BU137" s="2" t="s">
        <v>243</v>
      </c>
      <c r="BV137" s="2" t="s">
        <v>233</v>
      </c>
      <c r="BW137" s="2" t="s">
        <v>233</v>
      </c>
      <c r="BX137" s="2" t="s">
        <v>243</v>
      </c>
      <c r="BY137" s="2" t="s">
        <v>244</v>
      </c>
      <c r="BZ137" s="2" t="s">
        <v>245</v>
      </c>
      <c r="CA137" s="2" t="s">
        <v>233</v>
      </c>
      <c r="CB137" s="2" t="s">
        <v>233</v>
      </c>
      <c r="CC137" s="2" t="s">
        <v>246</v>
      </c>
      <c r="CD137" s="2" t="s">
        <v>233</v>
      </c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>
        <v>120</v>
      </c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</row>
    <row r="138">
      <c r="A138" s="2" t="s">
        <v>982</v>
      </c>
      <c r="B138" s="2" t="s">
        <v>228</v>
      </c>
      <c r="C138" s="2" t="s">
        <v>530</v>
      </c>
      <c r="D138" s="2" t="s">
        <v>969</v>
      </c>
      <c r="E138" s="2" t="s">
        <v>970</v>
      </c>
      <c r="F138" s="2" t="s">
        <v>971</v>
      </c>
      <c r="G138" s="2" t="s">
        <v>972</v>
      </c>
      <c r="H138" s="2" t="s">
        <v>972</v>
      </c>
      <c r="I138" s="2" t="s">
        <v>973</v>
      </c>
      <c r="J138" s="2" t="s">
        <v>328</v>
      </c>
      <c r="K138" s="2" t="s">
        <v>271</v>
      </c>
      <c r="L138" s="3">
        <v>45.23</v>
      </c>
      <c r="M138" s="3">
        <v>47.49</v>
      </c>
      <c r="N138" s="3">
        <v>94.99</v>
      </c>
      <c r="O138" s="2" t="s">
        <v>245</v>
      </c>
      <c r="P138" s="2" t="s">
        <v>974</v>
      </c>
      <c r="Q138" s="2" t="s">
        <v>239</v>
      </c>
      <c r="R138" s="2" t="s">
        <v>233</v>
      </c>
      <c r="S138" s="2" t="s">
        <v>975</v>
      </c>
      <c r="T138" s="2" t="s">
        <v>976</v>
      </c>
      <c r="U138" s="2" t="s">
        <v>475</v>
      </c>
      <c r="V138" s="2" t="s">
        <v>359</v>
      </c>
      <c r="W138" s="2" t="s">
        <v>977</v>
      </c>
      <c r="X138" s="2" t="s">
        <v>978</v>
      </c>
      <c r="Y138" s="2" t="s">
        <v>233</v>
      </c>
      <c r="Z138" s="4"/>
      <c r="AA138" s="4">
        <f>=ROUNDDOWN({0},0)</f>
      </c>
      <c r="AB138" s="5"/>
      <c r="AC138" s="2" t="s">
        <v>979</v>
      </c>
      <c r="AD138" s="4">
        <v>150</v>
      </c>
      <c r="AE138" s="4">
        <v>150</v>
      </c>
      <c r="AF138" s="6">
        <v>65</v>
      </c>
      <c r="AG138" s="6"/>
      <c r="AH138" s="7">
        <v>0</v>
      </c>
      <c r="AI138" s="4"/>
      <c r="AJ138" s="4">
        <f>=ROUNDDOWN({0},0)</f>
      </c>
      <c r="AK138" s="5"/>
      <c r="AL138" s="2" t="s">
        <v>233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233</v>
      </c>
      <c r="AW138" s="8" t="s">
        <v>233</v>
      </c>
      <c r="AX138" s="4" t="s">
        <v>233</v>
      </c>
      <c r="AY138" s="8" t="s">
        <v>233</v>
      </c>
      <c r="AZ138" s="7" t="s">
        <v>233</v>
      </c>
      <c r="BA138" s="7" t="s">
        <v>233</v>
      </c>
      <c r="BB138" s="7"/>
      <c r="BC138" s="4" t="s">
        <v>233</v>
      </c>
      <c r="BD138" s="8" t="s">
        <v>233</v>
      </c>
      <c r="BE138" s="4" t="s">
        <v>233</v>
      </c>
      <c r="BF138" s="8" t="s">
        <v>233</v>
      </c>
      <c r="BG138" s="7" t="s">
        <v>233</v>
      </c>
      <c r="BH138" s="7" t="s">
        <v>233</v>
      </c>
      <c r="BI138" s="7"/>
      <c r="BJ138" s="4"/>
      <c r="BK138" s="8"/>
      <c r="BL138" s="2" t="s">
        <v>233</v>
      </c>
      <c r="BM138" s="7"/>
      <c r="BN138" s="7"/>
      <c r="BO138" s="4"/>
      <c r="BP138" s="8"/>
      <c r="BQ138" s="4"/>
      <c r="BR138" s="8"/>
      <c r="BS138" s="7"/>
      <c r="BT138" s="7"/>
      <c r="BU138" s="2" t="s">
        <v>243</v>
      </c>
      <c r="BV138" s="2" t="s">
        <v>233</v>
      </c>
      <c r="BW138" s="2" t="s">
        <v>233</v>
      </c>
      <c r="BX138" s="2" t="s">
        <v>243</v>
      </c>
      <c r="BY138" s="2" t="s">
        <v>244</v>
      </c>
      <c r="BZ138" s="2" t="s">
        <v>245</v>
      </c>
      <c r="CA138" s="2" t="s">
        <v>233</v>
      </c>
      <c r="CB138" s="2" t="s">
        <v>233</v>
      </c>
      <c r="CC138" s="2" t="s">
        <v>246</v>
      </c>
      <c r="CD138" s="2" t="s">
        <v>233</v>
      </c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>
        <v>150</v>
      </c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</row>
    <row r="139">
      <c r="A139" s="2" t="s">
        <v>983</v>
      </c>
      <c r="B139" s="2" t="s">
        <v>228</v>
      </c>
      <c r="C139" s="2" t="s">
        <v>530</v>
      </c>
      <c r="D139" s="2" t="s">
        <v>969</v>
      </c>
      <c r="E139" s="2" t="s">
        <v>970</v>
      </c>
      <c r="F139" s="2" t="s">
        <v>971</v>
      </c>
      <c r="G139" s="2" t="s">
        <v>972</v>
      </c>
      <c r="H139" s="2" t="s">
        <v>972</v>
      </c>
      <c r="I139" s="2" t="s">
        <v>973</v>
      </c>
      <c r="J139" s="2" t="s">
        <v>270</v>
      </c>
      <c r="K139" s="2" t="s">
        <v>984</v>
      </c>
      <c r="L139" s="3">
        <v>33.33</v>
      </c>
      <c r="M139" s="3">
        <v>35</v>
      </c>
      <c r="N139" s="3">
        <v>69.99</v>
      </c>
      <c r="O139" s="2" t="s">
        <v>245</v>
      </c>
      <c r="P139" s="2" t="s">
        <v>974</v>
      </c>
      <c r="Q139" s="2" t="s">
        <v>239</v>
      </c>
      <c r="R139" s="2" t="s">
        <v>233</v>
      </c>
      <c r="S139" s="2" t="s">
        <v>985</v>
      </c>
      <c r="T139" s="2" t="s">
        <v>976</v>
      </c>
      <c r="U139" s="2" t="s">
        <v>491</v>
      </c>
      <c r="V139" s="2" t="s">
        <v>359</v>
      </c>
      <c r="W139" s="2" t="s">
        <v>977</v>
      </c>
      <c r="X139" s="2" t="s">
        <v>978</v>
      </c>
      <c r="Y139" s="2" t="s">
        <v>233</v>
      </c>
      <c r="Z139" s="4"/>
      <c r="AA139" s="4">
        <f>=ROUNDDOWN({0},0)</f>
      </c>
      <c r="AB139" s="5"/>
      <c r="AC139" s="2" t="s">
        <v>979</v>
      </c>
      <c r="AD139" s="4">
        <v>50</v>
      </c>
      <c r="AE139" s="4">
        <v>50</v>
      </c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233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233</v>
      </c>
      <c r="AW139" s="8" t="s">
        <v>233</v>
      </c>
      <c r="AX139" s="4" t="s">
        <v>233</v>
      </c>
      <c r="AY139" s="8" t="s">
        <v>233</v>
      </c>
      <c r="AZ139" s="7" t="s">
        <v>233</v>
      </c>
      <c r="BA139" s="7" t="s">
        <v>233</v>
      </c>
      <c r="BB139" s="7"/>
      <c r="BC139" s="4" t="s">
        <v>233</v>
      </c>
      <c r="BD139" s="8" t="s">
        <v>233</v>
      </c>
      <c r="BE139" s="4" t="s">
        <v>233</v>
      </c>
      <c r="BF139" s="8" t="s">
        <v>233</v>
      </c>
      <c r="BG139" s="7" t="s">
        <v>233</v>
      </c>
      <c r="BH139" s="7" t="s">
        <v>233</v>
      </c>
      <c r="BI139" s="7"/>
      <c r="BJ139" s="4"/>
      <c r="BK139" s="8"/>
      <c r="BL139" s="2" t="s">
        <v>233</v>
      </c>
      <c r="BM139" s="7"/>
      <c r="BN139" s="7"/>
      <c r="BO139" s="4"/>
      <c r="BP139" s="8"/>
      <c r="BQ139" s="4"/>
      <c r="BR139" s="8"/>
      <c r="BS139" s="7"/>
      <c r="BT139" s="7"/>
      <c r="BU139" s="2" t="s">
        <v>243</v>
      </c>
      <c r="BV139" s="2" t="s">
        <v>233</v>
      </c>
      <c r="BW139" s="2" t="s">
        <v>233</v>
      </c>
      <c r="BX139" s="2" t="s">
        <v>243</v>
      </c>
      <c r="BY139" s="2" t="s">
        <v>244</v>
      </c>
      <c r="BZ139" s="2" t="s">
        <v>245</v>
      </c>
      <c r="CA139" s="2" t="s">
        <v>233</v>
      </c>
      <c r="CB139" s="2" t="s">
        <v>233</v>
      </c>
      <c r="CC139" s="2" t="s">
        <v>246</v>
      </c>
      <c r="CD139" s="2" t="s">
        <v>233</v>
      </c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>
        <v>50</v>
      </c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</row>
    <row r="140">
      <c r="A140" s="2" t="s">
        <v>986</v>
      </c>
      <c r="B140" s="2" t="s">
        <v>228</v>
      </c>
      <c r="C140" s="2" t="s">
        <v>530</v>
      </c>
      <c r="D140" s="2" t="s">
        <v>969</v>
      </c>
      <c r="E140" s="2" t="s">
        <v>970</v>
      </c>
      <c r="F140" s="2" t="s">
        <v>971</v>
      </c>
      <c r="G140" s="2" t="s">
        <v>972</v>
      </c>
      <c r="H140" s="2" t="s">
        <v>972</v>
      </c>
      <c r="I140" s="2" t="s">
        <v>973</v>
      </c>
      <c r="J140" s="2" t="s">
        <v>981</v>
      </c>
      <c r="K140" s="2" t="s">
        <v>984</v>
      </c>
      <c r="L140" s="3">
        <v>40.47</v>
      </c>
      <c r="M140" s="3">
        <v>42.49</v>
      </c>
      <c r="N140" s="3">
        <v>84.99</v>
      </c>
      <c r="O140" s="2" t="s">
        <v>245</v>
      </c>
      <c r="P140" s="2" t="s">
        <v>974</v>
      </c>
      <c r="Q140" s="2" t="s">
        <v>239</v>
      </c>
      <c r="R140" s="2" t="s">
        <v>233</v>
      </c>
      <c r="S140" s="2" t="s">
        <v>985</v>
      </c>
      <c r="T140" s="2" t="s">
        <v>976</v>
      </c>
      <c r="U140" s="2" t="s">
        <v>475</v>
      </c>
      <c r="V140" s="2" t="s">
        <v>359</v>
      </c>
      <c r="W140" s="2" t="s">
        <v>977</v>
      </c>
      <c r="X140" s="2" t="s">
        <v>978</v>
      </c>
      <c r="Y140" s="2" t="s">
        <v>233</v>
      </c>
      <c r="Z140" s="4"/>
      <c r="AA140" s="4">
        <f>=ROUNDDOWN({0},0)</f>
      </c>
      <c r="AB140" s="5"/>
      <c r="AC140" s="2" t="s">
        <v>979</v>
      </c>
      <c r="AD140" s="4">
        <v>120</v>
      </c>
      <c r="AE140" s="4">
        <v>120</v>
      </c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233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233</v>
      </c>
      <c r="AW140" s="8" t="s">
        <v>233</v>
      </c>
      <c r="AX140" s="4" t="s">
        <v>233</v>
      </c>
      <c r="AY140" s="8" t="s">
        <v>233</v>
      </c>
      <c r="AZ140" s="7" t="s">
        <v>233</v>
      </c>
      <c r="BA140" s="7" t="s">
        <v>233</v>
      </c>
      <c r="BB140" s="7"/>
      <c r="BC140" s="4" t="s">
        <v>233</v>
      </c>
      <c r="BD140" s="8" t="s">
        <v>233</v>
      </c>
      <c r="BE140" s="4" t="s">
        <v>233</v>
      </c>
      <c r="BF140" s="8" t="s">
        <v>233</v>
      </c>
      <c r="BG140" s="7" t="s">
        <v>233</v>
      </c>
      <c r="BH140" s="7" t="s">
        <v>233</v>
      </c>
      <c r="BI140" s="7"/>
      <c r="BJ140" s="4"/>
      <c r="BK140" s="8"/>
      <c r="BL140" s="2" t="s">
        <v>233</v>
      </c>
      <c r="BM140" s="7"/>
      <c r="BN140" s="7"/>
      <c r="BO140" s="4"/>
      <c r="BP140" s="8"/>
      <c r="BQ140" s="4"/>
      <c r="BR140" s="8"/>
      <c r="BS140" s="7"/>
      <c r="BT140" s="7"/>
      <c r="BU140" s="2" t="s">
        <v>243</v>
      </c>
      <c r="BV140" s="2" t="s">
        <v>233</v>
      </c>
      <c r="BW140" s="2" t="s">
        <v>233</v>
      </c>
      <c r="BX140" s="2" t="s">
        <v>243</v>
      </c>
      <c r="BY140" s="2" t="s">
        <v>244</v>
      </c>
      <c r="BZ140" s="2" t="s">
        <v>245</v>
      </c>
      <c r="CA140" s="2" t="s">
        <v>233</v>
      </c>
      <c r="CB140" s="2" t="s">
        <v>233</v>
      </c>
      <c r="CC140" s="2" t="s">
        <v>246</v>
      </c>
      <c r="CD140" s="2" t="s">
        <v>233</v>
      </c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>
        <v>120</v>
      </c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</row>
    <row r="141">
      <c r="A141" s="2" t="s">
        <v>987</v>
      </c>
      <c r="B141" s="2" t="s">
        <v>228</v>
      </c>
      <c r="C141" s="2" t="s">
        <v>530</v>
      </c>
      <c r="D141" s="2" t="s">
        <v>969</v>
      </c>
      <c r="E141" s="2" t="s">
        <v>970</v>
      </c>
      <c r="F141" s="2" t="s">
        <v>971</v>
      </c>
      <c r="G141" s="2" t="s">
        <v>972</v>
      </c>
      <c r="H141" s="2" t="s">
        <v>972</v>
      </c>
      <c r="I141" s="2" t="s">
        <v>973</v>
      </c>
      <c r="J141" s="2" t="s">
        <v>328</v>
      </c>
      <c r="K141" s="2" t="s">
        <v>984</v>
      </c>
      <c r="L141" s="3">
        <v>45.23</v>
      </c>
      <c r="M141" s="3">
        <v>47.49</v>
      </c>
      <c r="N141" s="3">
        <v>94.99</v>
      </c>
      <c r="O141" s="2" t="s">
        <v>245</v>
      </c>
      <c r="P141" s="2" t="s">
        <v>974</v>
      </c>
      <c r="Q141" s="2" t="s">
        <v>239</v>
      </c>
      <c r="R141" s="2" t="s">
        <v>233</v>
      </c>
      <c r="S141" s="2" t="s">
        <v>985</v>
      </c>
      <c r="T141" s="2" t="s">
        <v>976</v>
      </c>
      <c r="U141" s="2" t="s">
        <v>475</v>
      </c>
      <c r="V141" s="2" t="s">
        <v>359</v>
      </c>
      <c r="W141" s="2" t="s">
        <v>977</v>
      </c>
      <c r="X141" s="2" t="s">
        <v>978</v>
      </c>
      <c r="Y141" s="2" t="s">
        <v>233</v>
      </c>
      <c r="Z141" s="4"/>
      <c r="AA141" s="4">
        <f>=ROUNDDOWN({0},0)</f>
      </c>
      <c r="AB141" s="5"/>
      <c r="AC141" s="2" t="s">
        <v>979</v>
      </c>
      <c r="AD141" s="4">
        <v>150</v>
      </c>
      <c r="AE141" s="4">
        <v>150</v>
      </c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233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233</v>
      </c>
      <c r="AW141" s="8" t="s">
        <v>233</v>
      </c>
      <c r="AX141" s="4" t="s">
        <v>233</v>
      </c>
      <c r="AY141" s="8" t="s">
        <v>233</v>
      </c>
      <c r="AZ141" s="7" t="s">
        <v>233</v>
      </c>
      <c r="BA141" s="7" t="s">
        <v>233</v>
      </c>
      <c r="BB141" s="7"/>
      <c r="BC141" s="4" t="s">
        <v>233</v>
      </c>
      <c r="BD141" s="8" t="s">
        <v>233</v>
      </c>
      <c r="BE141" s="4" t="s">
        <v>233</v>
      </c>
      <c r="BF141" s="8" t="s">
        <v>233</v>
      </c>
      <c r="BG141" s="7" t="s">
        <v>233</v>
      </c>
      <c r="BH141" s="7" t="s">
        <v>233</v>
      </c>
      <c r="BI141" s="7"/>
      <c r="BJ141" s="4"/>
      <c r="BK141" s="8"/>
      <c r="BL141" s="2" t="s">
        <v>233</v>
      </c>
      <c r="BM141" s="7"/>
      <c r="BN141" s="7"/>
      <c r="BO141" s="4"/>
      <c r="BP141" s="8"/>
      <c r="BQ141" s="4"/>
      <c r="BR141" s="8"/>
      <c r="BS141" s="7"/>
      <c r="BT141" s="7"/>
      <c r="BU141" s="2" t="s">
        <v>243</v>
      </c>
      <c r="BV141" s="2" t="s">
        <v>233</v>
      </c>
      <c r="BW141" s="2" t="s">
        <v>233</v>
      </c>
      <c r="BX141" s="2" t="s">
        <v>243</v>
      </c>
      <c r="BY141" s="2" t="s">
        <v>244</v>
      </c>
      <c r="BZ141" s="2" t="s">
        <v>245</v>
      </c>
      <c r="CA141" s="2" t="s">
        <v>233</v>
      </c>
      <c r="CB141" s="2" t="s">
        <v>233</v>
      </c>
      <c r="CC141" s="2" t="s">
        <v>246</v>
      </c>
      <c r="CD141" s="2" t="s">
        <v>233</v>
      </c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>
        <v>150</v>
      </c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</row>
    <row r="142">
      <c r="A142" s="2" t="s">
        <v>988</v>
      </c>
      <c r="B142" s="2" t="s">
        <v>989</v>
      </c>
      <c r="C142" s="2" t="s">
        <v>990</v>
      </c>
      <c r="D142" s="2" t="s">
        <v>991</v>
      </c>
      <c r="E142" s="2" t="s">
        <v>992</v>
      </c>
      <c r="F142" s="2" t="s">
        <v>993</v>
      </c>
      <c r="G142" s="2" t="s">
        <v>993</v>
      </c>
      <c r="H142" s="2" t="s">
        <v>993</v>
      </c>
      <c r="I142" s="2" t="s">
        <v>994</v>
      </c>
      <c r="J142" s="2" t="s">
        <v>995</v>
      </c>
      <c r="K142" s="2" t="s">
        <v>255</v>
      </c>
      <c r="L142" s="3">
        <v>9.28</v>
      </c>
      <c r="M142" s="3">
        <v>9.74</v>
      </c>
      <c r="N142" s="3">
        <v>24.99</v>
      </c>
      <c r="O142" s="2" t="s">
        <v>245</v>
      </c>
      <c r="P142" s="2" t="s">
        <v>996</v>
      </c>
      <c r="Q142" s="2" t="s">
        <v>239</v>
      </c>
      <c r="R142" s="2" t="s">
        <v>233</v>
      </c>
      <c r="S142" s="2" t="s">
        <v>233</v>
      </c>
      <c r="T142" s="2" t="s">
        <v>341</v>
      </c>
      <c r="U142" s="2" t="s">
        <v>396</v>
      </c>
      <c r="V142" s="2" t="s">
        <v>241</v>
      </c>
      <c r="W142" s="2" t="s">
        <v>705</v>
      </c>
      <c r="X142" s="2" t="s">
        <v>233</v>
      </c>
      <c r="Y142" s="2" t="s">
        <v>997</v>
      </c>
      <c r="Z142" s="4">
        <v>220</v>
      </c>
      <c r="AA142" s="4">
        <f>=ROUNDDOWN(31.4285714285714,0)</f>
      </c>
      <c r="AB142" s="5">
        <v>7</v>
      </c>
      <c r="AC142" s="2" t="s">
        <v>233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233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233</v>
      </c>
      <c r="AW142" s="8" t="s">
        <v>233</v>
      </c>
      <c r="AX142" s="4" t="s">
        <v>233</v>
      </c>
      <c r="AY142" s="8" t="s">
        <v>233</v>
      </c>
      <c r="AZ142" s="7" t="s">
        <v>233</v>
      </c>
      <c r="BA142" s="7" t="s">
        <v>233</v>
      </c>
      <c r="BB142" s="7"/>
      <c r="BC142" s="4" t="s">
        <v>233</v>
      </c>
      <c r="BD142" s="8" t="s">
        <v>233</v>
      </c>
      <c r="BE142" s="4" t="s">
        <v>233</v>
      </c>
      <c r="BF142" s="8" t="s">
        <v>233</v>
      </c>
      <c r="BG142" s="7" t="s">
        <v>233</v>
      </c>
      <c r="BH142" s="7" t="s">
        <v>233</v>
      </c>
      <c r="BI142" s="7"/>
      <c r="BJ142" s="4">
        <v>19</v>
      </c>
      <c r="BK142" s="8">
        <v>194.66</v>
      </c>
      <c r="BL142" s="2" t="s">
        <v>998</v>
      </c>
      <c r="BM142" s="7"/>
      <c r="BN142" s="7"/>
      <c r="BO142" s="4"/>
      <c r="BP142" s="8"/>
      <c r="BQ142" s="4"/>
      <c r="BR142" s="8"/>
      <c r="BS142" s="7"/>
      <c r="BT142" s="7"/>
      <c r="BU142" s="2" t="s">
        <v>999</v>
      </c>
      <c r="BV142" s="2" t="s">
        <v>233</v>
      </c>
      <c r="BW142" s="2" t="s">
        <v>233</v>
      </c>
      <c r="BX142" s="2" t="s">
        <v>233</v>
      </c>
      <c r="BY142" s="2" t="s">
        <v>280</v>
      </c>
      <c r="BZ142" s="2" t="s">
        <v>245</v>
      </c>
      <c r="CA142" s="2" t="s">
        <v>1000</v>
      </c>
      <c r="CB142" s="2" t="s">
        <v>1001</v>
      </c>
      <c r="CC142" s="2" t="s">
        <v>246</v>
      </c>
      <c r="CD142" s="2" t="s">
        <v>233</v>
      </c>
      <c r="CE142" s="4">
        <v>220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</row>
    <row r="143">
      <c r="A143" s="2" t="s">
        <v>1002</v>
      </c>
      <c r="B143" s="2" t="s">
        <v>989</v>
      </c>
      <c r="C143" s="2" t="s">
        <v>990</v>
      </c>
      <c r="D143" s="2" t="s">
        <v>991</v>
      </c>
      <c r="E143" s="2" t="s">
        <v>992</v>
      </c>
      <c r="F143" s="2" t="s">
        <v>993</v>
      </c>
      <c r="G143" s="2" t="s">
        <v>993</v>
      </c>
      <c r="H143" s="2" t="s">
        <v>993</v>
      </c>
      <c r="I143" s="2" t="s">
        <v>994</v>
      </c>
      <c r="J143" s="2" t="s">
        <v>1003</v>
      </c>
      <c r="K143" s="2" t="s">
        <v>255</v>
      </c>
      <c r="L143" s="3">
        <v>3.71</v>
      </c>
      <c r="M143" s="3">
        <v>3.9</v>
      </c>
      <c r="N143" s="3">
        <v>9.99</v>
      </c>
      <c r="O143" s="2" t="s">
        <v>245</v>
      </c>
      <c r="P143" s="2" t="s">
        <v>996</v>
      </c>
      <c r="Q143" s="2" t="s">
        <v>239</v>
      </c>
      <c r="R143" s="2" t="s">
        <v>233</v>
      </c>
      <c r="S143" s="2" t="s">
        <v>233</v>
      </c>
      <c r="T143" s="2" t="s">
        <v>341</v>
      </c>
      <c r="U143" s="2" t="s">
        <v>396</v>
      </c>
      <c r="V143" s="2" t="s">
        <v>241</v>
      </c>
      <c r="W143" s="2" t="s">
        <v>705</v>
      </c>
      <c r="X143" s="2" t="s">
        <v>233</v>
      </c>
      <c r="Y143" s="2" t="s">
        <v>997</v>
      </c>
      <c r="Z143" s="4">
        <v>45</v>
      </c>
      <c r="AA143" s="4">
        <f>=ROUNDDOWN(4.5,0)</f>
      </c>
      <c r="AB143" s="5">
        <v>10</v>
      </c>
      <c r="AC143" s="2" t="s">
        <v>233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233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233</v>
      </c>
      <c r="AW143" s="8" t="s">
        <v>233</v>
      </c>
      <c r="AX143" s="4" t="s">
        <v>233</v>
      </c>
      <c r="AY143" s="8" t="s">
        <v>233</v>
      </c>
      <c r="AZ143" s="7" t="s">
        <v>233</v>
      </c>
      <c r="BA143" s="7" t="s">
        <v>233</v>
      </c>
      <c r="BB143" s="7"/>
      <c r="BC143" s="4" t="s">
        <v>233</v>
      </c>
      <c r="BD143" s="8" t="s">
        <v>233</v>
      </c>
      <c r="BE143" s="4" t="s">
        <v>233</v>
      </c>
      <c r="BF143" s="8" t="s">
        <v>233</v>
      </c>
      <c r="BG143" s="7" t="s">
        <v>233</v>
      </c>
      <c r="BH143" s="7" t="s">
        <v>233</v>
      </c>
      <c r="BI143" s="7"/>
      <c r="BJ143" s="4">
        <v>30</v>
      </c>
      <c r="BK143" s="8">
        <v>150.78</v>
      </c>
      <c r="BL143" s="2" t="s">
        <v>998</v>
      </c>
      <c r="BM143" s="7"/>
      <c r="BN143" s="7"/>
      <c r="BO143" s="4"/>
      <c r="BP143" s="8"/>
      <c r="BQ143" s="4"/>
      <c r="BR143" s="8"/>
      <c r="BS143" s="7"/>
      <c r="BT143" s="7"/>
      <c r="BU143" s="2" t="s">
        <v>1004</v>
      </c>
      <c r="BV143" s="2" t="s">
        <v>233</v>
      </c>
      <c r="BW143" s="2" t="s">
        <v>233</v>
      </c>
      <c r="BX143" s="2" t="s">
        <v>233</v>
      </c>
      <c r="BY143" s="2" t="s">
        <v>280</v>
      </c>
      <c r="BZ143" s="2" t="s">
        <v>245</v>
      </c>
      <c r="CA143" s="2" t="s">
        <v>1000</v>
      </c>
      <c r="CB143" s="2" t="s">
        <v>1001</v>
      </c>
      <c r="CC143" s="2" t="s">
        <v>246</v>
      </c>
      <c r="CD143" s="2" t="s">
        <v>233</v>
      </c>
      <c r="CE143" s="4">
        <v>45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</row>
    <row r="144">
      <c r="A144" s="2" t="s">
        <v>1005</v>
      </c>
      <c r="B144" s="2" t="s">
        <v>989</v>
      </c>
      <c r="C144" s="2" t="s">
        <v>990</v>
      </c>
      <c r="D144" s="2" t="s">
        <v>991</v>
      </c>
      <c r="E144" s="2" t="s">
        <v>992</v>
      </c>
      <c r="F144" s="2" t="s">
        <v>993</v>
      </c>
      <c r="G144" s="2" t="s">
        <v>993</v>
      </c>
      <c r="H144" s="2" t="s">
        <v>993</v>
      </c>
      <c r="I144" s="2" t="s">
        <v>994</v>
      </c>
      <c r="J144" s="2" t="s">
        <v>1006</v>
      </c>
      <c r="K144" s="2" t="s">
        <v>569</v>
      </c>
      <c r="L144" s="3">
        <v>14.85</v>
      </c>
      <c r="M144" s="3">
        <v>15.59</v>
      </c>
      <c r="N144" s="3">
        <v>39.99</v>
      </c>
      <c r="O144" s="2" t="s">
        <v>245</v>
      </c>
      <c r="P144" s="2" t="s">
        <v>996</v>
      </c>
      <c r="Q144" s="2" t="s">
        <v>239</v>
      </c>
      <c r="R144" s="2" t="s">
        <v>233</v>
      </c>
      <c r="S144" s="2" t="s">
        <v>233</v>
      </c>
      <c r="T144" s="2" t="s">
        <v>341</v>
      </c>
      <c r="U144" s="2" t="s">
        <v>396</v>
      </c>
      <c r="V144" s="2" t="s">
        <v>241</v>
      </c>
      <c r="W144" s="2" t="s">
        <v>705</v>
      </c>
      <c r="X144" s="2" t="s">
        <v>233</v>
      </c>
      <c r="Y144" s="2" t="s">
        <v>997</v>
      </c>
      <c r="Z144" s="4">
        <v>848</v>
      </c>
      <c r="AA144" s="4">
        <f>=ROUNDDOWN(121.142857142857,0)</f>
      </c>
      <c r="AB144" s="5">
        <v>7</v>
      </c>
      <c r="AC144" s="2" t="s">
        <v>233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233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233</v>
      </c>
      <c r="AW144" s="8" t="s">
        <v>233</v>
      </c>
      <c r="AX144" s="4" t="s">
        <v>233</v>
      </c>
      <c r="AY144" s="8" t="s">
        <v>233</v>
      </c>
      <c r="AZ144" s="7" t="s">
        <v>233</v>
      </c>
      <c r="BA144" s="7" t="s">
        <v>233</v>
      </c>
      <c r="BB144" s="7"/>
      <c r="BC144" s="4" t="s">
        <v>233</v>
      </c>
      <c r="BD144" s="8" t="s">
        <v>233</v>
      </c>
      <c r="BE144" s="4" t="s">
        <v>233</v>
      </c>
      <c r="BF144" s="8" t="s">
        <v>233</v>
      </c>
      <c r="BG144" s="7" t="s">
        <v>233</v>
      </c>
      <c r="BH144" s="7" t="s">
        <v>233</v>
      </c>
      <c r="BI144" s="7"/>
      <c r="BJ144" s="4">
        <v>7</v>
      </c>
      <c r="BK144" s="8">
        <v>155.3</v>
      </c>
      <c r="BL144" s="2" t="s">
        <v>1007</v>
      </c>
      <c r="BM144" s="7"/>
      <c r="BN144" s="7"/>
      <c r="BO144" s="4"/>
      <c r="BP144" s="8"/>
      <c r="BQ144" s="4"/>
      <c r="BR144" s="8"/>
      <c r="BS144" s="7"/>
      <c r="BT144" s="7"/>
      <c r="BU144" s="2" t="s">
        <v>1008</v>
      </c>
      <c r="BV144" s="2" t="s">
        <v>233</v>
      </c>
      <c r="BW144" s="2" t="s">
        <v>233</v>
      </c>
      <c r="BX144" s="2" t="s">
        <v>233</v>
      </c>
      <c r="BY144" s="2" t="s">
        <v>280</v>
      </c>
      <c r="BZ144" s="2" t="s">
        <v>245</v>
      </c>
      <c r="CA144" s="2" t="s">
        <v>1000</v>
      </c>
      <c r="CB144" s="2" t="s">
        <v>1009</v>
      </c>
      <c r="CC144" s="2" t="s">
        <v>246</v>
      </c>
      <c r="CD144" s="2" t="s">
        <v>233</v>
      </c>
      <c r="CE144" s="4">
        <v>848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</row>
    <row r="145">
      <c r="A145" s="2" t="s">
        <v>1010</v>
      </c>
      <c r="B145" s="2" t="s">
        <v>989</v>
      </c>
      <c r="C145" s="2" t="s">
        <v>990</v>
      </c>
      <c r="D145" s="2" t="s">
        <v>991</v>
      </c>
      <c r="E145" s="2" t="s">
        <v>992</v>
      </c>
      <c r="F145" s="2" t="s">
        <v>993</v>
      </c>
      <c r="G145" s="2" t="s">
        <v>993</v>
      </c>
      <c r="H145" s="2" t="s">
        <v>993</v>
      </c>
      <c r="I145" s="2" t="s">
        <v>994</v>
      </c>
      <c r="J145" s="2" t="s">
        <v>995</v>
      </c>
      <c r="K145" s="2" t="s">
        <v>569</v>
      </c>
      <c r="L145" s="3">
        <v>9.28</v>
      </c>
      <c r="M145" s="3">
        <v>9.74</v>
      </c>
      <c r="N145" s="3">
        <v>24.99</v>
      </c>
      <c r="O145" s="2" t="s">
        <v>245</v>
      </c>
      <c r="P145" s="2" t="s">
        <v>996</v>
      </c>
      <c r="Q145" s="2" t="s">
        <v>239</v>
      </c>
      <c r="R145" s="2" t="s">
        <v>233</v>
      </c>
      <c r="S145" s="2" t="s">
        <v>233</v>
      </c>
      <c r="T145" s="2" t="s">
        <v>341</v>
      </c>
      <c r="U145" s="2" t="s">
        <v>396</v>
      </c>
      <c r="V145" s="2" t="s">
        <v>241</v>
      </c>
      <c r="W145" s="2" t="s">
        <v>705</v>
      </c>
      <c r="X145" s="2" t="s">
        <v>233</v>
      </c>
      <c r="Y145" s="2" t="s">
        <v>997</v>
      </c>
      <c r="Z145" s="4">
        <v>337</v>
      </c>
      <c r="AA145" s="4">
        <f>=ROUNDDOWN(56.1666666666667,0)</f>
      </c>
      <c r="AB145" s="5">
        <v>6</v>
      </c>
      <c r="AC145" s="2" t="s">
        <v>233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233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233</v>
      </c>
      <c r="AW145" s="8" t="s">
        <v>233</v>
      </c>
      <c r="AX145" s="4" t="s">
        <v>233</v>
      </c>
      <c r="AY145" s="8" t="s">
        <v>233</v>
      </c>
      <c r="AZ145" s="7" t="s">
        <v>233</v>
      </c>
      <c r="BA145" s="7" t="s">
        <v>233</v>
      </c>
      <c r="BB145" s="7"/>
      <c r="BC145" s="4" t="s">
        <v>233</v>
      </c>
      <c r="BD145" s="8" t="s">
        <v>233</v>
      </c>
      <c r="BE145" s="4" t="s">
        <v>233</v>
      </c>
      <c r="BF145" s="8" t="s">
        <v>233</v>
      </c>
      <c r="BG145" s="7" t="s">
        <v>233</v>
      </c>
      <c r="BH145" s="7" t="s">
        <v>233</v>
      </c>
      <c r="BI145" s="7"/>
      <c r="BJ145" s="4">
        <v>5</v>
      </c>
      <c r="BK145" s="8">
        <v>52.71</v>
      </c>
      <c r="BL145" s="2" t="s">
        <v>935</v>
      </c>
      <c r="BM145" s="7"/>
      <c r="BN145" s="7"/>
      <c r="BO145" s="4"/>
      <c r="BP145" s="8"/>
      <c r="BQ145" s="4"/>
      <c r="BR145" s="8"/>
      <c r="BS145" s="7"/>
      <c r="BT145" s="7"/>
      <c r="BU145" s="2" t="s">
        <v>1011</v>
      </c>
      <c r="BV145" s="2" t="s">
        <v>233</v>
      </c>
      <c r="BW145" s="2" t="s">
        <v>233</v>
      </c>
      <c r="BX145" s="2" t="s">
        <v>233</v>
      </c>
      <c r="BY145" s="2" t="s">
        <v>280</v>
      </c>
      <c r="BZ145" s="2" t="s">
        <v>245</v>
      </c>
      <c r="CA145" s="2" t="s">
        <v>1000</v>
      </c>
      <c r="CB145" s="2" t="s">
        <v>1012</v>
      </c>
      <c r="CC145" s="2" t="s">
        <v>246</v>
      </c>
      <c r="CD145" s="2" t="s">
        <v>233</v>
      </c>
      <c r="CE145" s="4">
        <v>337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</row>
    <row r="146">
      <c r="A146" s="2" t="s">
        <v>1013</v>
      </c>
      <c r="B146" s="2" t="s">
        <v>989</v>
      </c>
      <c r="C146" s="2" t="s">
        <v>990</v>
      </c>
      <c r="D146" s="2" t="s">
        <v>991</v>
      </c>
      <c r="E146" s="2" t="s">
        <v>992</v>
      </c>
      <c r="F146" s="2" t="s">
        <v>993</v>
      </c>
      <c r="G146" s="2" t="s">
        <v>993</v>
      </c>
      <c r="H146" s="2" t="s">
        <v>993</v>
      </c>
      <c r="I146" s="2" t="s">
        <v>994</v>
      </c>
      <c r="J146" s="2" t="s">
        <v>1003</v>
      </c>
      <c r="K146" s="2" t="s">
        <v>569</v>
      </c>
      <c r="L146" s="3">
        <v>3.71</v>
      </c>
      <c r="M146" s="3">
        <v>3.9</v>
      </c>
      <c r="N146" s="3">
        <v>9.99</v>
      </c>
      <c r="O146" s="2" t="s">
        <v>245</v>
      </c>
      <c r="P146" s="2" t="s">
        <v>996</v>
      </c>
      <c r="Q146" s="2" t="s">
        <v>239</v>
      </c>
      <c r="R146" s="2" t="s">
        <v>233</v>
      </c>
      <c r="S146" s="2" t="s">
        <v>233</v>
      </c>
      <c r="T146" s="2" t="s">
        <v>341</v>
      </c>
      <c r="U146" s="2" t="s">
        <v>396</v>
      </c>
      <c r="V146" s="2" t="s">
        <v>241</v>
      </c>
      <c r="W146" s="2" t="s">
        <v>705</v>
      </c>
      <c r="X146" s="2" t="s">
        <v>233</v>
      </c>
      <c r="Y146" s="2" t="s">
        <v>997</v>
      </c>
      <c r="Z146" s="4">
        <v>408</v>
      </c>
      <c r="AA146" s="4">
        <f>=ROUNDDOWN(102,0)</f>
      </c>
      <c r="AB146" s="5">
        <v>4</v>
      </c>
      <c r="AC146" s="2" t="s">
        <v>233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233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233</v>
      </c>
      <c r="AW146" s="8" t="s">
        <v>233</v>
      </c>
      <c r="AX146" s="4" t="s">
        <v>233</v>
      </c>
      <c r="AY146" s="8" t="s">
        <v>233</v>
      </c>
      <c r="AZ146" s="7" t="s">
        <v>233</v>
      </c>
      <c r="BA146" s="7" t="s">
        <v>233</v>
      </c>
      <c r="BB146" s="7"/>
      <c r="BC146" s="4" t="s">
        <v>233</v>
      </c>
      <c r="BD146" s="8" t="s">
        <v>233</v>
      </c>
      <c r="BE146" s="4" t="s">
        <v>233</v>
      </c>
      <c r="BF146" s="8" t="s">
        <v>233</v>
      </c>
      <c r="BG146" s="7" t="s">
        <v>233</v>
      </c>
      <c r="BH146" s="7" t="s">
        <v>233</v>
      </c>
      <c r="BI146" s="7"/>
      <c r="BJ146" s="4">
        <v>13</v>
      </c>
      <c r="BK146" s="8">
        <v>80.62</v>
      </c>
      <c r="BL146" s="2" t="s">
        <v>1014</v>
      </c>
      <c r="BM146" s="7"/>
      <c r="BN146" s="7"/>
      <c r="BO146" s="4"/>
      <c r="BP146" s="8"/>
      <c r="BQ146" s="4"/>
      <c r="BR146" s="8"/>
      <c r="BS146" s="7"/>
      <c r="BT146" s="7"/>
      <c r="BU146" s="2" t="s">
        <v>1015</v>
      </c>
      <c r="BV146" s="2" t="s">
        <v>233</v>
      </c>
      <c r="BW146" s="2" t="s">
        <v>233</v>
      </c>
      <c r="BX146" s="2" t="s">
        <v>233</v>
      </c>
      <c r="BY146" s="2" t="s">
        <v>280</v>
      </c>
      <c r="BZ146" s="2" t="s">
        <v>245</v>
      </c>
      <c r="CA146" s="2" t="s">
        <v>1000</v>
      </c>
      <c r="CB146" s="2" t="s">
        <v>233</v>
      </c>
      <c r="CC146" s="2" t="s">
        <v>246</v>
      </c>
      <c r="CD146" s="2" t="s">
        <v>233</v>
      </c>
      <c r="CE146" s="4">
        <v>408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</row>
    <row r="147">
      <c r="A147" s="2" t="s">
        <v>1016</v>
      </c>
      <c r="B147" s="2" t="s">
        <v>1017</v>
      </c>
      <c r="C147" s="2" t="s">
        <v>990</v>
      </c>
      <c r="D147" s="2" t="s">
        <v>1018</v>
      </c>
      <c r="E147" s="2" t="s">
        <v>1019</v>
      </c>
      <c r="F147" s="2" t="s">
        <v>993</v>
      </c>
      <c r="G147" s="2" t="s">
        <v>993</v>
      </c>
      <c r="H147" s="2" t="s">
        <v>993</v>
      </c>
      <c r="I147" s="2" t="s">
        <v>1020</v>
      </c>
      <c r="J147" s="2" t="s">
        <v>1021</v>
      </c>
      <c r="K147" s="2" t="s">
        <v>569</v>
      </c>
      <c r="L147" s="3">
        <v>31.57</v>
      </c>
      <c r="M147" s="3">
        <v>33.15</v>
      </c>
      <c r="N147" s="3">
        <v>85</v>
      </c>
      <c r="O147" s="2" t="s">
        <v>245</v>
      </c>
      <c r="P147" s="2" t="s">
        <v>311</v>
      </c>
      <c r="Q147" s="2" t="s">
        <v>239</v>
      </c>
      <c r="R147" s="2" t="s">
        <v>233</v>
      </c>
      <c r="S147" s="2" t="s">
        <v>233</v>
      </c>
      <c r="T147" s="2" t="s">
        <v>233</v>
      </c>
      <c r="U147" s="2" t="s">
        <v>396</v>
      </c>
      <c r="V147" s="2" t="s">
        <v>241</v>
      </c>
      <c r="W147" s="2" t="s">
        <v>705</v>
      </c>
      <c r="X147" s="2" t="s">
        <v>233</v>
      </c>
      <c r="Y147" s="2" t="s">
        <v>1022</v>
      </c>
      <c r="Z147" s="4">
        <v>7</v>
      </c>
      <c r="AA147" s="4">
        <f>=ROUNDDOWN(35,0)</f>
      </c>
      <c r="AB147" s="5">
        <v>0.2</v>
      </c>
      <c r="AC147" s="2" t="s">
        <v>233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233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233</v>
      </c>
      <c r="AW147" s="8" t="s">
        <v>233</v>
      </c>
      <c r="AX147" s="4" t="s">
        <v>233</v>
      </c>
      <c r="AY147" s="8" t="s">
        <v>233</v>
      </c>
      <c r="AZ147" s="7" t="s">
        <v>233</v>
      </c>
      <c r="BA147" s="7" t="s">
        <v>233</v>
      </c>
      <c r="BB147" s="7"/>
      <c r="BC147" s="4" t="s">
        <v>233</v>
      </c>
      <c r="BD147" s="8" t="s">
        <v>233</v>
      </c>
      <c r="BE147" s="4" t="s">
        <v>233</v>
      </c>
      <c r="BF147" s="8" t="s">
        <v>233</v>
      </c>
      <c r="BG147" s="7" t="s">
        <v>233</v>
      </c>
      <c r="BH147" s="7" t="s">
        <v>233</v>
      </c>
      <c r="BI147" s="7"/>
      <c r="BJ147" s="4">
        <v>3</v>
      </c>
      <c r="BK147" s="8">
        <v>66.32</v>
      </c>
      <c r="BL147" s="2" t="s">
        <v>1023</v>
      </c>
      <c r="BM147" s="7"/>
      <c r="BN147" s="7"/>
      <c r="BO147" s="4"/>
      <c r="BP147" s="8"/>
      <c r="BQ147" s="4"/>
      <c r="BR147" s="8"/>
      <c r="BS147" s="7"/>
      <c r="BT147" s="7"/>
      <c r="BU147" s="2" t="s">
        <v>1024</v>
      </c>
      <c r="BV147" s="2" t="s">
        <v>233</v>
      </c>
      <c r="BW147" s="2" t="s">
        <v>233</v>
      </c>
      <c r="BX147" s="2" t="s">
        <v>233</v>
      </c>
      <c r="BY147" s="2" t="s">
        <v>280</v>
      </c>
      <c r="BZ147" s="2" t="s">
        <v>245</v>
      </c>
      <c r="CA147" s="2" t="s">
        <v>1025</v>
      </c>
      <c r="CB147" s="2" t="s">
        <v>1026</v>
      </c>
      <c r="CC147" s="2" t="s">
        <v>246</v>
      </c>
      <c r="CD147" s="2" t="s">
        <v>233</v>
      </c>
      <c r="CE147" s="4">
        <v>7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</row>
    <row r="148">
      <c r="A148" s="2" t="s">
        <v>1027</v>
      </c>
      <c r="B148" s="2" t="s">
        <v>1017</v>
      </c>
      <c r="C148" s="2" t="s">
        <v>990</v>
      </c>
      <c r="D148" s="2" t="s">
        <v>1018</v>
      </c>
      <c r="E148" s="2" t="s">
        <v>1019</v>
      </c>
      <c r="F148" s="2" t="s">
        <v>993</v>
      </c>
      <c r="G148" s="2" t="s">
        <v>993</v>
      </c>
      <c r="H148" s="2" t="s">
        <v>993</v>
      </c>
      <c r="I148" s="2" t="s">
        <v>1020</v>
      </c>
      <c r="J148" s="2" t="s">
        <v>1021</v>
      </c>
      <c r="K148" s="2" t="s">
        <v>853</v>
      </c>
      <c r="L148" s="3">
        <v>31.57</v>
      </c>
      <c r="M148" s="3">
        <v>33.15</v>
      </c>
      <c r="N148" s="3">
        <v>85</v>
      </c>
      <c r="O148" s="2" t="s">
        <v>245</v>
      </c>
      <c r="P148" s="2" t="s">
        <v>311</v>
      </c>
      <c r="Q148" s="2" t="s">
        <v>239</v>
      </c>
      <c r="R148" s="2" t="s">
        <v>233</v>
      </c>
      <c r="S148" s="2" t="s">
        <v>233</v>
      </c>
      <c r="T148" s="2" t="s">
        <v>233</v>
      </c>
      <c r="U148" s="2" t="s">
        <v>396</v>
      </c>
      <c r="V148" s="2" t="s">
        <v>241</v>
      </c>
      <c r="W148" s="2" t="s">
        <v>705</v>
      </c>
      <c r="X148" s="2" t="s">
        <v>233</v>
      </c>
      <c r="Y148" s="2" t="s">
        <v>1022</v>
      </c>
      <c r="Z148" s="4">
        <v>2</v>
      </c>
      <c r="AA148" s="4">
        <f>=ROUNDDOWN(4,0)</f>
      </c>
      <c r="AB148" s="5">
        <v>0.5</v>
      </c>
      <c r="AC148" s="2" t="s">
        <v>233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233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233</v>
      </c>
      <c r="BD148" s="8" t="s">
        <v>233</v>
      </c>
      <c r="BE148" s="4" t="s">
        <v>233</v>
      </c>
      <c r="BF148" s="8" t="s">
        <v>233</v>
      </c>
      <c r="BG148" s="7" t="s">
        <v>233</v>
      </c>
      <c r="BH148" s="7" t="s">
        <v>233</v>
      </c>
      <c r="BI148" s="7"/>
      <c r="BJ148" s="4">
        <v>2</v>
      </c>
      <c r="BK148" s="8">
        <v>66.3</v>
      </c>
      <c r="BL148" s="2" t="s">
        <v>1028</v>
      </c>
      <c r="BM148" s="7"/>
      <c r="BN148" s="7"/>
      <c r="BO148" s="4"/>
      <c r="BP148" s="8"/>
      <c r="BQ148" s="4"/>
      <c r="BR148" s="8"/>
      <c r="BS148" s="7"/>
      <c r="BT148" s="7"/>
      <c r="BU148" s="2" t="s">
        <v>1029</v>
      </c>
      <c r="BV148" s="2" t="s">
        <v>233</v>
      </c>
      <c r="BW148" s="2" t="s">
        <v>233</v>
      </c>
      <c r="BX148" s="2" t="s">
        <v>233</v>
      </c>
      <c r="BY148" s="2" t="s">
        <v>280</v>
      </c>
      <c r="BZ148" s="2" t="s">
        <v>245</v>
      </c>
      <c r="CA148" s="2" t="s">
        <v>1025</v>
      </c>
      <c r="CB148" s="2" t="s">
        <v>1030</v>
      </c>
      <c r="CC148" s="2" t="s">
        <v>246</v>
      </c>
      <c r="CD148" s="2" t="s">
        <v>233</v>
      </c>
      <c r="CE148" s="4">
        <v>2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</row>
    <row r="149">
      <c r="A149" s="2" t="s">
        <v>1031</v>
      </c>
      <c r="B149" s="2" t="s">
        <v>989</v>
      </c>
      <c r="C149" s="2" t="s">
        <v>990</v>
      </c>
      <c r="D149" s="2" t="s">
        <v>991</v>
      </c>
      <c r="E149" s="2" t="s">
        <v>992</v>
      </c>
      <c r="F149" s="2" t="s">
        <v>993</v>
      </c>
      <c r="G149" s="2" t="s">
        <v>993</v>
      </c>
      <c r="H149" s="2" t="s">
        <v>993</v>
      </c>
      <c r="I149" s="2" t="s">
        <v>994</v>
      </c>
      <c r="J149" s="2" t="s">
        <v>1006</v>
      </c>
      <c r="K149" s="2" t="s">
        <v>1032</v>
      </c>
      <c r="L149" s="3">
        <v>14.85</v>
      </c>
      <c r="M149" s="3">
        <v>15.59</v>
      </c>
      <c r="N149" s="3">
        <v>39.99</v>
      </c>
      <c r="O149" s="2" t="s">
        <v>245</v>
      </c>
      <c r="P149" s="2" t="s">
        <v>996</v>
      </c>
      <c r="Q149" s="2" t="s">
        <v>239</v>
      </c>
      <c r="R149" s="2" t="s">
        <v>233</v>
      </c>
      <c r="S149" s="2" t="s">
        <v>233</v>
      </c>
      <c r="T149" s="2" t="s">
        <v>341</v>
      </c>
      <c r="U149" s="2" t="s">
        <v>396</v>
      </c>
      <c r="V149" s="2" t="s">
        <v>241</v>
      </c>
      <c r="W149" s="2" t="s">
        <v>705</v>
      </c>
      <c r="X149" s="2" t="s">
        <v>233</v>
      </c>
      <c r="Y149" s="2" t="s">
        <v>997</v>
      </c>
      <c r="Z149" s="4">
        <v>797</v>
      </c>
      <c r="AA149" s="4">
        <f>=ROUNDDOWN(199.25,0)</f>
      </c>
      <c r="AB149" s="5">
        <v>4</v>
      </c>
      <c r="AC149" s="2" t="s">
        <v>233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233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233</v>
      </c>
      <c r="AW149" s="8" t="s">
        <v>233</v>
      </c>
      <c r="AX149" s="4" t="s">
        <v>233</v>
      </c>
      <c r="AY149" s="8" t="s">
        <v>233</v>
      </c>
      <c r="AZ149" s="7" t="s">
        <v>233</v>
      </c>
      <c r="BA149" s="7" t="s">
        <v>233</v>
      </c>
      <c r="BB149" s="7"/>
      <c r="BC149" s="4" t="s">
        <v>233</v>
      </c>
      <c r="BD149" s="8" t="s">
        <v>233</v>
      </c>
      <c r="BE149" s="4" t="s">
        <v>233</v>
      </c>
      <c r="BF149" s="8" t="s">
        <v>233</v>
      </c>
      <c r="BG149" s="7" t="s">
        <v>233</v>
      </c>
      <c r="BH149" s="7" t="s">
        <v>233</v>
      </c>
      <c r="BI149" s="7"/>
      <c r="BJ149" s="4">
        <v>15</v>
      </c>
      <c r="BK149" s="8">
        <v>317.91</v>
      </c>
      <c r="BL149" s="2" t="s">
        <v>998</v>
      </c>
      <c r="BM149" s="7"/>
      <c r="BN149" s="7"/>
      <c r="BO149" s="4"/>
      <c r="BP149" s="8"/>
      <c r="BQ149" s="4"/>
      <c r="BR149" s="8"/>
      <c r="BS149" s="7"/>
      <c r="BT149" s="7"/>
      <c r="BU149" s="2" t="s">
        <v>1033</v>
      </c>
      <c r="BV149" s="2" t="s">
        <v>233</v>
      </c>
      <c r="BW149" s="2" t="s">
        <v>233</v>
      </c>
      <c r="BX149" s="2" t="s">
        <v>233</v>
      </c>
      <c r="BY149" s="2" t="s">
        <v>280</v>
      </c>
      <c r="BZ149" s="2" t="s">
        <v>245</v>
      </c>
      <c r="CA149" s="2" t="s">
        <v>1000</v>
      </c>
      <c r="CB149" s="2" t="s">
        <v>1034</v>
      </c>
      <c r="CC149" s="2" t="s">
        <v>246</v>
      </c>
      <c r="CD149" s="2" t="s">
        <v>233</v>
      </c>
      <c r="CE149" s="4">
        <v>797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</row>
    <row r="150">
      <c r="A150" s="2" t="s">
        <v>1035</v>
      </c>
      <c r="B150" s="2" t="s">
        <v>989</v>
      </c>
      <c r="C150" s="2" t="s">
        <v>990</v>
      </c>
      <c r="D150" s="2" t="s">
        <v>991</v>
      </c>
      <c r="E150" s="2" t="s">
        <v>992</v>
      </c>
      <c r="F150" s="2" t="s">
        <v>993</v>
      </c>
      <c r="G150" s="2" t="s">
        <v>993</v>
      </c>
      <c r="H150" s="2" t="s">
        <v>993</v>
      </c>
      <c r="I150" s="2" t="s">
        <v>994</v>
      </c>
      <c r="J150" s="2" t="s">
        <v>995</v>
      </c>
      <c r="K150" s="2" t="s">
        <v>1032</v>
      </c>
      <c r="L150" s="3">
        <v>9.28</v>
      </c>
      <c r="M150" s="3">
        <v>9.74</v>
      </c>
      <c r="N150" s="3">
        <v>24.99</v>
      </c>
      <c r="O150" s="2" t="s">
        <v>245</v>
      </c>
      <c r="P150" s="2" t="s">
        <v>996</v>
      </c>
      <c r="Q150" s="2" t="s">
        <v>239</v>
      </c>
      <c r="R150" s="2" t="s">
        <v>233</v>
      </c>
      <c r="S150" s="2" t="s">
        <v>233</v>
      </c>
      <c r="T150" s="2" t="s">
        <v>341</v>
      </c>
      <c r="U150" s="2" t="s">
        <v>396</v>
      </c>
      <c r="V150" s="2" t="s">
        <v>241</v>
      </c>
      <c r="W150" s="2" t="s">
        <v>705</v>
      </c>
      <c r="X150" s="2" t="s">
        <v>233</v>
      </c>
      <c r="Y150" s="2" t="s">
        <v>997</v>
      </c>
      <c r="Z150" s="4">
        <v>385</v>
      </c>
      <c r="AA150" s="4">
        <f>=ROUNDDOWN(96.25,0)</f>
      </c>
      <c r="AB150" s="5">
        <v>4</v>
      </c>
      <c r="AC150" s="2" t="s">
        <v>233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233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233</v>
      </c>
      <c r="AW150" s="8" t="s">
        <v>233</v>
      </c>
      <c r="AX150" s="4" t="s">
        <v>233</v>
      </c>
      <c r="AY150" s="8" t="s">
        <v>233</v>
      </c>
      <c r="AZ150" s="7" t="s">
        <v>233</v>
      </c>
      <c r="BA150" s="7" t="s">
        <v>233</v>
      </c>
      <c r="BB150" s="7"/>
      <c r="BC150" s="4" t="s">
        <v>233</v>
      </c>
      <c r="BD150" s="8" t="s">
        <v>233</v>
      </c>
      <c r="BE150" s="4" t="s">
        <v>233</v>
      </c>
      <c r="BF150" s="8" t="s">
        <v>233</v>
      </c>
      <c r="BG150" s="7" t="s">
        <v>233</v>
      </c>
      <c r="BH150" s="7" t="s">
        <v>233</v>
      </c>
      <c r="BI150" s="7"/>
      <c r="BJ150" s="4">
        <v>14</v>
      </c>
      <c r="BK150" s="8">
        <v>167.85</v>
      </c>
      <c r="BL150" s="2" t="s">
        <v>998</v>
      </c>
      <c r="BM150" s="7"/>
      <c r="BN150" s="7"/>
      <c r="BO150" s="4"/>
      <c r="BP150" s="8"/>
      <c r="BQ150" s="4"/>
      <c r="BR150" s="8"/>
      <c r="BS150" s="7"/>
      <c r="BT150" s="7"/>
      <c r="BU150" s="2" t="s">
        <v>1036</v>
      </c>
      <c r="BV150" s="2" t="s">
        <v>233</v>
      </c>
      <c r="BW150" s="2" t="s">
        <v>233</v>
      </c>
      <c r="BX150" s="2" t="s">
        <v>233</v>
      </c>
      <c r="BY150" s="2" t="s">
        <v>280</v>
      </c>
      <c r="BZ150" s="2" t="s">
        <v>245</v>
      </c>
      <c r="CA150" s="2" t="s">
        <v>1000</v>
      </c>
      <c r="CB150" s="2" t="s">
        <v>233</v>
      </c>
      <c r="CC150" s="2" t="s">
        <v>246</v>
      </c>
      <c r="CD150" s="2" t="s">
        <v>233</v>
      </c>
      <c r="CE150" s="4">
        <v>385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</row>
    <row r="151">
      <c r="A151" s="2" t="s">
        <v>1037</v>
      </c>
      <c r="B151" s="2" t="s">
        <v>989</v>
      </c>
      <c r="C151" s="2" t="s">
        <v>990</v>
      </c>
      <c r="D151" s="2" t="s">
        <v>991</v>
      </c>
      <c r="E151" s="2" t="s">
        <v>992</v>
      </c>
      <c r="F151" s="2" t="s">
        <v>993</v>
      </c>
      <c r="G151" s="2" t="s">
        <v>993</v>
      </c>
      <c r="H151" s="2" t="s">
        <v>993</v>
      </c>
      <c r="I151" s="2" t="s">
        <v>994</v>
      </c>
      <c r="J151" s="2" t="s">
        <v>1003</v>
      </c>
      <c r="K151" s="2" t="s">
        <v>1032</v>
      </c>
      <c r="L151" s="3">
        <v>3.71</v>
      </c>
      <c r="M151" s="3">
        <v>3.9</v>
      </c>
      <c r="N151" s="3">
        <v>9.99</v>
      </c>
      <c r="O151" s="2" t="s">
        <v>245</v>
      </c>
      <c r="P151" s="2" t="s">
        <v>996</v>
      </c>
      <c r="Q151" s="2" t="s">
        <v>239</v>
      </c>
      <c r="R151" s="2" t="s">
        <v>233</v>
      </c>
      <c r="S151" s="2" t="s">
        <v>233</v>
      </c>
      <c r="T151" s="2" t="s">
        <v>341</v>
      </c>
      <c r="U151" s="2" t="s">
        <v>396</v>
      </c>
      <c r="V151" s="2" t="s">
        <v>241</v>
      </c>
      <c r="W151" s="2" t="s">
        <v>705</v>
      </c>
      <c r="X151" s="2" t="s">
        <v>233</v>
      </c>
      <c r="Y151" s="2" t="s">
        <v>997</v>
      </c>
      <c r="Z151" s="4">
        <v>266</v>
      </c>
      <c r="AA151" s="4">
        <f>=ROUNDDOWN(53.2,0)</f>
      </c>
      <c r="AB151" s="5">
        <v>5</v>
      </c>
      <c r="AC151" s="2" t="s">
        <v>233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233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233</v>
      </c>
      <c r="AW151" s="8" t="s">
        <v>233</v>
      </c>
      <c r="AX151" s="4" t="s">
        <v>233</v>
      </c>
      <c r="AY151" s="8" t="s">
        <v>233</v>
      </c>
      <c r="AZ151" s="7" t="s">
        <v>233</v>
      </c>
      <c r="BA151" s="7" t="s">
        <v>233</v>
      </c>
      <c r="BB151" s="7"/>
      <c r="BC151" s="4" t="s">
        <v>233</v>
      </c>
      <c r="BD151" s="8" t="s">
        <v>233</v>
      </c>
      <c r="BE151" s="4" t="s">
        <v>233</v>
      </c>
      <c r="BF151" s="8" t="s">
        <v>233</v>
      </c>
      <c r="BG151" s="7" t="s">
        <v>233</v>
      </c>
      <c r="BH151" s="7" t="s">
        <v>233</v>
      </c>
      <c r="BI151" s="7"/>
      <c r="BJ151" s="4">
        <v>14</v>
      </c>
      <c r="BK151" s="8">
        <v>72.55</v>
      </c>
      <c r="BL151" s="2" t="s">
        <v>1038</v>
      </c>
      <c r="BM151" s="7"/>
      <c r="BN151" s="7"/>
      <c r="BO151" s="4"/>
      <c r="BP151" s="8"/>
      <c r="BQ151" s="4"/>
      <c r="BR151" s="8"/>
      <c r="BS151" s="7"/>
      <c r="BT151" s="7"/>
      <c r="BU151" s="2" t="s">
        <v>1039</v>
      </c>
      <c r="BV151" s="2" t="s">
        <v>233</v>
      </c>
      <c r="BW151" s="2" t="s">
        <v>233</v>
      </c>
      <c r="BX151" s="2" t="s">
        <v>233</v>
      </c>
      <c r="BY151" s="2" t="s">
        <v>280</v>
      </c>
      <c r="BZ151" s="2" t="s">
        <v>245</v>
      </c>
      <c r="CA151" s="2" t="s">
        <v>1000</v>
      </c>
      <c r="CB151" s="2" t="s">
        <v>233</v>
      </c>
      <c r="CC151" s="2" t="s">
        <v>246</v>
      </c>
      <c r="CD151" s="2" t="s">
        <v>233</v>
      </c>
      <c r="CE151" s="4">
        <v>266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</row>
    <row r="152">
      <c r="A152" s="2" t="s">
        <v>1040</v>
      </c>
      <c r="B152" s="2" t="s">
        <v>989</v>
      </c>
      <c r="C152" s="2" t="s">
        <v>990</v>
      </c>
      <c r="D152" s="2" t="s">
        <v>991</v>
      </c>
      <c r="E152" s="2" t="s">
        <v>992</v>
      </c>
      <c r="F152" s="2" t="s">
        <v>993</v>
      </c>
      <c r="G152" s="2" t="s">
        <v>993</v>
      </c>
      <c r="H152" s="2" t="s">
        <v>993</v>
      </c>
      <c r="I152" s="2" t="s">
        <v>994</v>
      </c>
      <c r="J152" s="2" t="s">
        <v>1006</v>
      </c>
      <c r="K152" s="2" t="s">
        <v>297</v>
      </c>
      <c r="L152" s="3">
        <v>14.85</v>
      </c>
      <c r="M152" s="3">
        <v>15.59</v>
      </c>
      <c r="N152" s="3">
        <v>39.99</v>
      </c>
      <c r="O152" s="2" t="s">
        <v>245</v>
      </c>
      <c r="P152" s="2" t="s">
        <v>996</v>
      </c>
      <c r="Q152" s="2" t="s">
        <v>239</v>
      </c>
      <c r="R152" s="2" t="s">
        <v>233</v>
      </c>
      <c r="S152" s="2" t="s">
        <v>233</v>
      </c>
      <c r="T152" s="2" t="s">
        <v>341</v>
      </c>
      <c r="U152" s="2" t="s">
        <v>396</v>
      </c>
      <c r="V152" s="2" t="s">
        <v>241</v>
      </c>
      <c r="W152" s="2" t="s">
        <v>705</v>
      </c>
      <c r="X152" s="2" t="s">
        <v>233</v>
      </c>
      <c r="Y152" s="2" t="s">
        <v>997</v>
      </c>
      <c r="Z152" s="4">
        <v>789</v>
      </c>
      <c r="AA152" s="4">
        <f>=ROUNDDOWN(65.75,0)</f>
      </c>
      <c r="AB152" s="5">
        <v>12</v>
      </c>
      <c r="AC152" s="2" t="s">
        <v>233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233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233</v>
      </c>
      <c r="AW152" s="8" t="s">
        <v>233</v>
      </c>
      <c r="AX152" s="4" t="s">
        <v>233</v>
      </c>
      <c r="AY152" s="8" t="s">
        <v>233</v>
      </c>
      <c r="AZ152" s="7" t="s">
        <v>233</v>
      </c>
      <c r="BA152" s="7" t="s">
        <v>233</v>
      </c>
      <c r="BB152" s="7"/>
      <c r="BC152" s="4" t="s">
        <v>233</v>
      </c>
      <c r="BD152" s="8" t="s">
        <v>233</v>
      </c>
      <c r="BE152" s="4" t="s">
        <v>233</v>
      </c>
      <c r="BF152" s="8" t="s">
        <v>233</v>
      </c>
      <c r="BG152" s="7" t="s">
        <v>233</v>
      </c>
      <c r="BH152" s="7" t="s">
        <v>233</v>
      </c>
      <c r="BI152" s="7"/>
      <c r="BJ152" s="4">
        <v>24</v>
      </c>
      <c r="BK152" s="8">
        <v>421.35</v>
      </c>
      <c r="BL152" s="2" t="s">
        <v>1041</v>
      </c>
      <c r="BM152" s="7"/>
      <c r="BN152" s="7"/>
      <c r="BO152" s="4"/>
      <c r="BP152" s="8"/>
      <c r="BQ152" s="4"/>
      <c r="BR152" s="8"/>
      <c r="BS152" s="7"/>
      <c r="BT152" s="7"/>
      <c r="BU152" s="2" t="s">
        <v>1042</v>
      </c>
      <c r="BV152" s="2" t="s">
        <v>233</v>
      </c>
      <c r="BW152" s="2" t="s">
        <v>233</v>
      </c>
      <c r="BX152" s="2" t="s">
        <v>233</v>
      </c>
      <c r="BY152" s="2" t="s">
        <v>280</v>
      </c>
      <c r="BZ152" s="2" t="s">
        <v>245</v>
      </c>
      <c r="CA152" s="2" t="s">
        <v>1000</v>
      </c>
      <c r="CB152" s="2" t="s">
        <v>747</v>
      </c>
      <c r="CC152" s="2" t="s">
        <v>246</v>
      </c>
      <c r="CD152" s="2" t="s">
        <v>233</v>
      </c>
      <c r="CE152" s="4">
        <v>789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</row>
    <row r="153">
      <c r="A153" s="2" t="s">
        <v>1043</v>
      </c>
      <c r="B153" s="2" t="s">
        <v>989</v>
      </c>
      <c r="C153" s="2" t="s">
        <v>990</v>
      </c>
      <c r="D153" s="2" t="s">
        <v>991</v>
      </c>
      <c r="E153" s="2" t="s">
        <v>992</v>
      </c>
      <c r="F153" s="2" t="s">
        <v>993</v>
      </c>
      <c r="G153" s="2" t="s">
        <v>993</v>
      </c>
      <c r="H153" s="2" t="s">
        <v>993</v>
      </c>
      <c r="I153" s="2" t="s">
        <v>994</v>
      </c>
      <c r="J153" s="2" t="s">
        <v>995</v>
      </c>
      <c r="K153" s="2" t="s">
        <v>297</v>
      </c>
      <c r="L153" s="3">
        <v>9.28</v>
      </c>
      <c r="M153" s="3">
        <v>9.74</v>
      </c>
      <c r="N153" s="3">
        <v>24.99</v>
      </c>
      <c r="O153" s="2" t="s">
        <v>245</v>
      </c>
      <c r="P153" s="2" t="s">
        <v>996</v>
      </c>
      <c r="Q153" s="2" t="s">
        <v>239</v>
      </c>
      <c r="R153" s="2" t="s">
        <v>233</v>
      </c>
      <c r="S153" s="2" t="s">
        <v>233</v>
      </c>
      <c r="T153" s="2" t="s">
        <v>341</v>
      </c>
      <c r="U153" s="2" t="s">
        <v>396</v>
      </c>
      <c r="V153" s="2" t="s">
        <v>241</v>
      </c>
      <c r="W153" s="2" t="s">
        <v>705</v>
      </c>
      <c r="X153" s="2" t="s">
        <v>233</v>
      </c>
      <c r="Y153" s="2" t="s">
        <v>997</v>
      </c>
      <c r="Z153" s="4">
        <v>423</v>
      </c>
      <c r="AA153" s="4">
        <f>=ROUNDDOWN(60.4285714285714,0)</f>
      </c>
      <c r="AB153" s="5">
        <v>7</v>
      </c>
      <c r="AC153" s="2" t="s">
        <v>233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233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233</v>
      </c>
      <c r="AW153" s="8" t="s">
        <v>233</v>
      </c>
      <c r="AX153" s="4" t="s">
        <v>233</v>
      </c>
      <c r="AY153" s="8" t="s">
        <v>233</v>
      </c>
      <c r="AZ153" s="7" t="s">
        <v>233</v>
      </c>
      <c r="BA153" s="7" t="s">
        <v>233</v>
      </c>
      <c r="BB153" s="7"/>
      <c r="BC153" s="4" t="s">
        <v>233</v>
      </c>
      <c r="BD153" s="8" t="s">
        <v>233</v>
      </c>
      <c r="BE153" s="4" t="s">
        <v>233</v>
      </c>
      <c r="BF153" s="8" t="s">
        <v>233</v>
      </c>
      <c r="BG153" s="7" t="s">
        <v>233</v>
      </c>
      <c r="BH153" s="7" t="s">
        <v>233</v>
      </c>
      <c r="BI153" s="7"/>
      <c r="BJ153" s="4">
        <v>12</v>
      </c>
      <c r="BK153" s="8">
        <v>125.08</v>
      </c>
      <c r="BL153" s="2" t="s">
        <v>998</v>
      </c>
      <c r="BM153" s="7"/>
      <c r="BN153" s="7"/>
      <c r="BO153" s="4"/>
      <c r="BP153" s="8"/>
      <c r="BQ153" s="4"/>
      <c r="BR153" s="8"/>
      <c r="BS153" s="7"/>
      <c r="BT153" s="7"/>
      <c r="BU153" s="2" t="s">
        <v>1044</v>
      </c>
      <c r="BV153" s="2" t="s">
        <v>233</v>
      </c>
      <c r="BW153" s="2" t="s">
        <v>233</v>
      </c>
      <c r="BX153" s="2" t="s">
        <v>233</v>
      </c>
      <c r="BY153" s="2" t="s">
        <v>280</v>
      </c>
      <c r="BZ153" s="2" t="s">
        <v>245</v>
      </c>
      <c r="CA153" s="2" t="s">
        <v>1000</v>
      </c>
      <c r="CB153" s="2" t="s">
        <v>233</v>
      </c>
      <c r="CC153" s="2" t="s">
        <v>246</v>
      </c>
      <c r="CD153" s="2" t="s">
        <v>233</v>
      </c>
      <c r="CE153" s="4">
        <v>423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</row>
    <row r="154">
      <c r="A154" s="2" t="s">
        <v>1045</v>
      </c>
      <c r="B154" s="2" t="s">
        <v>1017</v>
      </c>
      <c r="C154" s="2" t="s">
        <v>990</v>
      </c>
      <c r="D154" s="2" t="s">
        <v>1018</v>
      </c>
      <c r="E154" s="2" t="s">
        <v>1019</v>
      </c>
      <c r="F154" s="2" t="s">
        <v>993</v>
      </c>
      <c r="G154" s="2" t="s">
        <v>993</v>
      </c>
      <c r="H154" s="2" t="s">
        <v>993</v>
      </c>
      <c r="I154" s="2" t="s">
        <v>1020</v>
      </c>
      <c r="J154" s="2" t="s">
        <v>1046</v>
      </c>
      <c r="K154" s="2" t="s">
        <v>297</v>
      </c>
      <c r="L154" s="3">
        <v>20.43</v>
      </c>
      <c r="M154" s="3">
        <v>21.45</v>
      </c>
      <c r="N154" s="3">
        <v>55</v>
      </c>
      <c r="O154" s="2" t="s">
        <v>245</v>
      </c>
      <c r="P154" s="2" t="s">
        <v>311</v>
      </c>
      <c r="Q154" s="2" t="s">
        <v>239</v>
      </c>
      <c r="R154" s="2" t="s">
        <v>233</v>
      </c>
      <c r="S154" s="2" t="s">
        <v>233</v>
      </c>
      <c r="T154" s="2" t="s">
        <v>233</v>
      </c>
      <c r="U154" s="2" t="s">
        <v>396</v>
      </c>
      <c r="V154" s="2" t="s">
        <v>241</v>
      </c>
      <c r="W154" s="2" t="s">
        <v>705</v>
      </c>
      <c r="X154" s="2" t="s">
        <v>233</v>
      </c>
      <c r="Y154" s="2" t="s">
        <v>1022</v>
      </c>
      <c r="Z154" s="4">
        <v>3</v>
      </c>
      <c r="AA154" s="4">
        <f>=ROUNDDOWN({0},0)</f>
      </c>
      <c r="AB154" s="5"/>
      <c r="AC154" s="2" t="s">
        <v>233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233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233</v>
      </c>
      <c r="AW154" s="8" t="s">
        <v>233</v>
      </c>
      <c r="AX154" s="4" t="s">
        <v>233</v>
      </c>
      <c r="AY154" s="8" t="s">
        <v>233</v>
      </c>
      <c r="AZ154" s="7" t="s">
        <v>233</v>
      </c>
      <c r="BA154" s="7" t="s">
        <v>233</v>
      </c>
      <c r="BB154" s="7"/>
      <c r="BC154" s="4" t="s">
        <v>233</v>
      </c>
      <c r="BD154" s="8" t="s">
        <v>233</v>
      </c>
      <c r="BE154" s="4" t="s">
        <v>233</v>
      </c>
      <c r="BF154" s="8" t="s">
        <v>233</v>
      </c>
      <c r="BG154" s="7" t="s">
        <v>233</v>
      </c>
      <c r="BH154" s="7" t="s">
        <v>233</v>
      </c>
      <c r="BI154" s="7"/>
      <c r="BJ154" s="4"/>
      <c r="BK154" s="8"/>
      <c r="BL154" s="2" t="s">
        <v>233</v>
      </c>
      <c r="BM154" s="7"/>
      <c r="BN154" s="7"/>
      <c r="BO154" s="4"/>
      <c r="BP154" s="8"/>
      <c r="BQ154" s="4"/>
      <c r="BR154" s="8"/>
      <c r="BS154" s="7"/>
      <c r="BT154" s="7"/>
      <c r="BU154" s="2" t="s">
        <v>1047</v>
      </c>
      <c r="BV154" s="2" t="s">
        <v>233</v>
      </c>
      <c r="BW154" s="2" t="s">
        <v>233</v>
      </c>
      <c r="BX154" s="2" t="s">
        <v>233</v>
      </c>
      <c r="BY154" s="2" t="s">
        <v>280</v>
      </c>
      <c r="BZ154" s="2" t="s">
        <v>245</v>
      </c>
      <c r="CA154" s="2" t="s">
        <v>1025</v>
      </c>
      <c r="CB154" s="2" t="s">
        <v>1048</v>
      </c>
      <c r="CC154" s="2" t="s">
        <v>246</v>
      </c>
      <c r="CD154" s="2" t="s">
        <v>233</v>
      </c>
      <c r="CE154" s="4">
        <v>3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</row>
    <row r="155">
      <c r="A155" s="2" t="s">
        <v>1049</v>
      </c>
      <c r="B155" s="2" t="s">
        <v>228</v>
      </c>
      <c r="C155" s="2" t="s">
        <v>1050</v>
      </c>
      <c r="D155" s="2" t="s">
        <v>969</v>
      </c>
      <c r="E155" s="2" t="s">
        <v>970</v>
      </c>
      <c r="F155" s="2" t="s">
        <v>1051</v>
      </c>
      <c r="G155" s="2" t="s">
        <v>1052</v>
      </c>
      <c r="H155" s="2" t="s">
        <v>1052</v>
      </c>
      <c r="I155" s="2" t="s">
        <v>1053</v>
      </c>
      <c r="J155" s="2" t="s">
        <v>981</v>
      </c>
      <c r="K155" s="2" t="s">
        <v>569</v>
      </c>
      <c r="L155" s="3">
        <v>49.35</v>
      </c>
      <c r="M155" s="3">
        <v>51.82</v>
      </c>
      <c r="N155" s="3">
        <v>104.99</v>
      </c>
      <c r="O155" s="2" t="s">
        <v>245</v>
      </c>
      <c r="P155" s="2" t="s">
        <v>311</v>
      </c>
      <c r="Q155" s="2" t="s">
        <v>239</v>
      </c>
      <c r="R155" s="2" t="s">
        <v>233</v>
      </c>
      <c r="S155" s="2" t="s">
        <v>1054</v>
      </c>
      <c r="T155" s="2" t="s">
        <v>1055</v>
      </c>
      <c r="U155" s="2" t="s">
        <v>233</v>
      </c>
      <c r="V155" s="2" t="s">
        <v>241</v>
      </c>
      <c r="W155" s="2" t="s">
        <v>1056</v>
      </c>
      <c r="X155" s="2" t="s">
        <v>275</v>
      </c>
      <c r="Y155" s="2" t="s">
        <v>1057</v>
      </c>
      <c r="Z155" s="4">
        <v>76</v>
      </c>
      <c r="AA155" s="4">
        <f>=ROUNDDOWN(10.8571428571429,0)</f>
      </c>
      <c r="AB155" s="5">
        <v>7</v>
      </c>
      <c r="AC155" s="2" t="s">
        <v>233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233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233</v>
      </c>
      <c r="AW155" s="8" t="s">
        <v>233</v>
      </c>
      <c r="AX155" s="4" t="s">
        <v>233</v>
      </c>
      <c r="AY155" s="8" t="s">
        <v>233</v>
      </c>
      <c r="AZ155" s="7" t="s">
        <v>233</v>
      </c>
      <c r="BA155" s="7" t="s">
        <v>233</v>
      </c>
      <c r="BB155" s="7"/>
      <c r="BC155" s="4" t="s">
        <v>233</v>
      </c>
      <c r="BD155" s="8" t="s">
        <v>233</v>
      </c>
      <c r="BE155" s="4" t="s">
        <v>233</v>
      </c>
      <c r="BF155" s="8" t="s">
        <v>233</v>
      </c>
      <c r="BG155" s="7" t="s">
        <v>233</v>
      </c>
      <c r="BH155" s="7" t="s">
        <v>233</v>
      </c>
      <c r="BI155" s="7"/>
      <c r="BJ155" s="4">
        <v>9</v>
      </c>
      <c r="BK155" s="8">
        <v>462.93</v>
      </c>
      <c r="BL155" s="2" t="s">
        <v>1058</v>
      </c>
      <c r="BM155" s="7"/>
      <c r="BN155" s="7"/>
      <c r="BO155" s="4"/>
      <c r="BP155" s="8"/>
      <c r="BQ155" s="4"/>
      <c r="BR155" s="8"/>
      <c r="BS155" s="7"/>
      <c r="BT155" s="7"/>
      <c r="BU155" s="2" t="s">
        <v>1059</v>
      </c>
      <c r="BV155" s="2" t="s">
        <v>233</v>
      </c>
      <c r="BW155" s="2" t="s">
        <v>233</v>
      </c>
      <c r="BX155" s="2" t="s">
        <v>233</v>
      </c>
      <c r="BY155" s="2" t="s">
        <v>280</v>
      </c>
      <c r="BZ155" s="2" t="s">
        <v>245</v>
      </c>
      <c r="CA155" s="2" t="s">
        <v>1057</v>
      </c>
      <c r="CB155" s="2" t="s">
        <v>1060</v>
      </c>
      <c r="CC155" s="2" t="s">
        <v>246</v>
      </c>
      <c r="CD155" s="2" t="s">
        <v>233</v>
      </c>
      <c r="CE155" s="4">
        <v>43</v>
      </c>
      <c r="CF155" s="4">
        <v>33</v>
      </c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</row>
    <row r="156">
      <c r="A156" s="2" t="s">
        <v>1061</v>
      </c>
      <c r="B156" s="2" t="s">
        <v>228</v>
      </c>
      <c r="C156" s="2" t="s">
        <v>1050</v>
      </c>
      <c r="D156" s="2" t="s">
        <v>969</v>
      </c>
      <c r="E156" s="2" t="s">
        <v>970</v>
      </c>
      <c r="F156" s="2" t="s">
        <v>1051</v>
      </c>
      <c r="G156" s="2" t="s">
        <v>1052</v>
      </c>
      <c r="H156" s="2" t="s">
        <v>1052</v>
      </c>
      <c r="I156" s="2" t="s">
        <v>1053</v>
      </c>
      <c r="J156" s="2" t="s">
        <v>328</v>
      </c>
      <c r="K156" s="2" t="s">
        <v>569</v>
      </c>
      <c r="L156" s="3">
        <v>54.05</v>
      </c>
      <c r="M156" s="3">
        <v>56.75</v>
      </c>
      <c r="N156" s="3">
        <v>114.99</v>
      </c>
      <c r="O156" s="2" t="s">
        <v>245</v>
      </c>
      <c r="P156" s="2" t="s">
        <v>311</v>
      </c>
      <c r="Q156" s="2" t="s">
        <v>239</v>
      </c>
      <c r="R156" s="2" t="s">
        <v>233</v>
      </c>
      <c r="S156" s="2" t="s">
        <v>1054</v>
      </c>
      <c r="T156" s="2" t="s">
        <v>1055</v>
      </c>
      <c r="U156" s="2" t="s">
        <v>233</v>
      </c>
      <c r="V156" s="2" t="s">
        <v>241</v>
      </c>
      <c r="W156" s="2" t="s">
        <v>1056</v>
      </c>
      <c r="X156" s="2" t="s">
        <v>275</v>
      </c>
      <c r="Y156" s="2" t="s">
        <v>1057</v>
      </c>
      <c r="Z156" s="4">
        <v>127</v>
      </c>
      <c r="AA156" s="4">
        <f>=ROUNDDOWN(42.3333333333333,0)</f>
      </c>
      <c r="AB156" s="5">
        <v>3</v>
      </c>
      <c r="AC156" s="2" t="s">
        <v>233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233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233</v>
      </c>
      <c r="AW156" s="8" t="s">
        <v>233</v>
      </c>
      <c r="AX156" s="4" t="s">
        <v>233</v>
      </c>
      <c r="AY156" s="8" t="s">
        <v>233</v>
      </c>
      <c r="AZ156" s="7" t="s">
        <v>233</v>
      </c>
      <c r="BA156" s="7" t="s">
        <v>233</v>
      </c>
      <c r="BB156" s="7"/>
      <c r="BC156" s="4" t="s">
        <v>233</v>
      </c>
      <c r="BD156" s="8" t="s">
        <v>233</v>
      </c>
      <c r="BE156" s="4" t="s">
        <v>233</v>
      </c>
      <c r="BF156" s="8" t="s">
        <v>233</v>
      </c>
      <c r="BG156" s="7" t="s">
        <v>233</v>
      </c>
      <c r="BH156" s="7" t="s">
        <v>233</v>
      </c>
      <c r="BI156" s="7"/>
      <c r="BJ156" s="4">
        <v>9</v>
      </c>
      <c r="BK156" s="8">
        <v>535.61</v>
      </c>
      <c r="BL156" s="2" t="s">
        <v>1062</v>
      </c>
      <c r="BM156" s="7"/>
      <c r="BN156" s="7"/>
      <c r="BO156" s="4"/>
      <c r="BP156" s="8"/>
      <c r="BQ156" s="4"/>
      <c r="BR156" s="8"/>
      <c r="BS156" s="7"/>
      <c r="BT156" s="7"/>
      <c r="BU156" s="2" t="s">
        <v>1063</v>
      </c>
      <c r="BV156" s="2" t="s">
        <v>233</v>
      </c>
      <c r="BW156" s="2" t="s">
        <v>233</v>
      </c>
      <c r="BX156" s="2" t="s">
        <v>233</v>
      </c>
      <c r="BY156" s="2" t="s">
        <v>280</v>
      </c>
      <c r="BZ156" s="2" t="s">
        <v>245</v>
      </c>
      <c r="CA156" s="2" t="s">
        <v>1057</v>
      </c>
      <c r="CB156" s="2" t="s">
        <v>1064</v>
      </c>
      <c r="CC156" s="2" t="s">
        <v>246</v>
      </c>
      <c r="CD156" s="2" t="s">
        <v>233</v>
      </c>
      <c r="CE156" s="4">
        <v>127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</row>
    <row r="157">
      <c r="A157" s="2" t="s">
        <v>1065</v>
      </c>
      <c r="B157" s="2" t="s">
        <v>1066</v>
      </c>
      <c r="C157" s="2" t="s">
        <v>530</v>
      </c>
      <c r="D157" s="2" t="s">
        <v>1067</v>
      </c>
      <c r="E157" s="2" t="s">
        <v>1068</v>
      </c>
      <c r="F157" s="2" t="s">
        <v>1069</v>
      </c>
      <c r="G157" s="2" t="s">
        <v>1070</v>
      </c>
      <c r="H157" s="2" t="s">
        <v>1071</v>
      </c>
      <c r="I157" s="2" t="s">
        <v>1072</v>
      </c>
      <c r="J157" s="2" t="s">
        <v>892</v>
      </c>
      <c r="K157" s="2" t="s">
        <v>255</v>
      </c>
      <c r="L157" s="3">
        <v>228</v>
      </c>
      <c r="M157" s="3">
        <v>239.4</v>
      </c>
      <c r="N157" s="3">
        <v>479</v>
      </c>
      <c r="O157" s="2" t="s">
        <v>245</v>
      </c>
      <c r="P157" s="2" t="s">
        <v>272</v>
      </c>
      <c r="Q157" s="2" t="s">
        <v>239</v>
      </c>
      <c r="R157" s="2" t="s">
        <v>233</v>
      </c>
      <c r="S157" s="2" t="s">
        <v>1073</v>
      </c>
      <c r="T157" s="2" t="s">
        <v>233</v>
      </c>
      <c r="U157" s="2" t="s">
        <v>233</v>
      </c>
      <c r="V157" s="2" t="s">
        <v>241</v>
      </c>
      <c r="W157" s="2" t="s">
        <v>451</v>
      </c>
      <c r="X157" s="2" t="s">
        <v>233</v>
      </c>
      <c r="Y157" s="2" t="s">
        <v>276</v>
      </c>
      <c r="Z157" s="4">
        <v>143</v>
      </c>
      <c r="AA157" s="4">
        <f>=ROUNDDOWN(47.6666666666667,0)</f>
      </c>
      <c r="AB157" s="5">
        <v>3</v>
      </c>
      <c r="AC157" s="2" t="s">
        <v>319</v>
      </c>
      <c r="AD157" s="4">
        <v>70</v>
      </c>
      <c r="AE157" s="4">
        <v>70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233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>
        <v>4</v>
      </c>
      <c r="BK157" s="8">
        <v>914.1</v>
      </c>
      <c r="BL157" s="2" t="s">
        <v>1074</v>
      </c>
      <c r="BM157" s="7"/>
      <c r="BN157" s="7"/>
      <c r="BO157" s="4"/>
      <c r="BP157" s="8"/>
      <c r="BQ157" s="4"/>
      <c r="BR157" s="8"/>
      <c r="BS157" s="7"/>
      <c r="BT157" s="7"/>
      <c r="BU157" s="2" t="s">
        <v>1075</v>
      </c>
      <c r="BV157" s="2" t="s">
        <v>233</v>
      </c>
      <c r="BW157" s="2" t="s">
        <v>233</v>
      </c>
      <c r="BX157" s="2" t="s">
        <v>233</v>
      </c>
      <c r="BY157" s="2" t="s">
        <v>280</v>
      </c>
      <c r="BZ157" s="2" t="s">
        <v>245</v>
      </c>
      <c r="CA157" s="2" t="s">
        <v>281</v>
      </c>
      <c r="CB157" s="2" t="s">
        <v>1076</v>
      </c>
      <c r="CC157" s="2" t="s">
        <v>246</v>
      </c>
      <c r="CD157" s="2" t="s">
        <v>233</v>
      </c>
      <c r="CE157" s="4"/>
      <c r="CF157" s="4">
        <v>143</v>
      </c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>
        <v>70</v>
      </c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</row>
    <row r="158">
      <c r="A158" s="2" t="s">
        <v>1077</v>
      </c>
      <c r="B158" s="2" t="s">
        <v>910</v>
      </c>
      <c r="C158" s="2" t="s">
        <v>911</v>
      </c>
      <c r="D158" s="2" t="s">
        <v>969</v>
      </c>
      <c r="E158" s="2" t="s">
        <v>1078</v>
      </c>
      <c r="F158" s="2" t="s">
        <v>1079</v>
      </c>
      <c r="G158" s="2" t="s">
        <v>1080</v>
      </c>
      <c r="H158" s="2" t="s">
        <v>1081</v>
      </c>
      <c r="I158" s="2" t="s">
        <v>1082</v>
      </c>
      <c r="J158" s="2" t="s">
        <v>918</v>
      </c>
      <c r="K158" s="2" t="s">
        <v>1083</v>
      </c>
      <c r="L158" s="3">
        <v>31.5</v>
      </c>
      <c r="M158" s="3">
        <v>33.08</v>
      </c>
      <c r="N158" s="3">
        <v>69.99</v>
      </c>
      <c r="O158" s="2" t="s">
        <v>237</v>
      </c>
      <c r="P158" s="2" t="s">
        <v>311</v>
      </c>
      <c r="Q158" s="2" t="s">
        <v>239</v>
      </c>
      <c r="R158" s="2" t="s">
        <v>233</v>
      </c>
      <c r="S158" s="2" t="s">
        <v>1084</v>
      </c>
      <c r="T158" s="2" t="s">
        <v>395</v>
      </c>
      <c r="U158" s="2" t="s">
        <v>342</v>
      </c>
      <c r="V158" s="2" t="s">
        <v>1085</v>
      </c>
      <c r="W158" s="2" t="s">
        <v>397</v>
      </c>
      <c r="X158" s="2" t="s">
        <v>275</v>
      </c>
      <c r="Y158" s="2" t="s">
        <v>276</v>
      </c>
      <c r="Z158" s="4">
        <v>15</v>
      </c>
      <c r="AA158" s="4">
        <f>=ROUNDDOWN(7.5,0)</f>
      </c>
      <c r="AB158" s="5">
        <v>2</v>
      </c>
      <c r="AC158" s="2" t="s">
        <v>233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233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>
        <v>4</v>
      </c>
      <c r="BK158" s="8">
        <v>78.56</v>
      </c>
      <c r="BL158" s="2" t="s">
        <v>1086</v>
      </c>
      <c r="BM158" s="7"/>
      <c r="BN158" s="7"/>
      <c r="BO158" s="4"/>
      <c r="BP158" s="8"/>
      <c r="BQ158" s="4"/>
      <c r="BR158" s="8"/>
      <c r="BS158" s="7"/>
      <c r="BT158" s="7"/>
      <c r="BU158" s="2" t="s">
        <v>1087</v>
      </c>
      <c r="BV158" s="2" t="s">
        <v>233</v>
      </c>
      <c r="BW158" s="2" t="s">
        <v>233</v>
      </c>
      <c r="BX158" s="2" t="s">
        <v>243</v>
      </c>
      <c r="BY158" s="2" t="s">
        <v>280</v>
      </c>
      <c r="BZ158" s="2" t="s">
        <v>245</v>
      </c>
      <c r="CA158" s="2" t="s">
        <v>281</v>
      </c>
      <c r="CB158" s="2" t="s">
        <v>1088</v>
      </c>
      <c r="CC158" s="2" t="s">
        <v>246</v>
      </c>
      <c r="CD158" s="2" t="s">
        <v>233</v>
      </c>
      <c r="CE158" s="4"/>
      <c r="CF158" s="4">
        <v>15</v>
      </c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</row>
    <row r="159">
      <c r="A159" s="2" t="s">
        <v>1089</v>
      </c>
      <c r="B159" s="2" t="s">
        <v>1066</v>
      </c>
      <c r="C159" s="2" t="s">
        <v>530</v>
      </c>
      <c r="D159" s="2" t="s">
        <v>1090</v>
      </c>
      <c r="E159" s="2" t="s">
        <v>1091</v>
      </c>
      <c r="F159" s="2" t="s">
        <v>1092</v>
      </c>
      <c r="G159" s="2" t="s">
        <v>1093</v>
      </c>
      <c r="H159" s="2" t="s">
        <v>1094</v>
      </c>
      <c r="I159" s="2" t="s">
        <v>1095</v>
      </c>
      <c r="J159" s="2" t="s">
        <v>892</v>
      </c>
      <c r="K159" s="2" t="s">
        <v>1096</v>
      </c>
      <c r="L159" s="3">
        <v>255.3</v>
      </c>
      <c r="M159" s="3">
        <v>268.06</v>
      </c>
      <c r="N159" s="3">
        <v>529</v>
      </c>
      <c r="O159" s="2" t="s">
        <v>237</v>
      </c>
      <c r="P159" s="2" t="s">
        <v>311</v>
      </c>
      <c r="Q159" s="2" t="s">
        <v>239</v>
      </c>
      <c r="R159" s="2" t="s">
        <v>233</v>
      </c>
      <c r="S159" s="2" t="s">
        <v>233</v>
      </c>
      <c r="T159" s="2" t="s">
        <v>233</v>
      </c>
      <c r="U159" s="2" t="s">
        <v>396</v>
      </c>
      <c r="V159" s="2" t="s">
        <v>241</v>
      </c>
      <c r="W159" s="2" t="s">
        <v>397</v>
      </c>
      <c r="X159" s="2" t="s">
        <v>233</v>
      </c>
      <c r="Y159" s="2" t="s">
        <v>1097</v>
      </c>
      <c r="Z159" s="4">
        <v>195</v>
      </c>
      <c r="AA159" s="4">
        <f>=ROUNDDOWN(195,0)</f>
      </c>
      <c r="AB159" s="5">
        <v>1</v>
      </c>
      <c r="AC159" s="2" t="s">
        <v>233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233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>
        <v>3</v>
      </c>
      <c r="BK159" s="8">
        <v>670.3</v>
      </c>
      <c r="BL159" s="2" t="s">
        <v>1023</v>
      </c>
      <c r="BM159" s="7"/>
      <c r="BN159" s="7"/>
      <c r="BO159" s="4"/>
      <c r="BP159" s="8"/>
      <c r="BQ159" s="4"/>
      <c r="BR159" s="8"/>
      <c r="BS159" s="7"/>
      <c r="BT159" s="7"/>
      <c r="BU159" s="2" t="s">
        <v>1098</v>
      </c>
      <c r="BV159" s="2" t="s">
        <v>233</v>
      </c>
      <c r="BW159" s="2" t="s">
        <v>233</v>
      </c>
      <c r="BX159" s="2" t="s">
        <v>233</v>
      </c>
      <c r="BY159" s="2" t="s">
        <v>280</v>
      </c>
      <c r="BZ159" s="2" t="s">
        <v>245</v>
      </c>
      <c r="CA159" s="2" t="s">
        <v>1097</v>
      </c>
      <c r="CB159" s="2" t="s">
        <v>1099</v>
      </c>
      <c r="CC159" s="2" t="s">
        <v>246</v>
      </c>
      <c r="CD159" s="2" t="s">
        <v>233</v>
      </c>
      <c r="CE159" s="4"/>
      <c r="CF159" s="4">
        <v>195</v>
      </c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</row>
    <row r="160">
      <c r="A160" s="2" t="s">
        <v>1100</v>
      </c>
      <c r="B160" s="2" t="s">
        <v>928</v>
      </c>
      <c r="C160" s="2" t="s">
        <v>530</v>
      </c>
      <c r="D160" s="2" t="s">
        <v>1101</v>
      </c>
      <c r="E160" s="2" t="s">
        <v>1102</v>
      </c>
      <c r="F160" s="2" t="s">
        <v>1103</v>
      </c>
      <c r="G160" s="2" t="s">
        <v>1103</v>
      </c>
      <c r="H160" s="2" t="s">
        <v>1103</v>
      </c>
      <c r="I160" s="2" t="s">
        <v>1104</v>
      </c>
      <c r="J160" s="2" t="s">
        <v>892</v>
      </c>
      <c r="K160" s="2" t="s">
        <v>1105</v>
      </c>
      <c r="L160" s="3">
        <v>40.47</v>
      </c>
      <c r="M160" s="3">
        <v>42.49</v>
      </c>
      <c r="N160" s="3">
        <v>84.99</v>
      </c>
      <c r="O160" s="2" t="s">
        <v>245</v>
      </c>
      <c r="P160" s="2" t="s">
        <v>272</v>
      </c>
      <c r="Q160" s="2" t="s">
        <v>239</v>
      </c>
      <c r="R160" s="2" t="s">
        <v>233</v>
      </c>
      <c r="S160" s="2" t="s">
        <v>233</v>
      </c>
      <c r="T160" s="2" t="s">
        <v>233</v>
      </c>
      <c r="U160" s="2" t="s">
        <v>396</v>
      </c>
      <c r="V160" s="2" t="s">
        <v>893</v>
      </c>
      <c r="W160" s="2" t="s">
        <v>705</v>
      </c>
      <c r="X160" s="2" t="s">
        <v>776</v>
      </c>
      <c r="Y160" s="2" t="s">
        <v>1106</v>
      </c>
      <c r="Z160" s="4"/>
      <c r="AA160" s="4">
        <f>=ROUNDDOWN({0},0)</f>
      </c>
      <c r="AB160" s="5">
        <v>15</v>
      </c>
      <c r="AC160" s="2" t="s">
        <v>1107</v>
      </c>
      <c r="AD160" s="4">
        <v>210</v>
      </c>
      <c r="AE160" s="4">
        <v>410</v>
      </c>
      <c r="AF160" s="6">
        <v>65</v>
      </c>
      <c r="AG160" s="6"/>
      <c r="AH160" s="7">
        <v>0</v>
      </c>
      <c r="AI160" s="4"/>
      <c r="AJ160" s="4">
        <f>=ROUNDDOWN({0},0)</f>
      </c>
      <c r="AK160" s="5"/>
      <c r="AL160" s="2" t="s">
        <v>233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233</v>
      </c>
      <c r="BM160" s="7"/>
      <c r="BN160" s="7"/>
      <c r="BO160" s="4"/>
      <c r="BP160" s="8"/>
      <c r="BQ160" s="4"/>
      <c r="BR160" s="8"/>
      <c r="BS160" s="7"/>
      <c r="BT160" s="7"/>
      <c r="BU160" s="2" t="s">
        <v>1108</v>
      </c>
      <c r="BV160" s="2" t="s">
        <v>233</v>
      </c>
      <c r="BW160" s="2" t="s">
        <v>233</v>
      </c>
      <c r="BX160" s="2" t="s">
        <v>243</v>
      </c>
      <c r="BY160" s="2" t="s">
        <v>280</v>
      </c>
      <c r="BZ160" s="2" t="s">
        <v>245</v>
      </c>
      <c r="CA160" s="2" t="s">
        <v>908</v>
      </c>
      <c r="CB160" s="2" t="s">
        <v>1109</v>
      </c>
      <c r="CC160" s="2" t="s">
        <v>246</v>
      </c>
      <c r="CD160" s="2" t="s">
        <v>233</v>
      </c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>
        <v>210</v>
      </c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>
        <v>100</v>
      </c>
      <c r="EM160" s="4"/>
      <c r="EN160" s="4"/>
      <c r="EO160" s="4"/>
      <c r="EP160" s="4"/>
      <c r="EQ160" s="4"/>
      <c r="ER160" s="4"/>
      <c r="ES160" s="4"/>
      <c r="ET160" s="4"/>
      <c r="EU160" s="4">
        <v>100</v>
      </c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</row>
    <row r="161">
      <c r="A161" s="2" t="s">
        <v>1110</v>
      </c>
      <c r="B161" s="2" t="s">
        <v>1066</v>
      </c>
      <c r="C161" s="2" t="s">
        <v>530</v>
      </c>
      <c r="D161" s="2" t="s">
        <v>1111</v>
      </c>
      <c r="E161" s="2" t="s">
        <v>1112</v>
      </c>
      <c r="F161" s="2" t="s">
        <v>1113</v>
      </c>
      <c r="G161" s="2" t="s">
        <v>1114</v>
      </c>
      <c r="H161" s="2" t="s">
        <v>1115</v>
      </c>
      <c r="I161" s="2" t="s">
        <v>1116</v>
      </c>
      <c r="J161" s="2" t="s">
        <v>892</v>
      </c>
      <c r="K161" s="2" t="s">
        <v>1117</v>
      </c>
      <c r="L161" s="3">
        <v>467.46</v>
      </c>
      <c r="M161" s="3">
        <v>490.83</v>
      </c>
      <c r="N161" s="3">
        <v>979</v>
      </c>
      <c r="O161" s="2" t="s">
        <v>245</v>
      </c>
      <c r="P161" s="2" t="s">
        <v>1118</v>
      </c>
      <c r="Q161" s="2" t="s">
        <v>239</v>
      </c>
      <c r="R161" s="2" t="s">
        <v>16</v>
      </c>
      <c r="S161" s="2" t="s">
        <v>1119</v>
      </c>
      <c r="T161" s="2" t="s">
        <v>233</v>
      </c>
      <c r="U161" s="2" t="s">
        <v>491</v>
      </c>
      <c r="V161" s="2" t="s">
        <v>241</v>
      </c>
      <c r="W161" s="2" t="s">
        <v>451</v>
      </c>
      <c r="X161" s="2" t="s">
        <v>233</v>
      </c>
      <c r="Y161" s="2" t="s">
        <v>1120</v>
      </c>
      <c r="Z161" s="4">
        <v>121</v>
      </c>
      <c r="AA161" s="4">
        <f>=ROUNDDOWN({0},0)</f>
      </c>
      <c r="AB161" s="5"/>
      <c r="AC161" s="2" t="s">
        <v>233</v>
      </c>
      <c r="AD161" s="4"/>
      <c r="AE161" s="4"/>
      <c r="AF161" s="6"/>
      <c r="AG161" s="6"/>
      <c r="AH161" s="7">
        <v>1</v>
      </c>
      <c r="AI161" s="4"/>
      <c r="AJ161" s="4">
        <f>=ROUNDDOWN({0},0)</f>
      </c>
      <c r="AK161" s="5"/>
      <c r="AL161" s="2" t="s">
        <v>233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233</v>
      </c>
      <c r="BD161" s="8" t="s">
        <v>233</v>
      </c>
      <c r="BE161" s="4" t="s">
        <v>233</v>
      </c>
      <c r="BF161" s="8" t="s">
        <v>233</v>
      </c>
      <c r="BG161" s="7" t="s">
        <v>233</v>
      </c>
      <c r="BH161" s="7" t="s">
        <v>233</v>
      </c>
      <c r="BI161" s="7"/>
      <c r="BJ161" s="4"/>
      <c r="BK161" s="8"/>
      <c r="BL161" s="2" t="s">
        <v>233</v>
      </c>
      <c r="BM161" s="7"/>
      <c r="BN161" s="7"/>
      <c r="BO161" s="4"/>
      <c r="BP161" s="8"/>
      <c r="BQ161" s="4"/>
      <c r="BR161" s="8"/>
      <c r="BS161" s="7"/>
      <c r="BT161" s="7"/>
      <c r="BU161" s="2" t="s">
        <v>243</v>
      </c>
      <c r="BV161" s="2" t="s">
        <v>233</v>
      </c>
      <c r="BW161" s="2" t="s">
        <v>233</v>
      </c>
      <c r="BX161" s="2" t="s">
        <v>243</v>
      </c>
      <c r="BY161" s="2" t="s">
        <v>346</v>
      </c>
      <c r="BZ161" s="2" t="s">
        <v>245</v>
      </c>
      <c r="CA161" s="2" t="s">
        <v>233</v>
      </c>
      <c r="CB161" s="2" t="s">
        <v>233</v>
      </c>
      <c r="CC161" s="2" t="s">
        <v>246</v>
      </c>
      <c r="CD161" s="2" t="s">
        <v>233</v>
      </c>
      <c r="CE161" s="4"/>
      <c r="CF161" s="4">
        <v>113</v>
      </c>
      <c r="CG161" s="4"/>
      <c r="CH161" s="4"/>
      <c r="CI161" s="4">
        <v>8</v>
      </c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</row>
    <row r="162">
      <c r="A162" s="2" t="s">
        <v>1121</v>
      </c>
      <c r="B162" s="2" t="s">
        <v>886</v>
      </c>
      <c r="C162" s="2" t="s">
        <v>901</v>
      </c>
      <c r="D162" s="2" t="s">
        <v>1122</v>
      </c>
      <c r="E162" s="2" t="s">
        <v>1123</v>
      </c>
      <c r="F162" s="2" t="s">
        <v>1113</v>
      </c>
      <c r="G162" s="2" t="s">
        <v>1113</v>
      </c>
      <c r="H162" s="2" t="s">
        <v>1113</v>
      </c>
      <c r="I162" s="2" t="s">
        <v>1124</v>
      </c>
      <c r="J162" s="2" t="s">
        <v>892</v>
      </c>
      <c r="K162" s="2" t="s">
        <v>1125</v>
      </c>
      <c r="L162" s="3">
        <v>56.05</v>
      </c>
      <c r="M162" s="3">
        <v>58.85</v>
      </c>
      <c r="N162" s="3">
        <v>117.99</v>
      </c>
      <c r="O162" s="2" t="s">
        <v>245</v>
      </c>
      <c r="P162" s="2" t="s">
        <v>311</v>
      </c>
      <c r="Q162" s="2" t="s">
        <v>239</v>
      </c>
      <c r="R162" s="2" t="s">
        <v>233</v>
      </c>
      <c r="S162" s="2" t="s">
        <v>233</v>
      </c>
      <c r="T162" s="2" t="s">
        <v>233</v>
      </c>
      <c r="U162" s="2" t="s">
        <v>396</v>
      </c>
      <c r="V162" s="2" t="s">
        <v>893</v>
      </c>
      <c r="W162" s="2" t="s">
        <v>397</v>
      </c>
      <c r="X162" s="2" t="s">
        <v>233</v>
      </c>
      <c r="Y162" s="2" t="s">
        <v>1126</v>
      </c>
      <c r="Z162" s="4">
        <v>102</v>
      </c>
      <c r="AA162" s="4">
        <f>=ROUNDDOWN(102,0)</f>
      </c>
      <c r="AB162" s="5">
        <v>1</v>
      </c>
      <c r="AC162" s="2" t="s">
        <v>233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233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233</v>
      </c>
      <c r="BD162" s="8" t="s">
        <v>233</v>
      </c>
      <c r="BE162" s="4" t="s">
        <v>233</v>
      </c>
      <c r="BF162" s="8" t="s">
        <v>233</v>
      </c>
      <c r="BG162" s="7" t="s">
        <v>233</v>
      </c>
      <c r="BH162" s="7" t="s">
        <v>233</v>
      </c>
      <c r="BI162" s="7"/>
      <c r="BJ162" s="4"/>
      <c r="BK162" s="8"/>
      <c r="BL162" s="2" t="s">
        <v>233</v>
      </c>
      <c r="BM162" s="7"/>
      <c r="BN162" s="7"/>
      <c r="BO162" s="4"/>
      <c r="BP162" s="8"/>
      <c r="BQ162" s="4"/>
      <c r="BR162" s="8"/>
      <c r="BS162" s="7"/>
      <c r="BT162" s="7"/>
      <c r="BU162" s="2" t="s">
        <v>1127</v>
      </c>
      <c r="BV162" s="2" t="s">
        <v>233</v>
      </c>
      <c r="BW162" s="2" t="s">
        <v>233</v>
      </c>
      <c r="BX162" s="2" t="s">
        <v>233</v>
      </c>
      <c r="BY162" s="2" t="s">
        <v>280</v>
      </c>
      <c r="BZ162" s="2" t="s">
        <v>245</v>
      </c>
      <c r="CA162" s="2" t="s">
        <v>1128</v>
      </c>
      <c r="CB162" s="2" t="s">
        <v>233</v>
      </c>
      <c r="CC162" s="2" t="s">
        <v>246</v>
      </c>
      <c r="CD162" s="2" t="s">
        <v>233</v>
      </c>
      <c r="CE162" s="4"/>
      <c r="CF162" s="4">
        <v>102</v>
      </c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</row>
    <row r="163">
      <c r="A163" s="2" t="s">
        <v>1129</v>
      </c>
      <c r="B163" s="2" t="s">
        <v>910</v>
      </c>
      <c r="C163" s="2" t="s">
        <v>1130</v>
      </c>
      <c r="D163" s="2" t="s">
        <v>969</v>
      </c>
      <c r="E163" s="2" t="s">
        <v>970</v>
      </c>
      <c r="F163" s="2" t="s">
        <v>1131</v>
      </c>
      <c r="G163" s="2" t="s">
        <v>1132</v>
      </c>
      <c r="H163" s="2" t="s">
        <v>1133</v>
      </c>
      <c r="I163" s="2" t="s">
        <v>1134</v>
      </c>
      <c r="J163" s="2" t="s">
        <v>981</v>
      </c>
      <c r="K163" s="2" t="s">
        <v>236</v>
      </c>
      <c r="L163" s="3">
        <v>40.47</v>
      </c>
      <c r="M163" s="3">
        <v>42.49</v>
      </c>
      <c r="N163" s="3">
        <v>84.99</v>
      </c>
      <c r="O163" s="2" t="s">
        <v>245</v>
      </c>
      <c r="P163" s="2" t="s">
        <v>238</v>
      </c>
      <c r="Q163" s="2" t="s">
        <v>239</v>
      </c>
      <c r="R163" s="2" t="s">
        <v>233</v>
      </c>
      <c r="S163" s="2" t="s">
        <v>1135</v>
      </c>
      <c r="T163" s="2" t="s">
        <v>341</v>
      </c>
      <c r="U163" s="2" t="s">
        <v>475</v>
      </c>
      <c r="V163" s="2" t="s">
        <v>379</v>
      </c>
      <c r="W163" s="2" t="s">
        <v>397</v>
      </c>
      <c r="X163" s="2" t="s">
        <v>233</v>
      </c>
      <c r="Y163" s="2" t="s">
        <v>1136</v>
      </c>
      <c r="Z163" s="4">
        <v>140</v>
      </c>
      <c r="AA163" s="4">
        <f>=ROUNDDOWN({0},0)</f>
      </c>
      <c r="AB163" s="5"/>
      <c r="AC163" s="2" t="s">
        <v>1137</v>
      </c>
      <c r="AD163" s="4">
        <v>150</v>
      </c>
      <c r="AE163" s="4">
        <v>150</v>
      </c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233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233</v>
      </c>
      <c r="AW163" s="8" t="s">
        <v>233</v>
      </c>
      <c r="AX163" s="4" t="s">
        <v>233</v>
      </c>
      <c r="AY163" s="8" t="s">
        <v>233</v>
      </c>
      <c r="AZ163" s="7" t="s">
        <v>233</v>
      </c>
      <c r="BA163" s="7" t="s">
        <v>233</v>
      </c>
      <c r="BB163" s="7" t="s">
        <v>233</v>
      </c>
      <c r="BC163" s="4" t="s">
        <v>233</v>
      </c>
      <c r="BD163" s="8" t="s">
        <v>233</v>
      </c>
      <c r="BE163" s="4" t="s">
        <v>233</v>
      </c>
      <c r="BF163" s="8" t="s">
        <v>233</v>
      </c>
      <c r="BG163" s="7" t="s">
        <v>233</v>
      </c>
      <c r="BH163" s="7" t="s">
        <v>233</v>
      </c>
      <c r="BI163" s="7"/>
      <c r="BJ163" s="4"/>
      <c r="BK163" s="8"/>
      <c r="BL163" s="2" t="s">
        <v>233</v>
      </c>
      <c r="BM163" s="7"/>
      <c r="BN163" s="7"/>
      <c r="BO163" s="4"/>
      <c r="BP163" s="8"/>
      <c r="BQ163" s="4"/>
      <c r="BR163" s="8"/>
      <c r="BS163" s="7"/>
      <c r="BT163" s="7"/>
      <c r="BU163" s="2" t="s">
        <v>243</v>
      </c>
      <c r="BV163" s="2" t="s">
        <v>233</v>
      </c>
      <c r="BW163" s="2" t="s">
        <v>233</v>
      </c>
      <c r="BX163" s="2" t="s">
        <v>243</v>
      </c>
      <c r="BY163" s="2" t="s">
        <v>346</v>
      </c>
      <c r="BZ163" s="2" t="s">
        <v>245</v>
      </c>
      <c r="CA163" s="2" t="s">
        <v>233</v>
      </c>
      <c r="CB163" s="2" t="s">
        <v>233</v>
      </c>
      <c r="CC163" s="2" t="s">
        <v>246</v>
      </c>
      <c r="CD163" s="2" t="s">
        <v>233</v>
      </c>
      <c r="CE163" s="4">
        <v>140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>
        <v>150</v>
      </c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</row>
    <row r="164">
      <c r="A164" s="2" t="s">
        <v>1138</v>
      </c>
      <c r="B164" s="2" t="s">
        <v>910</v>
      </c>
      <c r="C164" s="2" t="s">
        <v>1130</v>
      </c>
      <c r="D164" s="2" t="s">
        <v>912</v>
      </c>
      <c r="E164" s="2" t="s">
        <v>1139</v>
      </c>
      <c r="F164" s="2" t="s">
        <v>1131</v>
      </c>
      <c r="G164" s="2" t="s">
        <v>1132</v>
      </c>
      <c r="H164" s="2" t="s">
        <v>1133</v>
      </c>
      <c r="I164" s="2" t="s">
        <v>1140</v>
      </c>
      <c r="J164" s="2" t="s">
        <v>981</v>
      </c>
      <c r="K164" s="2" t="s">
        <v>236</v>
      </c>
      <c r="L164" s="3">
        <v>30.95</v>
      </c>
      <c r="M164" s="3">
        <v>32.5</v>
      </c>
      <c r="N164" s="3">
        <v>64.99</v>
      </c>
      <c r="O164" s="2" t="s">
        <v>245</v>
      </c>
      <c r="P164" s="2" t="s">
        <v>238</v>
      </c>
      <c r="Q164" s="2" t="s">
        <v>239</v>
      </c>
      <c r="R164" s="2" t="s">
        <v>233</v>
      </c>
      <c r="S164" s="2" t="s">
        <v>1135</v>
      </c>
      <c r="T164" s="2" t="s">
        <v>341</v>
      </c>
      <c r="U164" s="2" t="s">
        <v>475</v>
      </c>
      <c r="V164" s="2" t="s">
        <v>379</v>
      </c>
      <c r="W164" s="2" t="s">
        <v>397</v>
      </c>
      <c r="X164" s="2" t="s">
        <v>233</v>
      </c>
      <c r="Y164" s="2" t="s">
        <v>344</v>
      </c>
      <c r="Z164" s="4">
        <v>70</v>
      </c>
      <c r="AA164" s="4">
        <f>=ROUNDDOWN({0},0)</f>
      </c>
      <c r="AB164" s="5"/>
      <c r="AC164" s="2" t="s">
        <v>1137</v>
      </c>
      <c r="AD164" s="4">
        <v>80</v>
      </c>
      <c r="AE164" s="4">
        <v>80</v>
      </c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233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233</v>
      </c>
      <c r="AW164" s="8" t="s">
        <v>233</v>
      </c>
      <c r="AX164" s="4" t="s">
        <v>233</v>
      </c>
      <c r="AY164" s="8" t="s">
        <v>233</v>
      </c>
      <c r="AZ164" s="7" t="s">
        <v>233</v>
      </c>
      <c r="BA164" s="7" t="s">
        <v>233</v>
      </c>
      <c r="BB164" s="7" t="s">
        <v>233</v>
      </c>
      <c r="BC164" s="4" t="s">
        <v>233</v>
      </c>
      <c r="BD164" s="8" t="s">
        <v>233</v>
      </c>
      <c r="BE164" s="4" t="s">
        <v>233</v>
      </c>
      <c r="BF164" s="8" t="s">
        <v>233</v>
      </c>
      <c r="BG164" s="7" t="s">
        <v>233</v>
      </c>
      <c r="BH164" s="7" t="s">
        <v>233</v>
      </c>
      <c r="BI164" s="7"/>
      <c r="BJ164" s="4"/>
      <c r="BK164" s="8"/>
      <c r="BL164" s="2" t="s">
        <v>233</v>
      </c>
      <c r="BM164" s="7"/>
      <c r="BN164" s="7"/>
      <c r="BO164" s="4"/>
      <c r="BP164" s="8"/>
      <c r="BQ164" s="4"/>
      <c r="BR164" s="8"/>
      <c r="BS164" s="7"/>
      <c r="BT164" s="7"/>
      <c r="BU164" s="2" t="s">
        <v>243</v>
      </c>
      <c r="BV164" s="2" t="s">
        <v>233</v>
      </c>
      <c r="BW164" s="2" t="s">
        <v>233</v>
      </c>
      <c r="BX164" s="2" t="s">
        <v>243</v>
      </c>
      <c r="BY164" s="2" t="s">
        <v>346</v>
      </c>
      <c r="BZ164" s="2" t="s">
        <v>245</v>
      </c>
      <c r="CA164" s="2" t="s">
        <v>233</v>
      </c>
      <c r="CB164" s="2" t="s">
        <v>233</v>
      </c>
      <c r="CC164" s="2" t="s">
        <v>246</v>
      </c>
      <c r="CD164" s="2" t="s">
        <v>233</v>
      </c>
      <c r="CE164" s="4">
        <v>70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>
        <v>80</v>
      </c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</row>
    <row r="165">
      <c r="A165" s="2" t="s">
        <v>1141</v>
      </c>
      <c r="B165" s="2" t="s">
        <v>910</v>
      </c>
      <c r="C165" s="2" t="s">
        <v>1130</v>
      </c>
      <c r="D165" s="2" t="s">
        <v>969</v>
      </c>
      <c r="E165" s="2" t="s">
        <v>970</v>
      </c>
      <c r="F165" s="2" t="s">
        <v>1131</v>
      </c>
      <c r="G165" s="2" t="s">
        <v>1132</v>
      </c>
      <c r="H165" s="2" t="s">
        <v>1133</v>
      </c>
      <c r="I165" s="2" t="s">
        <v>1134</v>
      </c>
      <c r="J165" s="2" t="s">
        <v>1142</v>
      </c>
      <c r="K165" s="2" t="s">
        <v>236</v>
      </c>
      <c r="L165" s="3">
        <v>45.23</v>
      </c>
      <c r="M165" s="3">
        <v>47.49</v>
      </c>
      <c r="N165" s="3">
        <v>94.99</v>
      </c>
      <c r="O165" s="2" t="s">
        <v>245</v>
      </c>
      <c r="P165" s="2" t="s">
        <v>238</v>
      </c>
      <c r="Q165" s="2" t="s">
        <v>239</v>
      </c>
      <c r="R165" s="2" t="s">
        <v>233</v>
      </c>
      <c r="S165" s="2" t="s">
        <v>1135</v>
      </c>
      <c r="T165" s="2" t="s">
        <v>341</v>
      </c>
      <c r="U165" s="2" t="s">
        <v>475</v>
      </c>
      <c r="V165" s="2" t="s">
        <v>379</v>
      </c>
      <c r="W165" s="2" t="s">
        <v>397</v>
      </c>
      <c r="X165" s="2" t="s">
        <v>233</v>
      </c>
      <c r="Y165" s="2" t="s">
        <v>1136</v>
      </c>
      <c r="Z165" s="4">
        <v>120</v>
      </c>
      <c r="AA165" s="4">
        <f>=ROUNDDOWN({0},0)</f>
      </c>
      <c r="AB165" s="5"/>
      <c r="AC165" s="2" t="s">
        <v>1137</v>
      </c>
      <c r="AD165" s="4">
        <v>120</v>
      </c>
      <c r="AE165" s="4">
        <v>120</v>
      </c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233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233</v>
      </c>
      <c r="AW165" s="8" t="s">
        <v>233</v>
      </c>
      <c r="AX165" s="4" t="s">
        <v>233</v>
      </c>
      <c r="AY165" s="8" t="s">
        <v>233</v>
      </c>
      <c r="AZ165" s="7" t="s">
        <v>233</v>
      </c>
      <c r="BA165" s="7" t="s">
        <v>233</v>
      </c>
      <c r="BB165" s="7" t="s">
        <v>233</v>
      </c>
      <c r="BC165" s="4" t="s">
        <v>233</v>
      </c>
      <c r="BD165" s="8" t="s">
        <v>233</v>
      </c>
      <c r="BE165" s="4" t="s">
        <v>233</v>
      </c>
      <c r="BF165" s="8" t="s">
        <v>233</v>
      </c>
      <c r="BG165" s="7" t="s">
        <v>233</v>
      </c>
      <c r="BH165" s="7" t="s">
        <v>233</v>
      </c>
      <c r="BI165" s="7"/>
      <c r="BJ165" s="4"/>
      <c r="BK165" s="8"/>
      <c r="BL165" s="2" t="s">
        <v>233</v>
      </c>
      <c r="BM165" s="7"/>
      <c r="BN165" s="7"/>
      <c r="BO165" s="4"/>
      <c r="BP165" s="8"/>
      <c r="BQ165" s="4"/>
      <c r="BR165" s="8"/>
      <c r="BS165" s="7"/>
      <c r="BT165" s="7"/>
      <c r="BU165" s="2" t="s">
        <v>243</v>
      </c>
      <c r="BV165" s="2" t="s">
        <v>233</v>
      </c>
      <c r="BW165" s="2" t="s">
        <v>233</v>
      </c>
      <c r="BX165" s="2" t="s">
        <v>243</v>
      </c>
      <c r="BY165" s="2" t="s">
        <v>346</v>
      </c>
      <c r="BZ165" s="2" t="s">
        <v>245</v>
      </c>
      <c r="CA165" s="2" t="s">
        <v>233</v>
      </c>
      <c r="CB165" s="2" t="s">
        <v>233</v>
      </c>
      <c r="CC165" s="2" t="s">
        <v>246</v>
      </c>
      <c r="CD165" s="2" t="s">
        <v>233</v>
      </c>
      <c r="CE165" s="4">
        <v>120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>
        <v>120</v>
      </c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</row>
    <row r="166">
      <c r="A166" s="2" t="s">
        <v>1143</v>
      </c>
      <c r="B166" s="2" t="s">
        <v>910</v>
      </c>
      <c r="C166" s="2" t="s">
        <v>1130</v>
      </c>
      <c r="D166" s="2" t="s">
        <v>912</v>
      </c>
      <c r="E166" s="2" t="s">
        <v>1139</v>
      </c>
      <c r="F166" s="2" t="s">
        <v>1131</v>
      </c>
      <c r="G166" s="2" t="s">
        <v>1132</v>
      </c>
      <c r="H166" s="2" t="s">
        <v>1133</v>
      </c>
      <c r="I166" s="2" t="s">
        <v>1140</v>
      </c>
      <c r="J166" s="2" t="s">
        <v>1142</v>
      </c>
      <c r="K166" s="2" t="s">
        <v>236</v>
      </c>
      <c r="L166" s="3">
        <v>35.71</v>
      </c>
      <c r="M166" s="3">
        <v>37.5</v>
      </c>
      <c r="N166" s="3">
        <v>74.99</v>
      </c>
      <c r="O166" s="2" t="s">
        <v>245</v>
      </c>
      <c r="P166" s="2" t="s">
        <v>238</v>
      </c>
      <c r="Q166" s="2" t="s">
        <v>239</v>
      </c>
      <c r="R166" s="2" t="s">
        <v>233</v>
      </c>
      <c r="S166" s="2" t="s">
        <v>1135</v>
      </c>
      <c r="T166" s="2" t="s">
        <v>341</v>
      </c>
      <c r="U166" s="2" t="s">
        <v>475</v>
      </c>
      <c r="V166" s="2" t="s">
        <v>379</v>
      </c>
      <c r="W166" s="2" t="s">
        <v>397</v>
      </c>
      <c r="X166" s="2" t="s">
        <v>233</v>
      </c>
      <c r="Y166" s="2" t="s">
        <v>344</v>
      </c>
      <c r="Z166" s="4">
        <v>60</v>
      </c>
      <c r="AA166" s="4">
        <f>=ROUNDDOWN({0},0)</f>
      </c>
      <c r="AB166" s="5"/>
      <c r="AC166" s="2" t="s">
        <v>1137</v>
      </c>
      <c r="AD166" s="4">
        <v>58</v>
      </c>
      <c r="AE166" s="4">
        <v>58</v>
      </c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233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233</v>
      </c>
      <c r="AW166" s="8" t="s">
        <v>233</v>
      </c>
      <c r="AX166" s="4" t="s">
        <v>233</v>
      </c>
      <c r="AY166" s="8" t="s">
        <v>233</v>
      </c>
      <c r="AZ166" s="7" t="s">
        <v>233</v>
      </c>
      <c r="BA166" s="7" t="s">
        <v>233</v>
      </c>
      <c r="BB166" s="7" t="s">
        <v>233</v>
      </c>
      <c r="BC166" s="4" t="s">
        <v>233</v>
      </c>
      <c r="BD166" s="8" t="s">
        <v>233</v>
      </c>
      <c r="BE166" s="4" t="s">
        <v>233</v>
      </c>
      <c r="BF166" s="8" t="s">
        <v>233</v>
      </c>
      <c r="BG166" s="7" t="s">
        <v>233</v>
      </c>
      <c r="BH166" s="7" t="s">
        <v>233</v>
      </c>
      <c r="BI166" s="7"/>
      <c r="BJ166" s="4"/>
      <c r="BK166" s="8"/>
      <c r="BL166" s="2" t="s">
        <v>233</v>
      </c>
      <c r="BM166" s="7"/>
      <c r="BN166" s="7"/>
      <c r="BO166" s="4"/>
      <c r="BP166" s="8"/>
      <c r="BQ166" s="4"/>
      <c r="BR166" s="8"/>
      <c r="BS166" s="7"/>
      <c r="BT166" s="7"/>
      <c r="BU166" s="2" t="s">
        <v>243</v>
      </c>
      <c r="BV166" s="2" t="s">
        <v>233</v>
      </c>
      <c r="BW166" s="2" t="s">
        <v>233</v>
      </c>
      <c r="BX166" s="2" t="s">
        <v>243</v>
      </c>
      <c r="BY166" s="2" t="s">
        <v>346</v>
      </c>
      <c r="BZ166" s="2" t="s">
        <v>245</v>
      </c>
      <c r="CA166" s="2" t="s">
        <v>233</v>
      </c>
      <c r="CB166" s="2" t="s">
        <v>233</v>
      </c>
      <c r="CC166" s="2" t="s">
        <v>246</v>
      </c>
      <c r="CD166" s="2" t="s">
        <v>233</v>
      </c>
      <c r="CE166" s="4">
        <v>60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>
        <v>58</v>
      </c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</row>
    <row r="167">
      <c r="A167" s="2" t="s">
        <v>1144</v>
      </c>
      <c r="B167" s="2" t="s">
        <v>989</v>
      </c>
      <c r="C167" s="2" t="s">
        <v>334</v>
      </c>
      <c r="D167" s="2" t="s">
        <v>991</v>
      </c>
      <c r="E167" s="2" t="s">
        <v>992</v>
      </c>
      <c r="F167" s="2" t="s">
        <v>1145</v>
      </c>
      <c r="G167" s="2" t="s">
        <v>1146</v>
      </c>
      <c r="H167" s="2" t="s">
        <v>1147</v>
      </c>
      <c r="I167" s="2" t="s">
        <v>1148</v>
      </c>
      <c r="J167" s="2" t="s">
        <v>1149</v>
      </c>
      <c r="K167" s="2" t="s">
        <v>271</v>
      </c>
      <c r="L167" s="3">
        <v>18.4</v>
      </c>
      <c r="M167" s="3">
        <v>19.32</v>
      </c>
      <c r="N167" s="3">
        <v>39.99</v>
      </c>
      <c r="O167" s="2" t="s">
        <v>245</v>
      </c>
      <c r="P167" s="2" t="s">
        <v>272</v>
      </c>
      <c r="Q167" s="2" t="s">
        <v>239</v>
      </c>
      <c r="R167" s="2" t="s">
        <v>233</v>
      </c>
      <c r="S167" s="2" t="s">
        <v>233</v>
      </c>
      <c r="T167" s="2" t="s">
        <v>233</v>
      </c>
      <c r="U167" s="2" t="s">
        <v>233</v>
      </c>
      <c r="V167" s="2" t="s">
        <v>241</v>
      </c>
      <c r="W167" s="2" t="s">
        <v>275</v>
      </c>
      <c r="X167" s="2" t="s">
        <v>233</v>
      </c>
      <c r="Y167" s="2" t="s">
        <v>1150</v>
      </c>
      <c r="Z167" s="4">
        <v>1289</v>
      </c>
      <c r="AA167" s="4">
        <f>=ROUNDDOWN(34.8378378378378,0)</f>
      </c>
      <c r="AB167" s="5">
        <v>37</v>
      </c>
      <c r="AC167" s="2" t="s">
        <v>1151</v>
      </c>
      <c r="AD167" s="4">
        <v>620</v>
      </c>
      <c r="AE167" s="4">
        <v>620</v>
      </c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233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>
        <v>128</v>
      </c>
      <c r="BK167" s="8">
        <v>2506.06</v>
      </c>
      <c r="BL167" s="2" t="s">
        <v>1152</v>
      </c>
      <c r="BM167" s="7"/>
      <c r="BN167" s="7"/>
      <c r="BO167" s="4"/>
      <c r="BP167" s="8"/>
      <c r="BQ167" s="4"/>
      <c r="BR167" s="8"/>
      <c r="BS167" s="7"/>
      <c r="BT167" s="7"/>
      <c r="BU167" s="2" t="s">
        <v>1153</v>
      </c>
      <c r="BV167" s="2" t="s">
        <v>233</v>
      </c>
      <c r="BW167" s="2" t="s">
        <v>233</v>
      </c>
      <c r="BX167" s="2" t="s">
        <v>233</v>
      </c>
      <c r="BY167" s="2" t="s">
        <v>280</v>
      </c>
      <c r="BZ167" s="2" t="s">
        <v>245</v>
      </c>
      <c r="CA167" s="2" t="s">
        <v>1154</v>
      </c>
      <c r="CB167" s="2" t="s">
        <v>1155</v>
      </c>
      <c r="CC167" s="2" t="s">
        <v>246</v>
      </c>
      <c r="CD167" s="2" t="s">
        <v>233</v>
      </c>
      <c r="CE167" s="4">
        <v>1287</v>
      </c>
      <c r="CF167" s="4"/>
      <c r="CG167" s="4"/>
      <c r="CH167" s="4"/>
      <c r="CI167" s="4"/>
      <c r="CJ167" s="4"/>
      <c r="CK167" s="4"/>
      <c r="CL167" s="4">
        <v>2</v>
      </c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>
        <v>620</v>
      </c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</row>
    <row r="168">
      <c r="A168" s="2" t="s">
        <v>1156</v>
      </c>
      <c r="B168" s="2" t="s">
        <v>989</v>
      </c>
      <c r="C168" s="2" t="s">
        <v>1157</v>
      </c>
      <c r="D168" s="2" t="s">
        <v>991</v>
      </c>
      <c r="E168" s="2" t="s">
        <v>992</v>
      </c>
      <c r="F168" s="2" t="s">
        <v>1158</v>
      </c>
      <c r="G168" s="2" t="s">
        <v>1158</v>
      </c>
      <c r="H168" s="2" t="s">
        <v>1158</v>
      </c>
      <c r="I168" s="2" t="s">
        <v>1159</v>
      </c>
      <c r="J168" s="2" t="s">
        <v>892</v>
      </c>
      <c r="K168" s="2" t="s">
        <v>297</v>
      </c>
      <c r="L168" s="3">
        <v>22</v>
      </c>
      <c r="M168" s="3">
        <v>23.1</v>
      </c>
      <c r="N168" s="3">
        <v>49.99</v>
      </c>
      <c r="O168" s="2" t="s">
        <v>245</v>
      </c>
      <c r="P168" s="2" t="s">
        <v>272</v>
      </c>
      <c r="Q168" s="2" t="s">
        <v>239</v>
      </c>
      <c r="R168" s="2" t="s">
        <v>233</v>
      </c>
      <c r="S168" s="2" t="s">
        <v>1160</v>
      </c>
      <c r="T168" s="2" t="s">
        <v>341</v>
      </c>
      <c r="U168" s="2" t="s">
        <v>871</v>
      </c>
      <c r="V168" s="2" t="s">
        <v>241</v>
      </c>
      <c r="W168" s="2" t="s">
        <v>275</v>
      </c>
      <c r="X168" s="2" t="s">
        <v>233</v>
      </c>
      <c r="Y168" s="2" t="s">
        <v>1161</v>
      </c>
      <c r="Z168" s="4">
        <v>243</v>
      </c>
      <c r="AA168" s="4">
        <f>=ROUNDDOWN(27,0)</f>
      </c>
      <c r="AB168" s="5">
        <v>9</v>
      </c>
      <c r="AC168" s="2" t="s">
        <v>1162</v>
      </c>
      <c r="AD168" s="4">
        <v>100</v>
      </c>
      <c r="AE168" s="4">
        <v>260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233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>
        <v>34</v>
      </c>
      <c r="BK168" s="8">
        <v>809.48</v>
      </c>
      <c r="BL168" s="2" t="s">
        <v>1163</v>
      </c>
      <c r="BM168" s="7"/>
      <c r="BN168" s="7"/>
      <c r="BO168" s="4"/>
      <c r="BP168" s="8"/>
      <c r="BQ168" s="4"/>
      <c r="BR168" s="8"/>
      <c r="BS168" s="7"/>
      <c r="BT168" s="7"/>
      <c r="BU168" s="2" t="s">
        <v>1164</v>
      </c>
      <c r="BV168" s="2" t="s">
        <v>233</v>
      </c>
      <c r="BW168" s="2" t="s">
        <v>233</v>
      </c>
      <c r="BX168" s="2" t="s">
        <v>243</v>
      </c>
      <c r="BY168" s="2" t="s">
        <v>280</v>
      </c>
      <c r="BZ168" s="2" t="s">
        <v>245</v>
      </c>
      <c r="CA168" s="2" t="s">
        <v>1161</v>
      </c>
      <c r="CB168" s="2" t="s">
        <v>1165</v>
      </c>
      <c r="CC168" s="2" t="s">
        <v>246</v>
      </c>
      <c r="CD168" s="2" t="s">
        <v>233</v>
      </c>
      <c r="CE168" s="4">
        <v>243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>
        <v>100</v>
      </c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>
        <v>160</v>
      </c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</row>
    <row r="169">
      <c r="A169" s="2" t="s">
        <v>1166</v>
      </c>
      <c r="B169" s="2" t="s">
        <v>886</v>
      </c>
      <c r="C169" s="2" t="s">
        <v>947</v>
      </c>
      <c r="D169" s="2" t="s">
        <v>1167</v>
      </c>
      <c r="E169" s="2" t="s">
        <v>1168</v>
      </c>
      <c r="F169" s="2" t="s">
        <v>1169</v>
      </c>
      <c r="G169" s="2" t="s">
        <v>1169</v>
      </c>
      <c r="H169" s="2" t="s">
        <v>1169</v>
      </c>
      <c r="I169" s="2" t="s">
        <v>1170</v>
      </c>
      <c r="J169" s="2" t="s">
        <v>892</v>
      </c>
      <c r="K169" s="2" t="s">
        <v>1171</v>
      </c>
      <c r="L169" s="3">
        <v>39.85</v>
      </c>
      <c r="M169" s="3">
        <v>41.84</v>
      </c>
      <c r="N169" s="3">
        <v>79.99</v>
      </c>
      <c r="O169" s="2" t="s">
        <v>245</v>
      </c>
      <c r="P169" s="2" t="s">
        <v>238</v>
      </c>
      <c r="Q169" s="2" t="s">
        <v>239</v>
      </c>
      <c r="R169" s="2" t="s">
        <v>233</v>
      </c>
      <c r="S169" s="2" t="s">
        <v>233</v>
      </c>
      <c r="T169" s="2" t="s">
        <v>233</v>
      </c>
      <c r="U169" s="2" t="s">
        <v>396</v>
      </c>
      <c r="V169" s="2" t="s">
        <v>893</v>
      </c>
      <c r="W169" s="2" t="s">
        <v>776</v>
      </c>
      <c r="X169" s="2" t="s">
        <v>953</v>
      </c>
      <c r="Y169" s="2" t="s">
        <v>233</v>
      </c>
      <c r="Z169" s="4"/>
      <c r="AA169" s="4">
        <f>=ROUNDDOWN({0},0)</f>
      </c>
      <c r="AB169" s="5"/>
      <c r="AC169" s="2" t="s">
        <v>1172</v>
      </c>
      <c r="AD169" s="4">
        <v>100</v>
      </c>
      <c r="AE169" s="4">
        <v>100</v>
      </c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233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233</v>
      </c>
      <c r="BM169" s="7"/>
      <c r="BN169" s="7"/>
      <c r="BO169" s="4"/>
      <c r="BP169" s="8"/>
      <c r="BQ169" s="4"/>
      <c r="BR169" s="8"/>
      <c r="BS169" s="7"/>
      <c r="BT169" s="7"/>
      <c r="BU169" s="2" t="s">
        <v>243</v>
      </c>
      <c r="BV169" s="2" t="s">
        <v>233</v>
      </c>
      <c r="BW169" s="2" t="s">
        <v>233</v>
      </c>
      <c r="BX169" s="2" t="s">
        <v>243</v>
      </c>
      <c r="BY169" s="2" t="s">
        <v>244</v>
      </c>
      <c r="BZ169" s="2" t="s">
        <v>245</v>
      </c>
      <c r="CA169" s="2" t="s">
        <v>233</v>
      </c>
      <c r="CB169" s="2" t="s">
        <v>233</v>
      </c>
      <c r="CC169" s="2" t="s">
        <v>246</v>
      </c>
      <c r="CD169" s="2" t="s">
        <v>233</v>
      </c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>
        <v>100</v>
      </c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</row>
    <row r="170">
      <c r="A170" s="2" t="s">
        <v>1173</v>
      </c>
      <c r="B170" s="2" t="s">
        <v>1174</v>
      </c>
      <c r="C170" s="2" t="s">
        <v>530</v>
      </c>
      <c r="D170" s="2" t="s">
        <v>1175</v>
      </c>
      <c r="E170" s="2" t="s">
        <v>1176</v>
      </c>
      <c r="F170" s="2" t="s">
        <v>1177</v>
      </c>
      <c r="G170" s="2" t="s">
        <v>1178</v>
      </c>
      <c r="H170" s="2" t="s">
        <v>1179</v>
      </c>
      <c r="I170" s="2" t="s">
        <v>1180</v>
      </c>
      <c r="J170" s="2" t="s">
        <v>1181</v>
      </c>
      <c r="K170" s="2" t="s">
        <v>569</v>
      </c>
      <c r="L170" s="3">
        <v>19</v>
      </c>
      <c r="M170" s="3">
        <v>19.95</v>
      </c>
      <c r="N170" s="3">
        <v>39.99</v>
      </c>
      <c r="O170" s="2" t="s">
        <v>245</v>
      </c>
      <c r="P170" s="2" t="s">
        <v>311</v>
      </c>
      <c r="Q170" s="2" t="s">
        <v>239</v>
      </c>
      <c r="R170" s="2" t="s">
        <v>233</v>
      </c>
      <c r="S170" s="2" t="s">
        <v>1182</v>
      </c>
      <c r="T170" s="2" t="s">
        <v>395</v>
      </c>
      <c r="U170" s="2" t="s">
        <v>491</v>
      </c>
      <c r="V170" s="2" t="s">
        <v>359</v>
      </c>
      <c r="W170" s="2" t="s">
        <v>275</v>
      </c>
      <c r="X170" s="2" t="s">
        <v>233</v>
      </c>
      <c r="Y170" s="2" t="s">
        <v>1183</v>
      </c>
      <c r="Z170" s="4">
        <v>193</v>
      </c>
      <c r="AA170" s="4">
        <f>=ROUNDDOWN(275.714285714286,0)</f>
      </c>
      <c r="AB170" s="5">
        <v>0.7</v>
      </c>
      <c r="AC170" s="2" t="s">
        <v>233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233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>
        <v>3</v>
      </c>
      <c r="BK170" s="8">
        <v>63.75</v>
      </c>
      <c r="BL170" s="2" t="s">
        <v>1184</v>
      </c>
      <c r="BM170" s="7"/>
      <c r="BN170" s="7"/>
      <c r="BO170" s="4"/>
      <c r="BP170" s="8"/>
      <c r="BQ170" s="4"/>
      <c r="BR170" s="8"/>
      <c r="BS170" s="7"/>
      <c r="BT170" s="7"/>
      <c r="BU170" s="2" t="s">
        <v>1185</v>
      </c>
      <c r="BV170" s="2" t="s">
        <v>233</v>
      </c>
      <c r="BW170" s="2" t="s">
        <v>233</v>
      </c>
      <c r="BX170" s="2" t="s">
        <v>233</v>
      </c>
      <c r="BY170" s="2" t="s">
        <v>280</v>
      </c>
      <c r="BZ170" s="2" t="s">
        <v>245</v>
      </c>
      <c r="CA170" s="2" t="s">
        <v>1186</v>
      </c>
      <c r="CB170" s="2" t="s">
        <v>1187</v>
      </c>
      <c r="CC170" s="2" t="s">
        <v>246</v>
      </c>
      <c r="CD170" s="2" t="s">
        <v>233</v>
      </c>
      <c r="CE170" s="4">
        <v>193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</row>
    <row r="171">
      <c r="A171" s="2" t="s">
        <v>1188</v>
      </c>
      <c r="B171" s="2" t="s">
        <v>886</v>
      </c>
      <c r="C171" s="2" t="s">
        <v>901</v>
      </c>
      <c r="D171" s="2" t="s">
        <v>1167</v>
      </c>
      <c r="E171" s="2" t="s">
        <v>1168</v>
      </c>
      <c r="F171" s="2" t="s">
        <v>1189</v>
      </c>
      <c r="G171" s="2" t="s">
        <v>1189</v>
      </c>
      <c r="H171" s="2" t="s">
        <v>1189</v>
      </c>
      <c r="I171" s="2" t="s">
        <v>1190</v>
      </c>
      <c r="J171" s="2" t="s">
        <v>892</v>
      </c>
      <c r="K171" s="2" t="s">
        <v>1191</v>
      </c>
      <c r="L171" s="3">
        <v>24.5</v>
      </c>
      <c r="M171" s="3">
        <v>25.73</v>
      </c>
      <c r="N171" s="3">
        <v>49.99</v>
      </c>
      <c r="O171" s="2" t="s">
        <v>245</v>
      </c>
      <c r="P171" s="2" t="s">
        <v>238</v>
      </c>
      <c r="Q171" s="2" t="s">
        <v>239</v>
      </c>
      <c r="R171" s="2" t="s">
        <v>233</v>
      </c>
      <c r="S171" s="2" t="s">
        <v>233</v>
      </c>
      <c r="T171" s="2" t="s">
        <v>233</v>
      </c>
      <c r="U171" s="2" t="s">
        <v>396</v>
      </c>
      <c r="V171" s="2" t="s">
        <v>893</v>
      </c>
      <c r="W171" s="2" t="s">
        <v>275</v>
      </c>
      <c r="X171" s="2" t="s">
        <v>397</v>
      </c>
      <c r="Y171" s="2" t="s">
        <v>233</v>
      </c>
      <c r="Z171" s="4"/>
      <c r="AA171" s="4">
        <f>=ROUNDDOWN({0},0)</f>
      </c>
      <c r="AB171" s="5"/>
      <c r="AC171" s="2" t="s">
        <v>1192</v>
      </c>
      <c r="AD171" s="4">
        <v>100</v>
      </c>
      <c r="AE171" s="4">
        <v>100</v>
      </c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233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233</v>
      </c>
      <c r="BM171" s="7"/>
      <c r="BN171" s="7"/>
      <c r="BO171" s="4"/>
      <c r="BP171" s="8"/>
      <c r="BQ171" s="4"/>
      <c r="BR171" s="8"/>
      <c r="BS171" s="7"/>
      <c r="BT171" s="7"/>
      <c r="BU171" s="2" t="s">
        <v>243</v>
      </c>
      <c r="BV171" s="2" t="s">
        <v>233</v>
      </c>
      <c r="BW171" s="2" t="s">
        <v>233</v>
      </c>
      <c r="BX171" s="2" t="s">
        <v>243</v>
      </c>
      <c r="BY171" s="2" t="s">
        <v>244</v>
      </c>
      <c r="BZ171" s="2" t="s">
        <v>245</v>
      </c>
      <c r="CA171" s="2" t="s">
        <v>233</v>
      </c>
      <c r="CB171" s="2" t="s">
        <v>233</v>
      </c>
      <c r="CC171" s="2" t="s">
        <v>246</v>
      </c>
      <c r="CD171" s="2" t="s">
        <v>233</v>
      </c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>
        <v>100</v>
      </c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</row>
    <row r="172">
      <c r="A172" s="2" t="s">
        <v>1193</v>
      </c>
      <c r="B172" s="2" t="s">
        <v>1174</v>
      </c>
      <c r="C172" s="2" t="s">
        <v>530</v>
      </c>
      <c r="D172" s="2" t="s">
        <v>1194</v>
      </c>
      <c r="E172" s="2" t="s">
        <v>1195</v>
      </c>
      <c r="F172" s="2" t="s">
        <v>1196</v>
      </c>
      <c r="G172" s="2" t="s">
        <v>1197</v>
      </c>
      <c r="H172" s="2" t="s">
        <v>1198</v>
      </c>
      <c r="I172" s="2" t="s">
        <v>1199</v>
      </c>
      <c r="J172" s="2" t="s">
        <v>1200</v>
      </c>
      <c r="K172" s="2" t="s">
        <v>1201</v>
      </c>
      <c r="L172" s="3">
        <v>15</v>
      </c>
      <c r="M172" s="3">
        <v>15.74</v>
      </c>
      <c r="N172" s="3">
        <v>29.99</v>
      </c>
      <c r="O172" s="2" t="s">
        <v>252</v>
      </c>
      <c r="P172" s="2" t="s">
        <v>311</v>
      </c>
      <c r="Q172" s="2" t="s">
        <v>239</v>
      </c>
      <c r="R172" s="2" t="s">
        <v>233</v>
      </c>
      <c r="S172" s="2" t="s">
        <v>1202</v>
      </c>
      <c r="T172" s="2" t="s">
        <v>233</v>
      </c>
      <c r="U172" s="2" t="s">
        <v>233</v>
      </c>
      <c r="V172" s="2" t="s">
        <v>241</v>
      </c>
      <c r="W172" s="2" t="s">
        <v>397</v>
      </c>
      <c r="X172" s="2" t="s">
        <v>233</v>
      </c>
      <c r="Y172" s="2" t="s">
        <v>276</v>
      </c>
      <c r="Z172" s="4"/>
      <c r="AA172" s="4">
        <f>=ROUNDDOWN({0},0)</f>
      </c>
      <c r="AB172" s="5"/>
      <c r="AC172" s="2" t="s">
        <v>233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233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233</v>
      </c>
      <c r="BM172" s="7"/>
      <c r="BN172" s="7"/>
      <c r="BO172" s="4"/>
      <c r="BP172" s="8"/>
      <c r="BQ172" s="4"/>
      <c r="BR172" s="8"/>
      <c r="BS172" s="7"/>
      <c r="BT172" s="7"/>
      <c r="BU172" s="2" t="s">
        <v>1203</v>
      </c>
      <c r="BV172" s="2" t="s">
        <v>233</v>
      </c>
      <c r="BW172" s="2" t="s">
        <v>233</v>
      </c>
      <c r="BX172" s="2" t="s">
        <v>233</v>
      </c>
      <c r="BY172" s="2" t="s">
        <v>280</v>
      </c>
      <c r="BZ172" s="2" t="s">
        <v>245</v>
      </c>
      <c r="CA172" s="2" t="s">
        <v>281</v>
      </c>
      <c r="CB172" s="2" t="s">
        <v>1204</v>
      </c>
      <c r="CC172" s="2" t="s">
        <v>246</v>
      </c>
      <c r="CD172" s="2" t="s">
        <v>233</v>
      </c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</row>
    <row r="173">
      <c r="A173" s="2" t="s">
        <v>1205</v>
      </c>
      <c r="B173" s="2" t="s">
        <v>1174</v>
      </c>
      <c r="C173" s="2" t="s">
        <v>911</v>
      </c>
      <c r="D173" s="2" t="s">
        <v>1175</v>
      </c>
      <c r="E173" s="2" t="s">
        <v>1206</v>
      </c>
      <c r="F173" s="2" t="s">
        <v>1207</v>
      </c>
      <c r="G173" s="2" t="s">
        <v>1208</v>
      </c>
      <c r="H173" s="2" t="s">
        <v>1209</v>
      </c>
      <c r="I173" s="2" t="s">
        <v>1210</v>
      </c>
      <c r="J173" s="2" t="s">
        <v>1211</v>
      </c>
      <c r="K173" s="2" t="s">
        <v>1083</v>
      </c>
      <c r="L173" s="3">
        <v>20</v>
      </c>
      <c r="M173" s="3">
        <v>20.99</v>
      </c>
      <c r="N173" s="3">
        <v>39.99</v>
      </c>
      <c r="O173" s="2" t="s">
        <v>237</v>
      </c>
      <c r="P173" s="2" t="s">
        <v>311</v>
      </c>
      <c r="Q173" s="2" t="s">
        <v>239</v>
      </c>
      <c r="R173" s="2" t="s">
        <v>233</v>
      </c>
      <c r="S173" s="2" t="s">
        <v>1212</v>
      </c>
      <c r="T173" s="2" t="s">
        <v>233</v>
      </c>
      <c r="U173" s="2" t="s">
        <v>233</v>
      </c>
      <c r="V173" s="2" t="s">
        <v>1085</v>
      </c>
      <c r="W173" s="2" t="s">
        <v>397</v>
      </c>
      <c r="X173" s="2" t="s">
        <v>233</v>
      </c>
      <c r="Y173" s="2" t="s">
        <v>276</v>
      </c>
      <c r="Z173" s="4">
        <v>243</v>
      </c>
      <c r="AA173" s="4">
        <f>=ROUNDDOWN(60.75,0)</f>
      </c>
      <c r="AB173" s="5">
        <v>4</v>
      </c>
      <c r="AC173" s="2" t="s">
        <v>233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233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233</v>
      </c>
      <c r="BD173" s="8" t="s">
        <v>233</v>
      </c>
      <c r="BE173" s="4" t="s">
        <v>233</v>
      </c>
      <c r="BF173" s="8" t="s">
        <v>233</v>
      </c>
      <c r="BG173" s="7" t="s">
        <v>233</v>
      </c>
      <c r="BH173" s="7" t="s">
        <v>233</v>
      </c>
      <c r="BI173" s="7"/>
      <c r="BJ173" s="4">
        <v>3</v>
      </c>
      <c r="BK173" s="8">
        <v>64.33</v>
      </c>
      <c r="BL173" s="2" t="s">
        <v>1213</v>
      </c>
      <c r="BM173" s="7"/>
      <c r="BN173" s="7"/>
      <c r="BO173" s="4"/>
      <c r="BP173" s="8"/>
      <c r="BQ173" s="4"/>
      <c r="BR173" s="8"/>
      <c r="BS173" s="7"/>
      <c r="BT173" s="7"/>
      <c r="BU173" s="2" t="s">
        <v>1214</v>
      </c>
      <c r="BV173" s="2" t="s">
        <v>233</v>
      </c>
      <c r="BW173" s="2" t="s">
        <v>233</v>
      </c>
      <c r="BX173" s="2" t="s">
        <v>233</v>
      </c>
      <c r="BY173" s="2" t="s">
        <v>280</v>
      </c>
      <c r="BZ173" s="2" t="s">
        <v>245</v>
      </c>
      <c r="CA173" s="2" t="s">
        <v>281</v>
      </c>
      <c r="CB173" s="2" t="s">
        <v>1215</v>
      </c>
      <c r="CC173" s="2" t="s">
        <v>246</v>
      </c>
      <c r="CD173" s="2" t="s">
        <v>233</v>
      </c>
      <c r="CE173" s="4">
        <v>243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</row>
    <row r="174">
      <c r="A174" s="2" t="s">
        <v>1216</v>
      </c>
      <c r="B174" s="2" t="s">
        <v>1174</v>
      </c>
      <c r="C174" s="2" t="s">
        <v>911</v>
      </c>
      <c r="D174" s="2" t="s">
        <v>1175</v>
      </c>
      <c r="E174" s="2" t="s">
        <v>1206</v>
      </c>
      <c r="F174" s="2" t="s">
        <v>1207</v>
      </c>
      <c r="G174" s="2" t="s">
        <v>1208</v>
      </c>
      <c r="H174" s="2" t="s">
        <v>1209</v>
      </c>
      <c r="I174" s="2" t="s">
        <v>1210</v>
      </c>
      <c r="J174" s="2" t="s">
        <v>1217</v>
      </c>
      <c r="K174" s="2" t="s">
        <v>1218</v>
      </c>
      <c r="L174" s="3">
        <v>18.8</v>
      </c>
      <c r="M174" s="3">
        <v>19.74</v>
      </c>
      <c r="N174" s="3">
        <v>39.99</v>
      </c>
      <c r="O174" s="2" t="s">
        <v>237</v>
      </c>
      <c r="P174" s="2" t="s">
        <v>311</v>
      </c>
      <c r="Q174" s="2" t="s">
        <v>239</v>
      </c>
      <c r="R174" s="2" t="s">
        <v>233</v>
      </c>
      <c r="S174" s="2" t="s">
        <v>1219</v>
      </c>
      <c r="T174" s="2" t="s">
        <v>233</v>
      </c>
      <c r="U174" s="2" t="s">
        <v>233</v>
      </c>
      <c r="V174" s="2" t="s">
        <v>1085</v>
      </c>
      <c r="W174" s="2" t="s">
        <v>397</v>
      </c>
      <c r="X174" s="2" t="s">
        <v>233</v>
      </c>
      <c r="Y174" s="2" t="s">
        <v>276</v>
      </c>
      <c r="Z174" s="4">
        <v>1607</v>
      </c>
      <c r="AA174" s="4">
        <f>=ROUNDDOWN(309.038461538462,0)</f>
      </c>
      <c r="AB174" s="5">
        <v>5.2</v>
      </c>
      <c r="AC174" s="2" t="s">
        <v>233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233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233</v>
      </c>
      <c r="BD174" s="8" t="s">
        <v>233</v>
      </c>
      <c r="BE174" s="4" t="s">
        <v>233</v>
      </c>
      <c r="BF174" s="8" t="s">
        <v>233</v>
      </c>
      <c r="BG174" s="7" t="s">
        <v>233</v>
      </c>
      <c r="BH174" s="7" t="s">
        <v>233</v>
      </c>
      <c r="BI174" s="7"/>
      <c r="BJ174" s="4">
        <v>10</v>
      </c>
      <c r="BK174" s="8">
        <v>161.64</v>
      </c>
      <c r="BL174" s="2" t="s">
        <v>1220</v>
      </c>
      <c r="BM174" s="7"/>
      <c r="BN174" s="7"/>
      <c r="BO174" s="4"/>
      <c r="BP174" s="8"/>
      <c r="BQ174" s="4"/>
      <c r="BR174" s="8"/>
      <c r="BS174" s="7"/>
      <c r="BT174" s="7"/>
      <c r="BU174" s="2" t="s">
        <v>1221</v>
      </c>
      <c r="BV174" s="2" t="s">
        <v>233</v>
      </c>
      <c r="BW174" s="2" t="s">
        <v>233</v>
      </c>
      <c r="BX174" s="2" t="s">
        <v>233</v>
      </c>
      <c r="BY174" s="2" t="s">
        <v>280</v>
      </c>
      <c r="BZ174" s="2" t="s">
        <v>245</v>
      </c>
      <c r="CA174" s="2" t="s">
        <v>281</v>
      </c>
      <c r="CB174" s="2" t="s">
        <v>1222</v>
      </c>
      <c r="CC174" s="2" t="s">
        <v>246</v>
      </c>
      <c r="CD174" s="2" t="s">
        <v>233</v>
      </c>
      <c r="CE174" s="4">
        <v>1607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</row>
    <row r="175">
      <c r="A175" s="2" t="s">
        <v>1223</v>
      </c>
      <c r="B175" s="2" t="s">
        <v>886</v>
      </c>
      <c r="C175" s="2" t="s">
        <v>887</v>
      </c>
      <c r="D175" s="2" t="s">
        <v>888</v>
      </c>
      <c r="E175" s="2" t="s">
        <v>889</v>
      </c>
      <c r="F175" s="2" t="s">
        <v>1224</v>
      </c>
      <c r="G175" s="2" t="s">
        <v>1224</v>
      </c>
      <c r="H175" s="2" t="s">
        <v>1224</v>
      </c>
      <c r="I175" s="2" t="s">
        <v>1225</v>
      </c>
      <c r="J175" s="2" t="s">
        <v>892</v>
      </c>
      <c r="K175" s="2" t="s">
        <v>1226</v>
      </c>
      <c r="L175" s="3">
        <v>113.4</v>
      </c>
      <c r="M175" s="3">
        <v>119.07</v>
      </c>
      <c r="N175" s="3">
        <v>269.99</v>
      </c>
      <c r="O175" s="2" t="s">
        <v>245</v>
      </c>
      <c r="P175" s="2" t="s">
        <v>311</v>
      </c>
      <c r="Q175" s="2" t="s">
        <v>239</v>
      </c>
      <c r="R175" s="2" t="s">
        <v>233</v>
      </c>
      <c r="S175" s="2" t="s">
        <v>233</v>
      </c>
      <c r="T175" s="2" t="s">
        <v>233</v>
      </c>
      <c r="U175" s="2" t="s">
        <v>396</v>
      </c>
      <c r="V175" s="2" t="s">
        <v>893</v>
      </c>
      <c r="W175" s="2" t="s">
        <v>397</v>
      </c>
      <c r="X175" s="2" t="s">
        <v>233</v>
      </c>
      <c r="Y175" s="2" t="s">
        <v>1227</v>
      </c>
      <c r="Z175" s="4">
        <v>93</v>
      </c>
      <c r="AA175" s="4">
        <f>=ROUNDDOWN(465,0)</f>
      </c>
      <c r="AB175" s="5">
        <v>0.2</v>
      </c>
      <c r="AC175" s="2" t="s">
        <v>233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233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233</v>
      </c>
      <c r="BM175" s="7"/>
      <c r="BN175" s="7"/>
      <c r="BO175" s="4"/>
      <c r="BP175" s="8"/>
      <c r="BQ175" s="4"/>
      <c r="BR175" s="8"/>
      <c r="BS175" s="7"/>
      <c r="BT175" s="7"/>
      <c r="BU175" s="2" t="s">
        <v>1228</v>
      </c>
      <c r="BV175" s="2" t="s">
        <v>233</v>
      </c>
      <c r="BW175" s="2" t="s">
        <v>233</v>
      </c>
      <c r="BX175" s="2" t="s">
        <v>233</v>
      </c>
      <c r="BY175" s="2" t="s">
        <v>280</v>
      </c>
      <c r="BZ175" s="2" t="s">
        <v>245</v>
      </c>
      <c r="CA175" s="2" t="s">
        <v>1229</v>
      </c>
      <c r="CB175" s="2" t="s">
        <v>233</v>
      </c>
      <c r="CC175" s="2" t="s">
        <v>246</v>
      </c>
      <c r="CD175" s="2" t="s">
        <v>233</v>
      </c>
      <c r="CE175" s="4"/>
      <c r="CF175" s="4">
        <v>93</v>
      </c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</row>
    <row r="176">
      <c r="A176" s="2" t="s">
        <v>1230</v>
      </c>
      <c r="B176" s="2" t="s">
        <v>264</v>
      </c>
      <c r="C176" s="2" t="s">
        <v>1050</v>
      </c>
      <c r="D176" s="2" t="s">
        <v>969</v>
      </c>
      <c r="E176" s="2" t="s">
        <v>1231</v>
      </c>
      <c r="F176" s="2" t="s">
        <v>1232</v>
      </c>
      <c r="G176" s="2" t="s">
        <v>1232</v>
      </c>
      <c r="H176" s="2" t="s">
        <v>1232</v>
      </c>
      <c r="I176" s="2" t="s">
        <v>1233</v>
      </c>
      <c r="J176" s="2" t="s">
        <v>981</v>
      </c>
      <c r="K176" s="2" t="s">
        <v>297</v>
      </c>
      <c r="L176" s="3">
        <v>70.79</v>
      </c>
      <c r="M176" s="3">
        <v>74.33</v>
      </c>
      <c r="N176" s="3">
        <v>147.99</v>
      </c>
      <c r="O176" s="2" t="s">
        <v>245</v>
      </c>
      <c r="P176" s="2" t="s">
        <v>763</v>
      </c>
      <c r="Q176" s="2" t="s">
        <v>239</v>
      </c>
      <c r="R176" s="2" t="s">
        <v>233</v>
      </c>
      <c r="S176" s="2" t="s">
        <v>1234</v>
      </c>
      <c r="T176" s="2" t="s">
        <v>233</v>
      </c>
      <c r="U176" s="2" t="s">
        <v>233</v>
      </c>
      <c r="V176" s="2" t="s">
        <v>241</v>
      </c>
      <c r="W176" s="2" t="s">
        <v>1235</v>
      </c>
      <c r="X176" s="2" t="s">
        <v>233</v>
      </c>
      <c r="Y176" s="2" t="s">
        <v>1236</v>
      </c>
      <c r="Z176" s="4">
        <v>261</v>
      </c>
      <c r="AA176" s="4">
        <f>=ROUNDDOWN(32.625,0)</f>
      </c>
      <c r="AB176" s="5">
        <v>8</v>
      </c>
      <c r="AC176" s="2" t="s">
        <v>361</v>
      </c>
      <c r="AD176" s="4">
        <v>230</v>
      </c>
      <c r="AE176" s="4">
        <v>230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233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>
        <v>23</v>
      </c>
      <c r="BK176" s="8">
        <v>1794.84</v>
      </c>
      <c r="BL176" s="2" t="s">
        <v>1237</v>
      </c>
      <c r="BM176" s="7"/>
      <c r="BN176" s="7"/>
      <c r="BO176" s="4"/>
      <c r="BP176" s="8"/>
      <c r="BQ176" s="4"/>
      <c r="BR176" s="8"/>
      <c r="BS176" s="7"/>
      <c r="BT176" s="7"/>
      <c r="BU176" s="2" t="s">
        <v>1238</v>
      </c>
      <c r="BV176" s="2" t="s">
        <v>233</v>
      </c>
      <c r="BW176" s="2" t="s">
        <v>233</v>
      </c>
      <c r="BX176" s="2" t="s">
        <v>233</v>
      </c>
      <c r="BY176" s="2" t="s">
        <v>280</v>
      </c>
      <c r="BZ176" s="2" t="s">
        <v>245</v>
      </c>
      <c r="CA176" s="2" t="s">
        <v>1239</v>
      </c>
      <c r="CB176" s="2" t="s">
        <v>1240</v>
      </c>
      <c r="CC176" s="2" t="s">
        <v>246</v>
      </c>
      <c r="CD176" s="2" t="s">
        <v>233</v>
      </c>
      <c r="CE176" s="4">
        <v>261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>
        <v>230</v>
      </c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</row>
    <row r="177">
      <c r="A177" s="2" t="s">
        <v>1241</v>
      </c>
      <c r="B177" s="2" t="s">
        <v>1242</v>
      </c>
      <c r="C177" s="2" t="s">
        <v>530</v>
      </c>
      <c r="D177" s="2" t="s">
        <v>912</v>
      </c>
      <c r="E177" s="2" t="s">
        <v>1139</v>
      </c>
      <c r="F177" s="2" t="s">
        <v>1243</v>
      </c>
      <c r="G177" s="2" t="s">
        <v>1244</v>
      </c>
      <c r="H177" s="2" t="s">
        <v>1147</v>
      </c>
      <c r="I177" s="2" t="s">
        <v>1245</v>
      </c>
      <c r="J177" s="2" t="s">
        <v>981</v>
      </c>
      <c r="K177" s="2" t="s">
        <v>271</v>
      </c>
      <c r="L177" s="3">
        <v>42.85</v>
      </c>
      <c r="M177" s="3">
        <v>44.99</v>
      </c>
      <c r="N177" s="3">
        <v>89.99</v>
      </c>
      <c r="O177" s="2" t="s">
        <v>245</v>
      </c>
      <c r="P177" s="2" t="s">
        <v>311</v>
      </c>
      <c r="Q177" s="2" t="s">
        <v>239</v>
      </c>
      <c r="R177" s="2" t="s">
        <v>233</v>
      </c>
      <c r="S177" s="2" t="s">
        <v>1246</v>
      </c>
      <c r="T177" s="2" t="s">
        <v>233</v>
      </c>
      <c r="U177" s="2" t="s">
        <v>475</v>
      </c>
      <c r="V177" s="2" t="s">
        <v>359</v>
      </c>
      <c r="W177" s="2" t="s">
        <v>275</v>
      </c>
      <c r="X177" s="2" t="s">
        <v>1247</v>
      </c>
      <c r="Y177" s="2" t="s">
        <v>1248</v>
      </c>
      <c r="Z177" s="4">
        <v>180</v>
      </c>
      <c r="AA177" s="4">
        <f>=ROUNDDOWN(36,0)</f>
      </c>
      <c r="AB177" s="5">
        <v>5</v>
      </c>
      <c r="AC177" s="2" t="s">
        <v>233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233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233</v>
      </c>
      <c r="AW177" s="8" t="s">
        <v>233</v>
      </c>
      <c r="AX177" s="4" t="s">
        <v>233</v>
      </c>
      <c r="AY177" s="8" t="s">
        <v>233</v>
      </c>
      <c r="AZ177" s="7" t="s">
        <v>233</v>
      </c>
      <c r="BA177" s="7" t="s">
        <v>233</v>
      </c>
      <c r="BB177" s="7"/>
      <c r="BC177" s="4" t="s">
        <v>233</v>
      </c>
      <c r="BD177" s="8" t="s">
        <v>233</v>
      </c>
      <c r="BE177" s="4" t="s">
        <v>233</v>
      </c>
      <c r="BF177" s="8" t="s">
        <v>233</v>
      </c>
      <c r="BG177" s="7" t="s">
        <v>233</v>
      </c>
      <c r="BH177" s="7" t="s">
        <v>233</v>
      </c>
      <c r="BI177" s="7"/>
      <c r="BJ177" s="4">
        <v>13</v>
      </c>
      <c r="BK177" s="8">
        <v>587.59</v>
      </c>
      <c r="BL177" s="2" t="s">
        <v>1249</v>
      </c>
      <c r="BM177" s="7"/>
      <c r="BN177" s="7"/>
      <c r="BO177" s="4"/>
      <c r="BP177" s="8"/>
      <c r="BQ177" s="4"/>
      <c r="BR177" s="8"/>
      <c r="BS177" s="7"/>
      <c r="BT177" s="7"/>
      <c r="BU177" s="2" t="s">
        <v>1250</v>
      </c>
      <c r="BV177" s="2" t="s">
        <v>233</v>
      </c>
      <c r="BW177" s="2" t="s">
        <v>233</v>
      </c>
      <c r="BX177" s="2" t="s">
        <v>233</v>
      </c>
      <c r="BY177" s="2" t="s">
        <v>280</v>
      </c>
      <c r="BZ177" s="2" t="s">
        <v>245</v>
      </c>
      <c r="CA177" s="2" t="s">
        <v>1251</v>
      </c>
      <c r="CB177" s="2" t="s">
        <v>1252</v>
      </c>
      <c r="CC177" s="2" t="s">
        <v>246</v>
      </c>
      <c r="CD177" s="2" t="s">
        <v>233</v>
      </c>
      <c r="CE177" s="4">
        <v>180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</row>
    <row r="178">
      <c r="A178" s="2" t="s">
        <v>1253</v>
      </c>
      <c r="B178" s="2" t="s">
        <v>1242</v>
      </c>
      <c r="C178" s="2" t="s">
        <v>530</v>
      </c>
      <c r="D178" s="2" t="s">
        <v>912</v>
      </c>
      <c r="E178" s="2" t="s">
        <v>1139</v>
      </c>
      <c r="F178" s="2" t="s">
        <v>1243</v>
      </c>
      <c r="G178" s="2" t="s">
        <v>1244</v>
      </c>
      <c r="H178" s="2" t="s">
        <v>1147</v>
      </c>
      <c r="I178" s="2" t="s">
        <v>1245</v>
      </c>
      <c r="J178" s="2" t="s">
        <v>1142</v>
      </c>
      <c r="K178" s="2" t="s">
        <v>271</v>
      </c>
      <c r="L178" s="3">
        <v>47.61</v>
      </c>
      <c r="M178" s="3">
        <v>49.99</v>
      </c>
      <c r="N178" s="3">
        <v>99.99</v>
      </c>
      <c r="O178" s="2" t="s">
        <v>245</v>
      </c>
      <c r="P178" s="2" t="s">
        <v>311</v>
      </c>
      <c r="Q178" s="2" t="s">
        <v>239</v>
      </c>
      <c r="R178" s="2" t="s">
        <v>233</v>
      </c>
      <c r="S178" s="2" t="s">
        <v>1246</v>
      </c>
      <c r="T178" s="2" t="s">
        <v>233</v>
      </c>
      <c r="U178" s="2" t="s">
        <v>475</v>
      </c>
      <c r="V178" s="2" t="s">
        <v>359</v>
      </c>
      <c r="W178" s="2" t="s">
        <v>275</v>
      </c>
      <c r="X178" s="2" t="s">
        <v>1247</v>
      </c>
      <c r="Y178" s="2" t="s">
        <v>1248</v>
      </c>
      <c r="Z178" s="4">
        <v>191</v>
      </c>
      <c r="AA178" s="4">
        <f>=ROUNDDOWN(48.974358974359,0)</f>
      </c>
      <c r="AB178" s="5">
        <v>3.9</v>
      </c>
      <c r="AC178" s="2" t="s">
        <v>233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233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233</v>
      </c>
      <c r="AW178" s="8" t="s">
        <v>233</v>
      </c>
      <c r="AX178" s="4" t="s">
        <v>233</v>
      </c>
      <c r="AY178" s="8" t="s">
        <v>233</v>
      </c>
      <c r="AZ178" s="7" t="s">
        <v>233</v>
      </c>
      <c r="BA178" s="7" t="s">
        <v>233</v>
      </c>
      <c r="BB178" s="7"/>
      <c r="BC178" s="4" t="s">
        <v>233</v>
      </c>
      <c r="BD178" s="8" t="s">
        <v>233</v>
      </c>
      <c r="BE178" s="4" t="s">
        <v>233</v>
      </c>
      <c r="BF178" s="8" t="s">
        <v>233</v>
      </c>
      <c r="BG178" s="7" t="s">
        <v>233</v>
      </c>
      <c r="BH178" s="7" t="s">
        <v>233</v>
      </c>
      <c r="BI178" s="7"/>
      <c r="BJ178" s="4">
        <v>13</v>
      </c>
      <c r="BK178" s="8">
        <v>499.94</v>
      </c>
      <c r="BL178" s="2" t="s">
        <v>1254</v>
      </c>
      <c r="BM178" s="7"/>
      <c r="BN178" s="7"/>
      <c r="BO178" s="4"/>
      <c r="BP178" s="8"/>
      <c r="BQ178" s="4"/>
      <c r="BR178" s="8"/>
      <c r="BS178" s="7"/>
      <c r="BT178" s="7"/>
      <c r="BU178" s="2" t="s">
        <v>1255</v>
      </c>
      <c r="BV178" s="2" t="s">
        <v>233</v>
      </c>
      <c r="BW178" s="2" t="s">
        <v>233</v>
      </c>
      <c r="BX178" s="2" t="s">
        <v>233</v>
      </c>
      <c r="BY178" s="2" t="s">
        <v>280</v>
      </c>
      <c r="BZ178" s="2" t="s">
        <v>245</v>
      </c>
      <c r="CA178" s="2" t="s">
        <v>1251</v>
      </c>
      <c r="CB178" s="2" t="s">
        <v>1256</v>
      </c>
      <c r="CC178" s="2" t="s">
        <v>246</v>
      </c>
      <c r="CD178" s="2" t="s">
        <v>233</v>
      </c>
      <c r="CE178" s="4">
        <v>191</v>
      </c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</row>
    <row r="179">
      <c r="A179" s="2" t="s">
        <v>1257</v>
      </c>
      <c r="B179" s="2" t="s">
        <v>264</v>
      </c>
      <c r="C179" s="2" t="s">
        <v>446</v>
      </c>
      <c r="D179" s="2" t="s">
        <v>266</v>
      </c>
      <c r="E179" s="2" t="s">
        <v>390</v>
      </c>
      <c r="F179" s="2" t="s">
        <v>1258</v>
      </c>
      <c r="G179" s="2" t="s">
        <v>1258</v>
      </c>
      <c r="H179" s="2" t="s">
        <v>1258</v>
      </c>
      <c r="I179" s="2" t="s">
        <v>1259</v>
      </c>
      <c r="J179" s="2" t="s">
        <v>328</v>
      </c>
      <c r="K179" s="2" t="s">
        <v>297</v>
      </c>
      <c r="L179" s="3">
        <v>20.21</v>
      </c>
      <c r="M179" s="3">
        <v>21.22</v>
      </c>
      <c r="N179" s="3">
        <v>42.99</v>
      </c>
      <c r="O179" s="2" t="s">
        <v>237</v>
      </c>
      <c r="P179" s="2" t="s">
        <v>311</v>
      </c>
      <c r="Q179" s="2" t="s">
        <v>239</v>
      </c>
      <c r="R179" s="2" t="s">
        <v>233</v>
      </c>
      <c r="S179" s="2" t="s">
        <v>1260</v>
      </c>
      <c r="T179" s="2" t="s">
        <v>395</v>
      </c>
      <c r="U179" s="2" t="s">
        <v>233</v>
      </c>
      <c r="V179" s="2" t="s">
        <v>241</v>
      </c>
      <c r="W179" s="2" t="s">
        <v>275</v>
      </c>
      <c r="X179" s="2" t="s">
        <v>233</v>
      </c>
      <c r="Y179" s="2" t="s">
        <v>1261</v>
      </c>
      <c r="Z179" s="4">
        <v>7</v>
      </c>
      <c r="AA179" s="4">
        <f>=ROUNDDOWN(1.4,0)</f>
      </c>
      <c r="AB179" s="5">
        <v>5</v>
      </c>
      <c r="AC179" s="2" t="s">
        <v>233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233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>
        <v>9</v>
      </c>
      <c r="BK179" s="8">
        <v>179.92</v>
      </c>
      <c r="BL179" s="2" t="s">
        <v>1262</v>
      </c>
      <c r="BM179" s="7"/>
      <c r="BN179" s="7"/>
      <c r="BO179" s="4"/>
      <c r="BP179" s="8"/>
      <c r="BQ179" s="4"/>
      <c r="BR179" s="8"/>
      <c r="BS179" s="7"/>
      <c r="BT179" s="7"/>
      <c r="BU179" s="2" t="s">
        <v>1263</v>
      </c>
      <c r="BV179" s="2" t="s">
        <v>233</v>
      </c>
      <c r="BW179" s="2" t="s">
        <v>233</v>
      </c>
      <c r="BX179" s="2" t="s">
        <v>243</v>
      </c>
      <c r="BY179" s="2" t="s">
        <v>280</v>
      </c>
      <c r="BZ179" s="2" t="s">
        <v>245</v>
      </c>
      <c r="CA179" s="2" t="s">
        <v>1261</v>
      </c>
      <c r="CB179" s="2" t="s">
        <v>1264</v>
      </c>
      <c r="CC179" s="2" t="s">
        <v>246</v>
      </c>
      <c r="CD179" s="2" t="s">
        <v>233</v>
      </c>
      <c r="CE179" s="4">
        <v>7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</row>
    <row r="180">
      <c r="A180" s="2" t="s">
        <v>1265</v>
      </c>
      <c r="B180" s="2" t="s">
        <v>910</v>
      </c>
      <c r="C180" s="2" t="s">
        <v>1266</v>
      </c>
      <c r="D180" s="2" t="s">
        <v>912</v>
      </c>
      <c r="E180" s="2" t="s">
        <v>913</v>
      </c>
      <c r="F180" s="2" t="s">
        <v>1267</v>
      </c>
      <c r="G180" s="2" t="s">
        <v>1268</v>
      </c>
      <c r="H180" s="2" t="s">
        <v>1269</v>
      </c>
      <c r="I180" s="2" t="s">
        <v>1270</v>
      </c>
      <c r="J180" s="2" t="s">
        <v>284</v>
      </c>
      <c r="K180" s="2" t="s">
        <v>1218</v>
      </c>
      <c r="L180" s="3">
        <v>21.15</v>
      </c>
      <c r="M180" s="3">
        <v>22.21</v>
      </c>
      <c r="N180" s="3">
        <v>44.99</v>
      </c>
      <c r="O180" s="2" t="s">
        <v>245</v>
      </c>
      <c r="P180" s="2" t="s">
        <v>272</v>
      </c>
      <c r="Q180" s="2" t="s">
        <v>239</v>
      </c>
      <c r="R180" s="2" t="s">
        <v>233</v>
      </c>
      <c r="S180" s="2" t="s">
        <v>1271</v>
      </c>
      <c r="T180" s="2" t="s">
        <v>395</v>
      </c>
      <c r="U180" s="2" t="s">
        <v>475</v>
      </c>
      <c r="V180" s="2" t="s">
        <v>1272</v>
      </c>
      <c r="W180" s="2" t="s">
        <v>275</v>
      </c>
      <c r="X180" s="2" t="s">
        <v>451</v>
      </c>
      <c r="Y180" s="2" t="s">
        <v>276</v>
      </c>
      <c r="Z180" s="4">
        <v>161</v>
      </c>
      <c r="AA180" s="4">
        <f>=ROUNDDOWN(32.2,0)</f>
      </c>
      <c r="AB180" s="5">
        <v>5</v>
      </c>
      <c r="AC180" s="2" t="s">
        <v>233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233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>
        <v>3</v>
      </c>
      <c r="BK180" s="8">
        <v>62.98</v>
      </c>
      <c r="BL180" s="2" t="s">
        <v>1086</v>
      </c>
      <c r="BM180" s="7"/>
      <c r="BN180" s="7"/>
      <c r="BO180" s="4"/>
      <c r="BP180" s="8"/>
      <c r="BQ180" s="4"/>
      <c r="BR180" s="8"/>
      <c r="BS180" s="7"/>
      <c r="BT180" s="7"/>
      <c r="BU180" s="2" t="s">
        <v>1273</v>
      </c>
      <c r="BV180" s="2" t="s">
        <v>233</v>
      </c>
      <c r="BW180" s="2" t="s">
        <v>233</v>
      </c>
      <c r="BX180" s="2" t="s">
        <v>233</v>
      </c>
      <c r="BY180" s="2" t="s">
        <v>280</v>
      </c>
      <c r="BZ180" s="2" t="s">
        <v>245</v>
      </c>
      <c r="CA180" s="2" t="s">
        <v>281</v>
      </c>
      <c r="CB180" s="2" t="s">
        <v>1274</v>
      </c>
      <c r="CC180" s="2" t="s">
        <v>246</v>
      </c>
      <c r="CD180" s="2" t="s">
        <v>233</v>
      </c>
      <c r="CE180" s="4">
        <v>161</v>
      </c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</row>
    <row r="181">
      <c r="A181" s="2" t="s">
        <v>1275</v>
      </c>
      <c r="B181" s="2" t="s">
        <v>1276</v>
      </c>
      <c r="C181" s="2" t="s">
        <v>1277</v>
      </c>
      <c r="D181" s="2" t="s">
        <v>1278</v>
      </c>
      <c r="E181" s="2" t="s">
        <v>1279</v>
      </c>
      <c r="F181" s="2" t="s">
        <v>1280</v>
      </c>
      <c r="G181" s="2" t="s">
        <v>1280</v>
      </c>
      <c r="H181" s="2" t="s">
        <v>1280</v>
      </c>
      <c r="I181" s="2" t="s">
        <v>1281</v>
      </c>
      <c r="J181" s="2" t="s">
        <v>1282</v>
      </c>
      <c r="K181" s="2" t="s">
        <v>255</v>
      </c>
      <c r="L181" s="3">
        <v>22.49</v>
      </c>
      <c r="M181" s="3">
        <v>23.61</v>
      </c>
      <c r="N181" s="3">
        <v>49.99</v>
      </c>
      <c r="O181" s="2" t="s">
        <v>245</v>
      </c>
      <c r="P181" s="2" t="s">
        <v>238</v>
      </c>
      <c r="Q181" s="2" t="s">
        <v>239</v>
      </c>
      <c r="R181" s="2" t="s">
        <v>233</v>
      </c>
      <c r="S181" s="2" t="s">
        <v>233</v>
      </c>
      <c r="T181" s="2" t="s">
        <v>233</v>
      </c>
      <c r="U181" s="2" t="s">
        <v>396</v>
      </c>
      <c r="V181" s="2" t="s">
        <v>893</v>
      </c>
      <c r="W181" s="2" t="s">
        <v>275</v>
      </c>
      <c r="X181" s="2" t="s">
        <v>233</v>
      </c>
      <c r="Y181" s="2" t="s">
        <v>1283</v>
      </c>
      <c r="Z181" s="4">
        <v>350</v>
      </c>
      <c r="AA181" s="4">
        <f>=ROUNDDOWN(87.5,0)</f>
      </c>
      <c r="AB181" s="5">
        <v>4</v>
      </c>
      <c r="AC181" s="2" t="s">
        <v>1284</v>
      </c>
      <c r="AD181" s="4">
        <v>141</v>
      </c>
      <c r="AE181" s="4">
        <v>141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233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233</v>
      </c>
      <c r="AW181" s="8" t="s">
        <v>233</v>
      </c>
      <c r="AX181" s="4" t="s">
        <v>233</v>
      </c>
      <c r="AY181" s="8" t="s">
        <v>233</v>
      </c>
      <c r="AZ181" s="7" t="s">
        <v>233</v>
      </c>
      <c r="BA181" s="7" t="s">
        <v>233</v>
      </c>
      <c r="BB181" s="7"/>
      <c r="BC181" s="4" t="s">
        <v>233</v>
      </c>
      <c r="BD181" s="8" t="s">
        <v>233</v>
      </c>
      <c r="BE181" s="4" t="s">
        <v>233</v>
      </c>
      <c r="BF181" s="8" t="s">
        <v>233</v>
      </c>
      <c r="BG181" s="7" t="s">
        <v>233</v>
      </c>
      <c r="BH181" s="7" t="s">
        <v>233</v>
      </c>
      <c r="BI181" s="7"/>
      <c r="BJ181" s="4">
        <v>1</v>
      </c>
      <c r="BK181" s="8">
        <v>23.61</v>
      </c>
      <c r="BL181" s="2" t="s">
        <v>1028</v>
      </c>
      <c r="BM181" s="7"/>
      <c r="BN181" s="7"/>
      <c r="BO181" s="4"/>
      <c r="BP181" s="8"/>
      <c r="BQ181" s="4"/>
      <c r="BR181" s="8"/>
      <c r="BS181" s="7"/>
      <c r="BT181" s="7"/>
      <c r="BU181" s="2" t="s">
        <v>243</v>
      </c>
      <c r="BV181" s="2" t="s">
        <v>233</v>
      </c>
      <c r="BW181" s="2" t="s">
        <v>233</v>
      </c>
      <c r="BX181" s="2" t="s">
        <v>243</v>
      </c>
      <c r="BY181" s="2" t="s">
        <v>346</v>
      </c>
      <c r="BZ181" s="2" t="s">
        <v>245</v>
      </c>
      <c r="CA181" s="2" t="s">
        <v>233</v>
      </c>
      <c r="CB181" s="2" t="s">
        <v>233</v>
      </c>
      <c r="CC181" s="2" t="s">
        <v>246</v>
      </c>
      <c r="CD181" s="2" t="s">
        <v>233</v>
      </c>
      <c r="CE181" s="4">
        <v>350</v>
      </c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>
        <v>141</v>
      </c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</row>
    <row r="182">
      <c r="A182" s="2" t="s">
        <v>1285</v>
      </c>
      <c r="B182" s="2" t="s">
        <v>1276</v>
      </c>
      <c r="C182" s="2" t="s">
        <v>1277</v>
      </c>
      <c r="D182" s="2" t="s">
        <v>1278</v>
      </c>
      <c r="E182" s="2" t="s">
        <v>1279</v>
      </c>
      <c r="F182" s="2" t="s">
        <v>1280</v>
      </c>
      <c r="G182" s="2" t="s">
        <v>1280</v>
      </c>
      <c r="H182" s="2" t="s">
        <v>1280</v>
      </c>
      <c r="I182" s="2" t="s">
        <v>1286</v>
      </c>
      <c r="J182" s="2" t="s">
        <v>1287</v>
      </c>
      <c r="K182" s="2" t="s">
        <v>255</v>
      </c>
      <c r="L182" s="3">
        <v>26.14</v>
      </c>
      <c r="M182" s="3">
        <v>27.45</v>
      </c>
      <c r="N182" s="3">
        <v>57.99</v>
      </c>
      <c r="O182" s="2" t="s">
        <v>245</v>
      </c>
      <c r="P182" s="2" t="s">
        <v>238</v>
      </c>
      <c r="Q182" s="2" t="s">
        <v>239</v>
      </c>
      <c r="R182" s="2" t="s">
        <v>233</v>
      </c>
      <c r="S182" s="2" t="s">
        <v>233</v>
      </c>
      <c r="T182" s="2" t="s">
        <v>233</v>
      </c>
      <c r="U182" s="2" t="s">
        <v>396</v>
      </c>
      <c r="V182" s="2" t="s">
        <v>893</v>
      </c>
      <c r="W182" s="2" t="s">
        <v>275</v>
      </c>
      <c r="X182" s="2" t="s">
        <v>233</v>
      </c>
      <c r="Y182" s="2" t="s">
        <v>1283</v>
      </c>
      <c r="Z182" s="4">
        <v>1363</v>
      </c>
      <c r="AA182" s="4">
        <f>=ROUNDDOWN(227.166666666667,0)</f>
      </c>
      <c r="AB182" s="5">
        <v>6</v>
      </c>
      <c r="AC182" s="2" t="s">
        <v>233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233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233</v>
      </c>
      <c r="AW182" s="8" t="s">
        <v>233</v>
      </c>
      <c r="AX182" s="4" t="s">
        <v>233</v>
      </c>
      <c r="AY182" s="8" t="s">
        <v>233</v>
      </c>
      <c r="AZ182" s="7" t="s">
        <v>233</v>
      </c>
      <c r="BA182" s="7" t="s">
        <v>233</v>
      </c>
      <c r="BB182" s="7"/>
      <c r="BC182" s="4" t="s">
        <v>233</v>
      </c>
      <c r="BD182" s="8" t="s">
        <v>233</v>
      </c>
      <c r="BE182" s="4" t="s">
        <v>233</v>
      </c>
      <c r="BF182" s="8" t="s">
        <v>233</v>
      </c>
      <c r="BG182" s="7" t="s">
        <v>233</v>
      </c>
      <c r="BH182" s="7" t="s">
        <v>233</v>
      </c>
      <c r="BI182" s="7"/>
      <c r="BJ182" s="4">
        <v>1</v>
      </c>
      <c r="BK182" s="8">
        <v>27.45</v>
      </c>
      <c r="BL182" s="2" t="s">
        <v>1028</v>
      </c>
      <c r="BM182" s="7"/>
      <c r="BN182" s="7"/>
      <c r="BO182" s="4"/>
      <c r="BP182" s="8"/>
      <c r="BQ182" s="4"/>
      <c r="BR182" s="8"/>
      <c r="BS182" s="7"/>
      <c r="BT182" s="7"/>
      <c r="BU182" s="2" t="s">
        <v>243</v>
      </c>
      <c r="BV182" s="2" t="s">
        <v>233</v>
      </c>
      <c r="BW182" s="2" t="s">
        <v>233</v>
      </c>
      <c r="BX182" s="2" t="s">
        <v>243</v>
      </c>
      <c r="BY182" s="2" t="s">
        <v>346</v>
      </c>
      <c r="BZ182" s="2" t="s">
        <v>245</v>
      </c>
      <c r="CA182" s="2" t="s">
        <v>233</v>
      </c>
      <c r="CB182" s="2" t="s">
        <v>233</v>
      </c>
      <c r="CC182" s="2" t="s">
        <v>246</v>
      </c>
      <c r="CD182" s="2" t="s">
        <v>233</v>
      </c>
      <c r="CE182" s="4">
        <v>1363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</row>
    <row r="183">
      <c r="A183" s="2" t="s">
        <v>1288</v>
      </c>
      <c r="B183" s="2" t="s">
        <v>1276</v>
      </c>
      <c r="C183" s="2" t="s">
        <v>1277</v>
      </c>
      <c r="D183" s="2" t="s">
        <v>1278</v>
      </c>
      <c r="E183" s="2" t="s">
        <v>1279</v>
      </c>
      <c r="F183" s="2" t="s">
        <v>1280</v>
      </c>
      <c r="G183" s="2" t="s">
        <v>1280</v>
      </c>
      <c r="H183" s="2" t="s">
        <v>1280</v>
      </c>
      <c r="I183" s="2" t="s">
        <v>1289</v>
      </c>
      <c r="J183" s="2" t="s">
        <v>1290</v>
      </c>
      <c r="K183" s="2" t="s">
        <v>255</v>
      </c>
      <c r="L183" s="3">
        <v>34.46</v>
      </c>
      <c r="M183" s="3">
        <v>36.18</v>
      </c>
      <c r="N183" s="3">
        <v>76.99</v>
      </c>
      <c r="O183" s="2" t="s">
        <v>245</v>
      </c>
      <c r="P183" s="2" t="s">
        <v>238</v>
      </c>
      <c r="Q183" s="2" t="s">
        <v>239</v>
      </c>
      <c r="R183" s="2" t="s">
        <v>233</v>
      </c>
      <c r="S183" s="2" t="s">
        <v>233</v>
      </c>
      <c r="T183" s="2" t="s">
        <v>233</v>
      </c>
      <c r="U183" s="2" t="s">
        <v>396</v>
      </c>
      <c r="V183" s="2" t="s">
        <v>893</v>
      </c>
      <c r="W183" s="2" t="s">
        <v>275</v>
      </c>
      <c r="X183" s="2" t="s">
        <v>233</v>
      </c>
      <c r="Y183" s="2" t="s">
        <v>1283</v>
      </c>
      <c r="Z183" s="4">
        <v>588</v>
      </c>
      <c r="AA183" s="4">
        <f>=ROUNDDOWN(117.6,0)</f>
      </c>
      <c r="AB183" s="5">
        <v>5</v>
      </c>
      <c r="AC183" s="2" t="s">
        <v>233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233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233</v>
      </c>
      <c r="AW183" s="8" t="s">
        <v>233</v>
      </c>
      <c r="AX183" s="4" t="s">
        <v>233</v>
      </c>
      <c r="AY183" s="8" t="s">
        <v>233</v>
      </c>
      <c r="AZ183" s="7" t="s">
        <v>233</v>
      </c>
      <c r="BA183" s="7" t="s">
        <v>233</v>
      </c>
      <c r="BB183" s="7"/>
      <c r="BC183" s="4" t="s">
        <v>233</v>
      </c>
      <c r="BD183" s="8" t="s">
        <v>233</v>
      </c>
      <c r="BE183" s="4" t="s">
        <v>233</v>
      </c>
      <c r="BF183" s="8" t="s">
        <v>233</v>
      </c>
      <c r="BG183" s="7" t="s">
        <v>233</v>
      </c>
      <c r="BH183" s="7" t="s">
        <v>233</v>
      </c>
      <c r="BI183" s="7"/>
      <c r="BJ183" s="4">
        <v>1</v>
      </c>
      <c r="BK183" s="8">
        <v>36.18</v>
      </c>
      <c r="BL183" s="2" t="s">
        <v>1028</v>
      </c>
      <c r="BM183" s="7"/>
      <c r="BN183" s="7"/>
      <c r="BO183" s="4"/>
      <c r="BP183" s="8"/>
      <c r="BQ183" s="4"/>
      <c r="BR183" s="8"/>
      <c r="BS183" s="7"/>
      <c r="BT183" s="7"/>
      <c r="BU183" s="2" t="s">
        <v>243</v>
      </c>
      <c r="BV183" s="2" t="s">
        <v>233</v>
      </c>
      <c r="BW183" s="2" t="s">
        <v>233</v>
      </c>
      <c r="BX183" s="2" t="s">
        <v>243</v>
      </c>
      <c r="BY183" s="2" t="s">
        <v>346</v>
      </c>
      <c r="BZ183" s="2" t="s">
        <v>245</v>
      </c>
      <c r="CA183" s="2" t="s">
        <v>233</v>
      </c>
      <c r="CB183" s="2" t="s">
        <v>233</v>
      </c>
      <c r="CC183" s="2" t="s">
        <v>246</v>
      </c>
      <c r="CD183" s="2" t="s">
        <v>233</v>
      </c>
      <c r="CE183" s="4">
        <v>588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</row>
    <row r="184">
      <c r="A184" s="2" t="s">
        <v>1291</v>
      </c>
      <c r="B184" s="2" t="s">
        <v>1276</v>
      </c>
      <c r="C184" s="2" t="s">
        <v>1277</v>
      </c>
      <c r="D184" s="2" t="s">
        <v>1278</v>
      </c>
      <c r="E184" s="2" t="s">
        <v>1279</v>
      </c>
      <c r="F184" s="2" t="s">
        <v>1280</v>
      </c>
      <c r="G184" s="2" t="s">
        <v>1280</v>
      </c>
      <c r="H184" s="2" t="s">
        <v>1280</v>
      </c>
      <c r="I184" s="2" t="s">
        <v>1281</v>
      </c>
      <c r="J184" s="2" t="s">
        <v>1282</v>
      </c>
      <c r="K184" s="2" t="s">
        <v>582</v>
      </c>
      <c r="L184" s="3">
        <v>22.49</v>
      </c>
      <c r="M184" s="3">
        <v>23.61</v>
      </c>
      <c r="N184" s="3">
        <v>49.99</v>
      </c>
      <c r="O184" s="2" t="s">
        <v>245</v>
      </c>
      <c r="P184" s="2" t="s">
        <v>238</v>
      </c>
      <c r="Q184" s="2" t="s">
        <v>239</v>
      </c>
      <c r="R184" s="2" t="s">
        <v>233</v>
      </c>
      <c r="S184" s="2" t="s">
        <v>233</v>
      </c>
      <c r="T184" s="2" t="s">
        <v>233</v>
      </c>
      <c r="U184" s="2" t="s">
        <v>396</v>
      </c>
      <c r="V184" s="2" t="s">
        <v>893</v>
      </c>
      <c r="W184" s="2" t="s">
        <v>275</v>
      </c>
      <c r="X184" s="2" t="s">
        <v>233</v>
      </c>
      <c r="Y184" s="2" t="s">
        <v>1283</v>
      </c>
      <c r="Z184" s="4">
        <v>16</v>
      </c>
      <c r="AA184" s="4">
        <f>=ROUNDDOWN(16,0)</f>
      </c>
      <c r="AB184" s="5">
        <v>1</v>
      </c>
      <c r="AC184" s="2" t="s">
        <v>233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233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233</v>
      </c>
      <c r="AW184" s="8" t="s">
        <v>233</v>
      </c>
      <c r="AX184" s="4" t="s">
        <v>233</v>
      </c>
      <c r="AY184" s="8" t="s">
        <v>233</v>
      </c>
      <c r="AZ184" s="7" t="s">
        <v>233</v>
      </c>
      <c r="BA184" s="7" t="s">
        <v>233</v>
      </c>
      <c r="BB184" s="7"/>
      <c r="BC184" s="4" t="s">
        <v>233</v>
      </c>
      <c r="BD184" s="8" t="s">
        <v>233</v>
      </c>
      <c r="BE184" s="4" t="s">
        <v>233</v>
      </c>
      <c r="BF184" s="8" t="s">
        <v>233</v>
      </c>
      <c r="BG184" s="7" t="s">
        <v>233</v>
      </c>
      <c r="BH184" s="7" t="s">
        <v>233</v>
      </c>
      <c r="BI184" s="7"/>
      <c r="BJ184" s="4">
        <v>6</v>
      </c>
      <c r="BK184" s="8">
        <v>67.98</v>
      </c>
      <c r="BL184" s="2" t="s">
        <v>1292</v>
      </c>
      <c r="BM184" s="7"/>
      <c r="BN184" s="7"/>
      <c r="BO184" s="4"/>
      <c r="BP184" s="8"/>
      <c r="BQ184" s="4"/>
      <c r="BR184" s="8"/>
      <c r="BS184" s="7"/>
      <c r="BT184" s="7"/>
      <c r="BU184" s="2" t="s">
        <v>243</v>
      </c>
      <c r="BV184" s="2" t="s">
        <v>233</v>
      </c>
      <c r="BW184" s="2" t="s">
        <v>233</v>
      </c>
      <c r="BX184" s="2" t="s">
        <v>243</v>
      </c>
      <c r="BY184" s="2" t="s">
        <v>244</v>
      </c>
      <c r="BZ184" s="2" t="s">
        <v>245</v>
      </c>
      <c r="CA184" s="2" t="s">
        <v>233</v>
      </c>
      <c r="CB184" s="2" t="s">
        <v>233</v>
      </c>
      <c r="CC184" s="2" t="s">
        <v>246</v>
      </c>
      <c r="CD184" s="2" t="s">
        <v>233</v>
      </c>
      <c r="CE184" s="4">
        <v>16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</row>
    <row r="185">
      <c r="A185" s="2" t="s">
        <v>1293</v>
      </c>
      <c r="B185" s="2" t="s">
        <v>1276</v>
      </c>
      <c r="C185" s="2" t="s">
        <v>1277</v>
      </c>
      <c r="D185" s="2" t="s">
        <v>1278</v>
      </c>
      <c r="E185" s="2" t="s">
        <v>1279</v>
      </c>
      <c r="F185" s="2" t="s">
        <v>1280</v>
      </c>
      <c r="G185" s="2" t="s">
        <v>1280</v>
      </c>
      <c r="H185" s="2" t="s">
        <v>1280</v>
      </c>
      <c r="I185" s="2" t="s">
        <v>1286</v>
      </c>
      <c r="J185" s="2" t="s">
        <v>1287</v>
      </c>
      <c r="K185" s="2" t="s">
        <v>582</v>
      </c>
      <c r="L185" s="3">
        <v>26.14</v>
      </c>
      <c r="M185" s="3">
        <v>27.45</v>
      </c>
      <c r="N185" s="3">
        <v>57.99</v>
      </c>
      <c r="O185" s="2" t="s">
        <v>245</v>
      </c>
      <c r="P185" s="2" t="s">
        <v>238</v>
      </c>
      <c r="Q185" s="2" t="s">
        <v>239</v>
      </c>
      <c r="R185" s="2" t="s">
        <v>233</v>
      </c>
      <c r="S185" s="2" t="s">
        <v>233</v>
      </c>
      <c r="T185" s="2" t="s">
        <v>233</v>
      </c>
      <c r="U185" s="2" t="s">
        <v>396</v>
      </c>
      <c r="V185" s="2" t="s">
        <v>893</v>
      </c>
      <c r="W185" s="2" t="s">
        <v>275</v>
      </c>
      <c r="X185" s="2" t="s">
        <v>233</v>
      </c>
      <c r="Y185" s="2" t="s">
        <v>1283</v>
      </c>
      <c r="Z185" s="4">
        <v>284</v>
      </c>
      <c r="AA185" s="4">
        <f>=ROUNDDOWN(56.8,0)</f>
      </c>
      <c r="AB185" s="5">
        <v>5</v>
      </c>
      <c r="AC185" s="2" t="s">
        <v>1284</v>
      </c>
      <c r="AD185" s="4">
        <v>20</v>
      </c>
      <c r="AE185" s="4">
        <v>20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233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233</v>
      </c>
      <c r="AW185" s="8" t="s">
        <v>233</v>
      </c>
      <c r="AX185" s="4" t="s">
        <v>233</v>
      </c>
      <c r="AY185" s="8" t="s">
        <v>233</v>
      </c>
      <c r="AZ185" s="7" t="s">
        <v>233</v>
      </c>
      <c r="BA185" s="7" t="s">
        <v>233</v>
      </c>
      <c r="BB185" s="7"/>
      <c r="BC185" s="4" t="s">
        <v>233</v>
      </c>
      <c r="BD185" s="8" t="s">
        <v>233</v>
      </c>
      <c r="BE185" s="4" t="s">
        <v>233</v>
      </c>
      <c r="BF185" s="8" t="s">
        <v>233</v>
      </c>
      <c r="BG185" s="7" t="s">
        <v>233</v>
      </c>
      <c r="BH185" s="7" t="s">
        <v>233</v>
      </c>
      <c r="BI185" s="7"/>
      <c r="BJ185" s="4"/>
      <c r="BK185" s="8"/>
      <c r="BL185" s="2" t="s">
        <v>233</v>
      </c>
      <c r="BM185" s="7"/>
      <c r="BN185" s="7"/>
      <c r="BO185" s="4"/>
      <c r="BP185" s="8"/>
      <c r="BQ185" s="4"/>
      <c r="BR185" s="8"/>
      <c r="BS185" s="7"/>
      <c r="BT185" s="7"/>
      <c r="BU185" s="2" t="s">
        <v>243</v>
      </c>
      <c r="BV185" s="2" t="s">
        <v>233</v>
      </c>
      <c r="BW185" s="2" t="s">
        <v>233</v>
      </c>
      <c r="BX185" s="2" t="s">
        <v>243</v>
      </c>
      <c r="BY185" s="2" t="s">
        <v>346</v>
      </c>
      <c r="BZ185" s="2" t="s">
        <v>245</v>
      </c>
      <c r="CA185" s="2" t="s">
        <v>233</v>
      </c>
      <c r="CB185" s="2" t="s">
        <v>233</v>
      </c>
      <c r="CC185" s="2" t="s">
        <v>246</v>
      </c>
      <c r="CD185" s="2" t="s">
        <v>233</v>
      </c>
      <c r="CE185" s="4">
        <v>280</v>
      </c>
      <c r="CF185" s="4"/>
      <c r="CG185" s="4"/>
      <c r="CH185" s="4"/>
      <c r="CI185" s="4"/>
      <c r="CJ185" s="4"/>
      <c r="CK185" s="4"/>
      <c r="CL185" s="4">
        <v>4</v>
      </c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>
        <v>20</v>
      </c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</row>
    <row r="186">
      <c r="A186" s="2" t="s">
        <v>1294</v>
      </c>
      <c r="B186" s="2" t="s">
        <v>1276</v>
      </c>
      <c r="C186" s="2" t="s">
        <v>1277</v>
      </c>
      <c r="D186" s="2" t="s">
        <v>1278</v>
      </c>
      <c r="E186" s="2" t="s">
        <v>1279</v>
      </c>
      <c r="F186" s="2" t="s">
        <v>1280</v>
      </c>
      <c r="G186" s="2" t="s">
        <v>1280</v>
      </c>
      <c r="H186" s="2" t="s">
        <v>1280</v>
      </c>
      <c r="I186" s="2" t="s">
        <v>1289</v>
      </c>
      <c r="J186" s="2" t="s">
        <v>1290</v>
      </c>
      <c r="K186" s="2" t="s">
        <v>582</v>
      </c>
      <c r="L186" s="3">
        <v>34.46</v>
      </c>
      <c r="M186" s="3">
        <v>36.18</v>
      </c>
      <c r="N186" s="3">
        <v>76.99</v>
      </c>
      <c r="O186" s="2" t="s">
        <v>245</v>
      </c>
      <c r="P186" s="2" t="s">
        <v>238</v>
      </c>
      <c r="Q186" s="2" t="s">
        <v>239</v>
      </c>
      <c r="R186" s="2" t="s">
        <v>233</v>
      </c>
      <c r="S186" s="2" t="s">
        <v>233</v>
      </c>
      <c r="T186" s="2" t="s">
        <v>233</v>
      </c>
      <c r="U186" s="2" t="s">
        <v>396</v>
      </c>
      <c r="V186" s="2" t="s">
        <v>893</v>
      </c>
      <c r="W186" s="2" t="s">
        <v>275</v>
      </c>
      <c r="X186" s="2" t="s">
        <v>233</v>
      </c>
      <c r="Y186" s="2" t="s">
        <v>1283</v>
      </c>
      <c r="Z186" s="4">
        <v>74</v>
      </c>
      <c r="AA186" s="4">
        <f>=ROUNDDOWN(37,0)</f>
      </c>
      <c r="AB186" s="5">
        <v>2</v>
      </c>
      <c r="AC186" s="2" t="s">
        <v>1284</v>
      </c>
      <c r="AD186" s="4">
        <v>318</v>
      </c>
      <c r="AE186" s="4">
        <v>318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233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233</v>
      </c>
      <c r="AW186" s="8" t="s">
        <v>233</v>
      </c>
      <c r="AX186" s="4" t="s">
        <v>233</v>
      </c>
      <c r="AY186" s="8" t="s">
        <v>233</v>
      </c>
      <c r="AZ186" s="7" t="s">
        <v>233</v>
      </c>
      <c r="BA186" s="7" t="s">
        <v>233</v>
      </c>
      <c r="BB186" s="7"/>
      <c r="BC186" s="4" t="s">
        <v>233</v>
      </c>
      <c r="BD186" s="8" t="s">
        <v>233</v>
      </c>
      <c r="BE186" s="4" t="s">
        <v>233</v>
      </c>
      <c r="BF186" s="8" t="s">
        <v>233</v>
      </c>
      <c r="BG186" s="7" t="s">
        <v>233</v>
      </c>
      <c r="BH186" s="7" t="s">
        <v>233</v>
      </c>
      <c r="BI186" s="7"/>
      <c r="BJ186" s="4"/>
      <c r="BK186" s="8"/>
      <c r="BL186" s="2" t="s">
        <v>233</v>
      </c>
      <c r="BM186" s="7"/>
      <c r="BN186" s="7"/>
      <c r="BO186" s="4"/>
      <c r="BP186" s="8"/>
      <c r="BQ186" s="4"/>
      <c r="BR186" s="8"/>
      <c r="BS186" s="7"/>
      <c r="BT186" s="7"/>
      <c r="BU186" s="2" t="s">
        <v>243</v>
      </c>
      <c r="BV186" s="2" t="s">
        <v>233</v>
      </c>
      <c r="BW186" s="2" t="s">
        <v>233</v>
      </c>
      <c r="BX186" s="2" t="s">
        <v>243</v>
      </c>
      <c r="BY186" s="2" t="s">
        <v>346</v>
      </c>
      <c r="BZ186" s="2" t="s">
        <v>245</v>
      </c>
      <c r="CA186" s="2" t="s">
        <v>233</v>
      </c>
      <c r="CB186" s="2" t="s">
        <v>233</v>
      </c>
      <c r="CC186" s="2" t="s">
        <v>246</v>
      </c>
      <c r="CD186" s="2" t="s">
        <v>233</v>
      </c>
      <c r="CE186" s="4">
        <v>74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>
        <v>318</v>
      </c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</row>
    <row r="187">
      <c r="A187" s="2" t="s">
        <v>1295</v>
      </c>
      <c r="B187" s="2" t="s">
        <v>1276</v>
      </c>
      <c r="C187" s="2" t="s">
        <v>1277</v>
      </c>
      <c r="D187" s="2" t="s">
        <v>1278</v>
      </c>
      <c r="E187" s="2" t="s">
        <v>1279</v>
      </c>
      <c r="F187" s="2" t="s">
        <v>1280</v>
      </c>
      <c r="G187" s="2" t="s">
        <v>1280</v>
      </c>
      <c r="H187" s="2" t="s">
        <v>1280</v>
      </c>
      <c r="I187" s="2" t="s">
        <v>1281</v>
      </c>
      <c r="J187" s="2" t="s">
        <v>1282</v>
      </c>
      <c r="K187" s="2" t="s">
        <v>257</v>
      </c>
      <c r="L187" s="3">
        <v>22.49</v>
      </c>
      <c r="M187" s="3">
        <v>23.61</v>
      </c>
      <c r="N187" s="3">
        <v>49.99</v>
      </c>
      <c r="O187" s="2" t="s">
        <v>245</v>
      </c>
      <c r="P187" s="2" t="s">
        <v>238</v>
      </c>
      <c r="Q187" s="2" t="s">
        <v>239</v>
      </c>
      <c r="R187" s="2" t="s">
        <v>233</v>
      </c>
      <c r="S187" s="2" t="s">
        <v>233</v>
      </c>
      <c r="T187" s="2" t="s">
        <v>233</v>
      </c>
      <c r="U187" s="2" t="s">
        <v>396</v>
      </c>
      <c r="V187" s="2" t="s">
        <v>893</v>
      </c>
      <c r="W187" s="2" t="s">
        <v>275</v>
      </c>
      <c r="X187" s="2" t="s">
        <v>233</v>
      </c>
      <c r="Y187" s="2" t="s">
        <v>1283</v>
      </c>
      <c r="Z187" s="4">
        <v>50</v>
      </c>
      <c r="AA187" s="4">
        <f>=ROUNDDOWN(16.6666666666667,0)</f>
      </c>
      <c r="AB187" s="5">
        <v>3</v>
      </c>
      <c r="AC187" s="2" t="s">
        <v>1284</v>
      </c>
      <c r="AD187" s="4">
        <v>138</v>
      </c>
      <c r="AE187" s="4">
        <v>138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233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233</v>
      </c>
      <c r="AW187" s="8" t="s">
        <v>233</v>
      </c>
      <c r="AX187" s="4" t="s">
        <v>233</v>
      </c>
      <c r="AY187" s="8" t="s">
        <v>233</v>
      </c>
      <c r="AZ187" s="7" t="s">
        <v>233</v>
      </c>
      <c r="BA187" s="7" t="s">
        <v>233</v>
      </c>
      <c r="BB187" s="7"/>
      <c r="BC187" s="4" t="s">
        <v>233</v>
      </c>
      <c r="BD187" s="8" t="s">
        <v>233</v>
      </c>
      <c r="BE187" s="4" t="s">
        <v>233</v>
      </c>
      <c r="BF187" s="8" t="s">
        <v>233</v>
      </c>
      <c r="BG187" s="7" t="s">
        <v>233</v>
      </c>
      <c r="BH187" s="7" t="s">
        <v>233</v>
      </c>
      <c r="BI187" s="7"/>
      <c r="BJ187" s="4"/>
      <c r="BK187" s="8"/>
      <c r="BL187" s="2" t="s">
        <v>233</v>
      </c>
      <c r="BM187" s="7"/>
      <c r="BN187" s="7"/>
      <c r="BO187" s="4"/>
      <c r="BP187" s="8"/>
      <c r="BQ187" s="4"/>
      <c r="BR187" s="8"/>
      <c r="BS187" s="7"/>
      <c r="BT187" s="7"/>
      <c r="BU187" s="2" t="s">
        <v>243</v>
      </c>
      <c r="BV187" s="2" t="s">
        <v>233</v>
      </c>
      <c r="BW187" s="2" t="s">
        <v>233</v>
      </c>
      <c r="BX187" s="2" t="s">
        <v>243</v>
      </c>
      <c r="BY187" s="2" t="s">
        <v>346</v>
      </c>
      <c r="BZ187" s="2" t="s">
        <v>245</v>
      </c>
      <c r="CA187" s="2" t="s">
        <v>233</v>
      </c>
      <c r="CB187" s="2" t="s">
        <v>233</v>
      </c>
      <c r="CC187" s="2" t="s">
        <v>246</v>
      </c>
      <c r="CD187" s="2" t="s">
        <v>233</v>
      </c>
      <c r="CE187" s="4">
        <v>50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>
        <v>138</v>
      </c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</row>
    <row r="188">
      <c r="A188" s="2" t="s">
        <v>1296</v>
      </c>
      <c r="B188" s="2" t="s">
        <v>1276</v>
      </c>
      <c r="C188" s="2" t="s">
        <v>1277</v>
      </c>
      <c r="D188" s="2" t="s">
        <v>1278</v>
      </c>
      <c r="E188" s="2" t="s">
        <v>1279</v>
      </c>
      <c r="F188" s="2" t="s">
        <v>1280</v>
      </c>
      <c r="G188" s="2" t="s">
        <v>1280</v>
      </c>
      <c r="H188" s="2" t="s">
        <v>1280</v>
      </c>
      <c r="I188" s="2" t="s">
        <v>1286</v>
      </c>
      <c r="J188" s="2" t="s">
        <v>1287</v>
      </c>
      <c r="K188" s="2" t="s">
        <v>257</v>
      </c>
      <c r="L188" s="3">
        <v>26.14</v>
      </c>
      <c r="M188" s="3">
        <v>27.45</v>
      </c>
      <c r="N188" s="3">
        <v>57.99</v>
      </c>
      <c r="O188" s="2" t="s">
        <v>245</v>
      </c>
      <c r="P188" s="2" t="s">
        <v>238</v>
      </c>
      <c r="Q188" s="2" t="s">
        <v>239</v>
      </c>
      <c r="R188" s="2" t="s">
        <v>233</v>
      </c>
      <c r="S188" s="2" t="s">
        <v>233</v>
      </c>
      <c r="T188" s="2" t="s">
        <v>233</v>
      </c>
      <c r="U188" s="2" t="s">
        <v>396</v>
      </c>
      <c r="V188" s="2" t="s">
        <v>893</v>
      </c>
      <c r="W188" s="2" t="s">
        <v>275</v>
      </c>
      <c r="X188" s="2" t="s">
        <v>233</v>
      </c>
      <c r="Y188" s="2" t="s">
        <v>1283</v>
      </c>
      <c r="Z188" s="4">
        <v>289</v>
      </c>
      <c r="AA188" s="4">
        <f>=ROUNDDOWN(96.3333333333333,0)</f>
      </c>
      <c r="AB188" s="5">
        <v>3</v>
      </c>
      <c r="AC188" s="2" t="s">
        <v>233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233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233</v>
      </c>
      <c r="AW188" s="8" t="s">
        <v>233</v>
      </c>
      <c r="AX188" s="4" t="s">
        <v>233</v>
      </c>
      <c r="AY188" s="8" t="s">
        <v>233</v>
      </c>
      <c r="AZ188" s="7" t="s">
        <v>233</v>
      </c>
      <c r="BA188" s="7" t="s">
        <v>233</v>
      </c>
      <c r="BB188" s="7"/>
      <c r="BC188" s="4" t="s">
        <v>233</v>
      </c>
      <c r="BD188" s="8" t="s">
        <v>233</v>
      </c>
      <c r="BE188" s="4" t="s">
        <v>233</v>
      </c>
      <c r="BF188" s="8" t="s">
        <v>233</v>
      </c>
      <c r="BG188" s="7" t="s">
        <v>233</v>
      </c>
      <c r="BH188" s="7" t="s">
        <v>233</v>
      </c>
      <c r="BI188" s="7"/>
      <c r="BJ188" s="4"/>
      <c r="BK188" s="8"/>
      <c r="BL188" s="2" t="s">
        <v>233</v>
      </c>
      <c r="BM188" s="7"/>
      <c r="BN188" s="7"/>
      <c r="BO188" s="4"/>
      <c r="BP188" s="8"/>
      <c r="BQ188" s="4"/>
      <c r="BR188" s="8"/>
      <c r="BS188" s="7"/>
      <c r="BT188" s="7"/>
      <c r="BU188" s="2" t="s">
        <v>243</v>
      </c>
      <c r="BV188" s="2" t="s">
        <v>233</v>
      </c>
      <c r="BW188" s="2" t="s">
        <v>233</v>
      </c>
      <c r="BX188" s="2" t="s">
        <v>243</v>
      </c>
      <c r="BY188" s="2" t="s">
        <v>346</v>
      </c>
      <c r="BZ188" s="2" t="s">
        <v>245</v>
      </c>
      <c r="CA188" s="2" t="s">
        <v>233</v>
      </c>
      <c r="CB188" s="2" t="s">
        <v>233</v>
      </c>
      <c r="CC188" s="2" t="s">
        <v>246</v>
      </c>
      <c r="CD188" s="2" t="s">
        <v>233</v>
      </c>
      <c r="CE188" s="4">
        <v>288</v>
      </c>
      <c r="CF188" s="4">
        <v>1</v>
      </c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</row>
    <row r="189">
      <c r="A189" s="2" t="s">
        <v>1297</v>
      </c>
      <c r="B189" s="2" t="s">
        <v>1276</v>
      </c>
      <c r="C189" s="2" t="s">
        <v>1277</v>
      </c>
      <c r="D189" s="2" t="s">
        <v>1278</v>
      </c>
      <c r="E189" s="2" t="s">
        <v>1279</v>
      </c>
      <c r="F189" s="2" t="s">
        <v>1280</v>
      </c>
      <c r="G189" s="2" t="s">
        <v>1280</v>
      </c>
      <c r="H189" s="2" t="s">
        <v>1280</v>
      </c>
      <c r="I189" s="2" t="s">
        <v>1289</v>
      </c>
      <c r="J189" s="2" t="s">
        <v>1290</v>
      </c>
      <c r="K189" s="2" t="s">
        <v>257</v>
      </c>
      <c r="L189" s="3">
        <v>34.46</v>
      </c>
      <c r="M189" s="3">
        <v>36.18</v>
      </c>
      <c r="N189" s="3">
        <v>76.99</v>
      </c>
      <c r="O189" s="2" t="s">
        <v>245</v>
      </c>
      <c r="P189" s="2" t="s">
        <v>238</v>
      </c>
      <c r="Q189" s="2" t="s">
        <v>239</v>
      </c>
      <c r="R189" s="2" t="s">
        <v>233</v>
      </c>
      <c r="S189" s="2" t="s">
        <v>233</v>
      </c>
      <c r="T189" s="2" t="s">
        <v>233</v>
      </c>
      <c r="U189" s="2" t="s">
        <v>396</v>
      </c>
      <c r="V189" s="2" t="s">
        <v>893</v>
      </c>
      <c r="W189" s="2" t="s">
        <v>275</v>
      </c>
      <c r="X189" s="2" t="s">
        <v>233</v>
      </c>
      <c r="Y189" s="2" t="s">
        <v>1283</v>
      </c>
      <c r="Z189" s="4">
        <v>70</v>
      </c>
      <c r="AA189" s="4">
        <f>=ROUNDDOWN(23.3333333333333,0)</f>
      </c>
      <c r="AB189" s="5">
        <v>3</v>
      </c>
      <c r="AC189" s="2" t="s">
        <v>233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233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233</v>
      </c>
      <c r="AW189" s="8" t="s">
        <v>233</v>
      </c>
      <c r="AX189" s="4" t="s">
        <v>233</v>
      </c>
      <c r="AY189" s="8" t="s">
        <v>233</v>
      </c>
      <c r="AZ189" s="7" t="s">
        <v>233</v>
      </c>
      <c r="BA189" s="7" t="s">
        <v>233</v>
      </c>
      <c r="BB189" s="7"/>
      <c r="BC189" s="4" t="s">
        <v>233</v>
      </c>
      <c r="BD189" s="8" t="s">
        <v>233</v>
      </c>
      <c r="BE189" s="4" t="s">
        <v>233</v>
      </c>
      <c r="BF189" s="8" t="s">
        <v>233</v>
      </c>
      <c r="BG189" s="7" t="s">
        <v>233</v>
      </c>
      <c r="BH189" s="7" t="s">
        <v>233</v>
      </c>
      <c r="BI189" s="7"/>
      <c r="BJ189" s="4"/>
      <c r="BK189" s="8"/>
      <c r="BL189" s="2" t="s">
        <v>233</v>
      </c>
      <c r="BM189" s="7"/>
      <c r="BN189" s="7"/>
      <c r="BO189" s="4"/>
      <c r="BP189" s="8"/>
      <c r="BQ189" s="4"/>
      <c r="BR189" s="8"/>
      <c r="BS189" s="7"/>
      <c r="BT189" s="7"/>
      <c r="BU189" s="2" t="s">
        <v>243</v>
      </c>
      <c r="BV189" s="2" t="s">
        <v>233</v>
      </c>
      <c r="BW189" s="2" t="s">
        <v>233</v>
      </c>
      <c r="BX189" s="2" t="s">
        <v>243</v>
      </c>
      <c r="BY189" s="2" t="s">
        <v>346</v>
      </c>
      <c r="BZ189" s="2" t="s">
        <v>245</v>
      </c>
      <c r="CA189" s="2" t="s">
        <v>233</v>
      </c>
      <c r="CB189" s="2" t="s">
        <v>233</v>
      </c>
      <c r="CC189" s="2" t="s">
        <v>246</v>
      </c>
      <c r="CD189" s="2" t="s">
        <v>233</v>
      </c>
      <c r="CE189" s="4">
        <v>70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</row>
    <row r="190">
      <c r="A190" s="2" t="s">
        <v>1298</v>
      </c>
      <c r="B190" s="2" t="s">
        <v>1242</v>
      </c>
      <c r="C190" s="2" t="s">
        <v>901</v>
      </c>
      <c r="D190" s="2" t="s">
        <v>912</v>
      </c>
      <c r="E190" s="2" t="s">
        <v>913</v>
      </c>
      <c r="F190" s="2" t="s">
        <v>1299</v>
      </c>
      <c r="G190" s="2" t="s">
        <v>1299</v>
      </c>
      <c r="H190" s="2" t="s">
        <v>1299</v>
      </c>
      <c r="I190" s="2" t="s">
        <v>1300</v>
      </c>
      <c r="J190" s="2" t="s">
        <v>1142</v>
      </c>
      <c r="K190" s="2" t="s">
        <v>552</v>
      </c>
      <c r="L190" s="3">
        <v>58.5</v>
      </c>
      <c r="M190" s="3">
        <v>61.42</v>
      </c>
      <c r="N190" s="3">
        <v>119.99</v>
      </c>
      <c r="O190" s="2" t="s">
        <v>245</v>
      </c>
      <c r="P190" s="2" t="s">
        <v>996</v>
      </c>
      <c r="Q190" s="2" t="s">
        <v>239</v>
      </c>
      <c r="R190" s="2" t="s">
        <v>233</v>
      </c>
      <c r="S190" s="2" t="s">
        <v>1301</v>
      </c>
      <c r="T190" s="2" t="s">
        <v>233</v>
      </c>
      <c r="U190" s="2" t="s">
        <v>233</v>
      </c>
      <c r="V190" s="2" t="s">
        <v>1302</v>
      </c>
      <c r="W190" s="2" t="s">
        <v>894</v>
      </c>
      <c r="X190" s="2" t="s">
        <v>1303</v>
      </c>
      <c r="Y190" s="2" t="s">
        <v>1150</v>
      </c>
      <c r="Z190" s="4">
        <v>44</v>
      </c>
      <c r="AA190" s="4">
        <f>=ROUNDDOWN(14.6666666666667,0)</f>
      </c>
      <c r="AB190" s="5">
        <v>3</v>
      </c>
      <c r="AC190" s="2" t="s">
        <v>233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233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233</v>
      </c>
      <c r="BD190" s="8" t="s">
        <v>233</v>
      </c>
      <c r="BE190" s="4" t="s">
        <v>233</v>
      </c>
      <c r="BF190" s="8" t="s">
        <v>233</v>
      </c>
      <c r="BG190" s="7" t="s">
        <v>233</v>
      </c>
      <c r="BH190" s="7" t="s">
        <v>233</v>
      </c>
      <c r="BI190" s="7"/>
      <c r="BJ190" s="4">
        <v>12</v>
      </c>
      <c r="BK190" s="8">
        <v>799.07</v>
      </c>
      <c r="BL190" s="2" t="s">
        <v>1304</v>
      </c>
      <c r="BM190" s="7"/>
      <c r="BN190" s="7"/>
      <c r="BO190" s="4"/>
      <c r="BP190" s="8"/>
      <c r="BQ190" s="4"/>
      <c r="BR190" s="8"/>
      <c r="BS190" s="7"/>
      <c r="BT190" s="7"/>
      <c r="BU190" s="2" t="s">
        <v>1305</v>
      </c>
      <c r="BV190" s="2" t="s">
        <v>233</v>
      </c>
      <c r="BW190" s="2" t="s">
        <v>233</v>
      </c>
      <c r="BX190" s="2" t="s">
        <v>233</v>
      </c>
      <c r="BY190" s="2" t="s">
        <v>280</v>
      </c>
      <c r="BZ190" s="2" t="s">
        <v>245</v>
      </c>
      <c r="CA190" s="2" t="s">
        <v>1306</v>
      </c>
      <c r="CB190" s="2" t="s">
        <v>884</v>
      </c>
      <c r="CC190" s="2" t="s">
        <v>246</v>
      </c>
      <c r="CD190" s="2" t="s">
        <v>233</v>
      </c>
      <c r="CE190" s="4">
        <v>12</v>
      </c>
      <c r="CF190" s="4">
        <v>32</v>
      </c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</row>
    <row r="191">
      <c r="A191" s="2" t="s">
        <v>1307</v>
      </c>
      <c r="B191" s="2" t="s">
        <v>1242</v>
      </c>
      <c r="C191" s="2" t="s">
        <v>901</v>
      </c>
      <c r="D191" s="2" t="s">
        <v>912</v>
      </c>
      <c r="E191" s="2" t="s">
        <v>913</v>
      </c>
      <c r="F191" s="2" t="s">
        <v>1299</v>
      </c>
      <c r="G191" s="2" t="s">
        <v>1299</v>
      </c>
      <c r="H191" s="2" t="s">
        <v>1299</v>
      </c>
      <c r="I191" s="2" t="s">
        <v>1308</v>
      </c>
      <c r="J191" s="2" t="s">
        <v>981</v>
      </c>
      <c r="K191" s="2" t="s">
        <v>257</v>
      </c>
      <c r="L191" s="3">
        <v>44.1</v>
      </c>
      <c r="M191" s="3">
        <v>46.3</v>
      </c>
      <c r="N191" s="3">
        <v>89.99</v>
      </c>
      <c r="O191" s="2" t="s">
        <v>245</v>
      </c>
      <c r="P191" s="2" t="s">
        <v>272</v>
      </c>
      <c r="Q191" s="2" t="s">
        <v>239</v>
      </c>
      <c r="R191" s="2" t="s">
        <v>233</v>
      </c>
      <c r="S191" s="2" t="s">
        <v>1309</v>
      </c>
      <c r="T191" s="2" t="s">
        <v>233</v>
      </c>
      <c r="U191" s="2" t="s">
        <v>233</v>
      </c>
      <c r="V191" s="2" t="s">
        <v>1302</v>
      </c>
      <c r="W191" s="2" t="s">
        <v>894</v>
      </c>
      <c r="X191" s="2" t="s">
        <v>1303</v>
      </c>
      <c r="Y191" s="2" t="s">
        <v>276</v>
      </c>
      <c r="Z191" s="4">
        <v>160</v>
      </c>
      <c r="AA191" s="4">
        <f>=ROUNDDOWN(32,0)</f>
      </c>
      <c r="AB191" s="5">
        <v>5</v>
      </c>
      <c r="AC191" s="2" t="s">
        <v>1310</v>
      </c>
      <c r="AD191" s="4">
        <v>40</v>
      </c>
      <c r="AE191" s="4">
        <v>40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233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233</v>
      </c>
      <c r="BD191" s="8" t="s">
        <v>233</v>
      </c>
      <c r="BE191" s="4" t="s">
        <v>233</v>
      </c>
      <c r="BF191" s="8" t="s">
        <v>233</v>
      </c>
      <c r="BG191" s="7" t="s">
        <v>233</v>
      </c>
      <c r="BH191" s="7" t="s">
        <v>233</v>
      </c>
      <c r="BI191" s="7"/>
      <c r="BJ191" s="4">
        <v>3</v>
      </c>
      <c r="BK191" s="8">
        <v>158.25</v>
      </c>
      <c r="BL191" s="2" t="s">
        <v>1311</v>
      </c>
      <c r="BM191" s="7"/>
      <c r="BN191" s="7"/>
      <c r="BO191" s="4"/>
      <c r="BP191" s="8"/>
      <c r="BQ191" s="4"/>
      <c r="BR191" s="8"/>
      <c r="BS191" s="7"/>
      <c r="BT191" s="7"/>
      <c r="BU191" s="2" t="s">
        <v>1312</v>
      </c>
      <c r="BV191" s="2" t="s">
        <v>233</v>
      </c>
      <c r="BW191" s="2" t="s">
        <v>233</v>
      </c>
      <c r="BX191" s="2" t="s">
        <v>233</v>
      </c>
      <c r="BY191" s="2" t="s">
        <v>280</v>
      </c>
      <c r="BZ191" s="2" t="s">
        <v>245</v>
      </c>
      <c r="CA191" s="2" t="s">
        <v>281</v>
      </c>
      <c r="CB191" s="2" t="s">
        <v>1313</v>
      </c>
      <c r="CC191" s="2" t="s">
        <v>246</v>
      </c>
      <c r="CD191" s="2" t="s">
        <v>233</v>
      </c>
      <c r="CE191" s="4">
        <v>147</v>
      </c>
      <c r="CF191" s="4">
        <v>13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>
        <v>40</v>
      </c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</row>
    <row r="192">
      <c r="A192" s="2" t="s">
        <v>1314</v>
      </c>
      <c r="B192" s="2" t="s">
        <v>1242</v>
      </c>
      <c r="C192" s="2" t="s">
        <v>901</v>
      </c>
      <c r="D192" s="2" t="s">
        <v>912</v>
      </c>
      <c r="E192" s="2" t="s">
        <v>913</v>
      </c>
      <c r="F192" s="2" t="s">
        <v>1299</v>
      </c>
      <c r="G192" s="2" t="s">
        <v>1299</v>
      </c>
      <c r="H192" s="2" t="s">
        <v>1299</v>
      </c>
      <c r="I192" s="2" t="s">
        <v>1308</v>
      </c>
      <c r="J192" s="2" t="s">
        <v>1142</v>
      </c>
      <c r="K192" s="2" t="s">
        <v>1218</v>
      </c>
      <c r="L192" s="3">
        <v>58.5</v>
      </c>
      <c r="M192" s="3">
        <v>61.42</v>
      </c>
      <c r="N192" s="3">
        <v>119.99</v>
      </c>
      <c r="O192" s="2" t="s">
        <v>245</v>
      </c>
      <c r="P192" s="2" t="s">
        <v>272</v>
      </c>
      <c r="Q192" s="2" t="s">
        <v>239</v>
      </c>
      <c r="R192" s="2" t="s">
        <v>233</v>
      </c>
      <c r="S192" s="2" t="s">
        <v>1315</v>
      </c>
      <c r="T192" s="2" t="s">
        <v>233</v>
      </c>
      <c r="U192" s="2" t="s">
        <v>233</v>
      </c>
      <c r="V192" s="2" t="s">
        <v>1302</v>
      </c>
      <c r="W192" s="2" t="s">
        <v>894</v>
      </c>
      <c r="X192" s="2" t="s">
        <v>1303</v>
      </c>
      <c r="Y192" s="2" t="s">
        <v>276</v>
      </c>
      <c r="Z192" s="4">
        <v>183</v>
      </c>
      <c r="AA192" s="4">
        <f>=ROUNDDOWN(61,0)</f>
      </c>
      <c r="AB192" s="5">
        <v>3</v>
      </c>
      <c r="AC192" s="2" t="s">
        <v>233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233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233</v>
      </c>
      <c r="BD192" s="8" t="s">
        <v>233</v>
      </c>
      <c r="BE192" s="4" t="s">
        <v>233</v>
      </c>
      <c r="BF192" s="8" t="s">
        <v>233</v>
      </c>
      <c r="BG192" s="7" t="s">
        <v>233</v>
      </c>
      <c r="BH192" s="7" t="s">
        <v>233</v>
      </c>
      <c r="BI192" s="7"/>
      <c r="BJ192" s="4">
        <v>13</v>
      </c>
      <c r="BK192" s="8">
        <v>779.68</v>
      </c>
      <c r="BL192" s="2" t="s">
        <v>1316</v>
      </c>
      <c r="BM192" s="7"/>
      <c r="BN192" s="7"/>
      <c r="BO192" s="4"/>
      <c r="BP192" s="8"/>
      <c r="BQ192" s="4"/>
      <c r="BR192" s="8"/>
      <c r="BS192" s="7"/>
      <c r="BT192" s="7"/>
      <c r="BU192" s="2" t="s">
        <v>1317</v>
      </c>
      <c r="BV192" s="2" t="s">
        <v>233</v>
      </c>
      <c r="BW192" s="2" t="s">
        <v>233</v>
      </c>
      <c r="BX192" s="2" t="s">
        <v>233</v>
      </c>
      <c r="BY192" s="2" t="s">
        <v>280</v>
      </c>
      <c r="BZ192" s="2" t="s">
        <v>245</v>
      </c>
      <c r="CA192" s="2" t="s">
        <v>1318</v>
      </c>
      <c r="CB192" s="2" t="s">
        <v>1319</v>
      </c>
      <c r="CC192" s="2" t="s">
        <v>246</v>
      </c>
      <c r="CD192" s="2" t="s">
        <v>233</v>
      </c>
      <c r="CE192" s="4">
        <v>183</v>
      </c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</row>
    <row r="193">
      <c r="A193" s="2" t="s">
        <v>1320</v>
      </c>
      <c r="B193" s="2" t="s">
        <v>1066</v>
      </c>
      <c r="C193" s="2" t="s">
        <v>1321</v>
      </c>
      <c r="D193" s="2" t="s">
        <v>1322</v>
      </c>
      <c r="E193" s="2" t="s">
        <v>243</v>
      </c>
      <c r="F193" s="2" t="s">
        <v>1323</v>
      </c>
      <c r="G193" s="2" t="s">
        <v>1323</v>
      </c>
      <c r="H193" s="2" t="s">
        <v>1323</v>
      </c>
      <c r="I193" s="2" t="s">
        <v>233</v>
      </c>
      <c r="J193" s="2" t="s">
        <v>1324</v>
      </c>
      <c r="K193" s="2" t="s">
        <v>645</v>
      </c>
      <c r="L193" s="3">
        <v>81.19</v>
      </c>
      <c r="M193" s="3"/>
      <c r="N193" s="3"/>
      <c r="O193" s="2" t="s">
        <v>252</v>
      </c>
      <c r="P193" s="2" t="s">
        <v>233</v>
      </c>
      <c r="Q193" s="2" t="s">
        <v>233</v>
      </c>
      <c r="R193" s="2" t="s">
        <v>233</v>
      </c>
      <c r="S193" s="2" t="s">
        <v>233</v>
      </c>
      <c r="T193" s="2" t="s">
        <v>233</v>
      </c>
      <c r="U193" s="2" t="s">
        <v>233</v>
      </c>
      <c r="V193" s="2" t="s">
        <v>233</v>
      </c>
      <c r="W193" s="2" t="s">
        <v>233</v>
      </c>
      <c r="X193" s="2" t="s">
        <v>233</v>
      </c>
      <c r="Y193" s="2" t="s">
        <v>233</v>
      </c>
      <c r="Z193" s="4"/>
      <c r="AA193" s="4">
        <f>=ROUNDDOWN({0},0)</f>
      </c>
      <c r="AB193" s="5"/>
      <c r="AC193" s="2" t="s">
        <v>233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233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233</v>
      </c>
      <c r="BM193" s="7"/>
      <c r="BN193" s="7"/>
      <c r="BO193" s="4"/>
      <c r="BP193" s="8"/>
      <c r="BQ193" s="4"/>
      <c r="BR193" s="8"/>
      <c r="BS193" s="7"/>
      <c r="BT193" s="7"/>
      <c r="BU193" s="2" t="s">
        <v>233</v>
      </c>
      <c r="BV193" s="2" t="s">
        <v>233</v>
      </c>
      <c r="BW193" s="2" t="s">
        <v>233</v>
      </c>
      <c r="BX193" s="2" t="s">
        <v>233</v>
      </c>
      <c r="BY193" s="2" t="s">
        <v>233</v>
      </c>
      <c r="BZ193" s="2" t="s">
        <v>233</v>
      </c>
      <c r="CA193" s="2" t="s">
        <v>233</v>
      </c>
      <c r="CB193" s="2" t="s">
        <v>233</v>
      </c>
      <c r="CC193" s="2" t="s">
        <v>233</v>
      </c>
      <c r="CD193" s="2" t="s">
        <v>233</v>
      </c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</row>
    <row r="194">
      <c r="A194" s="2" t="s">
        <v>1325</v>
      </c>
      <c r="B194" s="2" t="s">
        <v>886</v>
      </c>
      <c r="C194" s="2" t="s">
        <v>1130</v>
      </c>
      <c r="D194" s="2" t="s">
        <v>1326</v>
      </c>
      <c r="E194" s="2" t="s">
        <v>1327</v>
      </c>
      <c r="F194" s="2" t="s">
        <v>1328</v>
      </c>
      <c r="G194" s="2" t="s">
        <v>1328</v>
      </c>
      <c r="H194" s="2" t="s">
        <v>1328</v>
      </c>
      <c r="I194" s="2" t="s">
        <v>1329</v>
      </c>
      <c r="J194" s="2" t="s">
        <v>892</v>
      </c>
      <c r="K194" s="2" t="s">
        <v>1105</v>
      </c>
      <c r="L194" s="3">
        <v>127.24</v>
      </c>
      <c r="M194" s="3">
        <v>133.6</v>
      </c>
      <c r="N194" s="3">
        <v>289.99</v>
      </c>
      <c r="O194" s="2" t="s">
        <v>245</v>
      </c>
      <c r="P194" s="2" t="s">
        <v>272</v>
      </c>
      <c r="Q194" s="2" t="s">
        <v>239</v>
      </c>
      <c r="R194" s="2" t="s">
        <v>233</v>
      </c>
      <c r="S194" s="2" t="s">
        <v>233</v>
      </c>
      <c r="T194" s="2" t="s">
        <v>233</v>
      </c>
      <c r="U194" s="2" t="s">
        <v>233</v>
      </c>
      <c r="V194" s="2" t="s">
        <v>241</v>
      </c>
      <c r="W194" s="2" t="s">
        <v>451</v>
      </c>
      <c r="X194" s="2" t="s">
        <v>233</v>
      </c>
      <c r="Y194" s="2" t="s">
        <v>1330</v>
      </c>
      <c r="Z194" s="4"/>
      <c r="AA194" s="4">
        <f>=ROUNDDOWN({0},0)</f>
      </c>
      <c r="AB194" s="5">
        <v>3</v>
      </c>
      <c r="AC194" s="2" t="s">
        <v>1172</v>
      </c>
      <c r="AD194" s="4">
        <v>100</v>
      </c>
      <c r="AE194" s="4">
        <v>100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233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>
        <v>2</v>
      </c>
      <c r="BK194" s="8">
        <v>356.68</v>
      </c>
      <c r="BL194" s="2" t="s">
        <v>1023</v>
      </c>
      <c r="BM194" s="7"/>
      <c r="BN194" s="7"/>
      <c r="BO194" s="4"/>
      <c r="BP194" s="8"/>
      <c r="BQ194" s="4"/>
      <c r="BR194" s="8"/>
      <c r="BS194" s="7"/>
      <c r="BT194" s="7"/>
      <c r="BU194" s="2" t="s">
        <v>1331</v>
      </c>
      <c r="BV194" s="2" t="s">
        <v>233</v>
      </c>
      <c r="BW194" s="2" t="s">
        <v>233</v>
      </c>
      <c r="BX194" s="2" t="s">
        <v>243</v>
      </c>
      <c r="BY194" s="2" t="s">
        <v>280</v>
      </c>
      <c r="BZ194" s="2" t="s">
        <v>245</v>
      </c>
      <c r="CA194" s="2" t="s">
        <v>1332</v>
      </c>
      <c r="CB194" s="2" t="s">
        <v>1333</v>
      </c>
      <c r="CC194" s="2" t="s">
        <v>246</v>
      </c>
      <c r="CD194" s="2" t="s">
        <v>233</v>
      </c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>
        <v>100</v>
      </c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</row>
    <row r="195">
      <c r="A195" s="2" t="s">
        <v>1334</v>
      </c>
      <c r="B195" s="2" t="s">
        <v>228</v>
      </c>
      <c r="C195" s="2" t="s">
        <v>1335</v>
      </c>
      <c r="D195" s="2" t="s">
        <v>969</v>
      </c>
      <c r="E195" s="2" t="s">
        <v>1078</v>
      </c>
      <c r="F195" s="2" t="s">
        <v>1336</v>
      </c>
      <c r="G195" s="2" t="s">
        <v>1336</v>
      </c>
      <c r="H195" s="2" t="s">
        <v>1336</v>
      </c>
      <c r="I195" s="2" t="s">
        <v>1337</v>
      </c>
      <c r="J195" s="2" t="s">
        <v>981</v>
      </c>
      <c r="K195" s="2" t="s">
        <v>1338</v>
      </c>
      <c r="L195" s="3">
        <v>56.45</v>
      </c>
      <c r="M195" s="3">
        <v>59.27</v>
      </c>
      <c r="N195" s="3">
        <v>118.99</v>
      </c>
      <c r="O195" s="2" t="s">
        <v>245</v>
      </c>
      <c r="P195" s="2" t="s">
        <v>272</v>
      </c>
      <c r="Q195" s="2" t="s">
        <v>239</v>
      </c>
      <c r="R195" s="2" t="s">
        <v>233</v>
      </c>
      <c r="S195" s="2" t="s">
        <v>1339</v>
      </c>
      <c r="T195" s="2" t="s">
        <v>1055</v>
      </c>
      <c r="U195" s="2" t="s">
        <v>342</v>
      </c>
      <c r="V195" s="2" t="s">
        <v>1340</v>
      </c>
      <c r="W195" s="2" t="s">
        <v>978</v>
      </c>
      <c r="X195" s="2" t="s">
        <v>1056</v>
      </c>
      <c r="Y195" s="2" t="s">
        <v>1064</v>
      </c>
      <c r="Z195" s="4"/>
      <c r="AA195" s="4">
        <f>=ROUNDDOWN({0},0)</f>
      </c>
      <c r="AB195" s="5">
        <v>20</v>
      </c>
      <c r="AC195" s="2" t="s">
        <v>1341</v>
      </c>
      <c r="AD195" s="4">
        <v>240</v>
      </c>
      <c r="AE195" s="4">
        <v>240</v>
      </c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233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233</v>
      </c>
      <c r="BD195" s="8" t="s">
        <v>233</v>
      </c>
      <c r="BE195" s="4" t="s">
        <v>233</v>
      </c>
      <c r="BF195" s="8" t="s">
        <v>233</v>
      </c>
      <c r="BG195" s="7" t="s">
        <v>233</v>
      </c>
      <c r="BH195" s="7" t="s">
        <v>233</v>
      </c>
      <c r="BI195" s="7"/>
      <c r="BJ195" s="4"/>
      <c r="BK195" s="8"/>
      <c r="BL195" s="2" t="s">
        <v>233</v>
      </c>
      <c r="BM195" s="7"/>
      <c r="BN195" s="7"/>
      <c r="BO195" s="4"/>
      <c r="BP195" s="8"/>
      <c r="BQ195" s="4"/>
      <c r="BR195" s="8"/>
      <c r="BS195" s="7"/>
      <c r="BT195" s="7"/>
      <c r="BU195" s="2" t="s">
        <v>1342</v>
      </c>
      <c r="BV195" s="2" t="s">
        <v>233</v>
      </c>
      <c r="BW195" s="2" t="s">
        <v>233</v>
      </c>
      <c r="BX195" s="2" t="s">
        <v>233</v>
      </c>
      <c r="BY195" s="2" t="s">
        <v>280</v>
      </c>
      <c r="BZ195" s="2" t="s">
        <v>245</v>
      </c>
      <c r="CA195" s="2" t="s">
        <v>1064</v>
      </c>
      <c r="CB195" s="2" t="s">
        <v>1343</v>
      </c>
      <c r="CC195" s="2" t="s">
        <v>246</v>
      </c>
      <c r="CD195" s="2" t="s">
        <v>233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>
        <v>240</v>
      </c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</row>
    <row r="196">
      <c r="A196" s="2" t="s">
        <v>1344</v>
      </c>
      <c r="B196" s="2" t="s">
        <v>228</v>
      </c>
      <c r="C196" s="2" t="s">
        <v>1335</v>
      </c>
      <c r="D196" s="2" t="s">
        <v>969</v>
      </c>
      <c r="E196" s="2" t="s">
        <v>1078</v>
      </c>
      <c r="F196" s="2" t="s">
        <v>1336</v>
      </c>
      <c r="G196" s="2" t="s">
        <v>1336</v>
      </c>
      <c r="H196" s="2" t="s">
        <v>1336</v>
      </c>
      <c r="I196" s="2" t="s">
        <v>1337</v>
      </c>
      <c r="J196" s="2" t="s">
        <v>981</v>
      </c>
      <c r="K196" s="2" t="s">
        <v>1345</v>
      </c>
      <c r="L196" s="3">
        <v>56.45</v>
      </c>
      <c r="M196" s="3">
        <v>59.27</v>
      </c>
      <c r="N196" s="3">
        <v>118.99</v>
      </c>
      <c r="O196" s="2" t="s">
        <v>245</v>
      </c>
      <c r="P196" s="2" t="s">
        <v>741</v>
      </c>
      <c r="Q196" s="2" t="s">
        <v>239</v>
      </c>
      <c r="R196" s="2" t="s">
        <v>233</v>
      </c>
      <c r="S196" s="2" t="s">
        <v>1346</v>
      </c>
      <c r="T196" s="2" t="s">
        <v>1055</v>
      </c>
      <c r="U196" s="2" t="s">
        <v>342</v>
      </c>
      <c r="V196" s="2" t="s">
        <v>241</v>
      </c>
      <c r="W196" s="2" t="s">
        <v>978</v>
      </c>
      <c r="X196" s="2" t="s">
        <v>1056</v>
      </c>
      <c r="Y196" s="2" t="s">
        <v>876</v>
      </c>
      <c r="Z196" s="4">
        <v>2</v>
      </c>
      <c r="AA196" s="4">
        <f>=ROUNDDOWN(0.0869565217391304,0)</f>
      </c>
      <c r="AB196" s="5">
        <v>23</v>
      </c>
      <c r="AC196" s="2" t="s">
        <v>1341</v>
      </c>
      <c r="AD196" s="4">
        <v>270</v>
      </c>
      <c r="AE196" s="4">
        <v>270</v>
      </c>
      <c r="AF196" s="6">
        <v>65</v>
      </c>
      <c r="AG196" s="6"/>
      <c r="AH196" s="7">
        <v>0</v>
      </c>
      <c r="AI196" s="4"/>
      <c r="AJ196" s="4">
        <f>=ROUNDDOWN({0},0)</f>
      </c>
      <c r="AK196" s="5"/>
      <c r="AL196" s="2" t="s">
        <v>233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233</v>
      </c>
      <c r="AW196" s="8" t="s">
        <v>233</v>
      </c>
      <c r="AX196" s="4" t="s">
        <v>233</v>
      </c>
      <c r="AY196" s="8" t="s">
        <v>233</v>
      </c>
      <c r="AZ196" s="7" t="s">
        <v>233</v>
      </c>
      <c r="BA196" s="7" t="s">
        <v>233</v>
      </c>
      <c r="BB196" s="7"/>
      <c r="BC196" s="4" t="s">
        <v>233</v>
      </c>
      <c r="BD196" s="8" t="s">
        <v>233</v>
      </c>
      <c r="BE196" s="4" t="s">
        <v>233</v>
      </c>
      <c r="BF196" s="8" t="s">
        <v>233</v>
      </c>
      <c r="BG196" s="7" t="s">
        <v>233</v>
      </c>
      <c r="BH196" s="7" t="s">
        <v>233</v>
      </c>
      <c r="BI196" s="7"/>
      <c r="BJ196" s="4"/>
      <c r="BK196" s="8"/>
      <c r="BL196" s="2" t="s">
        <v>233</v>
      </c>
      <c r="BM196" s="7"/>
      <c r="BN196" s="7"/>
      <c r="BO196" s="4"/>
      <c r="BP196" s="8"/>
      <c r="BQ196" s="4"/>
      <c r="BR196" s="8"/>
      <c r="BS196" s="7"/>
      <c r="BT196" s="7"/>
      <c r="BU196" s="2" t="s">
        <v>1347</v>
      </c>
      <c r="BV196" s="2" t="s">
        <v>233</v>
      </c>
      <c r="BW196" s="2" t="s">
        <v>233</v>
      </c>
      <c r="BX196" s="2" t="s">
        <v>233</v>
      </c>
      <c r="BY196" s="2" t="s">
        <v>280</v>
      </c>
      <c r="BZ196" s="2" t="s">
        <v>245</v>
      </c>
      <c r="CA196" s="2" t="s">
        <v>876</v>
      </c>
      <c r="CB196" s="2" t="s">
        <v>958</v>
      </c>
      <c r="CC196" s="2" t="s">
        <v>246</v>
      </c>
      <c r="CD196" s="2" t="s">
        <v>233</v>
      </c>
      <c r="CE196" s="4">
        <v>2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>
        <v>270</v>
      </c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</row>
    <row r="197">
      <c r="A197" s="2" t="s">
        <v>1348</v>
      </c>
      <c r="B197" s="2" t="s">
        <v>228</v>
      </c>
      <c r="C197" s="2" t="s">
        <v>1335</v>
      </c>
      <c r="D197" s="2" t="s">
        <v>969</v>
      </c>
      <c r="E197" s="2" t="s">
        <v>1078</v>
      </c>
      <c r="F197" s="2" t="s">
        <v>1336</v>
      </c>
      <c r="G197" s="2" t="s">
        <v>1336</v>
      </c>
      <c r="H197" s="2" t="s">
        <v>1336</v>
      </c>
      <c r="I197" s="2" t="s">
        <v>1337</v>
      </c>
      <c r="J197" s="2" t="s">
        <v>328</v>
      </c>
      <c r="K197" s="2" t="s">
        <v>1345</v>
      </c>
      <c r="L197" s="3">
        <v>63.11</v>
      </c>
      <c r="M197" s="3">
        <v>66.27</v>
      </c>
      <c r="N197" s="3">
        <v>132.99</v>
      </c>
      <c r="O197" s="2" t="s">
        <v>245</v>
      </c>
      <c r="P197" s="2" t="s">
        <v>741</v>
      </c>
      <c r="Q197" s="2" t="s">
        <v>239</v>
      </c>
      <c r="R197" s="2" t="s">
        <v>233</v>
      </c>
      <c r="S197" s="2" t="s">
        <v>1346</v>
      </c>
      <c r="T197" s="2" t="s">
        <v>1055</v>
      </c>
      <c r="U197" s="2" t="s">
        <v>342</v>
      </c>
      <c r="V197" s="2" t="s">
        <v>241</v>
      </c>
      <c r="W197" s="2" t="s">
        <v>978</v>
      </c>
      <c r="X197" s="2" t="s">
        <v>1056</v>
      </c>
      <c r="Y197" s="2" t="s">
        <v>1349</v>
      </c>
      <c r="Z197" s="4"/>
      <c r="AA197" s="4">
        <f>=ROUNDDOWN({0},0)</f>
      </c>
      <c r="AB197" s="5">
        <v>24</v>
      </c>
      <c r="AC197" s="2" t="s">
        <v>1341</v>
      </c>
      <c r="AD197" s="4">
        <v>300</v>
      </c>
      <c r="AE197" s="4">
        <v>300</v>
      </c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233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233</v>
      </c>
      <c r="AW197" s="8" t="s">
        <v>233</v>
      </c>
      <c r="AX197" s="4" t="s">
        <v>233</v>
      </c>
      <c r="AY197" s="8" t="s">
        <v>233</v>
      </c>
      <c r="AZ197" s="7" t="s">
        <v>233</v>
      </c>
      <c r="BA197" s="7" t="s">
        <v>233</v>
      </c>
      <c r="BB197" s="7"/>
      <c r="BC197" s="4" t="s">
        <v>233</v>
      </c>
      <c r="BD197" s="8" t="s">
        <v>233</v>
      </c>
      <c r="BE197" s="4" t="s">
        <v>233</v>
      </c>
      <c r="BF197" s="8" t="s">
        <v>233</v>
      </c>
      <c r="BG197" s="7" t="s">
        <v>233</v>
      </c>
      <c r="BH197" s="7" t="s">
        <v>233</v>
      </c>
      <c r="BI197" s="7"/>
      <c r="BJ197" s="4"/>
      <c r="BK197" s="8"/>
      <c r="BL197" s="2" t="s">
        <v>1292</v>
      </c>
      <c r="BM197" s="7"/>
      <c r="BN197" s="7"/>
      <c r="BO197" s="4"/>
      <c r="BP197" s="8"/>
      <c r="BQ197" s="4"/>
      <c r="BR197" s="8"/>
      <c r="BS197" s="7"/>
      <c r="BT197" s="7"/>
      <c r="BU197" s="2" t="s">
        <v>1350</v>
      </c>
      <c r="BV197" s="2" t="s">
        <v>233</v>
      </c>
      <c r="BW197" s="2" t="s">
        <v>233</v>
      </c>
      <c r="BX197" s="2" t="s">
        <v>233</v>
      </c>
      <c r="BY197" s="2" t="s">
        <v>280</v>
      </c>
      <c r="BZ197" s="2" t="s">
        <v>245</v>
      </c>
      <c r="CA197" s="2" t="s">
        <v>1349</v>
      </c>
      <c r="CB197" s="2" t="s">
        <v>1351</v>
      </c>
      <c r="CC197" s="2" t="s">
        <v>246</v>
      </c>
      <c r="CD197" s="2" t="s">
        <v>233</v>
      </c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>
        <v>300</v>
      </c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</row>
    <row r="198">
      <c r="A198" s="2" t="s">
        <v>1352</v>
      </c>
      <c r="B198" s="2" t="s">
        <v>228</v>
      </c>
      <c r="C198" s="2" t="s">
        <v>1335</v>
      </c>
      <c r="D198" s="2" t="s">
        <v>969</v>
      </c>
      <c r="E198" s="2" t="s">
        <v>1078</v>
      </c>
      <c r="F198" s="2" t="s">
        <v>1336</v>
      </c>
      <c r="G198" s="2" t="s">
        <v>1336</v>
      </c>
      <c r="H198" s="2" t="s">
        <v>1336</v>
      </c>
      <c r="I198" s="2" t="s">
        <v>1337</v>
      </c>
      <c r="J198" s="2" t="s">
        <v>270</v>
      </c>
      <c r="K198" s="2" t="s">
        <v>1353</v>
      </c>
      <c r="L198" s="3">
        <v>43.9</v>
      </c>
      <c r="M198" s="3">
        <v>46.1</v>
      </c>
      <c r="N198" s="3">
        <v>91.99</v>
      </c>
      <c r="O198" s="2" t="s">
        <v>245</v>
      </c>
      <c r="P198" s="2" t="s">
        <v>311</v>
      </c>
      <c r="Q198" s="2" t="s">
        <v>239</v>
      </c>
      <c r="R198" s="2" t="s">
        <v>233</v>
      </c>
      <c r="S198" s="2" t="s">
        <v>1354</v>
      </c>
      <c r="T198" s="2" t="s">
        <v>1055</v>
      </c>
      <c r="U198" s="2" t="s">
        <v>475</v>
      </c>
      <c r="V198" s="2" t="s">
        <v>241</v>
      </c>
      <c r="W198" s="2" t="s">
        <v>978</v>
      </c>
      <c r="X198" s="2" t="s">
        <v>233</v>
      </c>
      <c r="Y198" s="2" t="s">
        <v>1355</v>
      </c>
      <c r="Z198" s="4">
        <v>1</v>
      </c>
      <c r="AA198" s="4">
        <f>=ROUNDDOWN(0.125,0)</f>
      </c>
      <c r="AB198" s="5">
        <v>8</v>
      </c>
      <c r="AC198" s="2" t="s">
        <v>233</v>
      </c>
      <c r="AD198" s="4"/>
      <c r="AE198" s="4"/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233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233</v>
      </c>
      <c r="AW198" s="8" t="s">
        <v>233</v>
      </c>
      <c r="AX198" s="4" t="s">
        <v>233</v>
      </c>
      <c r="AY198" s="8" t="s">
        <v>233</v>
      </c>
      <c r="AZ198" s="7" t="s">
        <v>233</v>
      </c>
      <c r="BA198" s="7" t="s">
        <v>233</v>
      </c>
      <c r="BB198" s="7"/>
      <c r="BC198" s="4" t="s">
        <v>233</v>
      </c>
      <c r="BD198" s="8" t="s">
        <v>233</v>
      </c>
      <c r="BE198" s="4" t="s">
        <v>233</v>
      </c>
      <c r="BF198" s="8" t="s">
        <v>233</v>
      </c>
      <c r="BG198" s="7" t="s">
        <v>233</v>
      </c>
      <c r="BH198" s="7" t="s">
        <v>233</v>
      </c>
      <c r="BI198" s="7"/>
      <c r="BJ198" s="4"/>
      <c r="BK198" s="8"/>
      <c r="BL198" s="2" t="s">
        <v>233</v>
      </c>
      <c r="BM198" s="7"/>
      <c r="BN198" s="7"/>
      <c r="BO198" s="4"/>
      <c r="BP198" s="8"/>
      <c r="BQ198" s="4"/>
      <c r="BR198" s="8"/>
      <c r="BS198" s="7"/>
      <c r="BT198" s="7"/>
      <c r="BU198" s="2" t="s">
        <v>1356</v>
      </c>
      <c r="BV198" s="2" t="s">
        <v>233</v>
      </c>
      <c r="BW198" s="2" t="s">
        <v>233</v>
      </c>
      <c r="BX198" s="2" t="s">
        <v>595</v>
      </c>
      <c r="BY198" s="2" t="s">
        <v>280</v>
      </c>
      <c r="BZ198" s="2" t="s">
        <v>245</v>
      </c>
      <c r="CA198" s="2" t="s">
        <v>1357</v>
      </c>
      <c r="CB198" s="2" t="s">
        <v>1358</v>
      </c>
      <c r="CC198" s="2" t="s">
        <v>246</v>
      </c>
      <c r="CD198" s="2" t="s">
        <v>233</v>
      </c>
      <c r="CE198" s="4">
        <v>1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</row>
    <row r="199">
      <c r="A199" s="2" t="s">
        <v>1359</v>
      </c>
      <c r="B199" s="2" t="s">
        <v>228</v>
      </c>
      <c r="C199" s="2" t="s">
        <v>1335</v>
      </c>
      <c r="D199" s="2" t="s">
        <v>969</v>
      </c>
      <c r="E199" s="2" t="s">
        <v>1078</v>
      </c>
      <c r="F199" s="2" t="s">
        <v>1336</v>
      </c>
      <c r="G199" s="2" t="s">
        <v>1336</v>
      </c>
      <c r="H199" s="2" t="s">
        <v>1336</v>
      </c>
      <c r="I199" s="2" t="s">
        <v>1337</v>
      </c>
      <c r="J199" s="2" t="s">
        <v>981</v>
      </c>
      <c r="K199" s="2" t="s">
        <v>1353</v>
      </c>
      <c r="L199" s="3">
        <v>56.45</v>
      </c>
      <c r="M199" s="3">
        <v>59.27</v>
      </c>
      <c r="N199" s="3">
        <v>118.99</v>
      </c>
      <c r="O199" s="2" t="s">
        <v>245</v>
      </c>
      <c r="P199" s="2" t="s">
        <v>272</v>
      </c>
      <c r="Q199" s="2" t="s">
        <v>239</v>
      </c>
      <c r="R199" s="2" t="s">
        <v>233</v>
      </c>
      <c r="S199" s="2" t="s">
        <v>1354</v>
      </c>
      <c r="T199" s="2" t="s">
        <v>1055</v>
      </c>
      <c r="U199" s="2" t="s">
        <v>342</v>
      </c>
      <c r="V199" s="2" t="s">
        <v>241</v>
      </c>
      <c r="W199" s="2" t="s">
        <v>978</v>
      </c>
      <c r="X199" s="2" t="s">
        <v>233</v>
      </c>
      <c r="Y199" s="2" t="s">
        <v>1355</v>
      </c>
      <c r="Z199" s="4">
        <v>2</v>
      </c>
      <c r="AA199" s="4">
        <f>=ROUNDDOWN(0.111111111111111,0)</f>
      </c>
      <c r="AB199" s="5">
        <v>18</v>
      </c>
      <c r="AC199" s="2" t="s">
        <v>1341</v>
      </c>
      <c r="AD199" s="4">
        <v>230</v>
      </c>
      <c r="AE199" s="4">
        <v>230</v>
      </c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233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233</v>
      </c>
      <c r="AW199" s="8" t="s">
        <v>233</v>
      </c>
      <c r="AX199" s="4" t="s">
        <v>233</v>
      </c>
      <c r="AY199" s="8" t="s">
        <v>233</v>
      </c>
      <c r="AZ199" s="7" t="s">
        <v>233</v>
      </c>
      <c r="BA199" s="7" t="s">
        <v>233</v>
      </c>
      <c r="BB199" s="7"/>
      <c r="BC199" s="4" t="s">
        <v>233</v>
      </c>
      <c r="BD199" s="8" t="s">
        <v>233</v>
      </c>
      <c r="BE199" s="4" t="s">
        <v>233</v>
      </c>
      <c r="BF199" s="8" t="s">
        <v>233</v>
      </c>
      <c r="BG199" s="7" t="s">
        <v>233</v>
      </c>
      <c r="BH199" s="7" t="s">
        <v>233</v>
      </c>
      <c r="BI199" s="7"/>
      <c r="BJ199" s="4"/>
      <c r="BK199" s="8"/>
      <c r="BL199" s="2" t="s">
        <v>233</v>
      </c>
      <c r="BM199" s="7"/>
      <c r="BN199" s="7"/>
      <c r="BO199" s="4"/>
      <c r="BP199" s="8"/>
      <c r="BQ199" s="4"/>
      <c r="BR199" s="8"/>
      <c r="BS199" s="7"/>
      <c r="BT199" s="7"/>
      <c r="BU199" s="2" t="s">
        <v>1360</v>
      </c>
      <c r="BV199" s="2" t="s">
        <v>233</v>
      </c>
      <c r="BW199" s="2" t="s">
        <v>233</v>
      </c>
      <c r="BX199" s="2" t="s">
        <v>233</v>
      </c>
      <c r="BY199" s="2" t="s">
        <v>280</v>
      </c>
      <c r="BZ199" s="2" t="s">
        <v>245</v>
      </c>
      <c r="CA199" s="2" t="s">
        <v>1357</v>
      </c>
      <c r="CB199" s="2" t="s">
        <v>1361</v>
      </c>
      <c r="CC199" s="2" t="s">
        <v>246</v>
      </c>
      <c r="CD199" s="2" t="s">
        <v>233</v>
      </c>
      <c r="CE199" s="4">
        <v>2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>
        <v>230</v>
      </c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</row>
    <row r="200">
      <c r="A200" s="2" t="s">
        <v>1362</v>
      </c>
      <c r="B200" s="2" t="s">
        <v>228</v>
      </c>
      <c r="C200" s="2" t="s">
        <v>1335</v>
      </c>
      <c r="D200" s="2" t="s">
        <v>969</v>
      </c>
      <c r="E200" s="2" t="s">
        <v>1078</v>
      </c>
      <c r="F200" s="2" t="s">
        <v>1336</v>
      </c>
      <c r="G200" s="2" t="s">
        <v>1336</v>
      </c>
      <c r="H200" s="2" t="s">
        <v>1336</v>
      </c>
      <c r="I200" s="2" t="s">
        <v>1337</v>
      </c>
      <c r="J200" s="2" t="s">
        <v>328</v>
      </c>
      <c r="K200" s="2" t="s">
        <v>1353</v>
      </c>
      <c r="L200" s="3">
        <v>63.11</v>
      </c>
      <c r="M200" s="3">
        <v>66.27</v>
      </c>
      <c r="N200" s="3">
        <v>132.99</v>
      </c>
      <c r="O200" s="2" t="s">
        <v>245</v>
      </c>
      <c r="P200" s="2" t="s">
        <v>272</v>
      </c>
      <c r="Q200" s="2" t="s">
        <v>239</v>
      </c>
      <c r="R200" s="2" t="s">
        <v>233</v>
      </c>
      <c r="S200" s="2" t="s">
        <v>1354</v>
      </c>
      <c r="T200" s="2" t="s">
        <v>1055</v>
      </c>
      <c r="U200" s="2" t="s">
        <v>342</v>
      </c>
      <c r="V200" s="2" t="s">
        <v>241</v>
      </c>
      <c r="W200" s="2" t="s">
        <v>978</v>
      </c>
      <c r="X200" s="2" t="s">
        <v>233</v>
      </c>
      <c r="Y200" s="2" t="s">
        <v>1355</v>
      </c>
      <c r="Z200" s="4">
        <v>1</v>
      </c>
      <c r="AA200" s="4">
        <f>=ROUNDDOWN(0.0555555555555556,0)</f>
      </c>
      <c r="AB200" s="5">
        <v>18</v>
      </c>
      <c r="AC200" s="2" t="s">
        <v>1341</v>
      </c>
      <c r="AD200" s="4">
        <v>230</v>
      </c>
      <c r="AE200" s="4">
        <v>230</v>
      </c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233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233</v>
      </c>
      <c r="AW200" s="8" t="s">
        <v>233</v>
      </c>
      <c r="AX200" s="4" t="s">
        <v>233</v>
      </c>
      <c r="AY200" s="8" t="s">
        <v>233</v>
      </c>
      <c r="AZ200" s="7" t="s">
        <v>233</v>
      </c>
      <c r="BA200" s="7" t="s">
        <v>233</v>
      </c>
      <c r="BB200" s="7"/>
      <c r="BC200" s="4" t="s">
        <v>233</v>
      </c>
      <c r="BD200" s="8" t="s">
        <v>233</v>
      </c>
      <c r="BE200" s="4" t="s">
        <v>233</v>
      </c>
      <c r="BF200" s="8" t="s">
        <v>233</v>
      </c>
      <c r="BG200" s="7" t="s">
        <v>233</v>
      </c>
      <c r="BH200" s="7" t="s">
        <v>233</v>
      </c>
      <c r="BI200" s="7"/>
      <c r="BJ200" s="4">
        <v>1</v>
      </c>
      <c r="BK200" s="8">
        <v>66.27</v>
      </c>
      <c r="BL200" s="2" t="s">
        <v>744</v>
      </c>
      <c r="BM200" s="7"/>
      <c r="BN200" s="7"/>
      <c r="BO200" s="4"/>
      <c r="BP200" s="8"/>
      <c r="BQ200" s="4"/>
      <c r="BR200" s="8"/>
      <c r="BS200" s="7"/>
      <c r="BT200" s="7"/>
      <c r="BU200" s="2" t="s">
        <v>1363</v>
      </c>
      <c r="BV200" s="2" t="s">
        <v>233</v>
      </c>
      <c r="BW200" s="2" t="s">
        <v>233</v>
      </c>
      <c r="BX200" s="2" t="s">
        <v>233</v>
      </c>
      <c r="BY200" s="2" t="s">
        <v>280</v>
      </c>
      <c r="BZ200" s="2" t="s">
        <v>245</v>
      </c>
      <c r="CA200" s="2" t="s">
        <v>1357</v>
      </c>
      <c r="CB200" s="2" t="s">
        <v>1361</v>
      </c>
      <c r="CC200" s="2" t="s">
        <v>246</v>
      </c>
      <c r="CD200" s="2" t="s">
        <v>233</v>
      </c>
      <c r="CE200" s="4">
        <v>1</v>
      </c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>
        <v>230</v>
      </c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</row>
    <row r="201">
      <c r="A201" s="2" t="s">
        <v>1364</v>
      </c>
      <c r="B201" s="2" t="s">
        <v>228</v>
      </c>
      <c r="C201" s="2" t="s">
        <v>1335</v>
      </c>
      <c r="D201" s="2" t="s">
        <v>969</v>
      </c>
      <c r="E201" s="2" t="s">
        <v>1078</v>
      </c>
      <c r="F201" s="2" t="s">
        <v>1336</v>
      </c>
      <c r="G201" s="2" t="s">
        <v>1336</v>
      </c>
      <c r="H201" s="2" t="s">
        <v>1336</v>
      </c>
      <c r="I201" s="2" t="s">
        <v>1337</v>
      </c>
      <c r="J201" s="2" t="s">
        <v>981</v>
      </c>
      <c r="K201" s="2" t="s">
        <v>1365</v>
      </c>
      <c r="L201" s="3">
        <v>56.45</v>
      </c>
      <c r="M201" s="3">
        <v>59.27</v>
      </c>
      <c r="N201" s="3">
        <v>118.99</v>
      </c>
      <c r="O201" s="2" t="s">
        <v>245</v>
      </c>
      <c r="P201" s="2" t="s">
        <v>1366</v>
      </c>
      <c r="Q201" s="2" t="s">
        <v>239</v>
      </c>
      <c r="R201" s="2" t="s">
        <v>233</v>
      </c>
      <c r="S201" s="2" t="s">
        <v>1367</v>
      </c>
      <c r="T201" s="2" t="s">
        <v>1055</v>
      </c>
      <c r="U201" s="2" t="s">
        <v>342</v>
      </c>
      <c r="V201" s="2" t="s">
        <v>241</v>
      </c>
      <c r="W201" s="2" t="s">
        <v>978</v>
      </c>
      <c r="X201" s="2" t="s">
        <v>1056</v>
      </c>
      <c r="Y201" s="2" t="s">
        <v>1368</v>
      </c>
      <c r="Z201" s="4"/>
      <c r="AA201" s="4">
        <f>=ROUNDDOWN({0},0)</f>
      </c>
      <c r="AB201" s="5">
        <v>35</v>
      </c>
      <c r="AC201" s="2" t="s">
        <v>1341</v>
      </c>
      <c r="AD201" s="4">
        <v>420</v>
      </c>
      <c r="AE201" s="4">
        <v>420</v>
      </c>
      <c r="AF201" s="6">
        <v>65</v>
      </c>
      <c r="AG201" s="6"/>
      <c r="AH201" s="7">
        <v>0</v>
      </c>
      <c r="AI201" s="4"/>
      <c r="AJ201" s="4">
        <f>=ROUNDDOWN({0},0)</f>
      </c>
      <c r="AK201" s="5"/>
      <c r="AL201" s="2" t="s">
        <v>233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233</v>
      </c>
      <c r="BD201" s="8" t="s">
        <v>233</v>
      </c>
      <c r="BE201" s="4" t="s">
        <v>233</v>
      </c>
      <c r="BF201" s="8" t="s">
        <v>233</v>
      </c>
      <c r="BG201" s="7" t="s">
        <v>233</v>
      </c>
      <c r="BH201" s="7" t="s">
        <v>233</v>
      </c>
      <c r="BI201" s="7"/>
      <c r="BJ201" s="4"/>
      <c r="BK201" s="8"/>
      <c r="BL201" s="2" t="s">
        <v>1292</v>
      </c>
      <c r="BM201" s="7"/>
      <c r="BN201" s="7"/>
      <c r="BO201" s="4"/>
      <c r="BP201" s="8"/>
      <c r="BQ201" s="4"/>
      <c r="BR201" s="8"/>
      <c r="BS201" s="7"/>
      <c r="BT201" s="7"/>
      <c r="BU201" s="2" t="s">
        <v>1369</v>
      </c>
      <c r="BV201" s="2" t="s">
        <v>233</v>
      </c>
      <c r="BW201" s="2" t="s">
        <v>233</v>
      </c>
      <c r="BX201" s="2" t="s">
        <v>233</v>
      </c>
      <c r="BY201" s="2" t="s">
        <v>280</v>
      </c>
      <c r="BZ201" s="2" t="s">
        <v>245</v>
      </c>
      <c r="CA201" s="2" t="s">
        <v>1370</v>
      </c>
      <c r="CB201" s="2" t="s">
        <v>1371</v>
      </c>
      <c r="CC201" s="2" t="s">
        <v>246</v>
      </c>
      <c r="CD201" s="2" t="s">
        <v>233</v>
      </c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>
        <v>420</v>
      </c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</row>
    <row r="202">
      <c r="A202" s="2" t="s">
        <v>1372</v>
      </c>
      <c r="B202" s="2" t="s">
        <v>228</v>
      </c>
      <c r="C202" s="2" t="s">
        <v>1335</v>
      </c>
      <c r="D202" s="2" t="s">
        <v>969</v>
      </c>
      <c r="E202" s="2" t="s">
        <v>1078</v>
      </c>
      <c r="F202" s="2" t="s">
        <v>1336</v>
      </c>
      <c r="G202" s="2" t="s">
        <v>1336</v>
      </c>
      <c r="H202" s="2" t="s">
        <v>1336</v>
      </c>
      <c r="I202" s="2" t="s">
        <v>1337</v>
      </c>
      <c r="J202" s="2" t="s">
        <v>328</v>
      </c>
      <c r="K202" s="2" t="s">
        <v>1373</v>
      </c>
      <c r="L202" s="3">
        <v>63.11</v>
      </c>
      <c r="M202" s="3">
        <v>66.27</v>
      </c>
      <c r="N202" s="3">
        <v>132.99</v>
      </c>
      <c r="O202" s="2" t="s">
        <v>245</v>
      </c>
      <c r="P202" s="2" t="s">
        <v>741</v>
      </c>
      <c r="Q202" s="2" t="s">
        <v>239</v>
      </c>
      <c r="R202" s="2" t="s">
        <v>233</v>
      </c>
      <c r="S202" s="2" t="s">
        <v>233</v>
      </c>
      <c r="T202" s="2" t="s">
        <v>1055</v>
      </c>
      <c r="U202" s="2" t="s">
        <v>342</v>
      </c>
      <c r="V202" s="2" t="s">
        <v>241</v>
      </c>
      <c r="W202" s="2" t="s">
        <v>978</v>
      </c>
      <c r="X202" s="2" t="s">
        <v>1056</v>
      </c>
      <c r="Y202" s="2" t="s">
        <v>1374</v>
      </c>
      <c r="Z202" s="4">
        <v>2</v>
      </c>
      <c r="AA202" s="4">
        <f>=ROUNDDOWN(0.0869565217391304,0)</f>
      </c>
      <c r="AB202" s="5">
        <v>23</v>
      </c>
      <c r="AC202" s="2" t="s">
        <v>1341</v>
      </c>
      <c r="AD202" s="4">
        <v>290</v>
      </c>
      <c r="AE202" s="4">
        <v>290</v>
      </c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233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233</v>
      </c>
      <c r="BD202" s="8" t="s">
        <v>233</v>
      </c>
      <c r="BE202" s="4" t="s">
        <v>233</v>
      </c>
      <c r="BF202" s="8" t="s">
        <v>233</v>
      </c>
      <c r="BG202" s="7" t="s">
        <v>233</v>
      </c>
      <c r="BH202" s="7" t="s">
        <v>233</v>
      </c>
      <c r="BI202" s="7"/>
      <c r="BJ202" s="4">
        <v>1</v>
      </c>
      <c r="BK202" s="8">
        <v>66.26</v>
      </c>
      <c r="BL202" s="2" t="s">
        <v>1375</v>
      </c>
      <c r="BM202" s="7"/>
      <c r="BN202" s="7"/>
      <c r="BO202" s="4"/>
      <c r="BP202" s="8"/>
      <c r="BQ202" s="4"/>
      <c r="BR202" s="8"/>
      <c r="BS202" s="7"/>
      <c r="BT202" s="7"/>
      <c r="BU202" s="2" t="s">
        <v>1376</v>
      </c>
      <c r="BV202" s="2" t="s">
        <v>233</v>
      </c>
      <c r="BW202" s="2" t="s">
        <v>233</v>
      </c>
      <c r="BX202" s="2" t="s">
        <v>233</v>
      </c>
      <c r="BY202" s="2" t="s">
        <v>280</v>
      </c>
      <c r="BZ202" s="2" t="s">
        <v>245</v>
      </c>
      <c r="CA202" s="2" t="s">
        <v>1377</v>
      </c>
      <c r="CB202" s="2" t="s">
        <v>1378</v>
      </c>
      <c r="CC202" s="2" t="s">
        <v>246</v>
      </c>
      <c r="CD202" s="2" t="s">
        <v>233</v>
      </c>
      <c r="CE202" s="4">
        <v>2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>
        <v>290</v>
      </c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</row>
    <row r="203">
      <c r="A203" s="2" t="s">
        <v>1379</v>
      </c>
      <c r="B203" s="2" t="s">
        <v>228</v>
      </c>
      <c r="C203" s="2" t="s">
        <v>1335</v>
      </c>
      <c r="D203" s="2" t="s">
        <v>969</v>
      </c>
      <c r="E203" s="2" t="s">
        <v>1078</v>
      </c>
      <c r="F203" s="2" t="s">
        <v>1336</v>
      </c>
      <c r="G203" s="2" t="s">
        <v>1336</v>
      </c>
      <c r="H203" s="2" t="s">
        <v>1336</v>
      </c>
      <c r="I203" s="2" t="s">
        <v>1337</v>
      </c>
      <c r="J203" s="2" t="s">
        <v>981</v>
      </c>
      <c r="K203" s="2" t="s">
        <v>1380</v>
      </c>
      <c r="L203" s="3">
        <v>56.45</v>
      </c>
      <c r="M203" s="3">
        <v>59.27</v>
      </c>
      <c r="N203" s="3">
        <v>118.99</v>
      </c>
      <c r="O203" s="2" t="s">
        <v>245</v>
      </c>
      <c r="P203" s="2" t="s">
        <v>272</v>
      </c>
      <c r="Q203" s="2" t="s">
        <v>239</v>
      </c>
      <c r="R203" s="2" t="s">
        <v>233</v>
      </c>
      <c r="S203" s="2" t="s">
        <v>1381</v>
      </c>
      <c r="T203" s="2" t="s">
        <v>1055</v>
      </c>
      <c r="U203" s="2" t="s">
        <v>342</v>
      </c>
      <c r="V203" s="2" t="s">
        <v>1340</v>
      </c>
      <c r="W203" s="2" t="s">
        <v>978</v>
      </c>
      <c r="X203" s="2" t="s">
        <v>1056</v>
      </c>
      <c r="Y203" s="2" t="s">
        <v>1064</v>
      </c>
      <c r="Z203" s="4"/>
      <c r="AA203" s="4">
        <f>=ROUNDDOWN({0},0)</f>
      </c>
      <c r="AB203" s="5">
        <v>10</v>
      </c>
      <c r="AC203" s="2" t="s">
        <v>1341</v>
      </c>
      <c r="AD203" s="4">
        <v>120</v>
      </c>
      <c r="AE203" s="4">
        <v>120</v>
      </c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233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233</v>
      </c>
      <c r="AW203" s="8" t="s">
        <v>233</v>
      </c>
      <c r="AX203" s="4" t="s">
        <v>233</v>
      </c>
      <c r="AY203" s="8" t="s">
        <v>233</v>
      </c>
      <c r="AZ203" s="7" t="s">
        <v>233</v>
      </c>
      <c r="BA203" s="7" t="s">
        <v>233</v>
      </c>
      <c r="BB203" s="7"/>
      <c r="BC203" s="4" t="s">
        <v>233</v>
      </c>
      <c r="BD203" s="8" t="s">
        <v>233</v>
      </c>
      <c r="BE203" s="4" t="s">
        <v>233</v>
      </c>
      <c r="BF203" s="8" t="s">
        <v>233</v>
      </c>
      <c r="BG203" s="7" t="s">
        <v>233</v>
      </c>
      <c r="BH203" s="7" t="s">
        <v>233</v>
      </c>
      <c r="BI203" s="7"/>
      <c r="BJ203" s="4"/>
      <c r="BK203" s="8"/>
      <c r="BL203" s="2" t="s">
        <v>1292</v>
      </c>
      <c r="BM203" s="7"/>
      <c r="BN203" s="7"/>
      <c r="BO203" s="4"/>
      <c r="BP203" s="8"/>
      <c r="BQ203" s="4"/>
      <c r="BR203" s="8"/>
      <c r="BS203" s="7"/>
      <c r="BT203" s="7"/>
      <c r="BU203" s="2" t="s">
        <v>1382</v>
      </c>
      <c r="BV203" s="2" t="s">
        <v>233</v>
      </c>
      <c r="BW203" s="2" t="s">
        <v>233</v>
      </c>
      <c r="BX203" s="2" t="s">
        <v>233</v>
      </c>
      <c r="BY203" s="2" t="s">
        <v>280</v>
      </c>
      <c r="BZ203" s="2" t="s">
        <v>245</v>
      </c>
      <c r="CA203" s="2" t="s">
        <v>1064</v>
      </c>
      <c r="CB203" s="2" t="s">
        <v>1383</v>
      </c>
      <c r="CC203" s="2" t="s">
        <v>246</v>
      </c>
      <c r="CD203" s="2" t="s">
        <v>233</v>
      </c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>
        <v>120</v>
      </c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</row>
    <row r="204">
      <c r="A204" s="2" t="s">
        <v>1384</v>
      </c>
      <c r="B204" s="2" t="s">
        <v>228</v>
      </c>
      <c r="C204" s="2" t="s">
        <v>1335</v>
      </c>
      <c r="D204" s="2" t="s">
        <v>969</v>
      </c>
      <c r="E204" s="2" t="s">
        <v>1078</v>
      </c>
      <c r="F204" s="2" t="s">
        <v>1336</v>
      </c>
      <c r="G204" s="2" t="s">
        <v>1336</v>
      </c>
      <c r="H204" s="2" t="s">
        <v>1336</v>
      </c>
      <c r="I204" s="2" t="s">
        <v>1337</v>
      </c>
      <c r="J204" s="2" t="s">
        <v>328</v>
      </c>
      <c r="K204" s="2" t="s">
        <v>1380</v>
      </c>
      <c r="L204" s="3">
        <v>63.11</v>
      </c>
      <c r="M204" s="3">
        <v>66.27</v>
      </c>
      <c r="N204" s="3">
        <v>132.99</v>
      </c>
      <c r="O204" s="2" t="s">
        <v>245</v>
      </c>
      <c r="P204" s="2" t="s">
        <v>272</v>
      </c>
      <c r="Q204" s="2" t="s">
        <v>239</v>
      </c>
      <c r="R204" s="2" t="s">
        <v>233</v>
      </c>
      <c r="S204" s="2" t="s">
        <v>1381</v>
      </c>
      <c r="T204" s="2" t="s">
        <v>1055</v>
      </c>
      <c r="U204" s="2" t="s">
        <v>342</v>
      </c>
      <c r="V204" s="2" t="s">
        <v>1340</v>
      </c>
      <c r="W204" s="2" t="s">
        <v>978</v>
      </c>
      <c r="X204" s="2" t="s">
        <v>1056</v>
      </c>
      <c r="Y204" s="2" t="s">
        <v>1064</v>
      </c>
      <c r="Z204" s="4"/>
      <c r="AA204" s="4">
        <f>=ROUNDDOWN({0},0)</f>
      </c>
      <c r="AB204" s="5">
        <v>9</v>
      </c>
      <c r="AC204" s="2" t="s">
        <v>1341</v>
      </c>
      <c r="AD204" s="4">
        <v>100</v>
      </c>
      <c r="AE204" s="4">
        <v>100</v>
      </c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233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233</v>
      </c>
      <c r="AW204" s="8" t="s">
        <v>233</v>
      </c>
      <c r="AX204" s="4" t="s">
        <v>233</v>
      </c>
      <c r="AY204" s="8" t="s">
        <v>233</v>
      </c>
      <c r="AZ204" s="7" t="s">
        <v>233</v>
      </c>
      <c r="BA204" s="7" t="s">
        <v>233</v>
      </c>
      <c r="BB204" s="7"/>
      <c r="BC204" s="4" t="s">
        <v>233</v>
      </c>
      <c r="BD204" s="8" t="s">
        <v>233</v>
      </c>
      <c r="BE204" s="4" t="s">
        <v>233</v>
      </c>
      <c r="BF204" s="8" t="s">
        <v>233</v>
      </c>
      <c r="BG204" s="7" t="s">
        <v>233</v>
      </c>
      <c r="BH204" s="7" t="s">
        <v>233</v>
      </c>
      <c r="BI204" s="7"/>
      <c r="BJ204" s="4"/>
      <c r="BK204" s="8"/>
      <c r="BL204" s="2" t="s">
        <v>233</v>
      </c>
      <c r="BM204" s="7"/>
      <c r="BN204" s="7"/>
      <c r="BO204" s="4"/>
      <c r="BP204" s="8"/>
      <c r="BQ204" s="4"/>
      <c r="BR204" s="8"/>
      <c r="BS204" s="7"/>
      <c r="BT204" s="7"/>
      <c r="BU204" s="2" t="s">
        <v>1385</v>
      </c>
      <c r="BV204" s="2" t="s">
        <v>233</v>
      </c>
      <c r="BW204" s="2" t="s">
        <v>233</v>
      </c>
      <c r="BX204" s="2" t="s">
        <v>233</v>
      </c>
      <c r="BY204" s="2" t="s">
        <v>280</v>
      </c>
      <c r="BZ204" s="2" t="s">
        <v>245</v>
      </c>
      <c r="CA204" s="2" t="s">
        <v>1064</v>
      </c>
      <c r="CB204" s="2" t="s">
        <v>1386</v>
      </c>
      <c r="CC204" s="2" t="s">
        <v>246</v>
      </c>
      <c r="CD204" s="2" t="s">
        <v>233</v>
      </c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>
        <v>100</v>
      </c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</row>
    <row r="205">
      <c r="A205" s="2" t="s">
        <v>1387</v>
      </c>
      <c r="B205" s="2" t="s">
        <v>228</v>
      </c>
      <c r="C205" s="2" t="s">
        <v>1335</v>
      </c>
      <c r="D205" s="2" t="s">
        <v>969</v>
      </c>
      <c r="E205" s="2" t="s">
        <v>1078</v>
      </c>
      <c r="F205" s="2" t="s">
        <v>1336</v>
      </c>
      <c r="G205" s="2" t="s">
        <v>1336</v>
      </c>
      <c r="H205" s="2" t="s">
        <v>1336</v>
      </c>
      <c r="I205" s="2" t="s">
        <v>1337</v>
      </c>
      <c r="J205" s="2" t="s">
        <v>981</v>
      </c>
      <c r="K205" s="2" t="s">
        <v>1388</v>
      </c>
      <c r="L205" s="3">
        <v>56.45</v>
      </c>
      <c r="M205" s="3">
        <v>59.27</v>
      </c>
      <c r="N205" s="3">
        <v>118.99</v>
      </c>
      <c r="O205" s="2" t="s">
        <v>245</v>
      </c>
      <c r="P205" s="2" t="s">
        <v>741</v>
      </c>
      <c r="Q205" s="2" t="s">
        <v>239</v>
      </c>
      <c r="R205" s="2" t="s">
        <v>233</v>
      </c>
      <c r="S205" s="2" t="s">
        <v>1389</v>
      </c>
      <c r="T205" s="2" t="s">
        <v>1055</v>
      </c>
      <c r="U205" s="2" t="s">
        <v>342</v>
      </c>
      <c r="V205" s="2" t="s">
        <v>241</v>
      </c>
      <c r="W205" s="2" t="s">
        <v>978</v>
      </c>
      <c r="X205" s="2" t="s">
        <v>1056</v>
      </c>
      <c r="Y205" s="2" t="s">
        <v>1368</v>
      </c>
      <c r="Z205" s="4">
        <v>2</v>
      </c>
      <c r="AA205" s="4">
        <f>=ROUNDDOWN(0.133333333333333,0)</f>
      </c>
      <c r="AB205" s="5">
        <v>15</v>
      </c>
      <c r="AC205" s="2" t="s">
        <v>1341</v>
      </c>
      <c r="AD205" s="4">
        <v>180</v>
      </c>
      <c r="AE205" s="4">
        <v>180</v>
      </c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233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233</v>
      </c>
      <c r="BD205" s="8" t="s">
        <v>233</v>
      </c>
      <c r="BE205" s="4" t="s">
        <v>233</v>
      </c>
      <c r="BF205" s="8" t="s">
        <v>233</v>
      </c>
      <c r="BG205" s="7" t="s">
        <v>233</v>
      </c>
      <c r="BH205" s="7" t="s">
        <v>233</v>
      </c>
      <c r="BI205" s="7"/>
      <c r="BJ205" s="4">
        <v>1</v>
      </c>
      <c r="BK205" s="8">
        <v>59.27</v>
      </c>
      <c r="BL205" s="2" t="s">
        <v>1390</v>
      </c>
      <c r="BM205" s="7"/>
      <c r="BN205" s="7"/>
      <c r="BO205" s="4"/>
      <c r="BP205" s="8"/>
      <c r="BQ205" s="4"/>
      <c r="BR205" s="8"/>
      <c r="BS205" s="7"/>
      <c r="BT205" s="7"/>
      <c r="BU205" s="2" t="s">
        <v>1391</v>
      </c>
      <c r="BV205" s="2" t="s">
        <v>233</v>
      </c>
      <c r="BW205" s="2" t="s">
        <v>233</v>
      </c>
      <c r="BX205" s="2" t="s">
        <v>233</v>
      </c>
      <c r="BY205" s="2" t="s">
        <v>280</v>
      </c>
      <c r="BZ205" s="2" t="s">
        <v>245</v>
      </c>
      <c r="CA205" s="2" t="s">
        <v>1370</v>
      </c>
      <c r="CB205" s="2" t="s">
        <v>1392</v>
      </c>
      <c r="CC205" s="2" t="s">
        <v>246</v>
      </c>
      <c r="CD205" s="2" t="s">
        <v>233</v>
      </c>
      <c r="CE205" s="4">
        <v>2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>
        <v>180</v>
      </c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</row>
    <row r="206">
      <c r="A206" s="2" t="s">
        <v>1393</v>
      </c>
      <c r="B206" s="2" t="s">
        <v>228</v>
      </c>
      <c r="C206" s="2" t="s">
        <v>1335</v>
      </c>
      <c r="D206" s="2" t="s">
        <v>969</v>
      </c>
      <c r="E206" s="2" t="s">
        <v>1078</v>
      </c>
      <c r="F206" s="2" t="s">
        <v>1336</v>
      </c>
      <c r="G206" s="2" t="s">
        <v>1336</v>
      </c>
      <c r="H206" s="2" t="s">
        <v>1336</v>
      </c>
      <c r="I206" s="2" t="s">
        <v>1337</v>
      </c>
      <c r="J206" s="2" t="s">
        <v>270</v>
      </c>
      <c r="K206" s="2" t="s">
        <v>1394</v>
      </c>
      <c r="L206" s="3">
        <v>43.9</v>
      </c>
      <c r="M206" s="3">
        <v>46.1</v>
      </c>
      <c r="N206" s="3">
        <v>91.99</v>
      </c>
      <c r="O206" s="2" t="s">
        <v>245</v>
      </c>
      <c r="P206" s="2" t="s">
        <v>311</v>
      </c>
      <c r="Q206" s="2" t="s">
        <v>239</v>
      </c>
      <c r="R206" s="2" t="s">
        <v>233</v>
      </c>
      <c r="S206" s="2" t="s">
        <v>1395</v>
      </c>
      <c r="T206" s="2" t="s">
        <v>1055</v>
      </c>
      <c r="U206" s="2" t="s">
        <v>475</v>
      </c>
      <c r="V206" s="2" t="s">
        <v>1340</v>
      </c>
      <c r="W206" s="2" t="s">
        <v>978</v>
      </c>
      <c r="X206" s="2" t="s">
        <v>1056</v>
      </c>
      <c r="Y206" s="2" t="s">
        <v>1396</v>
      </c>
      <c r="Z206" s="4">
        <v>2</v>
      </c>
      <c r="AA206" s="4">
        <f>=ROUNDDOWN(0.5,0)</f>
      </c>
      <c r="AB206" s="5">
        <v>4</v>
      </c>
      <c r="AC206" s="2" t="s">
        <v>233</v>
      </c>
      <c r="AD206" s="4"/>
      <c r="AE206" s="4"/>
      <c r="AF206" s="6">
        <v>65</v>
      </c>
      <c r="AG206" s="6"/>
      <c r="AH206" s="7">
        <v>0</v>
      </c>
      <c r="AI206" s="4"/>
      <c r="AJ206" s="4">
        <f>=ROUNDDOWN({0},0)</f>
      </c>
      <c r="AK206" s="5"/>
      <c r="AL206" s="2" t="s">
        <v>233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233</v>
      </c>
      <c r="AW206" s="8" t="s">
        <v>233</v>
      </c>
      <c r="AX206" s="4" t="s">
        <v>233</v>
      </c>
      <c r="AY206" s="8" t="s">
        <v>233</v>
      </c>
      <c r="AZ206" s="7" t="s">
        <v>233</v>
      </c>
      <c r="BA206" s="7" t="s">
        <v>233</v>
      </c>
      <c r="BB206" s="7"/>
      <c r="BC206" s="4" t="s">
        <v>233</v>
      </c>
      <c r="BD206" s="8" t="s">
        <v>233</v>
      </c>
      <c r="BE206" s="4" t="s">
        <v>233</v>
      </c>
      <c r="BF206" s="8" t="s">
        <v>233</v>
      </c>
      <c r="BG206" s="7" t="s">
        <v>233</v>
      </c>
      <c r="BH206" s="7" t="s">
        <v>233</v>
      </c>
      <c r="BI206" s="7"/>
      <c r="BJ206" s="4"/>
      <c r="BK206" s="8"/>
      <c r="BL206" s="2" t="s">
        <v>233</v>
      </c>
      <c r="BM206" s="7"/>
      <c r="BN206" s="7"/>
      <c r="BO206" s="4"/>
      <c r="BP206" s="8"/>
      <c r="BQ206" s="4"/>
      <c r="BR206" s="8"/>
      <c r="BS206" s="7"/>
      <c r="BT206" s="7"/>
      <c r="BU206" s="2" t="s">
        <v>1397</v>
      </c>
      <c r="BV206" s="2" t="s">
        <v>233</v>
      </c>
      <c r="BW206" s="2" t="s">
        <v>233</v>
      </c>
      <c r="BX206" s="2" t="s">
        <v>595</v>
      </c>
      <c r="BY206" s="2" t="s">
        <v>280</v>
      </c>
      <c r="BZ206" s="2" t="s">
        <v>245</v>
      </c>
      <c r="CA206" s="2" t="s">
        <v>1398</v>
      </c>
      <c r="CB206" s="2" t="s">
        <v>1399</v>
      </c>
      <c r="CC206" s="2" t="s">
        <v>246</v>
      </c>
      <c r="CD206" s="2" t="s">
        <v>233</v>
      </c>
      <c r="CE206" s="4">
        <v>2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</row>
    <row r="207">
      <c r="A207" s="2" t="s">
        <v>1400</v>
      </c>
      <c r="B207" s="2" t="s">
        <v>228</v>
      </c>
      <c r="C207" s="2" t="s">
        <v>1335</v>
      </c>
      <c r="D207" s="2" t="s">
        <v>969</v>
      </c>
      <c r="E207" s="2" t="s">
        <v>1078</v>
      </c>
      <c r="F207" s="2" t="s">
        <v>1336</v>
      </c>
      <c r="G207" s="2" t="s">
        <v>1336</v>
      </c>
      <c r="H207" s="2" t="s">
        <v>1336</v>
      </c>
      <c r="I207" s="2" t="s">
        <v>1337</v>
      </c>
      <c r="J207" s="2" t="s">
        <v>981</v>
      </c>
      <c r="K207" s="2" t="s">
        <v>1394</v>
      </c>
      <c r="L207" s="3">
        <v>56.45</v>
      </c>
      <c r="M207" s="3">
        <v>59.27</v>
      </c>
      <c r="N207" s="3">
        <v>118.99</v>
      </c>
      <c r="O207" s="2" t="s">
        <v>245</v>
      </c>
      <c r="P207" s="2" t="s">
        <v>272</v>
      </c>
      <c r="Q207" s="2" t="s">
        <v>239</v>
      </c>
      <c r="R207" s="2" t="s">
        <v>233</v>
      </c>
      <c r="S207" s="2" t="s">
        <v>1395</v>
      </c>
      <c r="T207" s="2" t="s">
        <v>1055</v>
      </c>
      <c r="U207" s="2" t="s">
        <v>342</v>
      </c>
      <c r="V207" s="2" t="s">
        <v>1340</v>
      </c>
      <c r="W207" s="2" t="s">
        <v>978</v>
      </c>
      <c r="X207" s="2" t="s">
        <v>1056</v>
      </c>
      <c r="Y207" s="2" t="s">
        <v>1396</v>
      </c>
      <c r="Z207" s="4"/>
      <c r="AA207" s="4">
        <f>=ROUNDDOWN({0},0)</f>
      </c>
      <c r="AB207" s="5">
        <v>13</v>
      </c>
      <c r="AC207" s="2" t="s">
        <v>1341</v>
      </c>
      <c r="AD207" s="4">
        <v>150</v>
      </c>
      <c r="AE207" s="4">
        <v>150</v>
      </c>
      <c r="AF207" s="6">
        <v>65</v>
      </c>
      <c r="AG207" s="6"/>
      <c r="AH207" s="7">
        <v>0</v>
      </c>
      <c r="AI207" s="4"/>
      <c r="AJ207" s="4">
        <f>=ROUNDDOWN({0},0)</f>
      </c>
      <c r="AK207" s="5"/>
      <c r="AL207" s="2" t="s">
        <v>233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233</v>
      </c>
      <c r="AW207" s="8" t="s">
        <v>233</v>
      </c>
      <c r="AX207" s="4" t="s">
        <v>233</v>
      </c>
      <c r="AY207" s="8" t="s">
        <v>233</v>
      </c>
      <c r="AZ207" s="7" t="s">
        <v>233</v>
      </c>
      <c r="BA207" s="7" t="s">
        <v>233</v>
      </c>
      <c r="BB207" s="7"/>
      <c r="BC207" s="4" t="s">
        <v>233</v>
      </c>
      <c r="BD207" s="8" t="s">
        <v>233</v>
      </c>
      <c r="BE207" s="4" t="s">
        <v>233</v>
      </c>
      <c r="BF207" s="8" t="s">
        <v>233</v>
      </c>
      <c r="BG207" s="7" t="s">
        <v>233</v>
      </c>
      <c r="BH207" s="7" t="s">
        <v>233</v>
      </c>
      <c r="BI207" s="7"/>
      <c r="BJ207" s="4"/>
      <c r="BK207" s="8"/>
      <c r="BL207" s="2" t="s">
        <v>233</v>
      </c>
      <c r="BM207" s="7"/>
      <c r="BN207" s="7"/>
      <c r="BO207" s="4"/>
      <c r="BP207" s="8"/>
      <c r="BQ207" s="4"/>
      <c r="BR207" s="8"/>
      <c r="BS207" s="7"/>
      <c r="BT207" s="7"/>
      <c r="BU207" s="2" t="s">
        <v>1401</v>
      </c>
      <c r="BV207" s="2" t="s">
        <v>233</v>
      </c>
      <c r="BW207" s="2" t="s">
        <v>233</v>
      </c>
      <c r="BX207" s="2" t="s">
        <v>233</v>
      </c>
      <c r="BY207" s="2" t="s">
        <v>280</v>
      </c>
      <c r="BZ207" s="2" t="s">
        <v>245</v>
      </c>
      <c r="CA207" s="2" t="s">
        <v>1398</v>
      </c>
      <c r="CB207" s="2" t="s">
        <v>1402</v>
      </c>
      <c r="CC207" s="2" t="s">
        <v>246</v>
      </c>
      <c r="CD207" s="2" t="s">
        <v>233</v>
      </c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>
        <v>150</v>
      </c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</row>
    <row r="208">
      <c r="A208" s="2" t="s">
        <v>1403</v>
      </c>
      <c r="B208" s="2" t="s">
        <v>228</v>
      </c>
      <c r="C208" s="2" t="s">
        <v>1335</v>
      </c>
      <c r="D208" s="2" t="s">
        <v>969</v>
      </c>
      <c r="E208" s="2" t="s">
        <v>1078</v>
      </c>
      <c r="F208" s="2" t="s">
        <v>1336</v>
      </c>
      <c r="G208" s="2" t="s">
        <v>1336</v>
      </c>
      <c r="H208" s="2" t="s">
        <v>1336</v>
      </c>
      <c r="I208" s="2" t="s">
        <v>1337</v>
      </c>
      <c r="J208" s="2" t="s">
        <v>328</v>
      </c>
      <c r="K208" s="2" t="s">
        <v>1394</v>
      </c>
      <c r="L208" s="3">
        <v>63.11</v>
      </c>
      <c r="M208" s="3">
        <v>66.27</v>
      </c>
      <c r="N208" s="3">
        <v>132.99</v>
      </c>
      <c r="O208" s="2" t="s">
        <v>245</v>
      </c>
      <c r="P208" s="2" t="s">
        <v>272</v>
      </c>
      <c r="Q208" s="2" t="s">
        <v>239</v>
      </c>
      <c r="R208" s="2" t="s">
        <v>233</v>
      </c>
      <c r="S208" s="2" t="s">
        <v>1395</v>
      </c>
      <c r="T208" s="2" t="s">
        <v>1055</v>
      </c>
      <c r="U208" s="2" t="s">
        <v>342</v>
      </c>
      <c r="V208" s="2" t="s">
        <v>1340</v>
      </c>
      <c r="W208" s="2" t="s">
        <v>978</v>
      </c>
      <c r="X208" s="2" t="s">
        <v>1056</v>
      </c>
      <c r="Y208" s="2" t="s">
        <v>1404</v>
      </c>
      <c r="Z208" s="4">
        <v>1</v>
      </c>
      <c r="AA208" s="4">
        <f>=ROUNDDOWN(0.0833333333333333,0)</f>
      </c>
      <c r="AB208" s="5">
        <v>12</v>
      </c>
      <c r="AC208" s="2" t="s">
        <v>1341</v>
      </c>
      <c r="AD208" s="4">
        <v>140</v>
      </c>
      <c r="AE208" s="4">
        <v>140</v>
      </c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233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233</v>
      </c>
      <c r="AW208" s="8" t="s">
        <v>233</v>
      </c>
      <c r="AX208" s="4" t="s">
        <v>233</v>
      </c>
      <c r="AY208" s="8" t="s">
        <v>233</v>
      </c>
      <c r="AZ208" s="7" t="s">
        <v>233</v>
      </c>
      <c r="BA208" s="7" t="s">
        <v>233</v>
      </c>
      <c r="BB208" s="7"/>
      <c r="BC208" s="4" t="s">
        <v>233</v>
      </c>
      <c r="BD208" s="8" t="s">
        <v>233</v>
      </c>
      <c r="BE208" s="4" t="s">
        <v>233</v>
      </c>
      <c r="BF208" s="8" t="s">
        <v>233</v>
      </c>
      <c r="BG208" s="7" t="s">
        <v>233</v>
      </c>
      <c r="BH208" s="7" t="s">
        <v>233</v>
      </c>
      <c r="BI208" s="7"/>
      <c r="BJ208" s="4"/>
      <c r="BK208" s="8"/>
      <c r="BL208" s="2" t="s">
        <v>233</v>
      </c>
      <c r="BM208" s="7"/>
      <c r="BN208" s="7"/>
      <c r="BO208" s="4"/>
      <c r="BP208" s="8"/>
      <c r="BQ208" s="4"/>
      <c r="BR208" s="8"/>
      <c r="BS208" s="7"/>
      <c r="BT208" s="7"/>
      <c r="BU208" s="2" t="s">
        <v>1405</v>
      </c>
      <c r="BV208" s="2" t="s">
        <v>233</v>
      </c>
      <c r="BW208" s="2" t="s">
        <v>233</v>
      </c>
      <c r="BX208" s="2" t="s">
        <v>233</v>
      </c>
      <c r="BY208" s="2" t="s">
        <v>280</v>
      </c>
      <c r="BZ208" s="2" t="s">
        <v>245</v>
      </c>
      <c r="CA208" s="2" t="s">
        <v>1398</v>
      </c>
      <c r="CB208" s="2" t="s">
        <v>1406</v>
      </c>
      <c r="CC208" s="2" t="s">
        <v>246</v>
      </c>
      <c r="CD208" s="2" t="s">
        <v>233</v>
      </c>
      <c r="CE208" s="4">
        <v>1</v>
      </c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>
        <v>140</v>
      </c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</row>
    <row r="209">
      <c r="A209" s="2" t="s">
        <v>1407</v>
      </c>
      <c r="B209" s="2" t="s">
        <v>228</v>
      </c>
      <c r="C209" s="2" t="s">
        <v>1335</v>
      </c>
      <c r="D209" s="2" t="s">
        <v>969</v>
      </c>
      <c r="E209" s="2" t="s">
        <v>1078</v>
      </c>
      <c r="F209" s="2" t="s">
        <v>1336</v>
      </c>
      <c r="G209" s="2" t="s">
        <v>1336</v>
      </c>
      <c r="H209" s="2" t="s">
        <v>1336</v>
      </c>
      <c r="I209" s="2" t="s">
        <v>1337</v>
      </c>
      <c r="J209" s="2" t="s">
        <v>981</v>
      </c>
      <c r="K209" s="2" t="s">
        <v>1408</v>
      </c>
      <c r="L209" s="3">
        <v>56.45</v>
      </c>
      <c r="M209" s="3">
        <v>59.27</v>
      </c>
      <c r="N209" s="3">
        <v>118.99</v>
      </c>
      <c r="O209" s="2" t="s">
        <v>245</v>
      </c>
      <c r="P209" s="2" t="s">
        <v>272</v>
      </c>
      <c r="Q209" s="2" t="s">
        <v>239</v>
      </c>
      <c r="R209" s="2" t="s">
        <v>233</v>
      </c>
      <c r="S209" s="2" t="s">
        <v>233</v>
      </c>
      <c r="T209" s="2" t="s">
        <v>1055</v>
      </c>
      <c r="U209" s="2" t="s">
        <v>342</v>
      </c>
      <c r="V209" s="2" t="s">
        <v>241</v>
      </c>
      <c r="W209" s="2" t="s">
        <v>978</v>
      </c>
      <c r="X209" s="2" t="s">
        <v>1056</v>
      </c>
      <c r="Y209" s="2" t="s">
        <v>1374</v>
      </c>
      <c r="Z209" s="4"/>
      <c r="AA209" s="4">
        <f>=ROUNDDOWN({0},0)</f>
      </c>
      <c r="AB209" s="5">
        <v>20</v>
      </c>
      <c r="AC209" s="2" t="s">
        <v>1341</v>
      </c>
      <c r="AD209" s="4">
        <v>240</v>
      </c>
      <c r="AE209" s="4">
        <v>240</v>
      </c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233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233</v>
      </c>
      <c r="AW209" s="8" t="s">
        <v>233</v>
      </c>
      <c r="AX209" s="4" t="s">
        <v>233</v>
      </c>
      <c r="AY209" s="8" t="s">
        <v>233</v>
      </c>
      <c r="AZ209" s="7" t="s">
        <v>233</v>
      </c>
      <c r="BA209" s="7" t="s">
        <v>233</v>
      </c>
      <c r="BB209" s="7"/>
      <c r="BC209" s="4" t="s">
        <v>233</v>
      </c>
      <c r="BD209" s="8" t="s">
        <v>233</v>
      </c>
      <c r="BE209" s="4" t="s">
        <v>233</v>
      </c>
      <c r="BF209" s="8" t="s">
        <v>233</v>
      </c>
      <c r="BG209" s="7" t="s">
        <v>233</v>
      </c>
      <c r="BH209" s="7" t="s">
        <v>233</v>
      </c>
      <c r="BI209" s="7"/>
      <c r="BJ209" s="4"/>
      <c r="BK209" s="8"/>
      <c r="BL209" s="2" t="s">
        <v>233</v>
      </c>
      <c r="BM209" s="7"/>
      <c r="BN209" s="7"/>
      <c r="BO209" s="4"/>
      <c r="BP209" s="8"/>
      <c r="BQ209" s="4"/>
      <c r="BR209" s="8"/>
      <c r="BS209" s="7"/>
      <c r="BT209" s="7"/>
      <c r="BU209" s="2" t="s">
        <v>1409</v>
      </c>
      <c r="BV209" s="2" t="s">
        <v>233</v>
      </c>
      <c r="BW209" s="2" t="s">
        <v>233</v>
      </c>
      <c r="BX209" s="2" t="s">
        <v>233</v>
      </c>
      <c r="BY209" s="2" t="s">
        <v>280</v>
      </c>
      <c r="BZ209" s="2" t="s">
        <v>245</v>
      </c>
      <c r="CA209" s="2" t="s">
        <v>1377</v>
      </c>
      <c r="CB209" s="2" t="s">
        <v>1410</v>
      </c>
      <c r="CC209" s="2" t="s">
        <v>246</v>
      </c>
      <c r="CD209" s="2" t="s">
        <v>233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>
        <v>240</v>
      </c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</row>
    <row r="210">
      <c r="A210" s="2" t="s">
        <v>1411</v>
      </c>
      <c r="B210" s="2" t="s">
        <v>228</v>
      </c>
      <c r="C210" s="2" t="s">
        <v>1335</v>
      </c>
      <c r="D210" s="2" t="s">
        <v>969</v>
      </c>
      <c r="E210" s="2" t="s">
        <v>1078</v>
      </c>
      <c r="F210" s="2" t="s">
        <v>1336</v>
      </c>
      <c r="G210" s="2" t="s">
        <v>1336</v>
      </c>
      <c r="H210" s="2" t="s">
        <v>1336</v>
      </c>
      <c r="I210" s="2" t="s">
        <v>1337</v>
      </c>
      <c r="J210" s="2" t="s">
        <v>328</v>
      </c>
      <c r="K210" s="2" t="s">
        <v>1408</v>
      </c>
      <c r="L210" s="3">
        <v>63.11</v>
      </c>
      <c r="M210" s="3">
        <v>66.27</v>
      </c>
      <c r="N210" s="3">
        <v>132.99</v>
      </c>
      <c r="O210" s="2" t="s">
        <v>245</v>
      </c>
      <c r="P210" s="2" t="s">
        <v>272</v>
      </c>
      <c r="Q210" s="2" t="s">
        <v>239</v>
      </c>
      <c r="R210" s="2" t="s">
        <v>233</v>
      </c>
      <c r="S210" s="2" t="s">
        <v>233</v>
      </c>
      <c r="T210" s="2" t="s">
        <v>1055</v>
      </c>
      <c r="U210" s="2" t="s">
        <v>342</v>
      </c>
      <c r="V210" s="2" t="s">
        <v>241</v>
      </c>
      <c r="W210" s="2" t="s">
        <v>978</v>
      </c>
      <c r="X210" s="2" t="s">
        <v>1056</v>
      </c>
      <c r="Y210" s="2" t="s">
        <v>1374</v>
      </c>
      <c r="Z210" s="4">
        <v>1</v>
      </c>
      <c r="AA210" s="4">
        <f>=ROUNDDOWN(0.037037037037037,0)</f>
      </c>
      <c r="AB210" s="5">
        <v>27</v>
      </c>
      <c r="AC210" s="2" t="s">
        <v>1341</v>
      </c>
      <c r="AD210" s="4">
        <v>330</v>
      </c>
      <c r="AE210" s="4">
        <v>330</v>
      </c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233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233</v>
      </c>
      <c r="AW210" s="8" t="s">
        <v>233</v>
      </c>
      <c r="AX210" s="4" t="s">
        <v>233</v>
      </c>
      <c r="AY210" s="8" t="s">
        <v>233</v>
      </c>
      <c r="AZ210" s="7" t="s">
        <v>233</v>
      </c>
      <c r="BA210" s="7" t="s">
        <v>233</v>
      </c>
      <c r="BB210" s="7"/>
      <c r="BC210" s="4" t="s">
        <v>233</v>
      </c>
      <c r="BD210" s="8" t="s">
        <v>233</v>
      </c>
      <c r="BE210" s="4" t="s">
        <v>233</v>
      </c>
      <c r="BF210" s="8" t="s">
        <v>233</v>
      </c>
      <c r="BG210" s="7" t="s">
        <v>233</v>
      </c>
      <c r="BH210" s="7" t="s">
        <v>233</v>
      </c>
      <c r="BI210" s="7"/>
      <c r="BJ210" s="4"/>
      <c r="BK210" s="8"/>
      <c r="BL210" s="2" t="s">
        <v>233</v>
      </c>
      <c r="BM210" s="7"/>
      <c r="BN210" s="7"/>
      <c r="BO210" s="4"/>
      <c r="BP210" s="8"/>
      <c r="BQ210" s="4"/>
      <c r="BR210" s="8"/>
      <c r="BS210" s="7"/>
      <c r="BT210" s="7"/>
      <c r="BU210" s="2" t="s">
        <v>1412</v>
      </c>
      <c r="BV210" s="2" t="s">
        <v>233</v>
      </c>
      <c r="BW210" s="2" t="s">
        <v>233</v>
      </c>
      <c r="BX210" s="2" t="s">
        <v>233</v>
      </c>
      <c r="BY210" s="2" t="s">
        <v>280</v>
      </c>
      <c r="BZ210" s="2" t="s">
        <v>245</v>
      </c>
      <c r="CA210" s="2" t="s">
        <v>1377</v>
      </c>
      <c r="CB210" s="2" t="s">
        <v>1378</v>
      </c>
      <c r="CC210" s="2" t="s">
        <v>246</v>
      </c>
      <c r="CD210" s="2" t="s">
        <v>233</v>
      </c>
      <c r="CE210" s="4">
        <v>1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>
        <v>330</v>
      </c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</row>
    <row r="211">
      <c r="A211" s="2" t="s">
        <v>1413</v>
      </c>
      <c r="B211" s="2" t="s">
        <v>1414</v>
      </c>
      <c r="C211" s="2" t="s">
        <v>530</v>
      </c>
      <c r="D211" s="2" t="s">
        <v>1414</v>
      </c>
      <c r="E211" s="2" t="s">
        <v>1414</v>
      </c>
      <c r="F211" s="2" t="s">
        <v>1081</v>
      </c>
      <c r="G211" s="2" t="s">
        <v>1415</v>
      </c>
      <c r="H211" s="2" t="s">
        <v>1416</v>
      </c>
      <c r="I211" s="2" t="s">
        <v>1417</v>
      </c>
      <c r="J211" s="2" t="s">
        <v>1418</v>
      </c>
      <c r="K211" s="2" t="s">
        <v>1419</v>
      </c>
      <c r="L211" s="3">
        <v>71.71</v>
      </c>
      <c r="M211" s="3">
        <v>75.3</v>
      </c>
      <c r="N211" s="3">
        <v>159.99</v>
      </c>
      <c r="O211" s="2" t="s">
        <v>245</v>
      </c>
      <c r="P211" s="2" t="s">
        <v>311</v>
      </c>
      <c r="Q211" s="2" t="s">
        <v>239</v>
      </c>
      <c r="R211" s="2" t="s">
        <v>233</v>
      </c>
      <c r="S211" s="2" t="s">
        <v>233</v>
      </c>
      <c r="T211" s="2" t="s">
        <v>233</v>
      </c>
      <c r="U211" s="2" t="s">
        <v>396</v>
      </c>
      <c r="V211" s="2" t="s">
        <v>921</v>
      </c>
      <c r="W211" s="2" t="s">
        <v>397</v>
      </c>
      <c r="X211" s="2" t="s">
        <v>233</v>
      </c>
      <c r="Y211" s="2" t="s">
        <v>1420</v>
      </c>
      <c r="Z211" s="4">
        <v>96</v>
      </c>
      <c r="AA211" s="4">
        <f>=ROUNDDOWN(24,0)</f>
      </c>
      <c r="AB211" s="5">
        <v>4</v>
      </c>
      <c r="AC211" s="2" t="s">
        <v>233</v>
      </c>
      <c r="AD211" s="4"/>
      <c r="AE211" s="4"/>
      <c r="AF211" s="6">
        <v>63</v>
      </c>
      <c r="AG211" s="6"/>
      <c r="AH211" s="7">
        <v>1</v>
      </c>
      <c r="AI211" s="4"/>
      <c r="AJ211" s="4">
        <f>=ROUNDDOWN({0},0)</f>
      </c>
      <c r="AK211" s="5"/>
      <c r="AL211" s="2" t="s">
        <v>233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233</v>
      </c>
      <c r="AW211" s="8" t="s">
        <v>233</v>
      </c>
      <c r="AX211" s="4" t="s">
        <v>233</v>
      </c>
      <c r="AY211" s="8" t="s">
        <v>233</v>
      </c>
      <c r="AZ211" s="7" t="s">
        <v>233</v>
      </c>
      <c r="BA211" s="7" t="s">
        <v>233</v>
      </c>
      <c r="BB211" s="7"/>
      <c r="BC211" s="4" t="s">
        <v>233</v>
      </c>
      <c r="BD211" s="8" t="s">
        <v>233</v>
      </c>
      <c r="BE211" s="4" t="s">
        <v>233</v>
      </c>
      <c r="BF211" s="8" t="s">
        <v>233</v>
      </c>
      <c r="BG211" s="7" t="s">
        <v>233</v>
      </c>
      <c r="BH211" s="7" t="s">
        <v>233</v>
      </c>
      <c r="BI211" s="7"/>
      <c r="BJ211" s="4">
        <v>18</v>
      </c>
      <c r="BK211" s="8">
        <v>711.54</v>
      </c>
      <c r="BL211" s="2" t="s">
        <v>1421</v>
      </c>
      <c r="BM211" s="7"/>
      <c r="BN211" s="7"/>
      <c r="BO211" s="4"/>
      <c r="BP211" s="8"/>
      <c r="BQ211" s="4"/>
      <c r="BR211" s="8"/>
      <c r="BS211" s="7"/>
      <c r="BT211" s="7"/>
      <c r="BU211" s="2" t="s">
        <v>1422</v>
      </c>
      <c r="BV211" s="2" t="s">
        <v>233</v>
      </c>
      <c r="BW211" s="2" t="s">
        <v>233</v>
      </c>
      <c r="BX211" s="2" t="s">
        <v>233</v>
      </c>
      <c r="BY211" s="2" t="s">
        <v>280</v>
      </c>
      <c r="BZ211" s="2" t="s">
        <v>245</v>
      </c>
      <c r="CA211" s="2" t="s">
        <v>1423</v>
      </c>
      <c r="CB211" s="2" t="s">
        <v>1424</v>
      </c>
      <c r="CC211" s="2" t="s">
        <v>246</v>
      </c>
      <c r="CD211" s="2" t="s">
        <v>233</v>
      </c>
      <c r="CE211" s="4"/>
      <c r="CF211" s="4">
        <v>96</v>
      </c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</row>
    <row r="212">
      <c r="A212" s="2" t="s">
        <v>1425</v>
      </c>
      <c r="B212" s="2" t="s">
        <v>1414</v>
      </c>
      <c r="C212" s="2" t="s">
        <v>530</v>
      </c>
      <c r="D212" s="2" t="s">
        <v>1414</v>
      </c>
      <c r="E212" s="2" t="s">
        <v>1414</v>
      </c>
      <c r="F212" s="2" t="s">
        <v>1081</v>
      </c>
      <c r="G212" s="2" t="s">
        <v>1415</v>
      </c>
      <c r="H212" s="2" t="s">
        <v>1416</v>
      </c>
      <c r="I212" s="2" t="s">
        <v>1417</v>
      </c>
      <c r="J212" s="2" t="s">
        <v>1426</v>
      </c>
      <c r="K212" s="2" t="s">
        <v>1419</v>
      </c>
      <c r="L212" s="3">
        <v>114.18</v>
      </c>
      <c r="M212" s="3">
        <v>119.89</v>
      </c>
      <c r="N212" s="3">
        <v>254.99</v>
      </c>
      <c r="O212" s="2" t="s">
        <v>245</v>
      </c>
      <c r="P212" s="2" t="s">
        <v>311</v>
      </c>
      <c r="Q212" s="2" t="s">
        <v>239</v>
      </c>
      <c r="R212" s="2" t="s">
        <v>233</v>
      </c>
      <c r="S212" s="2" t="s">
        <v>233</v>
      </c>
      <c r="T212" s="2" t="s">
        <v>233</v>
      </c>
      <c r="U212" s="2" t="s">
        <v>396</v>
      </c>
      <c r="V212" s="2" t="s">
        <v>921</v>
      </c>
      <c r="W212" s="2" t="s">
        <v>397</v>
      </c>
      <c r="X212" s="2" t="s">
        <v>233</v>
      </c>
      <c r="Y212" s="2" t="s">
        <v>1420</v>
      </c>
      <c r="Z212" s="4">
        <v>131</v>
      </c>
      <c r="AA212" s="4">
        <f>=ROUNDDOWN(109.166666666667,0)</f>
      </c>
      <c r="AB212" s="5">
        <v>1.2</v>
      </c>
      <c r="AC212" s="2" t="s">
        <v>233</v>
      </c>
      <c r="AD212" s="4"/>
      <c r="AE212" s="4"/>
      <c r="AF212" s="6">
        <v>63</v>
      </c>
      <c r="AG212" s="6"/>
      <c r="AH212" s="7">
        <v>1</v>
      </c>
      <c r="AI212" s="4"/>
      <c r="AJ212" s="4">
        <f>=ROUNDDOWN({0},0)</f>
      </c>
      <c r="AK212" s="5"/>
      <c r="AL212" s="2" t="s">
        <v>233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233</v>
      </c>
      <c r="AW212" s="8" t="s">
        <v>233</v>
      </c>
      <c r="AX212" s="4" t="s">
        <v>233</v>
      </c>
      <c r="AY212" s="8" t="s">
        <v>233</v>
      </c>
      <c r="AZ212" s="7" t="s">
        <v>233</v>
      </c>
      <c r="BA212" s="7" t="s">
        <v>233</v>
      </c>
      <c r="BB212" s="7"/>
      <c r="BC212" s="4" t="s">
        <v>233</v>
      </c>
      <c r="BD212" s="8" t="s">
        <v>233</v>
      </c>
      <c r="BE212" s="4" t="s">
        <v>233</v>
      </c>
      <c r="BF212" s="8" t="s">
        <v>233</v>
      </c>
      <c r="BG212" s="7" t="s">
        <v>233</v>
      </c>
      <c r="BH212" s="7" t="s">
        <v>233</v>
      </c>
      <c r="BI212" s="7"/>
      <c r="BJ212" s="4">
        <v>4</v>
      </c>
      <c r="BK212" s="8">
        <v>557.11</v>
      </c>
      <c r="BL212" s="2" t="s">
        <v>1427</v>
      </c>
      <c r="BM212" s="7"/>
      <c r="BN212" s="7"/>
      <c r="BO212" s="4"/>
      <c r="BP212" s="8"/>
      <c r="BQ212" s="4"/>
      <c r="BR212" s="8"/>
      <c r="BS212" s="7"/>
      <c r="BT212" s="7"/>
      <c r="BU212" s="2" t="s">
        <v>1428</v>
      </c>
      <c r="BV212" s="2" t="s">
        <v>233</v>
      </c>
      <c r="BW212" s="2" t="s">
        <v>233</v>
      </c>
      <c r="BX212" s="2" t="s">
        <v>233</v>
      </c>
      <c r="BY212" s="2" t="s">
        <v>280</v>
      </c>
      <c r="BZ212" s="2" t="s">
        <v>245</v>
      </c>
      <c r="CA212" s="2" t="s">
        <v>1423</v>
      </c>
      <c r="CB212" s="2" t="s">
        <v>1429</v>
      </c>
      <c r="CC212" s="2" t="s">
        <v>246</v>
      </c>
      <c r="CD212" s="2" t="s">
        <v>233</v>
      </c>
      <c r="CE212" s="4">
        <v>3</v>
      </c>
      <c r="CF212" s="4">
        <v>128</v>
      </c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</row>
    <row r="213">
      <c r="A213" s="2" t="s">
        <v>1430</v>
      </c>
      <c r="B213" s="2" t="s">
        <v>228</v>
      </c>
      <c r="C213" s="2" t="s">
        <v>530</v>
      </c>
      <c r="D213" s="2" t="s">
        <v>969</v>
      </c>
      <c r="E213" s="2" t="s">
        <v>970</v>
      </c>
      <c r="F213" s="2" t="s">
        <v>1431</v>
      </c>
      <c r="G213" s="2" t="s">
        <v>1432</v>
      </c>
      <c r="H213" s="2" t="s">
        <v>1432</v>
      </c>
      <c r="I213" s="2" t="s">
        <v>1433</v>
      </c>
      <c r="J213" s="2" t="s">
        <v>981</v>
      </c>
      <c r="K213" s="2" t="s">
        <v>255</v>
      </c>
      <c r="L213" s="3">
        <v>47.04</v>
      </c>
      <c r="M213" s="3">
        <v>49.39</v>
      </c>
      <c r="N213" s="3">
        <v>94.99</v>
      </c>
      <c r="O213" s="2" t="s">
        <v>245</v>
      </c>
      <c r="P213" s="2" t="s">
        <v>311</v>
      </c>
      <c r="Q213" s="2" t="s">
        <v>239</v>
      </c>
      <c r="R213" s="2" t="s">
        <v>233</v>
      </c>
      <c r="S213" s="2" t="s">
        <v>1434</v>
      </c>
      <c r="T213" s="2" t="s">
        <v>976</v>
      </c>
      <c r="U213" s="2" t="s">
        <v>475</v>
      </c>
      <c r="V213" s="2" t="s">
        <v>241</v>
      </c>
      <c r="W213" s="2" t="s">
        <v>705</v>
      </c>
      <c r="X213" s="2" t="s">
        <v>275</v>
      </c>
      <c r="Y213" s="2" t="s">
        <v>1435</v>
      </c>
      <c r="Z213" s="4"/>
      <c r="AA213" s="4">
        <f>=ROUNDDOWN({0},0)</f>
      </c>
      <c r="AB213" s="5">
        <v>7</v>
      </c>
      <c r="AC213" s="2" t="s">
        <v>1341</v>
      </c>
      <c r="AD213" s="4">
        <v>90</v>
      </c>
      <c r="AE213" s="4">
        <v>90</v>
      </c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233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233</v>
      </c>
      <c r="AW213" s="8" t="s">
        <v>233</v>
      </c>
      <c r="AX213" s="4" t="s">
        <v>233</v>
      </c>
      <c r="AY213" s="8" t="s">
        <v>233</v>
      </c>
      <c r="AZ213" s="7" t="s">
        <v>233</v>
      </c>
      <c r="BA213" s="7" t="s">
        <v>233</v>
      </c>
      <c r="BB213" s="7"/>
      <c r="BC213" s="4" t="s">
        <v>233</v>
      </c>
      <c r="BD213" s="8" t="s">
        <v>233</v>
      </c>
      <c r="BE213" s="4" t="s">
        <v>233</v>
      </c>
      <c r="BF213" s="8" t="s">
        <v>233</v>
      </c>
      <c r="BG213" s="7" t="s">
        <v>233</v>
      </c>
      <c r="BH213" s="7" t="s">
        <v>233</v>
      </c>
      <c r="BI213" s="7"/>
      <c r="BJ213" s="4"/>
      <c r="BK213" s="8"/>
      <c r="BL213" s="2" t="s">
        <v>744</v>
      </c>
      <c r="BM213" s="7"/>
      <c r="BN213" s="7"/>
      <c r="BO213" s="4"/>
      <c r="BP213" s="8"/>
      <c r="BQ213" s="4"/>
      <c r="BR213" s="8"/>
      <c r="BS213" s="7"/>
      <c r="BT213" s="7"/>
      <c r="BU213" s="2" t="s">
        <v>1436</v>
      </c>
      <c r="BV213" s="2" t="s">
        <v>233</v>
      </c>
      <c r="BW213" s="2" t="s">
        <v>233</v>
      </c>
      <c r="BX213" s="2" t="s">
        <v>595</v>
      </c>
      <c r="BY213" s="2" t="s">
        <v>280</v>
      </c>
      <c r="BZ213" s="2" t="s">
        <v>245</v>
      </c>
      <c r="CA213" s="2" t="s">
        <v>1437</v>
      </c>
      <c r="CB213" s="2" t="s">
        <v>1438</v>
      </c>
      <c r="CC213" s="2" t="s">
        <v>246</v>
      </c>
      <c r="CD213" s="2" t="s">
        <v>233</v>
      </c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>
        <v>90</v>
      </c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</row>
    <row r="214">
      <c r="A214" s="2" t="s">
        <v>1439</v>
      </c>
      <c r="B214" s="2" t="s">
        <v>228</v>
      </c>
      <c r="C214" s="2" t="s">
        <v>530</v>
      </c>
      <c r="D214" s="2" t="s">
        <v>969</v>
      </c>
      <c r="E214" s="2" t="s">
        <v>970</v>
      </c>
      <c r="F214" s="2" t="s">
        <v>1431</v>
      </c>
      <c r="G214" s="2" t="s">
        <v>1432</v>
      </c>
      <c r="H214" s="2" t="s">
        <v>1432</v>
      </c>
      <c r="I214" s="2" t="s">
        <v>1433</v>
      </c>
      <c r="J214" s="2" t="s">
        <v>1142</v>
      </c>
      <c r="K214" s="2" t="s">
        <v>255</v>
      </c>
      <c r="L214" s="3">
        <v>52</v>
      </c>
      <c r="M214" s="3">
        <v>54.6</v>
      </c>
      <c r="N214" s="3">
        <v>104.99</v>
      </c>
      <c r="O214" s="2" t="s">
        <v>245</v>
      </c>
      <c r="P214" s="2" t="s">
        <v>311</v>
      </c>
      <c r="Q214" s="2" t="s">
        <v>239</v>
      </c>
      <c r="R214" s="2" t="s">
        <v>233</v>
      </c>
      <c r="S214" s="2" t="s">
        <v>1434</v>
      </c>
      <c r="T214" s="2" t="s">
        <v>976</v>
      </c>
      <c r="U214" s="2" t="s">
        <v>475</v>
      </c>
      <c r="V214" s="2" t="s">
        <v>241</v>
      </c>
      <c r="W214" s="2" t="s">
        <v>705</v>
      </c>
      <c r="X214" s="2" t="s">
        <v>275</v>
      </c>
      <c r="Y214" s="2" t="s">
        <v>1435</v>
      </c>
      <c r="Z214" s="4">
        <v>179</v>
      </c>
      <c r="AA214" s="4">
        <f>=ROUNDDOWN(29.8333333333333,0)</f>
      </c>
      <c r="AB214" s="5">
        <v>6</v>
      </c>
      <c r="AC214" s="2" t="s">
        <v>233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233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233</v>
      </c>
      <c r="AW214" s="8" t="s">
        <v>233</v>
      </c>
      <c r="AX214" s="4" t="s">
        <v>233</v>
      </c>
      <c r="AY214" s="8" t="s">
        <v>233</v>
      </c>
      <c r="AZ214" s="7" t="s">
        <v>233</v>
      </c>
      <c r="BA214" s="7" t="s">
        <v>233</v>
      </c>
      <c r="BB214" s="7"/>
      <c r="BC214" s="4" t="s">
        <v>233</v>
      </c>
      <c r="BD214" s="8" t="s">
        <v>233</v>
      </c>
      <c r="BE214" s="4" t="s">
        <v>233</v>
      </c>
      <c r="BF214" s="8" t="s">
        <v>233</v>
      </c>
      <c r="BG214" s="7" t="s">
        <v>233</v>
      </c>
      <c r="BH214" s="7" t="s">
        <v>233</v>
      </c>
      <c r="BI214" s="7"/>
      <c r="BJ214" s="4">
        <v>13</v>
      </c>
      <c r="BK214" s="8">
        <v>736.56</v>
      </c>
      <c r="BL214" s="2" t="s">
        <v>778</v>
      </c>
      <c r="BM214" s="7"/>
      <c r="BN214" s="7"/>
      <c r="BO214" s="4"/>
      <c r="BP214" s="8"/>
      <c r="BQ214" s="4"/>
      <c r="BR214" s="8"/>
      <c r="BS214" s="7"/>
      <c r="BT214" s="7"/>
      <c r="BU214" s="2" t="s">
        <v>1440</v>
      </c>
      <c r="BV214" s="2" t="s">
        <v>233</v>
      </c>
      <c r="BW214" s="2" t="s">
        <v>233</v>
      </c>
      <c r="BX214" s="2" t="s">
        <v>595</v>
      </c>
      <c r="BY214" s="2" t="s">
        <v>280</v>
      </c>
      <c r="BZ214" s="2" t="s">
        <v>245</v>
      </c>
      <c r="CA214" s="2" t="s">
        <v>1441</v>
      </c>
      <c r="CB214" s="2" t="s">
        <v>1442</v>
      </c>
      <c r="CC214" s="2" t="s">
        <v>246</v>
      </c>
      <c r="CD214" s="2" t="s">
        <v>233</v>
      </c>
      <c r="CE214" s="4">
        <v>179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</row>
    <row r="215">
      <c r="A215" s="2" t="s">
        <v>1443</v>
      </c>
      <c r="B215" s="2" t="s">
        <v>228</v>
      </c>
      <c r="C215" s="2" t="s">
        <v>530</v>
      </c>
      <c r="D215" s="2" t="s">
        <v>969</v>
      </c>
      <c r="E215" s="2" t="s">
        <v>970</v>
      </c>
      <c r="F215" s="2" t="s">
        <v>1431</v>
      </c>
      <c r="G215" s="2" t="s">
        <v>1432</v>
      </c>
      <c r="H215" s="2" t="s">
        <v>1432</v>
      </c>
      <c r="I215" s="2" t="s">
        <v>1433</v>
      </c>
      <c r="J215" s="2" t="s">
        <v>981</v>
      </c>
      <c r="K215" s="2" t="s">
        <v>569</v>
      </c>
      <c r="L215" s="3">
        <v>47.04</v>
      </c>
      <c r="M215" s="3">
        <v>49.39</v>
      </c>
      <c r="N215" s="3">
        <v>94.99</v>
      </c>
      <c r="O215" s="2" t="s">
        <v>245</v>
      </c>
      <c r="P215" s="2" t="s">
        <v>311</v>
      </c>
      <c r="Q215" s="2" t="s">
        <v>239</v>
      </c>
      <c r="R215" s="2" t="s">
        <v>233</v>
      </c>
      <c r="S215" s="2" t="s">
        <v>1444</v>
      </c>
      <c r="T215" s="2" t="s">
        <v>976</v>
      </c>
      <c r="U215" s="2" t="s">
        <v>475</v>
      </c>
      <c r="V215" s="2" t="s">
        <v>241</v>
      </c>
      <c r="W215" s="2" t="s">
        <v>705</v>
      </c>
      <c r="X215" s="2" t="s">
        <v>275</v>
      </c>
      <c r="Y215" s="2" t="s">
        <v>1435</v>
      </c>
      <c r="Z215" s="4"/>
      <c r="AA215" s="4">
        <f>=ROUNDDOWN({0},0)</f>
      </c>
      <c r="AB215" s="5">
        <v>6</v>
      </c>
      <c r="AC215" s="2" t="s">
        <v>1341</v>
      </c>
      <c r="AD215" s="4">
        <v>80</v>
      </c>
      <c r="AE215" s="4">
        <v>80</v>
      </c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233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233</v>
      </c>
      <c r="BD215" s="8" t="s">
        <v>233</v>
      </c>
      <c r="BE215" s="4" t="s">
        <v>233</v>
      </c>
      <c r="BF215" s="8" t="s">
        <v>233</v>
      </c>
      <c r="BG215" s="7" t="s">
        <v>233</v>
      </c>
      <c r="BH215" s="7" t="s">
        <v>233</v>
      </c>
      <c r="BI215" s="7"/>
      <c r="BJ215" s="4">
        <v>1</v>
      </c>
      <c r="BK215" s="8">
        <v>49.39</v>
      </c>
      <c r="BL215" s="2" t="s">
        <v>744</v>
      </c>
      <c r="BM215" s="7"/>
      <c r="BN215" s="7"/>
      <c r="BO215" s="4"/>
      <c r="BP215" s="8"/>
      <c r="BQ215" s="4"/>
      <c r="BR215" s="8"/>
      <c r="BS215" s="7"/>
      <c r="BT215" s="7"/>
      <c r="BU215" s="2" t="s">
        <v>1445</v>
      </c>
      <c r="BV215" s="2" t="s">
        <v>233</v>
      </c>
      <c r="BW215" s="2" t="s">
        <v>233</v>
      </c>
      <c r="BX215" s="2" t="s">
        <v>595</v>
      </c>
      <c r="BY215" s="2" t="s">
        <v>280</v>
      </c>
      <c r="BZ215" s="2" t="s">
        <v>245</v>
      </c>
      <c r="CA215" s="2" t="s">
        <v>1441</v>
      </c>
      <c r="CB215" s="2" t="s">
        <v>1437</v>
      </c>
      <c r="CC215" s="2" t="s">
        <v>246</v>
      </c>
      <c r="CD215" s="2" t="s">
        <v>233</v>
      </c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>
        <v>80</v>
      </c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</row>
    <row r="216">
      <c r="A216" s="2" t="s">
        <v>1446</v>
      </c>
      <c r="B216" s="2" t="s">
        <v>1174</v>
      </c>
      <c r="C216" s="2" t="s">
        <v>1447</v>
      </c>
      <c r="D216" s="2" t="s">
        <v>1175</v>
      </c>
      <c r="E216" s="2" t="s">
        <v>1448</v>
      </c>
      <c r="F216" s="2" t="s">
        <v>1449</v>
      </c>
      <c r="G216" s="2" t="s">
        <v>1450</v>
      </c>
      <c r="H216" s="2" t="s">
        <v>1451</v>
      </c>
      <c r="I216" s="2" t="s">
        <v>1452</v>
      </c>
      <c r="J216" s="2" t="s">
        <v>1453</v>
      </c>
      <c r="K216" s="2" t="s">
        <v>1454</v>
      </c>
      <c r="L216" s="3">
        <v>21</v>
      </c>
      <c r="M216" s="3">
        <v>22.05</v>
      </c>
      <c r="N216" s="3">
        <v>49.99</v>
      </c>
      <c r="O216" s="2" t="s">
        <v>245</v>
      </c>
      <c r="P216" s="2" t="s">
        <v>311</v>
      </c>
      <c r="Q216" s="2" t="s">
        <v>239</v>
      </c>
      <c r="R216" s="2" t="s">
        <v>233</v>
      </c>
      <c r="S216" s="2" t="s">
        <v>1455</v>
      </c>
      <c r="T216" s="2" t="s">
        <v>233</v>
      </c>
      <c r="U216" s="2" t="s">
        <v>396</v>
      </c>
      <c r="V216" s="2" t="s">
        <v>1456</v>
      </c>
      <c r="W216" s="2" t="s">
        <v>233</v>
      </c>
      <c r="X216" s="2" t="s">
        <v>1457</v>
      </c>
      <c r="Y216" s="2" t="s">
        <v>1458</v>
      </c>
      <c r="Z216" s="4">
        <v>457</v>
      </c>
      <c r="AA216" s="4">
        <f>=ROUNDDOWN(41.5454545454545,0)</f>
      </c>
      <c r="AB216" s="5">
        <v>11</v>
      </c>
      <c r="AC216" s="2" t="s">
        <v>233</v>
      </c>
      <c r="AD216" s="4"/>
      <c r="AE216" s="4"/>
      <c r="AF216" s="6">
        <v>68</v>
      </c>
      <c r="AG216" s="6"/>
      <c r="AH216" s="7">
        <v>1</v>
      </c>
      <c r="AI216" s="4"/>
      <c r="AJ216" s="4">
        <f>=ROUNDDOWN({0},0)</f>
      </c>
      <c r="AK216" s="5"/>
      <c r="AL216" s="2" t="s">
        <v>233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233</v>
      </c>
      <c r="BD216" s="8" t="s">
        <v>233</v>
      </c>
      <c r="BE216" s="4" t="s">
        <v>233</v>
      </c>
      <c r="BF216" s="8" t="s">
        <v>233</v>
      </c>
      <c r="BG216" s="7" t="s">
        <v>233</v>
      </c>
      <c r="BH216" s="7" t="s">
        <v>233</v>
      </c>
      <c r="BI216" s="7"/>
      <c r="BJ216" s="4">
        <v>4</v>
      </c>
      <c r="BK216" s="8">
        <v>96.6</v>
      </c>
      <c r="BL216" s="2" t="s">
        <v>1459</v>
      </c>
      <c r="BM216" s="7"/>
      <c r="BN216" s="7"/>
      <c r="BO216" s="4"/>
      <c r="BP216" s="8"/>
      <c r="BQ216" s="4"/>
      <c r="BR216" s="8"/>
      <c r="BS216" s="7"/>
      <c r="BT216" s="7"/>
      <c r="BU216" s="2" t="s">
        <v>1460</v>
      </c>
      <c r="BV216" s="2" t="s">
        <v>233</v>
      </c>
      <c r="BW216" s="2" t="s">
        <v>233</v>
      </c>
      <c r="BX216" s="2" t="s">
        <v>233</v>
      </c>
      <c r="BY216" s="2" t="s">
        <v>280</v>
      </c>
      <c r="BZ216" s="2" t="s">
        <v>245</v>
      </c>
      <c r="CA216" s="2" t="s">
        <v>1461</v>
      </c>
      <c r="CB216" s="2" t="s">
        <v>1462</v>
      </c>
      <c r="CC216" s="2" t="s">
        <v>246</v>
      </c>
      <c r="CD216" s="2" t="s">
        <v>233</v>
      </c>
      <c r="CE216" s="4">
        <v>457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</row>
    <row r="217">
      <c r="A217" s="2" t="s">
        <v>1463</v>
      </c>
      <c r="B217" s="2" t="s">
        <v>1066</v>
      </c>
      <c r="C217" s="2" t="s">
        <v>530</v>
      </c>
      <c r="D217" s="2" t="s">
        <v>1464</v>
      </c>
      <c r="E217" s="2" t="s">
        <v>1465</v>
      </c>
      <c r="F217" s="2" t="s">
        <v>1449</v>
      </c>
      <c r="G217" s="2" t="s">
        <v>1466</v>
      </c>
      <c r="H217" s="2" t="s">
        <v>1467</v>
      </c>
      <c r="I217" s="2" t="s">
        <v>1468</v>
      </c>
      <c r="J217" s="2" t="s">
        <v>348</v>
      </c>
      <c r="K217" s="2" t="s">
        <v>1191</v>
      </c>
      <c r="L217" s="3">
        <v>180.5</v>
      </c>
      <c r="M217" s="3">
        <v>189.52</v>
      </c>
      <c r="N217" s="3">
        <v>379</v>
      </c>
      <c r="O217" s="2" t="s">
        <v>245</v>
      </c>
      <c r="P217" s="2" t="s">
        <v>763</v>
      </c>
      <c r="Q217" s="2" t="s">
        <v>239</v>
      </c>
      <c r="R217" s="2" t="s">
        <v>233</v>
      </c>
      <c r="S217" s="2" t="s">
        <v>1469</v>
      </c>
      <c r="T217" s="2" t="s">
        <v>233</v>
      </c>
      <c r="U217" s="2" t="s">
        <v>396</v>
      </c>
      <c r="V217" s="2" t="s">
        <v>241</v>
      </c>
      <c r="W217" s="2" t="s">
        <v>451</v>
      </c>
      <c r="X217" s="2" t="s">
        <v>233</v>
      </c>
      <c r="Y217" s="2" t="s">
        <v>1470</v>
      </c>
      <c r="Z217" s="4">
        <v>135</v>
      </c>
      <c r="AA217" s="4">
        <f>=ROUNDDOWN(21.09375,0)</f>
      </c>
      <c r="AB217" s="5">
        <v>6.4</v>
      </c>
      <c r="AC217" s="2" t="s">
        <v>319</v>
      </c>
      <c r="AD217" s="4">
        <v>129</v>
      </c>
      <c r="AE217" s="4">
        <v>716</v>
      </c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1471</v>
      </c>
      <c r="AM217" s="4">
        <v>105</v>
      </c>
      <c r="AN217" s="4">
        <v>167</v>
      </c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233</v>
      </c>
      <c r="BD217" s="8" t="s">
        <v>233</v>
      </c>
      <c r="BE217" s="4" t="s">
        <v>233</v>
      </c>
      <c r="BF217" s="8" t="s">
        <v>233</v>
      </c>
      <c r="BG217" s="7" t="s">
        <v>233</v>
      </c>
      <c r="BH217" s="7" t="s">
        <v>233</v>
      </c>
      <c r="BI217" s="7"/>
      <c r="BJ217" s="4">
        <v>89</v>
      </c>
      <c r="BK217" s="8">
        <v>15519.43</v>
      </c>
      <c r="BL217" s="2" t="s">
        <v>1472</v>
      </c>
      <c r="BM217" s="7"/>
      <c r="BN217" s="7"/>
      <c r="BO217" s="4"/>
      <c r="BP217" s="8"/>
      <c r="BQ217" s="4"/>
      <c r="BR217" s="8"/>
      <c r="BS217" s="7"/>
      <c r="BT217" s="7"/>
      <c r="BU217" s="2" t="s">
        <v>1473</v>
      </c>
      <c r="BV217" s="2" t="s">
        <v>233</v>
      </c>
      <c r="BW217" s="2" t="s">
        <v>233</v>
      </c>
      <c r="BX217" s="2" t="s">
        <v>243</v>
      </c>
      <c r="BY217" s="2" t="s">
        <v>280</v>
      </c>
      <c r="BZ217" s="2" t="s">
        <v>245</v>
      </c>
      <c r="CA217" s="2" t="s">
        <v>1474</v>
      </c>
      <c r="CB217" s="2" t="s">
        <v>1475</v>
      </c>
      <c r="CC217" s="2" t="s">
        <v>246</v>
      </c>
      <c r="CD217" s="2" t="s">
        <v>233</v>
      </c>
      <c r="CE217" s="4"/>
      <c r="CF217" s="4">
        <v>135</v>
      </c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>
        <v>129</v>
      </c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>
        <v>32</v>
      </c>
      <c r="EJ217" s="4"/>
      <c r="EK217" s="4"/>
      <c r="EL217" s="4"/>
      <c r="EM217" s="4"/>
      <c r="EN217" s="4"/>
      <c r="EO217" s="4">
        <v>198</v>
      </c>
      <c r="EP217" s="4"/>
      <c r="EQ217" s="4"/>
      <c r="ER217" s="4"/>
      <c r="ES217" s="4"/>
      <c r="ET217" s="4"/>
      <c r="EU217" s="4">
        <v>18</v>
      </c>
      <c r="EV217" s="4"/>
      <c r="EW217" s="4"/>
      <c r="EX217" s="4"/>
      <c r="EY217" s="4"/>
      <c r="EZ217" s="4"/>
      <c r="FA217" s="4"/>
      <c r="FB217" s="4">
        <v>66</v>
      </c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>
        <v>64</v>
      </c>
      <c r="FO217" s="4"/>
      <c r="FP217" s="4"/>
      <c r="FQ217" s="4"/>
      <c r="FR217" s="4"/>
      <c r="FS217" s="4"/>
      <c r="FT217" s="4">
        <v>209</v>
      </c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>
        <v>105</v>
      </c>
      <c r="HN217" s="4">
        <v>62</v>
      </c>
      <c r="HO217" s="4"/>
      <c r="HP217" s="4"/>
      <c r="HQ217" s="4"/>
      <c r="HR217" s="4"/>
    </row>
    <row r="218">
      <c r="A218" s="2" t="s">
        <v>1476</v>
      </c>
      <c r="B218" s="2" t="s">
        <v>1242</v>
      </c>
      <c r="C218" s="2" t="s">
        <v>530</v>
      </c>
      <c r="D218" s="2" t="s">
        <v>969</v>
      </c>
      <c r="E218" s="2" t="s">
        <v>1078</v>
      </c>
      <c r="F218" s="2" t="s">
        <v>1449</v>
      </c>
      <c r="G218" s="2" t="s">
        <v>1477</v>
      </c>
      <c r="H218" s="2" t="s">
        <v>1478</v>
      </c>
      <c r="I218" s="2" t="s">
        <v>1479</v>
      </c>
      <c r="J218" s="2" t="s">
        <v>981</v>
      </c>
      <c r="K218" s="2" t="s">
        <v>255</v>
      </c>
      <c r="L218" s="3">
        <v>41.14</v>
      </c>
      <c r="M218" s="3">
        <v>43.2</v>
      </c>
      <c r="N218" s="3">
        <v>89.99</v>
      </c>
      <c r="O218" s="2" t="s">
        <v>245</v>
      </c>
      <c r="P218" s="2" t="s">
        <v>238</v>
      </c>
      <c r="Q218" s="2" t="s">
        <v>239</v>
      </c>
      <c r="R218" s="2" t="s">
        <v>233</v>
      </c>
      <c r="S218" s="2" t="s">
        <v>1480</v>
      </c>
      <c r="T218" s="2" t="s">
        <v>1481</v>
      </c>
      <c r="U218" s="2" t="s">
        <v>1482</v>
      </c>
      <c r="V218" s="2" t="s">
        <v>1483</v>
      </c>
      <c r="W218" s="2" t="s">
        <v>451</v>
      </c>
      <c r="X218" s="2" t="s">
        <v>776</v>
      </c>
      <c r="Y218" s="2" t="s">
        <v>1484</v>
      </c>
      <c r="Z218" s="4"/>
      <c r="AA218" s="4">
        <f>=ROUNDDOWN({0},0)</f>
      </c>
      <c r="AB218" s="5">
        <v>12</v>
      </c>
      <c r="AC218" s="2" t="s">
        <v>1485</v>
      </c>
      <c r="AD218" s="4">
        <v>180</v>
      </c>
      <c r="AE218" s="4">
        <v>350</v>
      </c>
      <c r="AF218" s="6">
        <v>64</v>
      </c>
      <c r="AG218" s="6"/>
      <c r="AH218" s="7">
        <v>0</v>
      </c>
      <c r="AI218" s="4"/>
      <c r="AJ218" s="4">
        <f>=ROUNDDOWN({0},0)</f>
      </c>
      <c r="AK218" s="5"/>
      <c r="AL218" s="2" t="s">
        <v>233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233</v>
      </c>
      <c r="AW218" s="8" t="s">
        <v>233</v>
      </c>
      <c r="AX218" s="4" t="s">
        <v>233</v>
      </c>
      <c r="AY218" s="8" t="s">
        <v>233</v>
      </c>
      <c r="AZ218" s="7" t="s">
        <v>233</v>
      </c>
      <c r="BA218" s="7" t="s">
        <v>233</v>
      </c>
      <c r="BB218" s="7"/>
      <c r="BC218" s="4" t="s">
        <v>233</v>
      </c>
      <c r="BD218" s="8" t="s">
        <v>233</v>
      </c>
      <c r="BE218" s="4" t="s">
        <v>233</v>
      </c>
      <c r="BF218" s="8" t="s">
        <v>233</v>
      </c>
      <c r="BG218" s="7" t="s">
        <v>233</v>
      </c>
      <c r="BH218" s="7" t="s">
        <v>233</v>
      </c>
      <c r="BI218" s="7"/>
      <c r="BJ218" s="4"/>
      <c r="BK218" s="8"/>
      <c r="BL218" s="2" t="s">
        <v>233</v>
      </c>
      <c r="BM218" s="7"/>
      <c r="BN218" s="7"/>
      <c r="BO218" s="4"/>
      <c r="BP218" s="8"/>
      <c r="BQ218" s="4"/>
      <c r="BR218" s="8"/>
      <c r="BS218" s="7"/>
      <c r="BT218" s="7"/>
      <c r="BU218" s="2" t="s">
        <v>1486</v>
      </c>
      <c r="BV218" s="2" t="s">
        <v>233</v>
      </c>
      <c r="BW218" s="2" t="s">
        <v>233</v>
      </c>
      <c r="BX218" s="2" t="s">
        <v>243</v>
      </c>
      <c r="BY218" s="2" t="s">
        <v>280</v>
      </c>
      <c r="BZ218" s="2" t="s">
        <v>245</v>
      </c>
      <c r="CA218" s="2" t="s">
        <v>233</v>
      </c>
      <c r="CB218" s="2" t="s">
        <v>233</v>
      </c>
      <c r="CC218" s="2" t="s">
        <v>246</v>
      </c>
      <c r="CD218" s="2" t="s">
        <v>233</v>
      </c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>
        <v>180</v>
      </c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>
        <v>170</v>
      </c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</row>
    <row r="219">
      <c r="A219" s="2" t="s">
        <v>1487</v>
      </c>
      <c r="B219" s="2" t="s">
        <v>1242</v>
      </c>
      <c r="C219" s="2" t="s">
        <v>530</v>
      </c>
      <c r="D219" s="2" t="s">
        <v>969</v>
      </c>
      <c r="E219" s="2" t="s">
        <v>1078</v>
      </c>
      <c r="F219" s="2" t="s">
        <v>1449</v>
      </c>
      <c r="G219" s="2" t="s">
        <v>1477</v>
      </c>
      <c r="H219" s="2" t="s">
        <v>1478</v>
      </c>
      <c r="I219" s="2" t="s">
        <v>1479</v>
      </c>
      <c r="J219" s="2" t="s">
        <v>1142</v>
      </c>
      <c r="K219" s="2" t="s">
        <v>255</v>
      </c>
      <c r="L219" s="3">
        <v>45.71</v>
      </c>
      <c r="M219" s="3">
        <v>48</v>
      </c>
      <c r="N219" s="3">
        <v>99.99</v>
      </c>
      <c r="O219" s="2" t="s">
        <v>245</v>
      </c>
      <c r="P219" s="2" t="s">
        <v>238</v>
      </c>
      <c r="Q219" s="2" t="s">
        <v>239</v>
      </c>
      <c r="R219" s="2" t="s">
        <v>233</v>
      </c>
      <c r="S219" s="2" t="s">
        <v>1480</v>
      </c>
      <c r="T219" s="2" t="s">
        <v>1481</v>
      </c>
      <c r="U219" s="2" t="s">
        <v>1482</v>
      </c>
      <c r="V219" s="2" t="s">
        <v>1483</v>
      </c>
      <c r="W219" s="2" t="s">
        <v>451</v>
      </c>
      <c r="X219" s="2" t="s">
        <v>776</v>
      </c>
      <c r="Y219" s="2" t="s">
        <v>1484</v>
      </c>
      <c r="Z219" s="4"/>
      <c r="AA219" s="4">
        <f>=ROUNDDOWN({0},0)</f>
      </c>
      <c r="AB219" s="5">
        <v>15</v>
      </c>
      <c r="AC219" s="2" t="s">
        <v>1485</v>
      </c>
      <c r="AD219" s="4">
        <v>230</v>
      </c>
      <c r="AE219" s="4">
        <v>450</v>
      </c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233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233</v>
      </c>
      <c r="AW219" s="8" t="s">
        <v>233</v>
      </c>
      <c r="AX219" s="4" t="s">
        <v>233</v>
      </c>
      <c r="AY219" s="8" t="s">
        <v>233</v>
      </c>
      <c r="AZ219" s="7" t="s">
        <v>233</v>
      </c>
      <c r="BA219" s="7" t="s">
        <v>233</v>
      </c>
      <c r="BB219" s="7"/>
      <c r="BC219" s="4" t="s">
        <v>233</v>
      </c>
      <c r="BD219" s="8" t="s">
        <v>233</v>
      </c>
      <c r="BE219" s="4" t="s">
        <v>233</v>
      </c>
      <c r="BF219" s="8" t="s">
        <v>233</v>
      </c>
      <c r="BG219" s="7" t="s">
        <v>233</v>
      </c>
      <c r="BH219" s="7" t="s">
        <v>233</v>
      </c>
      <c r="BI219" s="7"/>
      <c r="BJ219" s="4"/>
      <c r="BK219" s="8"/>
      <c r="BL219" s="2" t="s">
        <v>233</v>
      </c>
      <c r="BM219" s="7"/>
      <c r="BN219" s="7"/>
      <c r="BO219" s="4"/>
      <c r="BP219" s="8"/>
      <c r="BQ219" s="4"/>
      <c r="BR219" s="8"/>
      <c r="BS219" s="7"/>
      <c r="BT219" s="7"/>
      <c r="BU219" s="2" t="s">
        <v>1488</v>
      </c>
      <c r="BV219" s="2" t="s">
        <v>233</v>
      </c>
      <c r="BW219" s="2" t="s">
        <v>233</v>
      </c>
      <c r="BX219" s="2" t="s">
        <v>243</v>
      </c>
      <c r="BY219" s="2" t="s">
        <v>280</v>
      </c>
      <c r="BZ219" s="2" t="s">
        <v>245</v>
      </c>
      <c r="CA219" s="2" t="s">
        <v>233</v>
      </c>
      <c r="CB219" s="2" t="s">
        <v>233</v>
      </c>
      <c r="CC219" s="2" t="s">
        <v>246</v>
      </c>
      <c r="CD219" s="2" t="s">
        <v>233</v>
      </c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>
        <v>230</v>
      </c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>
        <v>220</v>
      </c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</row>
    <row r="220">
      <c r="A220" s="2" t="s">
        <v>1489</v>
      </c>
      <c r="B220" s="2" t="s">
        <v>1174</v>
      </c>
      <c r="C220" s="2" t="s">
        <v>1447</v>
      </c>
      <c r="D220" s="2" t="s">
        <v>1175</v>
      </c>
      <c r="E220" s="2" t="s">
        <v>1448</v>
      </c>
      <c r="F220" s="2" t="s">
        <v>1449</v>
      </c>
      <c r="G220" s="2" t="s">
        <v>1450</v>
      </c>
      <c r="H220" s="2" t="s">
        <v>1451</v>
      </c>
      <c r="I220" s="2" t="s">
        <v>1452</v>
      </c>
      <c r="J220" s="2" t="s">
        <v>1490</v>
      </c>
      <c r="K220" s="2" t="s">
        <v>255</v>
      </c>
      <c r="L220" s="3">
        <v>18.5</v>
      </c>
      <c r="M220" s="3">
        <v>19.42</v>
      </c>
      <c r="N220" s="3">
        <v>44.99</v>
      </c>
      <c r="O220" s="2" t="s">
        <v>245</v>
      </c>
      <c r="P220" s="2" t="s">
        <v>311</v>
      </c>
      <c r="Q220" s="2" t="s">
        <v>239</v>
      </c>
      <c r="R220" s="2" t="s">
        <v>233</v>
      </c>
      <c r="S220" s="2" t="s">
        <v>1491</v>
      </c>
      <c r="T220" s="2" t="s">
        <v>233</v>
      </c>
      <c r="U220" s="2" t="s">
        <v>396</v>
      </c>
      <c r="V220" s="2" t="s">
        <v>1456</v>
      </c>
      <c r="W220" s="2" t="s">
        <v>233</v>
      </c>
      <c r="X220" s="2" t="s">
        <v>1457</v>
      </c>
      <c r="Y220" s="2" t="s">
        <v>1458</v>
      </c>
      <c r="Z220" s="4">
        <v>129</v>
      </c>
      <c r="AA220" s="4">
        <f>=ROUNDDOWN(21.5,0)</f>
      </c>
      <c r="AB220" s="5">
        <v>6</v>
      </c>
      <c r="AC220" s="2" t="s">
        <v>1492</v>
      </c>
      <c r="AD220" s="4">
        <v>52</v>
      </c>
      <c r="AE220" s="4">
        <v>52</v>
      </c>
      <c r="AF220" s="6">
        <v>68</v>
      </c>
      <c r="AG220" s="6"/>
      <c r="AH220" s="7">
        <v>1</v>
      </c>
      <c r="AI220" s="4"/>
      <c r="AJ220" s="4">
        <f>=ROUNDDOWN({0},0)</f>
      </c>
      <c r="AK220" s="5"/>
      <c r="AL220" s="2" t="s">
        <v>233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233</v>
      </c>
      <c r="AW220" s="8" t="s">
        <v>233</v>
      </c>
      <c r="AX220" s="4" t="s">
        <v>233</v>
      </c>
      <c r="AY220" s="8" t="s">
        <v>233</v>
      </c>
      <c r="AZ220" s="7" t="s">
        <v>233</v>
      </c>
      <c r="BA220" s="7" t="s">
        <v>233</v>
      </c>
      <c r="BB220" s="7"/>
      <c r="BC220" s="4" t="s">
        <v>233</v>
      </c>
      <c r="BD220" s="8" t="s">
        <v>233</v>
      </c>
      <c r="BE220" s="4" t="s">
        <v>233</v>
      </c>
      <c r="BF220" s="8" t="s">
        <v>233</v>
      </c>
      <c r="BG220" s="7" t="s">
        <v>233</v>
      </c>
      <c r="BH220" s="7" t="s">
        <v>233</v>
      </c>
      <c r="BI220" s="7"/>
      <c r="BJ220" s="4">
        <v>28</v>
      </c>
      <c r="BK220" s="8">
        <v>572.42</v>
      </c>
      <c r="BL220" s="2" t="s">
        <v>1493</v>
      </c>
      <c r="BM220" s="7"/>
      <c r="BN220" s="7"/>
      <c r="BO220" s="4"/>
      <c r="BP220" s="8"/>
      <c r="BQ220" s="4"/>
      <c r="BR220" s="8"/>
      <c r="BS220" s="7"/>
      <c r="BT220" s="7"/>
      <c r="BU220" s="2" t="s">
        <v>1494</v>
      </c>
      <c r="BV220" s="2" t="s">
        <v>233</v>
      </c>
      <c r="BW220" s="2" t="s">
        <v>233</v>
      </c>
      <c r="BX220" s="2" t="s">
        <v>233</v>
      </c>
      <c r="BY220" s="2" t="s">
        <v>280</v>
      </c>
      <c r="BZ220" s="2" t="s">
        <v>245</v>
      </c>
      <c r="CA220" s="2" t="s">
        <v>1495</v>
      </c>
      <c r="CB220" s="2" t="s">
        <v>1496</v>
      </c>
      <c r="CC220" s="2" t="s">
        <v>246</v>
      </c>
      <c r="CD220" s="2" t="s">
        <v>233</v>
      </c>
      <c r="CE220" s="4">
        <v>129</v>
      </c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>
        <v>52</v>
      </c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</row>
    <row r="221">
      <c r="A221" s="2" t="s">
        <v>1497</v>
      </c>
      <c r="B221" s="2" t="s">
        <v>1174</v>
      </c>
      <c r="C221" s="2" t="s">
        <v>1447</v>
      </c>
      <c r="D221" s="2" t="s">
        <v>1175</v>
      </c>
      <c r="E221" s="2" t="s">
        <v>1448</v>
      </c>
      <c r="F221" s="2" t="s">
        <v>1449</v>
      </c>
      <c r="G221" s="2" t="s">
        <v>1450</v>
      </c>
      <c r="H221" s="2" t="s">
        <v>1451</v>
      </c>
      <c r="I221" s="2" t="s">
        <v>1452</v>
      </c>
      <c r="J221" s="2" t="s">
        <v>1453</v>
      </c>
      <c r="K221" s="2" t="s">
        <v>255</v>
      </c>
      <c r="L221" s="3">
        <v>21</v>
      </c>
      <c r="M221" s="3">
        <v>22.05</v>
      </c>
      <c r="N221" s="3">
        <v>49.99</v>
      </c>
      <c r="O221" s="2" t="s">
        <v>245</v>
      </c>
      <c r="P221" s="2" t="s">
        <v>311</v>
      </c>
      <c r="Q221" s="2" t="s">
        <v>239</v>
      </c>
      <c r="R221" s="2" t="s">
        <v>233</v>
      </c>
      <c r="S221" s="2" t="s">
        <v>1491</v>
      </c>
      <c r="T221" s="2" t="s">
        <v>233</v>
      </c>
      <c r="U221" s="2" t="s">
        <v>396</v>
      </c>
      <c r="V221" s="2" t="s">
        <v>1456</v>
      </c>
      <c r="W221" s="2" t="s">
        <v>233</v>
      </c>
      <c r="X221" s="2" t="s">
        <v>1457</v>
      </c>
      <c r="Y221" s="2" t="s">
        <v>1458</v>
      </c>
      <c r="Z221" s="4">
        <v>227</v>
      </c>
      <c r="AA221" s="4">
        <f>=ROUNDDOWN(119.473684210526,0)</f>
      </c>
      <c r="AB221" s="5">
        <v>1.9</v>
      </c>
      <c r="AC221" s="2" t="s">
        <v>1492</v>
      </c>
      <c r="AD221" s="4">
        <v>76</v>
      </c>
      <c r="AE221" s="4">
        <v>76</v>
      </c>
      <c r="AF221" s="6">
        <v>68</v>
      </c>
      <c r="AG221" s="6"/>
      <c r="AH221" s="7">
        <v>1</v>
      </c>
      <c r="AI221" s="4"/>
      <c r="AJ221" s="4">
        <f>=ROUNDDOWN({0},0)</f>
      </c>
      <c r="AK221" s="5"/>
      <c r="AL221" s="2" t="s">
        <v>233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233</v>
      </c>
      <c r="AW221" s="8" t="s">
        <v>233</v>
      </c>
      <c r="AX221" s="4" t="s">
        <v>233</v>
      </c>
      <c r="AY221" s="8" t="s">
        <v>233</v>
      </c>
      <c r="AZ221" s="7" t="s">
        <v>233</v>
      </c>
      <c r="BA221" s="7" t="s">
        <v>233</v>
      </c>
      <c r="BB221" s="7"/>
      <c r="BC221" s="4" t="s">
        <v>233</v>
      </c>
      <c r="BD221" s="8" t="s">
        <v>233</v>
      </c>
      <c r="BE221" s="4" t="s">
        <v>233</v>
      </c>
      <c r="BF221" s="8" t="s">
        <v>233</v>
      </c>
      <c r="BG221" s="7" t="s">
        <v>233</v>
      </c>
      <c r="BH221" s="7" t="s">
        <v>233</v>
      </c>
      <c r="BI221" s="7"/>
      <c r="BJ221" s="4">
        <v>10</v>
      </c>
      <c r="BK221" s="8">
        <v>238.54</v>
      </c>
      <c r="BL221" s="2" t="s">
        <v>1498</v>
      </c>
      <c r="BM221" s="7"/>
      <c r="BN221" s="7"/>
      <c r="BO221" s="4"/>
      <c r="BP221" s="8"/>
      <c r="BQ221" s="4"/>
      <c r="BR221" s="8"/>
      <c r="BS221" s="7"/>
      <c r="BT221" s="7"/>
      <c r="BU221" s="2" t="s">
        <v>1499</v>
      </c>
      <c r="BV221" s="2" t="s">
        <v>233</v>
      </c>
      <c r="BW221" s="2" t="s">
        <v>233</v>
      </c>
      <c r="BX221" s="2" t="s">
        <v>233</v>
      </c>
      <c r="BY221" s="2" t="s">
        <v>280</v>
      </c>
      <c r="BZ221" s="2" t="s">
        <v>245</v>
      </c>
      <c r="CA221" s="2" t="s">
        <v>1461</v>
      </c>
      <c r="CB221" s="2" t="s">
        <v>1500</v>
      </c>
      <c r="CC221" s="2" t="s">
        <v>246</v>
      </c>
      <c r="CD221" s="2" t="s">
        <v>233</v>
      </c>
      <c r="CE221" s="4">
        <v>227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>
        <v>76</v>
      </c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</row>
    <row r="222">
      <c r="A222" s="2" t="s">
        <v>1501</v>
      </c>
      <c r="B222" s="2" t="s">
        <v>1242</v>
      </c>
      <c r="C222" s="2" t="s">
        <v>530</v>
      </c>
      <c r="D222" s="2" t="s">
        <v>969</v>
      </c>
      <c r="E222" s="2" t="s">
        <v>1078</v>
      </c>
      <c r="F222" s="2" t="s">
        <v>1502</v>
      </c>
      <c r="G222" s="2" t="s">
        <v>1503</v>
      </c>
      <c r="H222" s="2" t="s">
        <v>1504</v>
      </c>
      <c r="I222" s="2" t="s">
        <v>1505</v>
      </c>
      <c r="J222" s="2" t="s">
        <v>328</v>
      </c>
      <c r="K222" s="2" t="s">
        <v>1083</v>
      </c>
      <c r="L222" s="3">
        <v>71.14</v>
      </c>
      <c r="M222" s="3">
        <v>74.7</v>
      </c>
      <c r="N222" s="3">
        <v>144.99</v>
      </c>
      <c r="O222" s="2" t="s">
        <v>245</v>
      </c>
      <c r="P222" s="2" t="s">
        <v>272</v>
      </c>
      <c r="Q222" s="2" t="s">
        <v>239</v>
      </c>
      <c r="R222" s="2" t="s">
        <v>233</v>
      </c>
      <c r="S222" s="2" t="s">
        <v>1506</v>
      </c>
      <c r="T222" s="2" t="s">
        <v>233</v>
      </c>
      <c r="U222" s="2" t="s">
        <v>1507</v>
      </c>
      <c r="V222" s="2" t="s">
        <v>1508</v>
      </c>
      <c r="W222" s="2" t="s">
        <v>451</v>
      </c>
      <c r="X222" s="2" t="s">
        <v>1509</v>
      </c>
      <c r="Y222" s="2" t="s">
        <v>276</v>
      </c>
      <c r="Z222" s="4">
        <v>337</v>
      </c>
      <c r="AA222" s="4">
        <f>=ROUNDDOWN(25.9230769230769,0)</f>
      </c>
      <c r="AB222" s="5">
        <v>13</v>
      </c>
      <c r="AC222" s="2" t="s">
        <v>547</v>
      </c>
      <c r="AD222" s="4">
        <v>50</v>
      </c>
      <c r="AE222" s="4">
        <v>260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233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233</v>
      </c>
      <c r="AW222" s="8" t="s">
        <v>233</v>
      </c>
      <c r="AX222" s="4" t="s">
        <v>233</v>
      </c>
      <c r="AY222" s="8" t="s">
        <v>233</v>
      </c>
      <c r="AZ222" s="7" t="s">
        <v>233</v>
      </c>
      <c r="BA222" s="7" t="s">
        <v>233</v>
      </c>
      <c r="BB222" s="7"/>
      <c r="BC222" s="4" t="s">
        <v>233</v>
      </c>
      <c r="BD222" s="8" t="s">
        <v>233</v>
      </c>
      <c r="BE222" s="4" t="s">
        <v>233</v>
      </c>
      <c r="BF222" s="8" t="s">
        <v>233</v>
      </c>
      <c r="BG222" s="7" t="s">
        <v>233</v>
      </c>
      <c r="BH222" s="7" t="s">
        <v>233</v>
      </c>
      <c r="BI222" s="7"/>
      <c r="BJ222" s="4">
        <v>22</v>
      </c>
      <c r="BK222" s="8">
        <v>1745.72</v>
      </c>
      <c r="BL222" s="2" t="s">
        <v>1510</v>
      </c>
      <c r="BM222" s="7"/>
      <c r="BN222" s="7"/>
      <c r="BO222" s="4"/>
      <c r="BP222" s="8"/>
      <c r="BQ222" s="4"/>
      <c r="BR222" s="8"/>
      <c r="BS222" s="7"/>
      <c r="BT222" s="7"/>
      <c r="BU222" s="2" t="s">
        <v>1511</v>
      </c>
      <c r="BV222" s="2" t="s">
        <v>233</v>
      </c>
      <c r="BW222" s="2" t="s">
        <v>233</v>
      </c>
      <c r="BX222" s="2" t="s">
        <v>233</v>
      </c>
      <c r="BY222" s="2" t="s">
        <v>280</v>
      </c>
      <c r="BZ222" s="2" t="s">
        <v>245</v>
      </c>
      <c r="CA222" s="2" t="s">
        <v>281</v>
      </c>
      <c r="CB222" s="2" t="s">
        <v>1512</v>
      </c>
      <c r="CC222" s="2" t="s">
        <v>246</v>
      </c>
      <c r="CD222" s="2" t="s">
        <v>233</v>
      </c>
      <c r="CE222" s="4">
        <v>256</v>
      </c>
      <c r="CF222" s="4"/>
      <c r="CG222" s="4"/>
      <c r="CH222" s="4"/>
      <c r="CI222" s="4">
        <v>81</v>
      </c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>
        <v>50</v>
      </c>
      <c r="EV222" s="4"/>
      <c r="EW222" s="4"/>
      <c r="EX222" s="4"/>
      <c r="EY222" s="4"/>
      <c r="EZ222" s="4"/>
      <c r="FA222" s="4"/>
      <c r="FB222" s="4">
        <v>50</v>
      </c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>
        <v>40</v>
      </c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>
        <v>120</v>
      </c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</row>
    <row r="223">
      <c r="A223" s="2" t="s">
        <v>1513</v>
      </c>
      <c r="B223" s="2" t="s">
        <v>1242</v>
      </c>
      <c r="C223" s="2" t="s">
        <v>530</v>
      </c>
      <c r="D223" s="2" t="s">
        <v>969</v>
      </c>
      <c r="E223" s="2" t="s">
        <v>1078</v>
      </c>
      <c r="F223" s="2" t="s">
        <v>1502</v>
      </c>
      <c r="G223" s="2" t="s">
        <v>1503</v>
      </c>
      <c r="H223" s="2" t="s">
        <v>1504</v>
      </c>
      <c r="I223" s="2" t="s">
        <v>1505</v>
      </c>
      <c r="J223" s="2" t="s">
        <v>546</v>
      </c>
      <c r="K223" s="2" t="s">
        <v>1083</v>
      </c>
      <c r="L223" s="3">
        <v>71.14</v>
      </c>
      <c r="M223" s="3">
        <v>74.7</v>
      </c>
      <c r="N223" s="3">
        <v>144.99</v>
      </c>
      <c r="O223" s="2" t="s">
        <v>245</v>
      </c>
      <c r="P223" s="2" t="s">
        <v>272</v>
      </c>
      <c r="Q223" s="2" t="s">
        <v>239</v>
      </c>
      <c r="R223" s="2" t="s">
        <v>233</v>
      </c>
      <c r="S223" s="2" t="s">
        <v>1506</v>
      </c>
      <c r="T223" s="2" t="s">
        <v>233</v>
      </c>
      <c r="U223" s="2" t="s">
        <v>1507</v>
      </c>
      <c r="V223" s="2" t="s">
        <v>1508</v>
      </c>
      <c r="W223" s="2" t="s">
        <v>451</v>
      </c>
      <c r="X223" s="2" t="s">
        <v>1509</v>
      </c>
      <c r="Y223" s="2" t="s">
        <v>276</v>
      </c>
      <c r="Z223" s="4">
        <v>190</v>
      </c>
      <c r="AA223" s="4">
        <f>=ROUNDDOWN(38,0)</f>
      </c>
      <c r="AB223" s="5">
        <v>5</v>
      </c>
      <c r="AC223" s="2" t="s">
        <v>1514</v>
      </c>
      <c r="AD223" s="4">
        <v>40</v>
      </c>
      <c r="AE223" s="4">
        <v>210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233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233</v>
      </c>
      <c r="AW223" s="8" t="s">
        <v>233</v>
      </c>
      <c r="AX223" s="4" t="s">
        <v>233</v>
      </c>
      <c r="AY223" s="8" t="s">
        <v>233</v>
      </c>
      <c r="AZ223" s="7" t="s">
        <v>233</v>
      </c>
      <c r="BA223" s="7" t="s">
        <v>233</v>
      </c>
      <c r="BB223" s="7"/>
      <c r="BC223" s="4" t="s">
        <v>233</v>
      </c>
      <c r="BD223" s="8" t="s">
        <v>233</v>
      </c>
      <c r="BE223" s="4" t="s">
        <v>233</v>
      </c>
      <c r="BF223" s="8" t="s">
        <v>233</v>
      </c>
      <c r="BG223" s="7" t="s">
        <v>233</v>
      </c>
      <c r="BH223" s="7" t="s">
        <v>233</v>
      </c>
      <c r="BI223" s="7"/>
      <c r="BJ223" s="4">
        <v>4</v>
      </c>
      <c r="BK223" s="8">
        <v>299.96</v>
      </c>
      <c r="BL223" s="2" t="s">
        <v>1515</v>
      </c>
      <c r="BM223" s="7"/>
      <c r="BN223" s="7"/>
      <c r="BO223" s="4"/>
      <c r="BP223" s="8"/>
      <c r="BQ223" s="4"/>
      <c r="BR223" s="8"/>
      <c r="BS223" s="7"/>
      <c r="BT223" s="7"/>
      <c r="BU223" s="2" t="s">
        <v>1516</v>
      </c>
      <c r="BV223" s="2" t="s">
        <v>233</v>
      </c>
      <c r="BW223" s="2" t="s">
        <v>233</v>
      </c>
      <c r="BX223" s="2" t="s">
        <v>233</v>
      </c>
      <c r="BY223" s="2" t="s">
        <v>280</v>
      </c>
      <c r="BZ223" s="2" t="s">
        <v>245</v>
      </c>
      <c r="CA223" s="2" t="s">
        <v>281</v>
      </c>
      <c r="CB223" s="2" t="s">
        <v>1517</v>
      </c>
      <c r="CC223" s="2" t="s">
        <v>246</v>
      </c>
      <c r="CD223" s="2" t="s">
        <v>233</v>
      </c>
      <c r="CE223" s="4">
        <v>153</v>
      </c>
      <c r="CF223" s="4"/>
      <c r="CG223" s="4"/>
      <c r="CH223" s="4"/>
      <c r="CI223" s="4">
        <v>37</v>
      </c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>
        <v>40</v>
      </c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>
        <v>40</v>
      </c>
      <c r="EV223" s="4"/>
      <c r="EW223" s="4"/>
      <c r="EX223" s="4"/>
      <c r="EY223" s="4"/>
      <c r="EZ223" s="4"/>
      <c r="FA223" s="4"/>
      <c r="FB223" s="4">
        <v>40</v>
      </c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>
        <v>40</v>
      </c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>
        <v>50</v>
      </c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</row>
    <row r="224">
      <c r="A224" s="2" t="s">
        <v>1518</v>
      </c>
      <c r="B224" s="2" t="s">
        <v>1242</v>
      </c>
      <c r="C224" s="2" t="s">
        <v>530</v>
      </c>
      <c r="D224" s="2" t="s">
        <v>969</v>
      </c>
      <c r="E224" s="2" t="s">
        <v>1078</v>
      </c>
      <c r="F224" s="2" t="s">
        <v>1502</v>
      </c>
      <c r="G224" s="2" t="s">
        <v>1503</v>
      </c>
      <c r="H224" s="2" t="s">
        <v>1504</v>
      </c>
      <c r="I224" s="2" t="s">
        <v>1505</v>
      </c>
      <c r="J224" s="2" t="s">
        <v>546</v>
      </c>
      <c r="K224" s="2" t="s">
        <v>271</v>
      </c>
      <c r="L224" s="3">
        <v>71.14</v>
      </c>
      <c r="M224" s="3">
        <v>74.7</v>
      </c>
      <c r="N224" s="3">
        <v>144.99</v>
      </c>
      <c r="O224" s="2" t="s">
        <v>245</v>
      </c>
      <c r="P224" s="2" t="s">
        <v>311</v>
      </c>
      <c r="Q224" s="2" t="s">
        <v>239</v>
      </c>
      <c r="R224" s="2" t="s">
        <v>233</v>
      </c>
      <c r="S224" s="2" t="s">
        <v>1519</v>
      </c>
      <c r="T224" s="2" t="s">
        <v>233</v>
      </c>
      <c r="U224" s="2" t="s">
        <v>1507</v>
      </c>
      <c r="V224" s="2" t="s">
        <v>1508</v>
      </c>
      <c r="W224" s="2" t="s">
        <v>451</v>
      </c>
      <c r="X224" s="2" t="s">
        <v>1509</v>
      </c>
      <c r="Y224" s="2" t="s">
        <v>276</v>
      </c>
      <c r="Z224" s="4">
        <v>102</v>
      </c>
      <c r="AA224" s="4">
        <f>=ROUNDDOWN(25.5,0)</f>
      </c>
      <c r="AB224" s="5">
        <v>4</v>
      </c>
      <c r="AC224" s="2" t="s">
        <v>233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233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233</v>
      </c>
      <c r="AW224" s="8" t="s">
        <v>233</v>
      </c>
      <c r="AX224" s="4" t="s">
        <v>233</v>
      </c>
      <c r="AY224" s="8" t="s">
        <v>233</v>
      </c>
      <c r="AZ224" s="7" t="s">
        <v>233</v>
      </c>
      <c r="BA224" s="7" t="s">
        <v>233</v>
      </c>
      <c r="BB224" s="7"/>
      <c r="BC224" s="4" t="s">
        <v>233</v>
      </c>
      <c r="BD224" s="8" t="s">
        <v>233</v>
      </c>
      <c r="BE224" s="4" t="s">
        <v>233</v>
      </c>
      <c r="BF224" s="8" t="s">
        <v>233</v>
      </c>
      <c r="BG224" s="7" t="s">
        <v>233</v>
      </c>
      <c r="BH224" s="7" t="s">
        <v>233</v>
      </c>
      <c r="BI224" s="7"/>
      <c r="BJ224" s="4">
        <v>7</v>
      </c>
      <c r="BK224" s="8">
        <v>391.71</v>
      </c>
      <c r="BL224" s="2" t="s">
        <v>362</v>
      </c>
      <c r="BM224" s="7"/>
      <c r="BN224" s="7"/>
      <c r="BO224" s="4"/>
      <c r="BP224" s="8"/>
      <c r="BQ224" s="4"/>
      <c r="BR224" s="8"/>
      <c r="BS224" s="7"/>
      <c r="BT224" s="7"/>
      <c r="BU224" s="2" t="s">
        <v>1520</v>
      </c>
      <c r="BV224" s="2" t="s">
        <v>233</v>
      </c>
      <c r="BW224" s="2" t="s">
        <v>233</v>
      </c>
      <c r="BX224" s="2" t="s">
        <v>233</v>
      </c>
      <c r="BY224" s="2" t="s">
        <v>280</v>
      </c>
      <c r="BZ224" s="2" t="s">
        <v>245</v>
      </c>
      <c r="CA224" s="2" t="s">
        <v>281</v>
      </c>
      <c r="CB224" s="2" t="s">
        <v>1521</v>
      </c>
      <c r="CC224" s="2" t="s">
        <v>246</v>
      </c>
      <c r="CD224" s="2" t="s">
        <v>233</v>
      </c>
      <c r="CE224" s="4">
        <v>102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</row>
    <row r="225">
      <c r="A225" s="2" t="s">
        <v>1522</v>
      </c>
      <c r="B225" s="2" t="s">
        <v>1174</v>
      </c>
      <c r="C225" s="2" t="s">
        <v>530</v>
      </c>
      <c r="D225" s="2" t="s">
        <v>1175</v>
      </c>
      <c r="E225" s="2" t="s">
        <v>1448</v>
      </c>
      <c r="F225" s="2" t="s">
        <v>1502</v>
      </c>
      <c r="G225" s="2" t="s">
        <v>1503</v>
      </c>
      <c r="H225" s="2" t="s">
        <v>1504</v>
      </c>
      <c r="I225" s="2" t="s">
        <v>1523</v>
      </c>
      <c r="J225" s="2" t="s">
        <v>1524</v>
      </c>
      <c r="K225" s="2" t="s">
        <v>271</v>
      </c>
      <c r="L225" s="3">
        <v>15.75</v>
      </c>
      <c r="M225" s="3">
        <v>16.54</v>
      </c>
      <c r="N225" s="3">
        <v>34.99</v>
      </c>
      <c r="O225" s="2" t="s">
        <v>245</v>
      </c>
      <c r="P225" s="2" t="s">
        <v>272</v>
      </c>
      <c r="Q225" s="2" t="s">
        <v>239</v>
      </c>
      <c r="R225" s="2" t="s">
        <v>233</v>
      </c>
      <c r="S225" s="2" t="s">
        <v>1525</v>
      </c>
      <c r="T225" s="2" t="s">
        <v>233</v>
      </c>
      <c r="U225" s="2" t="s">
        <v>233</v>
      </c>
      <c r="V225" s="2" t="s">
        <v>1483</v>
      </c>
      <c r="W225" s="2" t="s">
        <v>451</v>
      </c>
      <c r="X225" s="2" t="s">
        <v>1526</v>
      </c>
      <c r="Y225" s="2" t="s">
        <v>276</v>
      </c>
      <c r="Z225" s="4">
        <v>279</v>
      </c>
      <c r="AA225" s="4">
        <f>=ROUNDDOWN({0},0)</f>
      </c>
      <c r="AB225" s="5">
        <v>15</v>
      </c>
      <c r="AC225" s="2" t="s">
        <v>825</v>
      </c>
      <c r="AD225" s="4">
        <v>300</v>
      </c>
      <c r="AE225" s="4">
        <v>300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233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233</v>
      </c>
      <c r="AW225" s="8" t="s">
        <v>233</v>
      </c>
      <c r="AX225" s="4" t="s">
        <v>233</v>
      </c>
      <c r="AY225" s="8" t="s">
        <v>233</v>
      </c>
      <c r="AZ225" s="7" t="s">
        <v>233</v>
      </c>
      <c r="BA225" s="7" t="s">
        <v>233</v>
      </c>
      <c r="BB225" s="7"/>
      <c r="BC225" s="4" t="s">
        <v>233</v>
      </c>
      <c r="BD225" s="8" t="s">
        <v>233</v>
      </c>
      <c r="BE225" s="4" t="s">
        <v>233</v>
      </c>
      <c r="BF225" s="8" t="s">
        <v>233</v>
      </c>
      <c r="BG225" s="7" t="s">
        <v>233</v>
      </c>
      <c r="BH225" s="7" t="s">
        <v>233</v>
      </c>
      <c r="BI225" s="7"/>
      <c r="BJ225" s="4">
        <v>57</v>
      </c>
      <c r="BK225" s="8">
        <v>978.35</v>
      </c>
      <c r="BL225" s="2" t="s">
        <v>1527</v>
      </c>
      <c r="BM225" s="7"/>
      <c r="BN225" s="7"/>
      <c r="BO225" s="4"/>
      <c r="BP225" s="8"/>
      <c r="BQ225" s="4"/>
      <c r="BR225" s="8"/>
      <c r="BS225" s="7"/>
      <c r="BT225" s="7"/>
      <c r="BU225" s="2" t="s">
        <v>1528</v>
      </c>
      <c r="BV225" s="2" t="s">
        <v>233</v>
      </c>
      <c r="BW225" s="2" t="s">
        <v>233</v>
      </c>
      <c r="BX225" s="2" t="s">
        <v>233</v>
      </c>
      <c r="BY225" s="2" t="s">
        <v>280</v>
      </c>
      <c r="BZ225" s="2" t="s">
        <v>245</v>
      </c>
      <c r="CA225" s="2" t="s">
        <v>281</v>
      </c>
      <c r="CB225" s="2" t="s">
        <v>1529</v>
      </c>
      <c r="CC225" s="2" t="s">
        <v>246</v>
      </c>
      <c r="CD225" s="2" t="s">
        <v>233</v>
      </c>
      <c r="CE225" s="4">
        <v>279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>
        <v>300</v>
      </c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</row>
    <row r="226">
      <c r="A226" s="2" t="s">
        <v>1530</v>
      </c>
      <c r="B226" s="2" t="s">
        <v>1174</v>
      </c>
      <c r="C226" s="2" t="s">
        <v>530</v>
      </c>
      <c r="D226" s="2" t="s">
        <v>1175</v>
      </c>
      <c r="E226" s="2" t="s">
        <v>1448</v>
      </c>
      <c r="F226" s="2" t="s">
        <v>1502</v>
      </c>
      <c r="G226" s="2" t="s">
        <v>1503</v>
      </c>
      <c r="H226" s="2" t="s">
        <v>1504</v>
      </c>
      <c r="I226" s="2" t="s">
        <v>1523</v>
      </c>
      <c r="J226" s="2" t="s">
        <v>1524</v>
      </c>
      <c r="K226" s="2" t="s">
        <v>255</v>
      </c>
      <c r="L226" s="3">
        <v>15.75</v>
      </c>
      <c r="M226" s="3">
        <v>16.54</v>
      </c>
      <c r="N226" s="3">
        <v>34.99</v>
      </c>
      <c r="O226" s="2" t="s">
        <v>245</v>
      </c>
      <c r="P226" s="2" t="s">
        <v>272</v>
      </c>
      <c r="Q226" s="2" t="s">
        <v>239</v>
      </c>
      <c r="R226" s="2" t="s">
        <v>233</v>
      </c>
      <c r="S226" s="2" t="s">
        <v>1531</v>
      </c>
      <c r="T226" s="2" t="s">
        <v>233</v>
      </c>
      <c r="U226" s="2" t="s">
        <v>233</v>
      </c>
      <c r="V226" s="2" t="s">
        <v>1483</v>
      </c>
      <c r="W226" s="2" t="s">
        <v>451</v>
      </c>
      <c r="X226" s="2" t="s">
        <v>1526</v>
      </c>
      <c r="Y226" s="2" t="s">
        <v>1532</v>
      </c>
      <c r="Z226" s="4">
        <v>463</v>
      </c>
      <c r="AA226" s="4">
        <f>=ROUNDDOWN(25.7222222222222,0)</f>
      </c>
      <c r="AB226" s="5">
        <v>18</v>
      </c>
      <c r="AC226" s="2" t="s">
        <v>813</v>
      </c>
      <c r="AD226" s="4">
        <v>184</v>
      </c>
      <c r="AE226" s="4">
        <v>184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233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233</v>
      </c>
      <c r="BD226" s="8" t="s">
        <v>233</v>
      </c>
      <c r="BE226" s="4" t="s">
        <v>233</v>
      </c>
      <c r="BF226" s="8" t="s">
        <v>233</v>
      </c>
      <c r="BG226" s="7" t="s">
        <v>233</v>
      </c>
      <c r="BH226" s="7" t="s">
        <v>233</v>
      </c>
      <c r="BI226" s="7"/>
      <c r="BJ226" s="4">
        <v>62</v>
      </c>
      <c r="BK226" s="8">
        <v>1003.2</v>
      </c>
      <c r="BL226" s="2" t="s">
        <v>1533</v>
      </c>
      <c r="BM226" s="7"/>
      <c r="BN226" s="7"/>
      <c r="BO226" s="4"/>
      <c r="BP226" s="8"/>
      <c r="BQ226" s="4"/>
      <c r="BR226" s="8"/>
      <c r="BS226" s="7"/>
      <c r="BT226" s="7"/>
      <c r="BU226" s="2" t="s">
        <v>1534</v>
      </c>
      <c r="BV226" s="2" t="s">
        <v>233</v>
      </c>
      <c r="BW226" s="2" t="s">
        <v>233</v>
      </c>
      <c r="BX226" s="2" t="s">
        <v>233</v>
      </c>
      <c r="BY226" s="2" t="s">
        <v>280</v>
      </c>
      <c r="BZ226" s="2" t="s">
        <v>245</v>
      </c>
      <c r="CA226" s="2" t="s">
        <v>557</v>
      </c>
      <c r="CB226" s="2" t="s">
        <v>1535</v>
      </c>
      <c r="CC226" s="2" t="s">
        <v>246</v>
      </c>
      <c r="CD226" s="2" t="s">
        <v>233</v>
      </c>
      <c r="CE226" s="4">
        <v>463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>
        <v>184</v>
      </c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</row>
    <row r="227">
      <c r="A227" s="2" t="s">
        <v>1536</v>
      </c>
      <c r="B227" s="2" t="s">
        <v>1242</v>
      </c>
      <c r="C227" s="2" t="s">
        <v>530</v>
      </c>
      <c r="D227" s="2" t="s">
        <v>969</v>
      </c>
      <c r="E227" s="2" t="s">
        <v>1078</v>
      </c>
      <c r="F227" s="2" t="s">
        <v>1502</v>
      </c>
      <c r="G227" s="2" t="s">
        <v>1503</v>
      </c>
      <c r="H227" s="2" t="s">
        <v>1504</v>
      </c>
      <c r="I227" s="2" t="s">
        <v>1505</v>
      </c>
      <c r="J227" s="2" t="s">
        <v>290</v>
      </c>
      <c r="K227" s="2" t="s">
        <v>1537</v>
      </c>
      <c r="L227" s="3">
        <v>53.99</v>
      </c>
      <c r="M227" s="3">
        <v>56.69</v>
      </c>
      <c r="N227" s="3">
        <v>109.99</v>
      </c>
      <c r="O227" s="2" t="s">
        <v>245</v>
      </c>
      <c r="P227" s="2" t="s">
        <v>311</v>
      </c>
      <c r="Q227" s="2" t="s">
        <v>239</v>
      </c>
      <c r="R227" s="2" t="s">
        <v>233</v>
      </c>
      <c r="S227" s="2" t="s">
        <v>1538</v>
      </c>
      <c r="T227" s="2" t="s">
        <v>233</v>
      </c>
      <c r="U227" s="2" t="s">
        <v>1507</v>
      </c>
      <c r="V227" s="2" t="s">
        <v>1508</v>
      </c>
      <c r="W227" s="2" t="s">
        <v>451</v>
      </c>
      <c r="X227" s="2" t="s">
        <v>1509</v>
      </c>
      <c r="Y227" s="2" t="s">
        <v>276</v>
      </c>
      <c r="Z227" s="4">
        <v>122</v>
      </c>
      <c r="AA227" s="4">
        <f>=ROUNDDOWN(40.6666666666667,0)</f>
      </c>
      <c r="AB227" s="5">
        <v>3</v>
      </c>
      <c r="AC227" s="2" t="s">
        <v>233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233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233</v>
      </c>
      <c r="AW227" s="8" t="s">
        <v>233</v>
      </c>
      <c r="AX227" s="4" t="s">
        <v>233</v>
      </c>
      <c r="AY227" s="8" t="s">
        <v>233</v>
      </c>
      <c r="AZ227" s="7" t="s">
        <v>233</v>
      </c>
      <c r="BA227" s="7" t="s">
        <v>233</v>
      </c>
      <c r="BB227" s="7"/>
      <c r="BC227" s="4" t="s">
        <v>233</v>
      </c>
      <c r="BD227" s="8" t="s">
        <v>233</v>
      </c>
      <c r="BE227" s="4" t="s">
        <v>233</v>
      </c>
      <c r="BF227" s="8" t="s">
        <v>233</v>
      </c>
      <c r="BG227" s="7" t="s">
        <v>233</v>
      </c>
      <c r="BH227" s="7" t="s">
        <v>233</v>
      </c>
      <c r="BI227" s="7"/>
      <c r="BJ227" s="4">
        <v>2</v>
      </c>
      <c r="BK227" s="8">
        <v>109.07</v>
      </c>
      <c r="BL227" s="2" t="s">
        <v>1023</v>
      </c>
      <c r="BM227" s="7"/>
      <c r="BN227" s="7"/>
      <c r="BO227" s="4"/>
      <c r="BP227" s="8"/>
      <c r="BQ227" s="4"/>
      <c r="BR227" s="8"/>
      <c r="BS227" s="7"/>
      <c r="BT227" s="7"/>
      <c r="BU227" s="2" t="s">
        <v>1539</v>
      </c>
      <c r="BV227" s="2" t="s">
        <v>233</v>
      </c>
      <c r="BW227" s="2" t="s">
        <v>233</v>
      </c>
      <c r="BX227" s="2" t="s">
        <v>233</v>
      </c>
      <c r="BY227" s="2" t="s">
        <v>280</v>
      </c>
      <c r="BZ227" s="2" t="s">
        <v>245</v>
      </c>
      <c r="CA227" s="2" t="s">
        <v>281</v>
      </c>
      <c r="CB227" s="2" t="s">
        <v>1540</v>
      </c>
      <c r="CC227" s="2" t="s">
        <v>246</v>
      </c>
      <c r="CD227" s="2" t="s">
        <v>233</v>
      </c>
      <c r="CE227" s="4">
        <v>122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</row>
    <row r="228">
      <c r="A228" s="2" t="s">
        <v>1541</v>
      </c>
      <c r="B228" s="2" t="s">
        <v>1242</v>
      </c>
      <c r="C228" s="2" t="s">
        <v>530</v>
      </c>
      <c r="D228" s="2" t="s">
        <v>969</v>
      </c>
      <c r="E228" s="2" t="s">
        <v>1078</v>
      </c>
      <c r="F228" s="2" t="s">
        <v>1502</v>
      </c>
      <c r="G228" s="2" t="s">
        <v>1503</v>
      </c>
      <c r="H228" s="2" t="s">
        <v>1504</v>
      </c>
      <c r="I228" s="2" t="s">
        <v>1505</v>
      </c>
      <c r="J228" s="2" t="s">
        <v>348</v>
      </c>
      <c r="K228" s="2" t="s">
        <v>1537</v>
      </c>
      <c r="L228" s="3">
        <v>61.96</v>
      </c>
      <c r="M228" s="3">
        <v>65.06</v>
      </c>
      <c r="N228" s="3">
        <v>124.99</v>
      </c>
      <c r="O228" s="2" t="s">
        <v>245</v>
      </c>
      <c r="P228" s="2" t="s">
        <v>311</v>
      </c>
      <c r="Q228" s="2" t="s">
        <v>239</v>
      </c>
      <c r="R228" s="2" t="s">
        <v>233</v>
      </c>
      <c r="S228" s="2" t="s">
        <v>1538</v>
      </c>
      <c r="T228" s="2" t="s">
        <v>233</v>
      </c>
      <c r="U228" s="2" t="s">
        <v>1507</v>
      </c>
      <c r="V228" s="2" t="s">
        <v>1508</v>
      </c>
      <c r="W228" s="2" t="s">
        <v>451</v>
      </c>
      <c r="X228" s="2" t="s">
        <v>1509</v>
      </c>
      <c r="Y228" s="2" t="s">
        <v>276</v>
      </c>
      <c r="Z228" s="4">
        <v>479</v>
      </c>
      <c r="AA228" s="4">
        <f>=ROUNDDOWN(53.2222222222222,0)</f>
      </c>
      <c r="AB228" s="5">
        <v>9</v>
      </c>
      <c r="AC228" s="2" t="s">
        <v>233</v>
      </c>
      <c r="AD228" s="4"/>
      <c r="AE228" s="4"/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233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233</v>
      </c>
      <c r="AW228" s="8" t="s">
        <v>233</v>
      </c>
      <c r="AX228" s="4" t="s">
        <v>233</v>
      </c>
      <c r="AY228" s="8" t="s">
        <v>233</v>
      </c>
      <c r="AZ228" s="7" t="s">
        <v>233</v>
      </c>
      <c r="BA228" s="7" t="s">
        <v>233</v>
      </c>
      <c r="BB228" s="7"/>
      <c r="BC228" s="4" t="s">
        <v>233</v>
      </c>
      <c r="BD228" s="8" t="s">
        <v>233</v>
      </c>
      <c r="BE228" s="4" t="s">
        <v>233</v>
      </c>
      <c r="BF228" s="8" t="s">
        <v>233</v>
      </c>
      <c r="BG228" s="7" t="s">
        <v>233</v>
      </c>
      <c r="BH228" s="7" t="s">
        <v>233</v>
      </c>
      <c r="BI228" s="7"/>
      <c r="BJ228" s="4">
        <v>14</v>
      </c>
      <c r="BK228" s="8">
        <v>970.15</v>
      </c>
      <c r="BL228" s="2" t="s">
        <v>1542</v>
      </c>
      <c r="BM228" s="7"/>
      <c r="BN228" s="7"/>
      <c r="BO228" s="4"/>
      <c r="BP228" s="8"/>
      <c r="BQ228" s="4"/>
      <c r="BR228" s="8"/>
      <c r="BS228" s="7"/>
      <c r="BT228" s="7"/>
      <c r="BU228" s="2" t="s">
        <v>1543</v>
      </c>
      <c r="BV228" s="2" t="s">
        <v>233</v>
      </c>
      <c r="BW228" s="2" t="s">
        <v>233</v>
      </c>
      <c r="BX228" s="2" t="s">
        <v>233</v>
      </c>
      <c r="BY228" s="2" t="s">
        <v>280</v>
      </c>
      <c r="BZ228" s="2" t="s">
        <v>245</v>
      </c>
      <c r="CA228" s="2" t="s">
        <v>281</v>
      </c>
      <c r="CB228" s="2" t="s">
        <v>528</v>
      </c>
      <c r="CC228" s="2" t="s">
        <v>246</v>
      </c>
      <c r="CD228" s="2" t="s">
        <v>233</v>
      </c>
      <c r="CE228" s="4">
        <v>365</v>
      </c>
      <c r="CF228" s="4"/>
      <c r="CG228" s="4"/>
      <c r="CH228" s="4"/>
      <c r="CI228" s="4">
        <v>114</v>
      </c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</row>
    <row r="229">
      <c r="A229" s="2" t="s">
        <v>1544</v>
      </c>
      <c r="B229" s="2" t="s">
        <v>1242</v>
      </c>
      <c r="C229" s="2" t="s">
        <v>530</v>
      </c>
      <c r="D229" s="2" t="s">
        <v>969</v>
      </c>
      <c r="E229" s="2" t="s">
        <v>1078</v>
      </c>
      <c r="F229" s="2" t="s">
        <v>1502</v>
      </c>
      <c r="G229" s="2" t="s">
        <v>1503</v>
      </c>
      <c r="H229" s="2" t="s">
        <v>1504</v>
      </c>
      <c r="I229" s="2" t="s">
        <v>1505</v>
      </c>
      <c r="J229" s="2" t="s">
        <v>546</v>
      </c>
      <c r="K229" s="2" t="s">
        <v>1537</v>
      </c>
      <c r="L229" s="3">
        <v>71.14</v>
      </c>
      <c r="M229" s="3">
        <v>74.7</v>
      </c>
      <c r="N229" s="3">
        <v>144.99</v>
      </c>
      <c r="O229" s="2" t="s">
        <v>245</v>
      </c>
      <c r="P229" s="2" t="s">
        <v>311</v>
      </c>
      <c r="Q229" s="2" t="s">
        <v>239</v>
      </c>
      <c r="R229" s="2" t="s">
        <v>233</v>
      </c>
      <c r="S229" s="2" t="s">
        <v>1538</v>
      </c>
      <c r="T229" s="2" t="s">
        <v>233</v>
      </c>
      <c r="U229" s="2" t="s">
        <v>1507</v>
      </c>
      <c r="V229" s="2" t="s">
        <v>1508</v>
      </c>
      <c r="W229" s="2" t="s">
        <v>451</v>
      </c>
      <c r="X229" s="2" t="s">
        <v>1509</v>
      </c>
      <c r="Y229" s="2" t="s">
        <v>276</v>
      </c>
      <c r="Z229" s="4">
        <v>286</v>
      </c>
      <c r="AA229" s="4">
        <f>=ROUNDDOWN(57.2,0)</f>
      </c>
      <c r="AB229" s="5">
        <v>5</v>
      </c>
      <c r="AC229" s="2" t="s">
        <v>233</v>
      </c>
      <c r="AD229" s="4"/>
      <c r="AE229" s="4"/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233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233</v>
      </c>
      <c r="AW229" s="8" t="s">
        <v>233</v>
      </c>
      <c r="AX229" s="4" t="s">
        <v>233</v>
      </c>
      <c r="AY229" s="8" t="s">
        <v>233</v>
      </c>
      <c r="AZ229" s="7" t="s">
        <v>233</v>
      </c>
      <c r="BA229" s="7" t="s">
        <v>233</v>
      </c>
      <c r="BB229" s="7"/>
      <c r="BC229" s="4" t="s">
        <v>233</v>
      </c>
      <c r="BD229" s="8" t="s">
        <v>233</v>
      </c>
      <c r="BE229" s="4" t="s">
        <v>233</v>
      </c>
      <c r="BF229" s="8" t="s">
        <v>233</v>
      </c>
      <c r="BG229" s="7" t="s">
        <v>233</v>
      </c>
      <c r="BH229" s="7" t="s">
        <v>233</v>
      </c>
      <c r="BI229" s="7"/>
      <c r="BJ229" s="4">
        <v>6</v>
      </c>
      <c r="BK229" s="8">
        <v>483.44</v>
      </c>
      <c r="BL229" s="2" t="s">
        <v>1545</v>
      </c>
      <c r="BM229" s="7"/>
      <c r="BN229" s="7"/>
      <c r="BO229" s="4"/>
      <c r="BP229" s="8"/>
      <c r="BQ229" s="4"/>
      <c r="BR229" s="8"/>
      <c r="BS229" s="7"/>
      <c r="BT229" s="7"/>
      <c r="BU229" s="2" t="s">
        <v>1546</v>
      </c>
      <c r="BV229" s="2" t="s">
        <v>233</v>
      </c>
      <c r="BW229" s="2" t="s">
        <v>233</v>
      </c>
      <c r="BX229" s="2" t="s">
        <v>233</v>
      </c>
      <c r="BY229" s="2" t="s">
        <v>280</v>
      </c>
      <c r="BZ229" s="2" t="s">
        <v>245</v>
      </c>
      <c r="CA229" s="2" t="s">
        <v>281</v>
      </c>
      <c r="CB229" s="2" t="s">
        <v>696</v>
      </c>
      <c r="CC229" s="2" t="s">
        <v>246</v>
      </c>
      <c r="CD229" s="2" t="s">
        <v>233</v>
      </c>
      <c r="CE229" s="4">
        <v>197</v>
      </c>
      <c r="CF229" s="4"/>
      <c r="CG229" s="4"/>
      <c r="CH229" s="4"/>
      <c r="CI229" s="4">
        <v>89</v>
      </c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</row>
    <row r="230">
      <c r="A230" s="2" t="s">
        <v>1547</v>
      </c>
      <c r="B230" s="2" t="s">
        <v>1017</v>
      </c>
      <c r="C230" s="2" t="s">
        <v>530</v>
      </c>
      <c r="D230" s="2" t="s">
        <v>1018</v>
      </c>
      <c r="E230" s="2" t="s">
        <v>1019</v>
      </c>
      <c r="F230" s="2" t="s">
        <v>1502</v>
      </c>
      <c r="G230" s="2" t="s">
        <v>1503</v>
      </c>
      <c r="H230" s="2" t="s">
        <v>1504</v>
      </c>
      <c r="I230" s="2" t="s">
        <v>1548</v>
      </c>
      <c r="J230" s="2" t="s">
        <v>1549</v>
      </c>
      <c r="K230" s="2" t="s">
        <v>257</v>
      </c>
      <c r="L230" s="3">
        <v>13.8</v>
      </c>
      <c r="M230" s="3">
        <v>14.49</v>
      </c>
      <c r="N230" s="3">
        <v>29.99</v>
      </c>
      <c r="O230" s="2" t="s">
        <v>245</v>
      </c>
      <c r="P230" s="2" t="s">
        <v>272</v>
      </c>
      <c r="Q230" s="2" t="s">
        <v>239</v>
      </c>
      <c r="R230" s="2" t="s">
        <v>233</v>
      </c>
      <c r="S230" s="2" t="s">
        <v>1550</v>
      </c>
      <c r="T230" s="2" t="s">
        <v>341</v>
      </c>
      <c r="U230" s="2" t="s">
        <v>396</v>
      </c>
      <c r="V230" s="2" t="s">
        <v>1508</v>
      </c>
      <c r="W230" s="2" t="s">
        <v>451</v>
      </c>
      <c r="X230" s="2" t="s">
        <v>233</v>
      </c>
      <c r="Y230" s="2" t="s">
        <v>1551</v>
      </c>
      <c r="Z230" s="4">
        <v>508</v>
      </c>
      <c r="AA230" s="4">
        <f>=ROUNDDOWN(33.8666666666667,0)</f>
      </c>
      <c r="AB230" s="5">
        <v>15</v>
      </c>
      <c r="AC230" s="2" t="s">
        <v>233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233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233</v>
      </c>
      <c r="AW230" s="8" t="s">
        <v>233</v>
      </c>
      <c r="AX230" s="4" t="s">
        <v>233</v>
      </c>
      <c r="AY230" s="8" t="s">
        <v>233</v>
      </c>
      <c r="AZ230" s="7" t="s">
        <v>233</v>
      </c>
      <c r="BA230" s="7" t="s">
        <v>233</v>
      </c>
      <c r="BB230" s="7"/>
      <c r="BC230" s="4" t="s">
        <v>233</v>
      </c>
      <c r="BD230" s="8" t="s">
        <v>233</v>
      </c>
      <c r="BE230" s="4" t="s">
        <v>233</v>
      </c>
      <c r="BF230" s="8" t="s">
        <v>233</v>
      </c>
      <c r="BG230" s="7" t="s">
        <v>233</v>
      </c>
      <c r="BH230" s="7" t="s">
        <v>233</v>
      </c>
      <c r="BI230" s="7"/>
      <c r="BJ230" s="4">
        <v>53</v>
      </c>
      <c r="BK230" s="8">
        <v>776.36</v>
      </c>
      <c r="BL230" s="2" t="s">
        <v>1552</v>
      </c>
      <c r="BM230" s="7"/>
      <c r="BN230" s="7"/>
      <c r="BO230" s="4"/>
      <c r="BP230" s="8"/>
      <c r="BQ230" s="4"/>
      <c r="BR230" s="8"/>
      <c r="BS230" s="7"/>
      <c r="BT230" s="7"/>
      <c r="BU230" s="2" t="s">
        <v>1553</v>
      </c>
      <c r="BV230" s="2" t="s">
        <v>233</v>
      </c>
      <c r="BW230" s="2" t="s">
        <v>233</v>
      </c>
      <c r="BX230" s="2" t="s">
        <v>233</v>
      </c>
      <c r="BY230" s="2" t="s">
        <v>280</v>
      </c>
      <c r="BZ230" s="2" t="s">
        <v>245</v>
      </c>
      <c r="CA230" s="2" t="s">
        <v>1554</v>
      </c>
      <c r="CB230" s="2" t="s">
        <v>1555</v>
      </c>
      <c r="CC230" s="2" t="s">
        <v>246</v>
      </c>
      <c r="CD230" s="2" t="s">
        <v>233</v>
      </c>
      <c r="CE230" s="4">
        <v>508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</row>
    <row r="231">
      <c r="A231" s="2" t="s">
        <v>1556</v>
      </c>
      <c r="B231" s="2" t="s">
        <v>1017</v>
      </c>
      <c r="C231" s="2" t="s">
        <v>530</v>
      </c>
      <c r="D231" s="2" t="s">
        <v>1018</v>
      </c>
      <c r="E231" s="2" t="s">
        <v>1019</v>
      </c>
      <c r="F231" s="2" t="s">
        <v>1502</v>
      </c>
      <c r="G231" s="2" t="s">
        <v>1503</v>
      </c>
      <c r="H231" s="2" t="s">
        <v>1504</v>
      </c>
      <c r="I231" s="2" t="s">
        <v>1548</v>
      </c>
      <c r="J231" s="2" t="s">
        <v>1557</v>
      </c>
      <c r="K231" s="2" t="s">
        <v>257</v>
      </c>
      <c r="L231" s="3">
        <v>20.64</v>
      </c>
      <c r="M231" s="3">
        <v>21.67</v>
      </c>
      <c r="N231" s="3">
        <v>42.99</v>
      </c>
      <c r="O231" s="2" t="s">
        <v>245</v>
      </c>
      <c r="P231" s="2" t="s">
        <v>272</v>
      </c>
      <c r="Q231" s="2" t="s">
        <v>239</v>
      </c>
      <c r="R231" s="2" t="s">
        <v>233</v>
      </c>
      <c r="S231" s="2" t="s">
        <v>1550</v>
      </c>
      <c r="T231" s="2" t="s">
        <v>341</v>
      </c>
      <c r="U231" s="2" t="s">
        <v>396</v>
      </c>
      <c r="V231" s="2" t="s">
        <v>1508</v>
      </c>
      <c r="W231" s="2" t="s">
        <v>451</v>
      </c>
      <c r="X231" s="2" t="s">
        <v>233</v>
      </c>
      <c r="Y231" s="2" t="s">
        <v>1551</v>
      </c>
      <c r="Z231" s="4">
        <v>394</v>
      </c>
      <c r="AA231" s="4">
        <f>=ROUNDDOWN(43.7777777777778,0)</f>
      </c>
      <c r="AB231" s="5">
        <v>9</v>
      </c>
      <c r="AC231" s="2" t="s">
        <v>233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233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233</v>
      </c>
      <c r="AW231" s="8" t="s">
        <v>233</v>
      </c>
      <c r="AX231" s="4" t="s">
        <v>233</v>
      </c>
      <c r="AY231" s="8" t="s">
        <v>233</v>
      </c>
      <c r="AZ231" s="7" t="s">
        <v>233</v>
      </c>
      <c r="BA231" s="7" t="s">
        <v>233</v>
      </c>
      <c r="BB231" s="7"/>
      <c r="BC231" s="4" t="s">
        <v>233</v>
      </c>
      <c r="BD231" s="8" t="s">
        <v>233</v>
      </c>
      <c r="BE231" s="4" t="s">
        <v>233</v>
      </c>
      <c r="BF231" s="8" t="s">
        <v>233</v>
      </c>
      <c r="BG231" s="7" t="s">
        <v>233</v>
      </c>
      <c r="BH231" s="7" t="s">
        <v>233</v>
      </c>
      <c r="BI231" s="7"/>
      <c r="BJ231" s="4">
        <v>18</v>
      </c>
      <c r="BK231" s="8">
        <v>384.18</v>
      </c>
      <c r="BL231" s="2" t="s">
        <v>1558</v>
      </c>
      <c r="BM231" s="7"/>
      <c r="BN231" s="7"/>
      <c r="BO231" s="4"/>
      <c r="BP231" s="8"/>
      <c r="BQ231" s="4"/>
      <c r="BR231" s="8"/>
      <c r="BS231" s="7"/>
      <c r="BT231" s="7"/>
      <c r="BU231" s="2" t="s">
        <v>1559</v>
      </c>
      <c r="BV231" s="2" t="s">
        <v>233</v>
      </c>
      <c r="BW231" s="2" t="s">
        <v>233</v>
      </c>
      <c r="BX231" s="2" t="s">
        <v>233</v>
      </c>
      <c r="BY231" s="2" t="s">
        <v>280</v>
      </c>
      <c r="BZ231" s="2" t="s">
        <v>245</v>
      </c>
      <c r="CA231" s="2" t="s">
        <v>1551</v>
      </c>
      <c r="CB231" s="2" t="s">
        <v>596</v>
      </c>
      <c r="CC231" s="2" t="s">
        <v>246</v>
      </c>
      <c r="CD231" s="2" t="s">
        <v>233</v>
      </c>
      <c r="CE231" s="4">
        <v>394</v>
      </c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</row>
    <row r="232">
      <c r="A232" s="2" t="s">
        <v>1560</v>
      </c>
      <c r="B232" s="2" t="s">
        <v>1242</v>
      </c>
      <c r="C232" s="2" t="s">
        <v>530</v>
      </c>
      <c r="D232" s="2" t="s">
        <v>969</v>
      </c>
      <c r="E232" s="2" t="s">
        <v>1078</v>
      </c>
      <c r="F232" s="2" t="s">
        <v>1502</v>
      </c>
      <c r="G232" s="2" t="s">
        <v>1503</v>
      </c>
      <c r="H232" s="2" t="s">
        <v>1504</v>
      </c>
      <c r="I232" s="2" t="s">
        <v>1505</v>
      </c>
      <c r="J232" s="2" t="s">
        <v>546</v>
      </c>
      <c r="K232" s="2" t="s">
        <v>1561</v>
      </c>
      <c r="L232" s="3">
        <v>71.14</v>
      </c>
      <c r="M232" s="3">
        <v>74.7</v>
      </c>
      <c r="N232" s="3">
        <v>144.99</v>
      </c>
      <c r="O232" s="2" t="s">
        <v>237</v>
      </c>
      <c r="P232" s="2" t="s">
        <v>311</v>
      </c>
      <c r="Q232" s="2" t="s">
        <v>239</v>
      </c>
      <c r="R232" s="2" t="s">
        <v>233</v>
      </c>
      <c r="S232" s="2" t="s">
        <v>1519</v>
      </c>
      <c r="T232" s="2" t="s">
        <v>233</v>
      </c>
      <c r="U232" s="2" t="s">
        <v>1507</v>
      </c>
      <c r="V232" s="2" t="s">
        <v>1508</v>
      </c>
      <c r="W232" s="2" t="s">
        <v>451</v>
      </c>
      <c r="X232" s="2" t="s">
        <v>1509</v>
      </c>
      <c r="Y232" s="2" t="s">
        <v>276</v>
      </c>
      <c r="Z232" s="4">
        <v>62</v>
      </c>
      <c r="AA232" s="4">
        <f>=ROUNDDOWN(20.6666666666667,0)</f>
      </c>
      <c r="AB232" s="5">
        <v>3</v>
      </c>
      <c r="AC232" s="2" t="s">
        <v>233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233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233</v>
      </c>
      <c r="AW232" s="8" t="s">
        <v>233</v>
      </c>
      <c r="AX232" s="4" t="s">
        <v>233</v>
      </c>
      <c r="AY232" s="8" t="s">
        <v>233</v>
      </c>
      <c r="AZ232" s="7" t="s">
        <v>233</v>
      </c>
      <c r="BA232" s="7" t="s">
        <v>233</v>
      </c>
      <c r="BB232" s="7"/>
      <c r="BC232" s="4" t="s">
        <v>233</v>
      </c>
      <c r="BD232" s="8" t="s">
        <v>233</v>
      </c>
      <c r="BE232" s="4" t="s">
        <v>233</v>
      </c>
      <c r="BF232" s="8" t="s">
        <v>233</v>
      </c>
      <c r="BG232" s="7" t="s">
        <v>233</v>
      </c>
      <c r="BH232" s="7" t="s">
        <v>233</v>
      </c>
      <c r="BI232" s="7"/>
      <c r="BJ232" s="4">
        <v>5</v>
      </c>
      <c r="BK232" s="8">
        <v>320.3</v>
      </c>
      <c r="BL232" s="2" t="s">
        <v>1562</v>
      </c>
      <c r="BM232" s="7"/>
      <c r="BN232" s="7"/>
      <c r="BO232" s="4"/>
      <c r="BP232" s="8"/>
      <c r="BQ232" s="4"/>
      <c r="BR232" s="8"/>
      <c r="BS232" s="7"/>
      <c r="BT232" s="7"/>
      <c r="BU232" s="2" t="s">
        <v>1563</v>
      </c>
      <c r="BV232" s="2" t="s">
        <v>233</v>
      </c>
      <c r="BW232" s="2" t="s">
        <v>233</v>
      </c>
      <c r="BX232" s="2" t="s">
        <v>233</v>
      </c>
      <c r="BY232" s="2" t="s">
        <v>280</v>
      </c>
      <c r="BZ232" s="2" t="s">
        <v>245</v>
      </c>
      <c r="CA232" s="2" t="s">
        <v>281</v>
      </c>
      <c r="CB232" s="2" t="s">
        <v>660</v>
      </c>
      <c r="CC232" s="2" t="s">
        <v>246</v>
      </c>
      <c r="CD232" s="2" t="s">
        <v>233</v>
      </c>
      <c r="CE232" s="4">
        <v>62</v>
      </c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</row>
    <row r="233">
      <c r="A233" s="2" t="s">
        <v>1564</v>
      </c>
      <c r="B233" s="2" t="s">
        <v>1017</v>
      </c>
      <c r="C233" s="2" t="s">
        <v>530</v>
      </c>
      <c r="D233" s="2" t="s">
        <v>1565</v>
      </c>
      <c r="E233" s="2" t="s">
        <v>1566</v>
      </c>
      <c r="F233" s="2" t="s">
        <v>1502</v>
      </c>
      <c r="G233" s="2" t="s">
        <v>1503</v>
      </c>
      <c r="H233" s="2" t="s">
        <v>1504</v>
      </c>
      <c r="I233" s="2" t="s">
        <v>1567</v>
      </c>
      <c r="J233" s="2" t="s">
        <v>1568</v>
      </c>
      <c r="K233" s="2" t="s">
        <v>1561</v>
      </c>
      <c r="L233" s="3">
        <v>13.2</v>
      </c>
      <c r="M233" s="3">
        <v>13.86</v>
      </c>
      <c r="N233" s="3">
        <v>29.99</v>
      </c>
      <c r="O233" s="2" t="s">
        <v>245</v>
      </c>
      <c r="P233" s="2" t="s">
        <v>272</v>
      </c>
      <c r="Q233" s="2" t="s">
        <v>239</v>
      </c>
      <c r="R233" s="2" t="s">
        <v>233</v>
      </c>
      <c r="S233" s="2" t="s">
        <v>1569</v>
      </c>
      <c r="T233" s="2" t="s">
        <v>233</v>
      </c>
      <c r="U233" s="2" t="s">
        <v>233</v>
      </c>
      <c r="V233" s="2" t="s">
        <v>1483</v>
      </c>
      <c r="W233" s="2" t="s">
        <v>451</v>
      </c>
      <c r="X233" s="2" t="s">
        <v>233</v>
      </c>
      <c r="Y233" s="2" t="s">
        <v>276</v>
      </c>
      <c r="Z233" s="4">
        <v>484</v>
      </c>
      <c r="AA233" s="4">
        <f>=ROUNDDOWN(28.4705882352941,0)</f>
      </c>
      <c r="AB233" s="5">
        <v>17</v>
      </c>
      <c r="AC233" s="2" t="s">
        <v>1136</v>
      </c>
      <c r="AD233" s="4">
        <v>100</v>
      </c>
      <c r="AE233" s="4">
        <v>100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233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233</v>
      </c>
      <c r="AW233" s="8" t="s">
        <v>233</v>
      </c>
      <c r="AX233" s="4" t="s">
        <v>233</v>
      </c>
      <c r="AY233" s="8" t="s">
        <v>233</v>
      </c>
      <c r="AZ233" s="7" t="s">
        <v>233</v>
      </c>
      <c r="BA233" s="7" t="s">
        <v>233</v>
      </c>
      <c r="BB233" s="7"/>
      <c r="BC233" s="4" t="s">
        <v>233</v>
      </c>
      <c r="BD233" s="8" t="s">
        <v>233</v>
      </c>
      <c r="BE233" s="4" t="s">
        <v>233</v>
      </c>
      <c r="BF233" s="8" t="s">
        <v>233</v>
      </c>
      <c r="BG233" s="7" t="s">
        <v>233</v>
      </c>
      <c r="BH233" s="7" t="s">
        <v>233</v>
      </c>
      <c r="BI233" s="7"/>
      <c r="BJ233" s="4">
        <v>81</v>
      </c>
      <c r="BK233" s="8">
        <v>1214.33</v>
      </c>
      <c r="BL233" s="2" t="s">
        <v>1570</v>
      </c>
      <c r="BM233" s="7"/>
      <c r="BN233" s="7"/>
      <c r="BO233" s="4"/>
      <c r="BP233" s="8"/>
      <c r="BQ233" s="4"/>
      <c r="BR233" s="8"/>
      <c r="BS233" s="7"/>
      <c r="BT233" s="7"/>
      <c r="BU233" s="2" t="s">
        <v>1571</v>
      </c>
      <c r="BV233" s="2" t="s">
        <v>233</v>
      </c>
      <c r="BW233" s="2" t="s">
        <v>233</v>
      </c>
      <c r="BX233" s="2" t="s">
        <v>233</v>
      </c>
      <c r="BY233" s="2" t="s">
        <v>280</v>
      </c>
      <c r="BZ233" s="2" t="s">
        <v>245</v>
      </c>
      <c r="CA233" s="2" t="s">
        <v>281</v>
      </c>
      <c r="CB233" s="2" t="s">
        <v>1572</v>
      </c>
      <c r="CC233" s="2" t="s">
        <v>246</v>
      </c>
      <c r="CD233" s="2" t="s">
        <v>233</v>
      </c>
      <c r="CE233" s="4">
        <v>484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>
        <v>100</v>
      </c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</row>
    <row r="234">
      <c r="A234" s="2" t="s">
        <v>1573</v>
      </c>
      <c r="B234" s="2" t="s">
        <v>1174</v>
      </c>
      <c r="C234" s="2" t="s">
        <v>530</v>
      </c>
      <c r="D234" s="2" t="s">
        <v>1175</v>
      </c>
      <c r="E234" s="2" t="s">
        <v>1448</v>
      </c>
      <c r="F234" s="2" t="s">
        <v>1574</v>
      </c>
      <c r="G234" s="2" t="s">
        <v>1575</v>
      </c>
      <c r="H234" s="2" t="s">
        <v>1070</v>
      </c>
      <c r="I234" s="2" t="s">
        <v>1576</v>
      </c>
      <c r="J234" s="2" t="s">
        <v>1524</v>
      </c>
      <c r="K234" s="2" t="s">
        <v>449</v>
      </c>
      <c r="L234" s="3">
        <v>17.48</v>
      </c>
      <c r="M234" s="3">
        <v>18.35</v>
      </c>
      <c r="N234" s="3">
        <v>37.99</v>
      </c>
      <c r="O234" s="2" t="s">
        <v>245</v>
      </c>
      <c r="P234" s="2" t="s">
        <v>272</v>
      </c>
      <c r="Q234" s="2" t="s">
        <v>239</v>
      </c>
      <c r="R234" s="2" t="s">
        <v>233</v>
      </c>
      <c r="S234" s="2" t="s">
        <v>1577</v>
      </c>
      <c r="T234" s="2" t="s">
        <v>233</v>
      </c>
      <c r="U234" s="2" t="s">
        <v>396</v>
      </c>
      <c r="V234" s="2" t="s">
        <v>1340</v>
      </c>
      <c r="W234" s="2" t="s">
        <v>1578</v>
      </c>
      <c r="X234" s="2" t="s">
        <v>1526</v>
      </c>
      <c r="Y234" s="2" t="s">
        <v>1579</v>
      </c>
      <c r="Z234" s="4"/>
      <c r="AA234" s="4">
        <f>=ROUNDDOWN({0},0)</f>
      </c>
      <c r="AB234" s="5">
        <v>52</v>
      </c>
      <c r="AC234" s="2" t="s">
        <v>1580</v>
      </c>
      <c r="AD234" s="4">
        <v>1472</v>
      </c>
      <c r="AE234" s="4">
        <v>1960</v>
      </c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233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233</v>
      </c>
      <c r="AW234" s="8" t="s">
        <v>233</v>
      </c>
      <c r="AX234" s="4" t="s">
        <v>233</v>
      </c>
      <c r="AY234" s="8" t="s">
        <v>233</v>
      </c>
      <c r="AZ234" s="7" t="s">
        <v>233</v>
      </c>
      <c r="BA234" s="7" t="s">
        <v>233</v>
      </c>
      <c r="BB234" s="7" t="s">
        <v>233</v>
      </c>
      <c r="BC234" s="4" t="s">
        <v>233</v>
      </c>
      <c r="BD234" s="8" t="s">
        <v>233</v>
      </c>
      <c r="BE234" s="4" t="s">
        <v>233</v>
      </c>
      <c r="BF234" s="8" t="s">
        <v>233</v>
      </c>
      <c r="BG234" s="7" t="s">
        <v>233</v>
      </c>
      <c r="BH234" s="7" t="s">
        <v>233</v>
      </c>
      <c r="BI234" s="7"/>
      <c r="BJ234" s="4"/>
      <c r="BK234" s="8"/>
      <c r="BL234" s="2" t="s">
        <v>233</v>
      </c>
      <c r="BM234" s="7"/>
      <c r="BN234" s="7"/>
      <c r="BO234" s="4"/>
      <c r="BP234" s="8"/>
      <c r="BQ234" s="4"/>
      <c r="BR234" s="8"/>
      <c r="BS234" s="7"/>
      <c r="BT234" s="7"/>
      <c r="BU234" s="2" t="s">
        <v>1581</v>
      </c>
      <c r="BV234" s="2" t="s">
        <v>233</v>
      </c>
      <c r="BW234" s="2" t="s">
        <v>233</v>
      </c>
      <c r="BX234" s="2" t="s">
        <v>243</v>
      </c>
      <c r="BY234" s="2" t="s">
        <v>280</v>
      </c>
      <c r="BZ234" s="2" t="s">
        <v>245</v>
      </c>
      <c r="CA234" s="2" t="s">
        <v>1582</v>
      </c>
      <c r="CB234" s="2" t="s">
        <v>1012</v>
      </c>
      <c r="CC234" s="2" t="s">
        <v>246</v>
      </c>
      <c r="CD234" s="2" t="s">
        <v>233</v>
      </c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>
        <v>1472</v>
      </c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>
        <v>488</v>
      </c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</row>
    <row r="235">
      <c r="A235" s="2" t="s">
        <v>1583</v>
      </c>
      <c r="B235" s="2" t="s">
        <v>1174</v>
      </c>
      <c r="C235" s="2" t="s">
        <v>530</v>
      </c>
      <c r="D235" s="2" t="s">
        <v>1175</v>
      </c>
      <c r="E235" s="2" t="s">
        <v>1448</v>
      </c>
      <c r="F235" s="2" t="s">
        <v>1574</v>
      </c>
      <c r="G235" s="2" t="s">
        <v>1575</v>
      </c>
      <c r="H235" s="2" t="s">
        <v>1070</v>
      </c>
      <c r="I235" s="2" t="s">
        <v>1584</v>
      </c>
      <c r="J235" s="2" t="s">
        <v>1524</v>
      </c>
      <c r="K235" s="2" t="s">
        <v>449</v>
      </c>
      <c r="L235" s="3">
        <v>18.24</v>
      </c>
      <c r="M235" s="3">
        <v>19.15</v>
      </c>
      <c r="N235" s="3">
        <v>37.99</v>
      </c>
      <c r="O235" s="2" t="s">
        <v>245</v>
      </c>
      <c r="P235" s="2" t="s">
        <v>272</v>
      </c>
      <c r="Q235" s="2" t="s">
        <v>239</v>
      </c>
      <c r="R235" s="2" t="s">
        <v>233</v>
      </c>
      <c r="S235" s="2" t="s">
        <v>1577</v>
      </c>
      <c r="T235" s="2" t="s">
        <v>233</v>
      </c>
      <c r="U235" s="2" t="s">
        <v>396</v>
      </c>
      <c r="V235" s="2" t="s">
        <v>1340</v>
      </c>
      <c r="W235" s="2" t="s">
        <v>1578</v>
      </c>
      <c r="X235" s="2" t="s">
        <v>1526</v>
      </c>
      <c r="Y235" s="2" t="s">
        <v>754</v>
      </c>
      <c r="Z235" s="4">
        <v>1</v>
      </c>
      <c r="AA235" s="4">
        <f>=ROUNDDOWN(0.0833333333333333,0)</f>
      </c>
      <c r="AB235" s="5">
        <v>12</v>
      </c>
      <c r="AC235" s="2" t="s">
        <v>1580</v>
      </c>
      <c r="AD235" s="4">
        <v>300</v>
      </c>
      <c r="AE235" s="4">
        <v>384</v>
      </c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233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233</v>
      </c>
      <c r="AW235" s="8" t="s">
        <v>233</v>
      </c>
      <c r="AX235" s="4" t="s">
        <v>233</v>
      </c>
      <c r="AY235" s="8" t="s">
        <v>233</v>
      </c>
      <c r="AZ235" s="7" t="s">
        <v>233</v>
      </c>
      <c r="BA235" s="7" t="s">
        <v>233</v>
      </c>
      <c r="BB235" s="7" t="s">
        <v>233</v>
      </c>
      <c r="BC235" s="4" t="s">
        <v>233</v>
      </c>
      <c r="BD235" s="8" t="s">
        <v>233</v>
      </c>
      <c r="BE235" s="4" t="s">
        <v>233</v>
      </c>
      <c r="BF235" s="8" t="s">
        <v>233</v>
      </c>
      <c r="BG235" s="7" t="s">
        <v>233</v>
      </c>
      <c r="BH235" s="7" t="s">
        <v>233</v>
      </c>
      <c r="BI235" s="7"/>
      <c r="BJ235" s="4"/>
      <c r="BK235" s="8"/>
      <c r="BL235" s="2" t="s">
        <v>233</v>
      </c>
      <c r="BM235" s="7"/>
      <c r="BN235" s="7"/>
      <c r="BO235" s="4"/>
      <c r="BP235" s="8"/>
      <c r="BQ235" s="4"/>
      <c r="BR235" s="8"/>
      <c r="BS235" s="7"/>
      <c r="BT235" s="7"/>
      <c r="BU235" s="2" t="s">
        <v>1585</v>
      </c>
      <c r="BV235" s="2" t="s">
        <v>233</v>
      </c>
      <c r="BW235" s="2" t="s">
        <v>233</v>
      </c>
      <c r="BX235" s="2" t="s">
        <v>243</v>
      </c>
      <c r="BY235" s="2" t="s">
        <v>280</v>
      </c>
      <c r="BZ235" s="2" t="s">
        <v>245</v>
      </c>
      <c r="CA235" s="2" t="s">
        <v>1582</v>
      </c>
      <c r="CB235" s="2" t="s">
        <v>233</v>
      </c>
      <c r="CC235" s="2" t="s">
        <v>246</v>
      </c>
      <c r="CD235" s="2" t="s">
        <v>233</v>
      </c>
      <c r="CE235" s="4">
        <v>1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>
        <v>300</v>
      </c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>
        <v>84</v>
      </c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</row>
    <row r="236">
      <c r="A236" s="2" t="s">
        <v>1586</v>
      </c>
      <c r="B236" s="2" t="s">
        <v>1174</v>
      </c>
      <c r="C236" s="2" t="s">
        <v>530</v>
      </c>
      <c r="D236" s="2" t="s">
        <v>1175</v>
      </c>
      <c r="E236" s="2" t="s">
        <v>1448</v>
      </c>
      <c r="F236" s="2" t="s">
        <v>1574</v>
      </c>
      <c r="G236" s="2" t="s">
        <v>1575</v>
      </c>
      <c r="H236" s="2" t="s">
        <v>1070</v>
      </c>
      <c r="I236" s="2" t="s">
        <v>1576</v>
      </c>
      <c r="J236" s="2" t="s">
        <v>1524</v>
      </c>
      <c r="K236" s="2" t="s">
        <v>255</v>
      </c>
      <c r="L236" s="3">
        <v>17.48</v>
      </c>
      <c r="M236" s="3">
        <v>18.35</v>
      </c>
      <c r="N236" s="3">
        <v>37.99</v>
      </c>
      <c r="O236" s="2" t="s">
        <v>245</v>
      </c>
      <c r="P236" s="2" t="s">
        <v>272</v>
      </c>
      <c r="Q236" s="2" t="s">
        <v>239</v>
      </c>
      <c r="R236" s="2" t="s">
        <v>233</v>
      </c>
      <c r="S236" s="2" t="s">
        <v>1587</v>
      </c>
      <c r="T236" s="2" t="s">
        <v>233</v>
      </c>
      <c r="U236" s="2" t="s">
        <v>396</v>
      </c>
      <c r="V236" s="2" t="s">
        <v>1340</v>
      </c>
      <c r="W236" s="2" t="s">
        <v>1578</v>
      </c>
      <c r="X236" s="2" t="s">
        <v>1526</v>
      </c>
      <c r="Y236" s="2" t="s">
        <v>1579</v>
      </c>
      <c r="Z236" s="4">
        <v>350</v>
      </c>
      <c r="AA236" s="4">
        <f>=ROUNDDOWN(20.5882352941176,0)</f>
      </c>
      <c r="AB236" s="5">
        <v>17</v>
      </c>
      <c r="AC236" s="2" t="s">
        <v>233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233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233</v>
      </c>
      <c r="AW236" s="8" t="s">
        <v>233</v>
      </c>
      <c r="AX236" s="4" t="s">
        <v>233</v>
      </c>
      <c r="AY236" s="8" t="s">
        <v>233</v>
      </c>
      <c r="AZ236" s="7" t="s">
        <v>233</v>
      </c>
      <c r="BA236" s="7" t="s">
        <v>233</v>
      </c>
      <c r="BB236" s="7" t="s">
        <v>233</v>
      </c>
      <c r="BC236" s="4" t="s">
        <v>233</v>
      </c>
      <c r="BD236" s="8" t="s">
        <v>233</v>
      </c>
      <c r="BE236" s="4" t="s">
        <v>233</v>
      </c>
      <c r="BF236" s="8" t="s">
        <v>233</v>
      </c>
      <c r="BG236" s="7" t="s">
        <v>233</v>
      </c>
      <c r="BH236" s="7" t="s">
        <v>233</v>
      </c>
      <c r="BI236" s="7"/>
      <c r="BJ236" s="4">
        <v>28</v>
      </c>
      <c r="BK236" s="8">
        <v>496.26</v>
      </c>
      <c r="BL236" s="2" t="s">
        <v>1588</v>
      </c>
      <c r="BM236" s="7"/>
      <c r="BN236" s="7"/>
      <c r="BO236" s="4"/>
      <c r="BP236" s="8"/>
      <c r="BQ236" s="4"/>
      <c r="BR236" s="8"/>
      <c r="BS236" s="7"/>
      <c r="BT236" s="7"/>
      <c r="BU236" s="2" t="s">
        <v>1589</v>
      </c>
      <c r="BV236" s="2" t="s">
        <v>233</v>
      </c>
      <c r="BW236" s="2" t="s">
        <v>233</v>
      </c>
      <c r="BX236" s="2" t="s">
        <v>243</v>
      </c>
      <c r="BY236" s="2" t="s">
        <v>280</v>
      </c>
      <c r="BZ236" s="2" t="s">
        <v>245</v>
      </c>
      <c r="CA236" s="2" t="s">
        <v>1582</v>
      </c>
      <c r="CB236" s="2" t="s">
        <v>1590</v>
      </c>
      <c r="CC236" s="2" t="s">
        <v>246</v>
      </c>
      <c r="CD236" s="2" t="s">
        <v>233</v>
      </c>
      <c r="CE236" s="4">
        <v>350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</row>
    <row r="237">
      <c r="A237" s="2" t="s">
        <v>1591</v>
      </c>
      <c r="B237" s="2" t="s">
        <v>1174</v>
      </c>
      <c r="C237" s="2" t="s">
        <v>530</v>
      </c>
      <c r="D237" s="2" t="s">
        <v>1175</v>
      </c>
      <c r="E237" s="2" t="s">
        <v>1448</v>
      </c>
      <c r="F237" s="2" t="s">
        <v>1574</v>
      </c>
      <c r="G237" s="2" t="s">
        <v>1575</v>
      </c>
      <c r="H237" s="2" t="s">
        <v>1070</v>
      </c>
      <c r="I237" s="2" t="s">
        <v>1584</v>
      </c>
      <c r="J237" s="2" t="s">
        <v>1524</v>
      </c>
      <c r="K237" s="2" t="s">
        <v>255</v>
      </c>
      <c r="L237" s="3">
        <v>18.24</v>
      </c>
      <c r="M237" s="3">
        <v>19.15</v>
      </c>
      <c r="N237" s="3">
        <v>37.99</v>
      </c>
      <c r="O237" s="2" t="s">
        <v>245</v>
      </c>
      <c r="P237" s="2" t="s">
        <v>272</v>
      </c>
      <c r="Q237" s="2" t="s">
        <v>239</v>
      </c>
      <c r="R237" s="2" t="s">
        <v>233</v>
      </c>
      <c r="S237" s="2" t="s">
        <v>1587</v>
      </c>
      <c r="T237" s="2" t="s">
        <v>233</v>
      </c>
      <c r="U237" s="2" t="s">
        <v>396</v>
      </c>
      <c r="V237" s="2" t="s">
        <v>1340</v>
      </c>
      <c r="W237" s="2" t="s">
        <v>1578</v>
      </c>
      <c r="X237" s="2" t="s">
        <v>1526</v>
      </c>
      <c r="Y237" s="2" t="s">
        <v>754</v>
      </c>
      <c r="Z237" s="4">
        <v>75</v>
      </c>
      <c r="AA237" s="4">
        <f>=ROUNDDOWN(15,0)</f>
      </c>
      <c r="AB237" s="5">
        <v>5</v>
      </c>
      <c r="AC237" s="2" t="s">
        <v>233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233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233</v>
      </c>
      <c r="AW237" s="8" t="s">
        <v>233</v>
      </c>
      <c r="AX237" s="4" t="s">
        <v>233</v>
      </c>
      <c r="AY237" s="8" t="s">
        <v>233</v>
      </c>
      <c r="AZ237" s="7" t="s">
        <v>233</v>
      </c>
      <c r="BA237" s="7" t="s">
        <v>233</v>
      </c>
      <c r="BB237" s="7" t="s">
        <v>233</v>
      </c>
      <c r="BC237" s="4" t="s">
        <v>233</v>
      </c>
      <c r="BD237" s="8" t="s">
        <v>233</v>
      </c>
      <c r="BE237" s="4" t="s">
        <v>233</v>
      </c>
      <c r="BF237" s="8" t="s">
        <v>233</v>
      </c>
      <c r="BG237" s="7" t="s">
        <v>233</v>
      </c>
      <c r="BH237" s="7" t="s">
        <v>233</v>
      </c>
      <c r="BI237" s="7"/>
      <c r="BJ237" s="4">
        <v>6</v>
      </c>
      <c r="BK237" s="8">
        <v>120.66</v>
      </c>
      <c r="BL237" s="2" t="s">
        <v>1592</v>
      </c>
      <c r="BM237" s="7"/>
      <c r="BN237" s="7"/>
      <c r="BO237" s="4"/>
      <c r="BP237" s="8"/>
      <c r="BQ237" s="4"/>
      <c r="BR237" s="8"/>
      <c r="BS237" s="7"/>
      <c r="BT237" s="7"/>
      <c r="BU237" s="2" t="s">
        <v>1593</v>
      </c>
      <c r="BV237" s="2" t="s">
        <v>233</v>
      </c>
      <c r="BW237" s="2" t="s">
        <v>233</v>
      </c>
      <c r="BX237" s="2" t="s">
        <v>243</v>
      </c>
      <c r="BY237" s="2" t="s">
        <v>280</v>
      </c>
      <c r="BZ237" s="2" t="s">
        <v>245</v>
      </c>
      <c r="CA237" s="2" t="s">
        <v>1582</v>
      </c>
      <c r="CB237" s="2" t="s">
        <v>1012</v>
      </c>
      <c r="CC237" s="2" t="s">
        <v>246</v>
      </c>
      <c r="CD237" s="2" t="s">
        <v>233</v>
      </c>
      <c r="CE237" s="4">
        <v>75</v>
      </c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</row>
    <row r="238">
      <c r="A238" s="2" t="s">
        <v>1594</v>
      </c>
      <c r="B238" s="2" t="s">
        <v>1174</v>
      </c>
      <c r="C238" s="2" t="s">
        <v>530</v>
      </c>
      <c r="D238" s="2" t="s">
        <v>1175</v>
      </c>
      <c r="E238" s="2" t="s">
        <v>1448</v>
      </c>
      <c r="F238" s="2" t="s">
        <v>1574</v>
      </c>
      <c r="G238" s="2" t="s">
        <v>1575</v>
      </c>
      <c r="H238" s="2" t="s">
        <v>1070</v>
      </c>
      <c r="I238" s="2" t="s">
        <v>1576</v>
      </c>
      <c r="J238" s="2" t="s">
        <v>1490</v>
      </c>
      <c r="K238" s="2" t="s">
        <v>255</v>
      </c>
      <c r="L238" s="3">
        <v>20.21</v>
      </c>
      <c r="M238" s="3">
        <v>21.22</v>
      </c>
      <c r="N238" s="3">
        <v>42.99</v>
      </c>
      <c r="O238" s="2" t="s">
        <v>245</v>
      </c>
      <c r="P238" s="2" t="s">
        <v>272</v>
      </c>
      <c r="Q238" s="2" t="s">
        <v>239</v>
      </c>
      <c r="R238" s="2" t="s">
        <v>233</v>
      </c>
      <c r="S238" s="2" t="s">
        <v>1587</v>
      </c>
      <c r="T238" s="2" t="s">
        <v>233</v>
      </c>
      <c r="U238" s="2" t="s">
        <v>396</v>
      </c>
      <c r="V238" s="2" t="s">
        <v>1340</v>
      </c>
      <c r="W238" s="2" t="s">
        <v>1578</v>
      </c>
      <c r="X238" s="2" t="s">
        <v>1526</v>
      </c>
      <c r="Y238" s="2" t="s">
        <v>1579</v>
      </c>
      <c r="Z238" s="4">
        <v>1166</v>
      </c>
      <c r="AA238" s="4">
        <f>=ROUNDDOWN(233.2,0)</f>
      </c>
      <c r="AB238" s="5">
        <v>5</v>
      </c>
      <c r="AC238" s="2" t="s">
        <v>233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233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233</v>
      </c>
      <c r="AW238" s="8" t="s">
        <v>233</v>
      </c>
      <c r="AX238" s="4" t="s">
        <v>233</v>
      </c>
      <c r="AY238" s="8" t="s">
        <v>233</v>
      </c>
      <c r="AZ238" s="7" t="s">
        <v>233</v>
      </c>
      <c r="BA238" s="7" t="s">
        <v>233</v>
      </c>
      <c r="BB238" s="7"/>
      <c r="BC238" s="4" t="s">
        <v>233</v>
      </c>
      <c r="BD238" s="8" t="s">
        <v>233</v>
      </c>
      <c r="BE238" s="4" t="s">
        <v>233</v>
      </c>
      <c r="BF238" s="8" t="s">
        <v>233</v>
      </c>
      <c r="BG238" s="7" t="s">
        <v>233</v>
      </c>
      <c r="BH238" s="7" t="s">
        <v>233</v>
      </c>
      <c r="BI238" s="7"/>
      <c r="BJ238" s="4">
        <v>9</v>
      </c>
      <c r="BK238" s="8">
        <v>235.36</v>
      </c>
      <c r="BL238" s="2" t="s">
        <v>1595</v>
      </c>
      <c r="BM238" s="7"/>
      <c r="BN238" s="7"/>
      <c r="BO238" s="4"/>
      <c r="BP238" s="8"/>
      <c r="BQ238" s="4"/>
      <c r="BR238" s="8"/>
      <c r="BS238" s="7"/>
      <c r="BT238" s="7"/>
      <c r="BU238" s="2" t="s">
        <v>1596</v>
      </c>
      <c r="BV238" s="2" t="s">
        <v>233</v>
      </c>
      <c r="BW238" s="2" t="s">
        <v>233</v>
      </c>
      <c r="BX238" s="2" t="s">
        <v>243</v>
      </c>
      <c r="BY238" s="2" t="s">
        <v>280</v>
      </c>
      <c r="BZ238" s="2" t="s">
        <v>245</v>
      </c>
      <c r="CA238" s="2" t="s">
        <v>1582</v>
      </c>
      <c r="CB238" s="2" t="s">
        <v>1106</v>
      </c>
      <c r="CC238" s="2" t="s">
        <v>246</v>
      </c>
      <c r="CD238" s="2" t="s">
        <v>233</v>
      </c>
      <c r="CE238" s="4">
        <v>1166</v>
      </c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</row>
    <row r="239">
      <c r="A239" s="2" t="s">
        <v>1597</v>
      </c>
      <c r="B239" s="2" t="s">
        <v>228</v>
      </c>
      <c r="C239" s="2" t="s">
        <v>990</v>
      </c>
      <c r="D239" s="2" t="s">
        <v>230</v>
      </c>
      <c r="E239" s="2" t="s">
        <v>231</v>
      </c>
      <c r="F239" s="2" t="s">
        <v>1598</v>
      </c>
      <c r="G239" s="2" t="s">
        <v>1598</v>
      </c>
      <c r="H239" s="2" t="s">
        <v>1598</v>
      </c>
      <c r="I239" s="2" t="s">
        <v>1599</v>
      </c>
      <c r="J239" s="2" t="s">
        <v>1142</v>
      </c>
      <c r="K239" s="2" t="s">
        <v>569</v>
      </c>
      <c r="L239" s="3">
        <v>55.71</v>
      </c>
      <c r="M239" s="3">
        <v>58.5</v>
      </c>
      <c r="N239" s="3">
        <v>149.99</v>
      </c>
      <c r="O239" s="2" t="s">
        <v>245</v>
      </c>
      <c r="P239" s="2" t="s">
        <v>311</v>
      </c>
      <c r="Q239" s="2" t="s">
        <v>239</v>
      </c>
      <c r="R239" s="2" t="s">
        <v>233</v>
      </c>
      <c r="S239" s="2" t="s">
        <v>233</v>
      </c>
      <c r="T239" s="2" t="s">
        <v>341</v>
      </c>
      <c r="U239" s="2" t="s">
        <v>396</v>
      </c>
      <c r="V239" s="2" t="s">
        <v>241</v>
      </c>
      <c r="W239" s="2" t="s">
        <v>397</v>
      </c>
      <c r="X239" s="2" t="s">
        <v>233</v>
      </c>
      <c r="Y239" s="2" t="s">
        <v>1600</v>
      </c>
      <c r="Z239" s="4"/>
      <c r="AA239" s="4">
        <f>=ROUNDDOWN({0},0)</f>
      </c>
      <c r="AB239" s="5">
        <v>3.9</v>
      </c>
      <c r="AC239" s="2" t="s">
        <v>1601</v>
      </c>
      <c r="AD239" s="4">
        <v>260</v>
      </c>
      <c r="AE239" s="4">
        <v>260</v>
      </c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233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>
        <v>2</v>
      </c>
      <c r="BK239" s="8">
        <v>254.98</v>
      </c>
      <c r="BL239" s="2" t="s">
        <v>1602</v>
      </c>
      <c r="BM239" s="7"/>
      <c r="BN239" s="7"/>
      <c r="BO239" s="4"/>
      <c r="BP239" s="8"/>
      <c r="BQ239" s="4"/>
      <c r="BR239" s="8"/>
      <c r="BS239" s="7"/>
      <c r="BT239" s="7"/>
      <c r="BU239" s="2" t="s">
        <v>1603</v>
      </c>
      <c r="BV239" s="2" t="s">
        <v>233</v>
      </c>
      <c r="BW239" s="2" t="s">
        <v>233</v>
      </c>
      <c r="BX239" s="2" t="s">
        <v>595</v>
      </c>
      <c r="BY239" s="2" t="s">
        <v>280</v>
      </c>
      <c r="BZ239" s="2" t="s">
        <v>245</v>
      </c>
      <c r="CA239" s="2" t="s">
        <v>1604</v>
      </c>
      <c r="CB239" s="2" t="s">
        <v>1605</v>
      </c>
      <c r="CC239" s="2" t="s">
        <v>246</v>
      </c>
      <c r="CD239" s="2" t="s">
        <v>233</v>
      </c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>
        <v>260</v>
      </c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</row>
    <row r="240">
      <c r="A240" s="2" t="s">
        <v>1606</v>
      </c>
      <c r="B240" s="2" t="s">
        <v>1242</v>
      </c>
      <c r="C240" s="2" t="s">
        <v>1607</v>
      </c>
      <c r="D240" s="2" t="s">
        <v>912</v>
      </c>
      <c r="E240" s="2" t="s">
        <v>913</v>
      </c>
      <c r="F240" s="2" t="s">
        <v>1608</v>
      </c>
      <c r="G240" s="2" t="s">
        <v>1608</v>
      </c>
      <c r="H240" s="2" t="s">
        <v>1608</v>
      </c>
      <c r="I240" s="2" t="s">
        <v>1609</v>
      </c>
      <c r="J240" s="2" t="s">
        <v>981</v>
      </c>
      <c r="K240" s="2" t="s">
        <v>773</v>
      </c>
      <c r="L240" s="3">
        <v>68.09</v>
      </c>
      <c r="M240" s="3">
        <v>71.49</v>
      </c>
      <c r="N240" s="3">
        <v>199.99</v>
      </c>
      <c r="O240" s="2" t="s">
        <v>245</v>
      </c>
      <c r="P240" s="2" t="s">
        <v>311</v>
      </c>
      <c r="Q240" s="2" t="s">
        <v>239</v>
      </c>
      <c r="R240" s="2" t="s">
        <v>233</v>
      </c>
      <c r="S240" s="2" t="s">
        <v>233</v>
      </c>
      <c r="T240" s="2" t="s">
        <v>341</v>
      </c>
      <c r="U240" s="2" t="s">
        <v>233</v>
      </c>
      <c r="V240" s="2" t="s">
        <v>241</v>
      </c>
      <c r="W240" s="2" t="s">
        <v>275</v>
      </c>
      <c r="X240" s="2" t="s">
        <v>233</v>
      </c>
      <c r="Y240" s="2" t="s">
        <v>1610</v>
      </c>
      <c r="Z240" s="4">
        <v>154</v>
      </c>
      <c r="AA240" s="4">
        <f>=ROUNDDOWN(77,0)</f>
      </c>
      <c r="AB240" s="5">
        <v>2</v>
      </c>
      <c r="AC240" s="2" t="s">
        <v>233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233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>
        <v>3</v>
      </c>
      <c r="BK240" s="8">
        <v>302.25</v>
      </c>
      <c r="BL240" s="2" t="s">
        <v>1611</v>
      </c>
      <c r="BM240" s="7"/>
      <c r="BN240" s="7"/>
      <c r="BO240" s="4"/>
      <c r="BP240" s="8"/>
      <c r="BQ240" s="4"/>
      <c r="BR240" s="8"/>
      <c r="BS240" s="7"/>
      <c r="BT240" s="7"/>
      <c r="BU240" s="2" t="s">
        <v>1612</v>
      </c>
      <c r="BV240" s="2" t="s">
        <v>233</v>
      </c>
      <c r="BW240" s="2" t="s">
        <v>233</v>
      </c>
      <c r="BX240" s="2" t="s">
        <v>233</v>
      </c>
      <c r="BY240" s="2" t="s">
        <v>280</v>
      </c>
      <c r="BZ240" s="2" t="s">
        <v>245</v>
      </c>
      <c r="CA240" s="2" t="s">
        <v>1613</v>
      </c>
      <c r="CB240" s="2" t="s">
        <v>1614</v>
      </c>
      <c r="CC240" s="2" t="s">
        <v>246</v>
      </c>
      <c r="CD240" s="2" t="s">
        <v>233</v>
      </c>
      <c r="CE240" s="4">
        <v>154</v>
      </c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</row>
    <row r="241">
      <c r="A241" s="2" t="s">
        <v>1615</v>
      </c>
      <c r="B241" s="2" t="s">
        <v>228</v>
      </c>
      <c r="C241" s="2" t="s">
        <v>1335</v>
      </c>
      <c r="D241" s="2" t="s">
        <v>1616</v>
      </c>
      <c r="E241" s="2" t="s">
        <v>1617</v>
      </c>
      <c r="F241" s="2" t="s">
        <v>1618</v>
      </c>
      <c r="G241" s="2" t="s">
        <v>233</v>
      </c>
      <c r="H241" s="2" t="s">
        <v>233</v>
      </c>
      <c r="I241" s="2" t="s">
        <v>1619</v>
      </c>
      <c r="J241" s="2" t="s">
        <v>1620</v>
      </c>
      <c r="K241" s="2" t="s">
        <v>255</v>
      </c>
      <c r="L241" s="3">
        <v>16.1</v>
      </c>
      <c r="M241" s="3">
        <v>16.9</v>
      </c>
      <c r="N241" s="3">
        <v>34.99</v>
      </c>
      <c r="O241" s="2" t="s">
        <v>245</v>
      </c>
      <c r="P241" s="2" t="s">
        <v>311</v>
      </c>
      <c r="Q241" s="2" t="s">
        <v>239</v>
      </c>
      <c r="R241" s="2" t="s">
        <v>233</v>
      </c>
      <c r="S241" s="2" t="s">
        <v>1621</v>
      </c>
      <c r="T241" s="2" t="s">
        <v>1622</v>
      </c>
      <c r="U241" s="2" t="s">
        <v>233</v>
      </c>
      <c r="V241" s="2" t="s">
        <v>1085</v>
      </c>
      <c r="W241" s="2" t="s">
        <v>978</v>
      </c>
      <c r="X241" s="2" t="s">
        <v>1056</v>
      </c>
      <c r="Y241" s="2" t="s">
        <v>276</v>
      </c>
      <c r="Z241" s="4">
        <v>465</v>
      </c>
      <c r="AA241" s="4">
        <f>=ROUNDDOWN(38.75,0)</f>
      </c>
      <c r="AB241" s="5">
        <v>12</v>
      </c>
      <c r="AC241" s="2" t="s">
        <v>233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233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>
        <v>16</v>
      </c>
      <c r="BK241" s="8">
        <v>274.16</v>
      </c>
      <c r="BL241" s="2" t="s">
        <v>1623</v>
      </c>
      <c r="BM241" s="7"/>
      <c r="BN241" s="7"/>
      <c r="BO241" s="4"/>
      <c r="BP241" s="8"/>
      <c r="BQ241" s="4"/>
      <c r="BR241" s="8"/>
      <c r="BS241" s="7"/>
      <c r="BT241" s="7"/>
      <c r="BU241" s="2" t="s">
        <v>1624</v>
      </c>
      <c r="BV241" s="2" t="s">
        <v>233</v>
      </c>
      <c r="BW241" s="2" t="s">
        <v>233</v>
      </c>
      <c r="BX241" s="2" t="s">
        <v>595</v>
      </c>
      <c r="BY241" s="2" t="s">
        <v>280</v>
      </c>
      <c r="BZ241" s="2" t="s">
        <v>245</v>
      </c>
      <c r="CA241" s="2" t="s">
        <v>1625</v>
      </c>
      <c r="CB241" s="2" t="s">
        <v>528</v>
      </c>
      <c r="CC241" s="2" t="s">
        <v>246</v>
      </c>
      <c r="CD241" s="2" t="s">
        <v>233</v>
      </c>
      <c r="CE241" s="4">
        <v>465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</row>
    <row r="242">
      <c r="A242" s="2" t="s">
        <v>1626</v>
      </c>
      <c r="B242" s="2" t="s">
        <v>1174</v>
      </c>
      <c r="C242" s="2" t="s">
        <v>530</v>
      </c>
      <c r="D242" s="2" t="s">
        <v>1175</v>
      </c>
      <c r="E242" s="2" t="s">
        <v>1448</v>
      </c>
      <c r="F242" s="2" t="s">
        <v>1627</v>
      </c>
      <c r="G242" s="2" t="s">
        <v>1628</v>
      </c>
      <c r="H242" s="2" t="s">
        <v>1629</v>
      </c>
      <c r="I242" s="2" t="s">
        <v>1630</v>
      </c>
      <c r="J242" s="2" t="s">
        <v>1490</v>
      </c>
      <c r="K242" s="2" t="s">
        <v>1631</v>
      </c>
      <c r="L242" s="3">
        <v>19.35</v>
      </c>
      <c r="M242" s="3">
        <v>20.32</v>
      </c>
      <c r="N242" s="3">
        <v>42.99</v>
      </c>
      <c r="O242" s="2" t="s">
        <v>245</v>
      </c>
      <c r="P242" s="2" t="s">
        <v>311</v>
      </c>
      <c r="Q242" s="2" t="s">
        <v>239</v>
      </c>
      <c r="R242" s="2" t="s">
        <v>233</v>
      </c>
      <c r="S242" s="2" t="s">
        <v>1632</v>
      </c>
      <c r="T242" s="2" t="s">
        <v>233</v>
      </c>
      <c r="U242" s="2" t="s">
        <v>233</v>
      </c>
      <c r="V242" s="2" t="s">
        <v>379</v>
      </c>
      <c r="W242" s="2" t="s">
        <v>451</v>
      </c>
      <c r="X242" s="2" t="s">
        <v>233</v>
      </c>
      <c r="Y242" s="2" t="s">
        <v>276</v>
      </c>
      <c r="Z242" s="4">
        <v>22</v>
      </c>
      <c r="AA242" s="4">
        <f>=ROUNDDOWN(2.36559139784946,0)</f>
      </c>
      <c r="AB242" s="5">
        <v>9.3</v>
      </c>
      <c r="AC242" s="2" t="s">
        <v>233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233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233</v>
      </c>
      <c r="BD242" s="8" t="s">
        <v>233</v>
      </c>
      <c r="BE242" s="4" t="s">
        <v>233</v>
      </c>
      <c r="BF242" s="8" t="s">
        <v>233</v>
      </c>
      <c r="BG242" s="7" t="s">
        <v>233</v>
      </c>
      <c r="BH242" s="7" t="s">
        <v>233</v>
      </c>
      <c r="BI242" s="7"/>
      <c r="BJ242" s="4">
        <v>26</v>
      </c>
      <c r="BK242" s="8">
        <v>503.35</v>
      </c>
      <c r="BL242" s="2" t="s">
        <v>1633</v>
      </c>
      <c r="BM242" s="7"/>
      <c r="BN242" s="7"/>
      <c r="BO242" s="4"/>
      <c r="BP242" s="8"/>
      <c r="BQ242" s="4"/>
      <c r="BR242" s="8"/>
      <c r="BS242" s="7"/>
      <c r="BT242" s="7"/>
      <c r="BU242" s="2" t="s">
        <v>1634</v>
      </c>
      <c r="BV242" s="2" t="s">
        <v>233</v>
      </c>
      <c r="BW242" s="2" t="s">
        <v>233</v>
      </c>
      <c r="BX242" s="2" t="s">
        <v>233</v>
      </c>
      <c r="BY242" s="2" t="s">
        <v>280</v>
      </c>
      <c r="BZ242" s="2" t="s">
        <v>245</v>
      </c>
      <c r="CA242" s="2" t="s">
        <v>281</v>
      </c>
      <c r="CB242" s="2" t="s">
        <v>670</v>
      </c>
      <c r="CC242" s="2" t="s">
        <v>246</v>
      </c>
      <c r="CD242" s="2" t="s">
        <v>233</v>
      </c>
      <c r="CE242" s="4">
        <v>22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</row>
    <row r="243">
      <c r="A243" s="2" t="s">
        <v>1635</v>
      </c>
      <c r="B243" s="2" t="s">
        <v>1174</v>
      </c>
      <c r="C243" s="2" t="s">
        <v>530</v>
      </c>
      <c r="D243" s="2" t="s">
        <v>1175</v>
      </c>
      <c r="E243" s="2" t="s">
        <v>1448</v>
      </c>
      <c r="F243" s="2" t="s">
        <v>1627</v>
      </c>
      <c r="G243" s="2" t="s">
        <v>1628</v>
      </c>
      <c r="H243" s="2" t="s">
        <v>1629</v>
      </c>
      <c r="I243" s="2" t="s">
        <v>1630</v>
      </c>
      <c r="J243" s="2" t="s">
        <v>1490</v>
      </c>
      <c r="K243" s="2" t="s">
        <v>257</v>
      </c>
      <c r="L243" s="3">
        <v>19.35</v>
      </c>
      <c r="M243" s="3">
        <v>20.32</v>
      </c>
      <c r="N243" s="3">
        <v>42.99</v>
      </c>
      <c r="O243" s="2" t="s">
        <v>245</v>
      </c>
      <c r="P243" s="2" t="s">
        <v>272</v>
      </c>
      <c r="Q243" s="2" t="s">
        <v>239</v>
      </c>
      <c r="R243" s="2" t="s">
        <v>233</v>
      </c>
      <c r="S243" s="2" t="s">
        <v>1636</v>
      </c>
      <c r="T243" s="2" t="s">
        <v>233</v>
      </c>
      <c r="U243" s="2" t="s">
        <v>233</v>
      </c>
      <c r="V243" s="2" t="s">
        <v>379</v>
      </c>
      <c r="W243" s="2" t="s">
        <v>451</v>
      </c>
      <c r="X243" s="2" t="s">
        <v>1526</v>
      </c>
      <c r="Y243" s="2" t="s">
        <v>276</v>
      </c>
      <c r="Z243" s="4">
        <v>43</v>
      </c>
      <c r="AA243" s="4">
        <f>=ROUNDDOWN(8.6,0)</f>
      </c>
      <c r="AB243" s="5">
        <v>5</v>
      </c>
      <c r="AC243" s="2" t="s">
        <v>1107</v>
      </c>
      <c r="AD243" s="4">
        <v>124</v>
      </c>
      <c r="AE243" s="4">
        <v>124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233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233</v>
      </c>
      <c r="BD243" s="8" t="s">
        <v>233</v>
      </c>
      <c r="BE243" s="4" t="s">
        <v>233</v>
      </c>
      <c r="BF243" s="8" t="s">
        <v>233</v>
      </c>
      <c r="BG243" s="7" t="s">
        <v>233</v>
      </c>
      <c r="BH243" s="7" t="s">
        <v>233</v>
      </c>
      <c r="BI243" s="7"/>
      <c r="BJ243" s="4">
        <v>20</v>
      </c>
      <c r="BK243" s="8">
        <v>459.6</v>
      </c>
      <c r="BL243" s="2" t="s">
        <v>1637</v>
      </c>
      <c r="BM243" s="7"/>
      <c r="BN243" s="7"/>
      <c r="BO243" s="4"/>
      <c r="BP243" s="8"/>
      <c r="BQ243" s="4"/>
      <c r="BR243" s="8"/>
      <c r="BS243" s="7"/>
      <c r="BT243" s="7"/>
      <c r="BU243" s="2" t="s">
        <v>1638</v>
      </c>
      <c r="BV243" s="2" t="s">
        <v>233</v>
      </c>
      <c r="BW243" s="2" t="s">
        <v>233</v>
      </c>
      <c r="BX243" s="2" t="s">
        <v>243</v>
      </c>
      <c r="BY243" s="2" t="s">
        <v>280</v>
      </c>
      <c r="BZ243" s="2" t="s">
        <v>245</v>
      </c>
      <c r="CA243" s="2" t="s">
        <v>281</v>
      </c>
      <c r="CB243" s="2" t="s">
        <v>1639</v>
      </c>
      <c r="CC243" s="2" t="s">
        <v>246</v>
      </c>
      <c r="CD243" s="2" t="s">
        <v>233</v>
      </c>
      <c r="CE243" s="4">
        <v>43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>
        <v>124</v>
      </c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</row>
    <row r="244">
      <c r="A244" s="2" t="s">
        <v>1640</v>
      </c>
      <c r="B244" s="2" t="s">
        <v>1174</v>
      </c>
      <c r="C244" s="2" t="s">
        <v>530</v>
      </c>
      <c r="D244" s="2" t="s">
        <v>1175</v>
      </c>
      <c r="E244" s="2" t="s">
        <v>1448</v>
      </c>
      <c r="F244" s="2" t="s">
        <v>1627</v>
      </c>
      <c r="G244" s="2" t="s">
        <v>1628</v>
      </c>
      <c r="H244" s="2" t="s">
        <v>1629</v>
      </c>
      <c r="I244" s="2" t="s">
        <v>1630</v>
      </c>
      <c r="J244" s="2" t="s">
        <v>1524</v>
      </c>
      <c r="K244" s="2" t="s">
        <v>1201</v>
      </c>
      <c r="L244" s="3">
        <v>16.65</v>
      </c>
      <c r="M244" s="3">
        <v>17.48</v>
      </c>
      <c r="N244" s="3">
        <v>36.99</v>
      </c>
      <c r="O244" s="2" t="s">
        <v>245</v>
      </c>
      <c r="P244" s="2" t="s">
        <v>272</v>
      </c>
      <c r="Q244" s="2" t="s">
        <v>239</v>
      </c>
      <c r="R244" s="2" t="s">
        <v>233</v>
      </c>
      <c r="S244" s="2" t="s">
        <v>1641</v>
      </c>
      <c r="T244" s="2" t="s">
        <v>233</v>
      </c>
      <c r="U244" s="2" t="s">
        <v>233</v>
      </c>
      <c r="V244" s="2" t="s">
        <v>379</v>
      </c>
      <c r="W244" s="2" t="s">
        <v>451</v>
      </c>
      <c r="X244" s="2" t="s">
        <v>1526</v>
      </c>
      <c r="Y244" s="2" t="s">
        <v>276</v>
      </c>
      <c r="Z244" s="4">
        <v>213</v>
      </c>
      <c r="AA244" s="4">
        <f>=ROUNDDOWN(13.3125,0)</f>
      </c>
      <c r="AB244" s="5">
        <v>16</v>
      </c>
      <c r="AC244" s="2" t="s">
        <v>1107</v>
      </c>
      <c r="AD244" s="4">
        <v>132</v>
      </c>
      <c r="AE244" s="4">
        <v>400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233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233</v>
      </c>
      <c r="AW244" s="8" t="s">
        <v>233</v>
      </c>
      <c r="AX244" s="4" t="s">
        <v>233</v>
      </c>
      <c r="AY244" s="8" t="s">
        <v>233</v>
      </c>
      <c r="AZ244" s="7" t="s">
        <v>233</v>
      </c>
      <c r="BA244" s="7" t="s">
        <v>233</v>
      </c>
      <c r="BB244" s="7"/>
      <c r="BC244" s="4" t="s">
        <v>233</v>
      </c>
      <c r="BD244" s="8" t="s">
        <v>233</v>
      </c>
      <c r="BE244" s="4" t="s">
        <v>233</v>
      </c>
      <c r="BF244" s="8" t="s">
        <v>233</v>
      </c>
      <c r="BG244" s="7" t="s">
        <v>233</v>
      </c>
      <c r="BH244" s="7" t="s">
        <v>233</v>
      </c>
      <c r="BI244" s="7"/>
      <c r="BJ244" s="4">
        <v>41</v>
      </c>
      <c r="BK244" s="8">
        <v>686.08</v>
      </c>
      <c r="BL244" s="2" t="s">
        <v>1642</v>
      </c>
      <c r="BM244" s="7"/>
      <c r="BN244" s="7"/>
      <c r="BO244" s="4"/>
      <c r="BP244" s="8"/>
      <c r="BQ244" s="4"/>
      <c r="BR244" s="8"/>
      <c r="BS244" s="7"/>
      <c r="BT244" s="7"/>
      <c r="BU244" s="2" t="s">
        <v>1643</v>
      </c>
      <c r="BV244" s="2" t="s">
        <v>233</v>
      </c>
      <c r="BW244" s="2" t="s">
        <v>233</v>
      </c>
      <c r="BX244" s="2" t="s">
        <v>243</v>
      </c>
      <c r="BY244" s="2" t="s">
        <v>280</v>
      </c>
      <c r="BZ244" s="2" t="s">
        <v>245</v>
      </c>
      <c r="CA244" s="2" t="s">
        <v>281</v>
      </c>
      <c r="CB244" s="2" t="s">
        <v>528</v>
      </c>
      <c r="CC244" s="2" t="s">
        <v>246</v>
      </c>
      <c r="CD244" s="2" t="s">
        <v>233</v>
      </c>
      <c r="CE244" s="4">
        <v>213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>
        <v>132</v>
      </c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>
        <v>268</v>
      </c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</row>
    <row r="245">
      <c r="A245" s="2" t="s">
        <v>1644</v>
      </c>
      <c r="B245" s="2" t="s">
        <v>1174</v>
      </c>
      <c r="C245" s="2" t="s">
        <v>530</v>
      </c>
      <c r="D245" s="2" t="s">
        <v>1175</v>
      </c>
      <c r="E245" s="2" t="s">
        <v>1448</v>
      </c>
      <c r="F245" s="2" t="s">
        <v>1627</v>
      </c>
      <c r="G245" s="2" t="s">
        <v>1628</v>
      </c>
      <c r="H245" s="2" t="s">
        <v>1629</v>
      </c>
      <c r="I245" s="2" t="s">
        <v>1630</v>
      </c>
      <c r="J245" s="2" t="s">
        <v>1490</v>
      </c>
      <c r="K245" s="2" t="s">
        <v>1201</v>
      </c>
      <c r="L245" s="3">
        <v>19.35</v>
      </c>
      <c r="M245" s="3">
        <v>20.32</v>
      </c>
      <c r="N245" s="3">
        <v>42.99</v>
      </c>
      <c r="O245" s="2" t="s">
        <v>245</v>
      </c>
      <c r="P245" s="2" t="s">
        <v>272</v>
      </c>
      <c r="Q245" s="2" t="s">
        <v>239</v>
      </c>
      <c r="R245" s="2" t="s">
        <v>233</v>
      </c>
      <c r="S245" s="2" t="s">
        <v>1641</v>
      </c>
      <c r="T245" s="2" t="s">
        <v>233</v>
      </c>
      <c r="U245" s="2" t="s">
        <v>233</v>
      </c>
      <c r="V245" s="2" t="s">
        <v>379</v>
      </c>
      <c r="W245" s="2" t="s">
        <v>451</v>
      </c>
      <c r="X245" s="2" t="s">
        <v>1526</v>
      </c>
      <c r="Y245" s="2" t="s">
        <v>276</v>
      </c>
      <c r="Z245" s="4">
        <v>43</v>
      </c>
      <c r="AA245" s="4">
        <f>=ROUNDDOWN(10.75,0)</f>
      </c>
      <c r="AB245" s="5">
        <v>4</v>
      </c>
      <c r="AC245" s="2" t="s">
        <v>1107</v>
      </c>
      <c r="AD245" s="4">
        <v>128</v>
      </c>
      <c r="AE245" s="4">
        <v>268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233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233</v>
      </c>
      <c r="AW245" s="8" t="s">
        <v>233</v>
      </c>
      <c r="AX245" s="4" t="s">
        <v>233</v>
      </c>
      <c r="AY245" s="8" t="s">
        <v>233</v>
      </c>
      <c r="AZ245" s="7" t="s">
        <v>233</v>
      </c>
      <c r="BA245" s="7" t="s">
        <v>233</v>
      </c>
      <c r="BB245" s="7"/>
      <c r="BC245" s="4" t="s">
        <v>233</v>
      </c>
      <c r="BD245" s="8" t="s">
        <v>233</v>
      </c>
      <c r="BE245" s="4" t="s">
        <v>233</v>
      </c>
      <c r="BF245" s="8" t="s">
        <v>233</v>
      </c>
      <c r="BG245" s="7" t="s">
        <v>233</v>
      </c>
      <c r="BH245" s="7" t="s">
        <v>233</v>
      </c>
      <c r="BI245" s="7"/>
      <c r="BJ245" s="4">
        <v>38</v>
      </c>
      <c r="BK245" s="8">
        <v>791.92</v>
      </c>
      <c r="BL245" s="2" t="s">
        <v>1645</v>
      </c>
      <c r="BM245" s="7"/>
      <c r="BN245" s="7"/>
      <c r="BO245" s="4"/>
      <c r="BP245" s="8"/>
      <c r="BQ245" s="4"/>
      <c r="BR245" s="8"/>
      <c r="BS245" s="7"/>
      <c r="BT245" s="7"/>
      <c r="BU245" s="2" t="s">
        <v>1646</v>
      </c>
      <c r="BV245" s="2" t="s">
        <v>233</v>
      </c>
      <c r="BW245" s="2" t="s">
        <v>233</v>
      </c>
      <c r="BX245" s="2" t="s">
        <v>243</v>
      </c>
      <c r="BY245" s="2" t="s">
        <v>280</v>
      </c>
      <c r="BZ245" s="2" t="s">
        <v>245</v>
      </c>
      <c r="CA245" s="2" t="s">
        <v>281</v>
      </c>
      <c r="CB245" s="2" t="s">
        <v>670</v>
      </c>
      <c r="CC245" s="2" t="s">
        <v>246</v>
      </c>
      <c r="CD245" s="2" t="s">
        <v>233</v>
      </c>
      <c r="CE245" s="4">
        <v>43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>
        <v>128</v>
      </c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>
        <v>140</v>
      </c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</row>
    <row r="246">
      <c r="A246" s="2" t="s">
        <v>1647</v>
      </c>
      <c r="B246" s="2" t="s">
        <v>1174</v>
      </c>
      <c r="C246" s="2" t="s">
        <v>530</v>
      </c>
      <c r="D246" s="2" t="s">
        <v>1175</v>
      </c>
      <c r="E246" s="2" t="s">
        <v>1448</v>
      </c>
      <c r="F246" s="2" t="s">
        <v>1627</v>
      </c>
      <c r="G246" s="2" t="s">
        <v>1628</v>
      </c>
      <c r="H246" s="2" t="s">
        <v>1629</v>
      </c>
      <c r="I246" s="2" t="s">
        <v>1630</v>
      </c>
      <c r="J246" s="2" t="s">
        <v>1524</v>
      </c>
      <c r="K246" s="2" t="s">
        <v>297</v>
      </c>
      <c r="L246" s="3">
        <v>16.65</v>
      </c>
      <c r="M246" s="3">
        <v>17.48</v>
      </c>
      <c r="N246" s="3">
        <v>36.99</v>
      </c>
      <c r="O246" s="2" t="s">
        <v>245</v>
      </c>
      <c r="P246" s="2" t="s">
        <v>741</v>
      </c>
      <c r="Q246" s="2" t="s">
        <v>239</v>
      </c>
      <c r="R246" s="2" t="s">
        <v>233</v>
      </c>
      <c r="S246" s="2" t="s">
        <v>1648</v>
      </c>
      <c r="T246" s="2" t="s">
        <v>233</v>
      </c>
      <c r="U246" s="2" t="s">
        <v>233</v>
      </c>
      <c r="V246" s="2" t="s">
        <v>379</v>
      </c>
      <c r="W246" s="2" t="s">
        <v>451</v>
      </c>
      <c r="X246" s="2" t="s">
        <v>1526</v>
      </c>
      <c r="Y246" s="2" t="s">
        <v>276</v>
      </c>
      <c r="Z246" s="4">
        <v>322</v>
      </c>
      <c r="AA246" s="4">
        <f>=ROUNDDOWN(16.1,0)</f>
      </c>
      <c r="AB246" s="5">
        <v>20</v>
      </c>
      <c r="AC246" s="2" t="s">
        <v>955</v>
      </c>
      <c r="AD246" s="4">
        <v>236</v>
      </c>
      <c r="AE246" s="4">
        <v>236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233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233</v>
      </c>
      <c r="AW246" s="8" t="s">
        <v>233</v>
      </c>
      <c r="AX246" s="4" t="s">
        <v>233</v>
      </c>
      <c r="AY246" s="8" t="s">
        <v>233</v>
      </c>
      <c r="AZ246" s="7" t="s">
        <v>233</v>
      </c>
      <c r="BA246" s="7" t="s">
        <v>233</v>
      </c>
      <c r="BB246" s="7"/>
      <c r="BC246" s="4" t="s">
        <v>233</v>
      </c>
      <c r="BD246" s="8" t="s">
        <v>233</v>
      </c>
      <c r="BE246" s="4" t="s">
        <v>233</v>
      </c>
      <c r="BF246" s="8" t="s">
        <v>233</v>
      </c>
      <c r="BG246" s="7" t="s">
        <v>233</v>
      </c>
      <c r="BH246" s="7" t="s">
        <v>233</v>
      </c>
      <c r="BI246" s="7"/>
      <c r="BJ246" s="4">
        <v>77</v>
      </c>
      <c r="BK246" s="8">
        <v>1302.72</v>
      </c>
      <c r="BL246" s="2" t="s">
        <v>1649</v>
      </c>
      <c r="BM246" s="7"/>
      <c r="BN246" s="7"/>
      <c r="BO246" s="4"/>
      <c r="BP246" s="8"/>
      <c r="BQ246" s="4"/>
      <c r="BR246" s="8"/>
      <c r="BS246" s="7"/>
      <c r="BT246" s="7"/>
      <c r="BU246" s="2" t="s">
        <v>1650</v>
      </c>
      <c r="BV246" s="2" t="s">
        <v>233</v>
      </c>
      <c r="BW246" s="2" t="s">
        <v>233</v>
      </c>
      <c r="BX246" s="2" t="s">
        <v>243</v>
      </c>
      <c r="BY246" s="2" t="s">
        <v>280</v>
      </c>
      <c r="BZ246" s="2" t="s">
        <v>245</v>
      </c>
      <c r="CA246" s="2" t="s">
        <v>281</v>
      </c>
      <c r="CB246" s="2" t="s">
        <v>528</v>
      </c>
      <c r="CC246" s="2" t="s">
        <v>246</v>
      </c>
      <c r="CD246" s="2" t="s">
        <v>233</v>
      </c>
      <c r="CE246" s="4">
        <v>322</v>
      </c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>
        <v>236</v>
      </c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</row>
    <row r="247">
      <c r="A247" s="2" t="s">
        <v>1651</v>
      </c>
      <c r="B247" s="2" t="s">
        <v>1174</v>
      </c>
      <c r="C247" s="2" t="s">
        <v>530</v>
      </c>
      <c r="D247" s="2" t="s">
        <v>1175</v>
      </c>
      <c r="E247" s="2" t="s">
        <v>1448</v>
      </c>
      <c r="F247" s="2" t="s">
        <v>1627</v>
      </c>
      <c r="G247" s="2" t="s">
        <v>1628</v>
      </c>
      <c r="H247" s="2" t="s">
        <v>1629</v>
      </c>
      <c r="I247" s="2" t="s">
        <v>1630</v>
      </c>
      <c r="J247" s="2" t="s">
        <v>1490</v>
      </c>
      <c r="K247" s="2" t="s">
        <v>297</v>
      </c>
      <c r="L247" s="3">
        <v>19.35</v>
      </c>
      <c r="M247" s="3">
        <v>20.32</v>
      </c>
      <c r="N247" s="3">
        <v>42.99</v>
      </c>
      <c r="O247" s="2" t="s">
        <v>245</v>
      </c>
      <c r="P247" s="2" t="s">
        <v>741</v>
      </c>
      <c r="Q247" s="2" t="s">
        <v>239</v>
      </c>
      <c r="R247" s="2" t="s">
        <v>233</v>
      </c>
      <c r="S247" s="2" t="s">
        <v>1648</v>
      </c>
      <c r="T247" s="2" t="s">
        <v>233</v>
      </c>
      <c r="U247" s="2" t="s">
        <v>233</v>
      </c>
      <c r="V247" s="2" t="s">
        <v>379</v>
      </c>
      <c r="W247" s="2" t="s">
        <v>451</v>
      </c>
      <c r="X247" s="2" t="s">
        <v>1526</v>
      </c>
      <c r="Y247" s="2" t="s">
        <v>276</v>
      </c>
      <c r="Z247" s="4">
        <v>219</v>
      </c>
      <c r="AA247" s="4">
        <f>=ROUNDDOWN(15.6428571428571,0)</f>
      </c>
      <c r="AB247" s="5">
        <v>14</v>
      </c>
      <c r="AC247" s="2" t="s">
        <v>955</v>
      </c>
      <c r="AD247" s="4">
        <v>192</v>
      </c>
      <c r="AE247" s="4">
        <v>192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233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233</v>
      </c>
      <c r="AW247" s="8" t="s">
        <v>233</v>
      </c>
      <c r="AX247" s="4" t="s">
        <v>233</v>
      </c>
      <c r="AY247" s="8" t="s">
        <v>233</v>
      </c>
      <c r="AZ247" s="7" t="s">
        <v>233</v>
      </c>
      <c r="BA247" s="7" t="s">
        <v>233</v>
      </c>
      <c r="BB247" s="7"/>
      <c r="BC247" s="4" t="s">
        <v>233</v>
      </c>
      <c r="BD247" s="8" t="s">
        <v>233</v>
      </c>
      <c r="BE247" s="4" t="s">
        <v>233</v>
      </c>
      <c r="BF247" s="8" t="s">
        <v>233</v>
      </c>
      <c r="BG247" s="7" t="s">
        <v>233</v>
      </c>
      <c r="BH247" s="7" t="s">
        <v>233</v>
      </c>
      <c r="BI247" s="7"/>
      <c r="BJ247" s="4">
        <v>16</v>
      </c>
      <c r="BK247" s="8">
        <v>310.12</v>
      </c>
      <c r="BL247" s="2" t="s">
        <v>1652</v>
      </c>
      <c r="BM247" s="7"/>
      <c r="BN247" s="7"/>
      <c r="BO247" s="4"/>
      <c r="BP247" s="8"/>
      <c r="BQ247" s="4"/>
      <c r="BR247" s="8"/>
      <c r="BS247" s="7"/>
      <c r="BT247" s="7"/>
      <c r="BU247" s="2" t="s">
        <v>1653</v>
      </c>
      <c r="BV247" s="2" t="s">
        <v>233</v>
      </c>
      <c r="BW247" s="2" t="s">
        <v>233</v>
      </c>
      <c r="BX247" s="2" t="s">
        <v>243</v>
      </c>
      <c r="BY247" s="2" t="s">
        <v>280</v>
      </c>
      <c r="BZ247" s="2" t="s">
        <v>245</v>
      </c>
      <c r="CA247" s="2" t="s">
        <v>281</v>
      </c>
      <c r="CB247" s="2" t="s">
        <v>528</v>
      </c>
      <c r="CC247" s="2" t="s">
        <v>246</v>
      </c>
      <c r="CD247" s="2" t="s">
        <v>233</v>
      </c>
      <c r="CE247" s="4">
        <v>219</v>
      </c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>
        <v>192</v>
      </c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</row>
    <row r="248">
      <c r="A248" s="2" t="s">
        <v>1654</v>
      </c>
      <c r="B248" s="2" t="s">
        <v>1174</v>
      </c>
      <c r="C248" s="2" t="s">
        <v>901</v>
      </c>
      <c r="D248" s="2" t="s">
        <v>1175</v>
      </c>
      <c r="E248" s="2" t="s">
        <v>1448</v>
      </c>
      <c r="F248" s="2" t="s">
        <v>1655</v>
      </c>
      <c r="G248" s="2" t="s">
        <v>1655</v>
      </c>
      <c r="H248" s="2" t="s">
        <v>233</v>
      </c>
      <c r="I248" s="2" t="s">
        <v>1656</v>
      </c>
      <c r="J248" s="2" t="s">
        <v>1524</v>
      </c>
      <c r="K248" s="2" t="s">
        <v>1083</v>
      </c>
      <c r="L248" s="3">
        <v>17</v>
      </c>
      <c r="M248" s="3">
        <v>17.85</v>
      </c>
      <c r="N248" s="3">
        <v>34.99</v>
      </c>
      <c r="O248" s="2" t="s">
        <v>252</v>
      </c>
      <c r="P248" s="2" t="s">
        <v>311</v>
      </c>
      <c r="Q248" s="2" t="s">
        <v>239</v>
      </c>
      <c r="R248" s="2" t="s">
        <v>233</v>
      </c>
      <c r="S248" s="2" t="s">
        <v>1657</v>
      </c>
      <c r="T248" s="2" t="s">
        <v>233</v>
      </c>
      <c r="U248" s="2" t="s">
        <v>233</v>
      </c>
      <c r="V248" s="2" t="s">
        <v>1658</v>
      </c>
      <c r="W248" s="2" t="s">
        <v>397</v>
      </c>
      <c r="X248" s="2" t="s">
        <v>233</v>
      </c>
      <c r="Y248" s="2" t="s">
        <v>276</v>
      </c>
      <c r="Z248" s="4"/>
      <c r="AA248" s="4">
        <f>=ROUNDDOWN({0},0)</f>
      </c>
      <c r="AB248" s="5"/>
      <c r="AC248" s="2" t="s">
        <v>233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233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233</v>
      </c>
      <c r="BM248" s="7"/>
      <c r="BN248" s="7"/>
      <c r="BO248" s="4"/>
      <c r="BP248" s="8"/>
      <c r="BQ248" s="4"/>
      <c r="BR248" s="8"/>
      <c r="BS248" s="7"/>
      <c r="BT248" s="7"/>
      <c r="BU248" s="2" t="s">
        <v>1659</v>
      </c>
      <c r="BV248" s="2" t="s">
        <v>233</v>
      </c>
      <c r="BW248" s="2" t="s">
        <v>233</v>
      </c>
      <c r="BX248" s="2" t="s">
        <v>233</v>
      </c>
      <c r="BY248" s="2" t="s">
        <v>280</v>
      </c>
      <c r="BZ248" s="2" t="s">
        <v>245</v>
      </c>
      <c r="CA248" s="2" t="s">
        <v>281</v>
      </c>
      <c r="CB248" s="2" t="s">
        <v>1660</v>
      </c>
      <c r="CC248" s="2" t="s">
        <v>246</v>
      </c>
      <c r="CD248" s="2" t="s">
        <v>233</v>
      </c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</row>
    <row r="249">
      <c r="A249" s="2" t="s">
        <v>1661</v>
      </c>
      <c r="B249" s="2" t="s">
        <v>1066</v>
      </c>
      <c r="C249" s="2" t="s">
        <v>947</v>
      </c>
      <c r="D249" s="2" t="s">
        <v>1067</v>
      </c>
      <c r="E249" s="2" t="s">
        <v>1068</v>
      </c>
      <c r="F249" s="2" t="s">
        <v>1662</v>
      </c>
      <c r="G249" s="2" t="s">
        <v>1662</v>
      </c>
      <c r="H249" s="2" t="s">
        <v>1662</v>
      </c>
      <c r="I249" s="2" t="s">
        <v>1663</v>
      </c>
      <c r="J249" s="2" t="s">
        <v>892</v>
      </c>
      <c r="K249" s="2" t="s">
        <v>271</v>
      </c>
      <c r="L249" s="3">
        <v>247.5</v>
      </c>
      <c r="M249" s="3">
        <v>259.88</v>
      </c>
      <c r="N249" s="3">
        <v>519</v>
      </c>
      <c r="O249" s="2" t="s">
        <v>245</v>
      </c>
      <c r="P249" s="2" t="s">
        <v>272</v>
      </c>
      <c r="Q249" s="2" t="s">
        <v>239</v>
      </c>
      <c r="R249" s="2" t="s">
        <v>233</v>
      </c>
      <c r="S249" s="2" t="s">
        <v>233</v>
      </c>
      <c r="T249" s="2" t="s">
        <v>233</v>
      </c>
      <c r="U249" s="2" t="s">
        <v>396</v>
      </c>
      <c r="V249" s="2" t="s">
        <v>241</v>
      </c>
      <c r="W249" s="2" t="s">
        <v>397</v>
      </c>
      <c r="X249" s="2" t="s">
        <v>1664</v>
      </c>
      <c r="Y249" s="2" t="s">
        <v>1665</v>
      </c>
      <c r="Z249" s="4">
        <v>114</v>
      </c>
      <c r="AA249" s="4">
        <f>=ROUNDDOWN(23.75,0)</f>
      </c>
      <c r="AB249" s="5">
        <v>4.8</v>
      </c>
      <c r="AC249" s="2" t="s">
        <v>233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233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233</v>
      </c>
      <c r="BD249" s="8" t="s">
        <v>233</v>
      </c>
      <c r="BE249" s="4" t="s">
        <v>233</v>
      </c>
      <c r="BF249" s="8" t="s">
        <v>233</v>
      </c>
      <c r="BG249" s="7" t="s">
        <v>233</v>
      </c>
      <c r="BH249" s="7" t="s">
        <v>233</v>
      </c>
      <c r="BI249" s="7"/>
      <c r="BJ249" s="4">
        <v>19</v>
      </c>
      <c r="BK249" s="8">
        <v>4463.4</v>
      </c>
      <c r="BL249" s="2" t="s">
        <v>1666</v>
      </c>
      <c r="BM249" s="7"/>
      <c r="BN249" s="7"/>
      <c r="BO249" s="4"/>
      <c r="BP249" s="8"/>
      <c r="BQ249" s="4"/>
      <c r="BR249" s="8"/>
      <c r="BS249" s="7"/>
      <c r="BT249" s="7"/>
      <c r="BU249" s="2" t="s">
        <v>1667</v>
      </c>
      <c r="BV249" s="2" t="s">
        <v>233</v>
      </c>
      <c r="BW249" s="2" t="s">
        <v>233</v>
      </c>
      <c r="BX249" s="2" t="s">
        <v>233</v>
      </c>
      <c r="BY249" s="2" t="s">
        <v>280</v>
      </c>
      <c r="BZ249" s="2" t="s">
        <v>245</v>
      </c>
      <c r="CA249" s="2" t="s">
        <v>1668</v>
      </c>
      <c r="CB249" s="2" t="s">
        <v>1669</v>
      </c>
      <c r="CC249" s="2" t="s">
        <v>246</v>
      </c>
      <c r="CD249" s="2" t="s">
        <v>233</v>
      </c>
      <c r="CE249" s="4"/>
      <c r="CF249" s="4">
        <v>114</v>
      </c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</row>
    <row r="250">
      <c r="A250" s="2" t="s">
        <v>1670</v>
      </c>
      <c r="B250" s="2" t="s">
        <v>1066</v>
      </c>
      <c r="C250" s="2" t="s">
        <v>947</v>
      </c>
      <c r="D250" s="2" t="s">
        <v>1067</v>
      </c>
      <c r="E250" s="2" t="s">
        <v>1068</v>
      </c>
      <c r="F250" s="2" t="s">
        <v>1662</v>
      </c>
      <c r="G250" s="2" t="s">
        <v>1662</v>
      </c>
      <c r="H250" s="2" t="s">
        <v>1662</v>
      </c>
      <c r="I250" s="2" t="s">
        <v>1671</v>
      </c>
      <c r="J250" s="2" t="s">
        <v>892</v>
      </c>
      <c r="K250" s="2" t="s">
        <v>853</v>
      </c>
      <c r="L250" s="3">
        <v>485.1</v>
      </c>
      <c r="M250" s="3">
        <v>509.36</v>
      </c>
      <c r="N250" s="3">
        <v>1019</v>
      </c>
      <c r="O250" s="2" t="s">
        <v>245</v>
      </c>
      <c r="P250" s="2" t="s">
        <v>1118</v>
      </c>
      <c r="Q250" s="2" t="s">
        <v>239</v>
      </c>
      <c r="R250" s="2" t="s">
        <v>16</v>
      </c>
      <c r="S250" s="2" t="s">
        <v>1672</v>
      </c>
      <c r="T250" s="2" t="s">
        <v>233</v>
      </c>
      <c r="U250" s="2" t="s">
        <v>491</v>
      </c>
      <c r="V250" s="2" t="s">
        <v>241</v>
      </c>
      <c r="W250" s="2" t="s">
        <v>705</v>
      </c>
      <c r="X250" s="2" t="s">
        <v>1664</v>
      </c>
      <c r="Y250" s="2" t="s">
        <v>1461</v>
      </c>
      <c r="Z250" s="4">
        <v>45</v>
      </c>
      <c r="AA250" s="4">
        <f>=ROUNDDOWN({0},0)</f>
      </c>
      <c r="AB250" s="5"/>
      <c r="AC250" s="2" t="s">
        <v>1162</v>
      </c>
      <c r="AD250" s="4">
        <v>50</v>
      </c>
      <c r="AE250" s="4">
        <v>100</v>
      </c>
      <c r="AF250" s="6"/>
      <c r="AG250" s="6"/>
      <c r="AH250" s="7">
        <v>1</v>
      </c>
      <c r="AI250" s="4"/>
      <c r="AJ250" s="4">
        <f>=ROUNDDOWN({0},0)</f>
      </c>
      <c r="AK250" s="5"/>
      <c r="AL250" s="2" t="s">
        <v>233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233</v>
      </c>
      <c r="BD250" s="8" t="s">
        <v>233</v>
      </c>
      <c r="BE250" s="4" t="s">
        <v>233</v>
      </c>
      <c r="BF250" s="8" t="s">
        <v>233</v>
      </c>
      <c r="BG250" s="7" t="s">
        <v>233</v>
      </c>
      <c r="BH250" s="7" t="s">
        <v>233</v>
      </c>
      <c r="BI250" s="7"/>
      <c r="BJ250" s="4"/>
      <c r="BK250" s="8"/>
      <c r="BL250" s="2" t="s">
        <v>233</v>
      </c>
      <c r="BM250" s="7"/>
      <c r="BN250" s="7"/>
      <c r="BO250" s="4"/>
      <c r="BP250" s="8"/>
      <c r="BQ250" s="4"/>
      <c r="BR250" s="8"/>
      <c r="BS250" s="7"/>
      <c r="BT250" s="7"/>
      <c r="BU250" s="2" t="s">
        <v>1673</v>
      </c>
      <c r="BV250" s="2" t="s">
        <v>233</v>
      </c>
      <c r="BW250" s="2" t="s">
        <v>233</v>
      </c>
      <c r="BX250" s="2" t="s">
        <v>233</v>
      </c>
      <c r="BY250" s="2" t="s">
        <v>280</v>
      </c>
      <c r="BZ250" s="2" t="s">
        <v>245</v>
      </c>
      <c r="CA250" s="2" t="s">
        <v>1674</v>
      </c>
      <c r="CB250" s="2" t="s">
        <v>1675</v>
      </c>
      <c r="CC250" s="2" t="s">
        <v>246</v>
      </c>
      <c r="CD250" s="2" t="s">
        <v>233</v>
      </c>
      <c r="CE250" s="4"/>
      <c r="CF250" s="4">
        <v>45</v>
      </c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>
        <v>50</v>
      </c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>
        <v>50</v>
      </c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</row>
    <row r="251">
      <c r="A251" s="2" t="s">
        <v>1676</v>
      </c>
      <c r="B251" s="2" t="s">
        <v>1242</v>
      </c>
      <c r="C251" s="2" t="s">
        <v>701</v>
      </c>
      <c r="D251" s="2" t="s">
        <v>969</v>
      </c>
      <c r="E251" s="2" t="s">
        <v>970</v>
      </c>
      <c r="F251" s="2" t="s">
        <v>1677</v>
      </c>
      <c r="G251" s="2" t="s">
        <v>1677</v>
      </c>
      <c r="H251" s="2" t="s">
        <v>1677</v>
      </c>
      <c r="I251" s="2" t="s">
        <v>1678</v>
      </c>
      <c r="J251" s="2" t="s">
        <v>981</v>
      </c>
      <c r="K251" s="2" t="s">
        <v>236</v>
      </c>
      <c r="L251" s="3">
        <v>45.71</v>
      </c>
      <c r="M251" s="3">
        <v>48</v>
      </c>
      <c r="N251" s="3">
        <v>99.99</v>
      </c>
      <c r="O251" s="2" t="s">
        <v>245</v>
      </c>
      <c r="P251" s="2" t="s">
        <v>311</v>
      </c>
      <c r="Q251" s="2" t="s">
        <v>239</v>
      </c>
      <c r="R251" s="2" t="s">
        <v>233</v>
      </c>
      <c r="S251" s="2" t="s">
        <v>1679</v>
      </c>
      <c r="T251" s="2" t="s">
        <v>233</v>
      </c>
      <c r="U251" s="2" t="s">
        <v>475</v>
      </c>
      <c r="V251" s="2" t="s">
        <v>359</v>
      </c>
      <c r="W251" s="2" t="s">
        <v>275</v>
      </c>
      <c r="X251" s="2" t="s">
        <v>233</v>
      </c>
      <c r="Y251" s="2" t="s">
        <v>1680</v>
      </c>
      <c r="Z251" s="4">
        <v>248</v>
      </c>
      <c r="AA251" s="4">
        <f>=ROUNDDOWN(41.3333333333333,0)</f>
      </c>
      <c r="AB251" s="5">
        <v>6</v>
      </c>
      <c r="AC251" s="2" t="s">
        <v>233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233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233</v>
      </c>
      <c r="AW251" s="8" t="s">
        <v>233</v>
      </c>
      <c r="AX251" s="4" t="s">
        <v>233</v>
      </c>
      <c r="AY251" s="8" t="s">
        <v>233</v>
      </c>
      <c r="AZ251" s="7" t="s">
        <v>233</v>
      </c>
      <c r="BA251" s="7" t="s">
        <v>233</v>
      </c>
      <c r="BB251" s="7" t="s">
        <v>233</v>
      </c>
      <c r="BC251" s="4" t="s">
        <v>233</v>
      </c>
      <c r="BD251" s="8" t="s">
        <v>233</v>
      </c>
      <c r="BE251" s="4" t="s">
        <v>233</v>
      </c>
      <c r="BF251" s="8" t="s">
        <v>233</v>
      </c>
      <c r="BG251" s="7" t="s">
        <v>233</v>
      </c>
      <c r="BH251" s="7" t="s">
        <v>233</v>
      </c>
      <c r="BI251" s="7"/>
      <c r="BJ251" s="4">
        <v>22</v>
      </c>
      <c r="BK251" s="8">
        <v>1076.16</v>
      </c>
      <c r="BL251" s="2" t="s">
        <v>1681</v>
      </c>
      <c r="BM251" s="7"/>
      <c r="BN251" s="7"/>
      <c r="BO251" s="4"/>
      <c r="BP251" s="8"/>
      <c r="BQ251" s="4"/>
      <c r="BR251" s="8"/>
      <c r="BS251" s="7"/>
      <c r="BT251" s="7"/>
      <c r="BU251" s="2" t="s">
        <v>1682</v>
      </c>
      <c r="BV251" s="2" t="s">
        <v>233</v>
      </c>
      <c r="BW251" s="2" t="s">
        <v>233</v>
      </c>
      <c r="BX251" s="2" t="s">
        <v>233</v>
      </c>
      <c r="BY251" s="2" t="s">
        <v>280</v>
      </c>
      <c r="BZ251" s="2" t="s">
        <v>245</v>
      </c>
      <c r="CA251" s="2" t="s">
        <v>1683</v>
      </c>
      <c r="CB251" s="2" t="s">
        <v>1684</v>
      </c>
      <c r="CC251" s="2" t="s">
        <v>246</v>
      </c>
      <c r="CD251" s="2" t="s">
        <v>233</v>
      </c>
      <c r="CE251" s="4">
        <v>248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</row>
    <row r="252">
      <c r="A252" s="2" t="s">
        <v>1685</v>
      </c>
      <c r="B252" s="2" t="s">
        <v>1242</v>
      </c>
      <c r="C252" s="2" t="s">
        <v>701</v>
      </c>
      <c r="D252" s="2" t="s">
        <v>912</v>
      </c>
      <c r="E252" s="2" t="s">
        <v>1139</v>
      </c>
      <c r="F252" s="2" t="s">
        <v>1677</v>
      </c>
      <c r="G252" s="2" t="s">
        <v>1677</v>
      </c>
      <c r="H252" s="2" t="s">
        <v>1677</v>
      </c>
      <c r="I252" s="2" t="s">
        <v>1686</v>
      </c>
      <c r="J252" s="2" t="s">
        <v>981</v>
      </c>
      <c r="K252" s="2" t="s">
        <v>236</v>
      </c>
      <c r="L252" s="3">
        <v>32</v>
      </c>
      <c r="M252" s="3">
        <v>33.6</v>
      </c>
      <c r="N252" s="3">
        <v>69.99</v>
      </c>
      <c r="O252" s="2" t="s">
        <v>245</v>
      </c>
      <c r="P252" s="2" t="s">
        <v>311</v>
      </c>
      <c r="Q252" s="2" t="s">
        <v>239</v>
      </c>
      <c r="R252" s="2" t="s">
        <v>233</v>
      </c>
      <c r="S252" s="2" t="s">
        <v>1679</v>
      </c>
      <c r="T252" s="2" t="s">
        <v>233</v>
      </c>
      <c r="U252" s="2" t="s">
        <v>475</v>
      </c>
      <c r="V252" s="2" t="s">
        <v>359</v>
      </c>
      <c r="W252" s="2" t="s">
        <v>275</v>
      </c>
      <c r="X252" s="2" t="s">
        <v>233</v>
      </c>
      <c r="Y252" s="2" t="s">
        <v>1680</v>
      </c>
      <c r="Z252" s="4">
        <v>108</v>
      </c>
      <c r="AA252" s="4">
        <f>=ROUNDDOWN(36,0)</f>
      </c>
      <c r="AB252" s="5">
        <v>3</v>
      </c>
      <c r="AC252" s="2" t="s">
        <v>233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233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233</v>
      </c>
      <c r="AW252" s="8" t="s">
        <v>233</v>
      </c>
      <c r="AX252" s="4" t="s">
        <v>233</v>
      </c>
      <c r="AY252" s="8" t="s">
        <v>233</v>
      </c>
      <c r="AZ252" s="7" t="s">
        <v>233</v>
      </c>
      <c r="BA252" s="7" t="s">
        <v>233</v>
      </c>
      <c r="BB252" s="7" t="s">
        <v>233</v>
      </c>
      <c r="BC252" s="4" t="s">
        <v>233</v>
      </c>
      <c r="BD252" s="8" t="s">
        <v>233</v>
      </c>
      <c r="BE252" s="4" t="s">
        <v>233</v>
      </c>
      <c r="BF252" s="8" t="s">
        <v>233</v>
      </c>
      <c r="BG252" s="7" t="s">
        <v>233</v>
      </c>
      <c r="BH252" s="7" t="s">
        <v>233</v>
      </c>
      <c r="BI252" s="7"/>
      <c r="BJ252" s="4">
        <v>6</v>
      </c>
      <c r="BK252" s="8">
        <v>235.43</v>
      </c>
      <c r="BL252" s="2" t="s">
        <v>1687</v>
      </c>
      <c r="BM252" s="7"/>
      <c r="BN252" s="7"/>
      <c r="BO252" s="4"/>
      <c r="BP252" s="8"/>
      <c r="BQ252" s="4"/>
      <c r="BR252" s="8"/>
      <c r="BS252" s="7"/>
      <c r="BT252" s="7"/>
      <c r="BU252" s="2" t="s">
        <v>1688</v>
      </c>
      <c r="BV252" s="2" t="s">
        <v>233</v>
      </c>
      <c r="BW252" s="2" t="s">
        <v>233</v>
      </c>
      <c r="BX252" s="2" t="s">
        <v>233</v>
      </c>
      <c r="BY252" s="2" t="s">
        <v>280</v>
      </c>
      <c r="BZ252" s="2" t="s">
        <v>245</v>
      </c>
      <c r="CA252" s="2" t="s">
        <v>1683</v>
      </c>
      <c r="CB252" s="2" t="s">
        <v>233</v>
      </c>
      <c r="CC252" s="2" t="s">
        <v>246</v>
      </c>
      <c r="CD252" s="2" t="s">
        <v>233</v>
      </c>
      <c r="CE252" s="4">
        <v>108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</row>
    <row r="253">
      <c r="A253" s="2" t="s">
        <v>1689</v>
      </c>
      <c r="B253" s="2" t="s">
        <v>1242</v>
      </c>
      <c r="C253" s="2" t="s">
        <v>701</v>
      </c>
      <c r="D253" s="2" t="s">
        <v>969</v>
      </c>
      <c r="E253" s="2" t="s">
        <v>970</v>
      </c>
      <c r="F253" s="2" t="s">
        <v>1677</v>
      </c>
      <c r="G253" s="2" t="s">
        <v>1677</v>
      </c>
      <c r="H253" s="2" t="s">
        <v>1677</v>
      </c>
      <c r="I253" s="2" t="s">
        <v>1678</v>
      </c>
      <c r="J253" s="2" t="s">
        <v>1142</v>
      </c>
      <c r="K253" s="2" t="s">
        <v>236</v>
      </c>
      <c r="L253" s="3">
        <v>50.28</v>
      </c>
      <c r="M253" s="3">
        <v>52.79</v>
      </c>
      <c r="N253" s="3">
        <v>109.99</v>
      </c>
      <c r="O253" s="2" t="s">
        <v>245</v>
      </c>
      <c r="P253" s="2" t="s">
        <v>311</v>
      </c>
      <c r="Q253" s="2" t="s">
        <v>239</v>
      </c>
      <c r="R253" s="2" t="s">
        <v>233</v>
      </c>
      <c r="S253" s="2" t="s">
        <v>1679</v>
      </c>
      <c r="T253" s="2" t="s">
        <v>233</v>
      </c>
      <c r="U253" s="2" t="s">
        <v>475</v>
      </c>
      <c r="V253" s="2" t="s">
        <v>359</v>
      </c>
      <c r="W253" s="2" t="s">
        <v>275</v>
      </c>
      <c r="X253" s="2" t="s">
        <v>233</v>
      </c>
      <c r="Y253" s="2" t="s">
        <v>1680</v>
      </c>
      <c r="Z253" s="4">
        <v>52</v>
      </c>
      <c r="AA253" s="4">
        <f>=ROUNDDOWN(8.38709677419355,0)</f>
      </c>
      <c r="AB253" s="5">
        <v>6.2</v>
      </c>
      <c r="AC253" s="2" t="s">
        <v>233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233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233</v>
      </c>
      <c r="AW253" s="8" t="s">
        <v>233</v>
      </c>
      <c r="AX253" s="4" t="s">
        <v>233</v>
      </c>
      <c r="AY253" s="8" t="s">
        <v>233</v>
      </c>
      <c r="AZ253" s="7" t="s">
        <v>233</v>
      </c>
      <c r="BA253" s="7" t="s">
        <v>233</v>
      </c>
      <c r="BB253" s="7"/>
      <c r="BC253" s="4" t="s">
        <v>233</v>
      </c>
      <c r="BD253" s="8" t="s">
        <v>233</v>
      </c>
      <c r="BE253" s="4" t="s">
        <v>233</v>
      </c>
      <c r="BF253" s="8" t="s">
        <v>233</v>
      </c>
      <c r="BG253" s="7" t="s">
        <v>233</v>
      </c>
      <c r="BH253" s="7" t="s">
        <v>233</v>
      </c>
      <c r="BI253" s="7"/>
      <c r="BJ253" s="4">
        <v>31</v>
      </c>
      <c r="BK253" s="8">
        <v>1682.78</v>
      </c>
      <c r="BL253" s="2" t="s">
        <v>1690</v>
      </c>
      <c r="BM253" s="7"/>
      <c r="BN253" s="7"/>
      <c r="BO253" s="4"/>
      <c r="BP253" s="8"/>
      <c r="BQ253" s="4"/>
      <c r="BR253" s="8"/>
      <c r="BS253" s="7"/>
      <c r="BT253" s="7"/>
      <c r="BU253" s="2" t="s">
        <v>1691</v>
      </c>
      <c r="BV253" s="2" t="s">
        <v>233</v>
      </c>
      <c r="BW253" s="2" t="s">
        <v>233</v>
      </c>
      <c r="BX253" s="2" t="s">
        <v>233</v>
      </c>
      <c r="BY253" s="2" t="s">
        <v>280</v>
      </c>
      <c r="BZ253" s="2" t="s">
        <v>245</v>
      </c>
      <c r="CA253" s="2" t="s">
        <v>1683</v>
      </c>
      <c r="CB253" s="2" t="s">
        <v>1001</v>
      </c>
      <c r="CC253" s="2" t="s">
        <v>246</v>
      </c>
      <c r="CD253" s="2" t="s">
        <v>233</v>
      </c>
      <c r="CE253" s="4">
        <v>52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</row>
    <row r="254">
      <c r="A254" s="2" t="s">
        <v>1692</v>
      </c>
      <c r="B254" s="2" t="s">
        <v>1242</v>
      </c>
      <c r="C254" s="2" t="s">
        <v>701</v>
      </c>
      <c r="D254" s="2" t="s">
        <v>912</v>
      </c>
      <c r="E254" s="2" t="s">
        <v>1139</v>
      </c>
      <c r="F254" s="2" t="s">
        <v>1677</v>
      </c>
      <c r="G254" s="2" t="s">
        <v>1677</v>
      </c>
      <c r="H254" s="2" t="s">
        <v>1677</v>
      </c>
      <c r="I254" s="2" t="s">
        <v>1686</v>
      </c>
      <c r="J254" s="2" t="s">
        <v>1142</v>
      </c>
      <c r="K254" s="2" t="s">
        <v>569</v>
      </c>
      <c r="L254" s="3">
        <v>36.57</v>
      </c>
      <c r="M254" s="3">
        <v>38.4</v>
      </c>
      <c r="N254" s="3">
        <v>79.99</v>
      </c>
      <c r="O254" s="2" t="s">
        <v>245</v>
      </c>
      <c r="P254" s="2" t="s">
        <v>311</v>
      </c>
      <c r="Q254" s="2" t="s">
        <v>239</v>
      </c>
      <c r="R254" s="2" t="s">
        <v>233</v>
      </c>
      <c r="S254" s="2" t="s">
        <v>1693</v>
      </c>
      <c r="T254" s="2" t="s">
        <v>233</v>
      </c>
      <c r="U254" s="2" t="s">
        <v>475</v>
      </c>
      <c r="V254" s="2" t="s">
        <v>359</v>
      </c>
      <c r="W254" s="2" t="s">
        <v>275</v>
      </c>
      <c r="X254" s="2" t="s">
        <v>233</v>
      </c>
      <c r="Y254" s="2" t="s">
        <v>1680</v>
      </c>
      <c r="Z254" s="4">
        <v>57</v>
      </c>
      <c r="AA254" s="4">
        <f>=ROUNDDOWN(9.5,0)</f>
      </c>
      <c r="AB254" s="5">
        <v>6</v>
      </c>
      <c r="AC254" s="2" t="s">
        <v>361</v>
      </c>
      <c r="AD254" s="4">
        <v>100</v>
      </c>
      <c r="AE254" s="4">
        <v>200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233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233</v>
      </c>
      <c r="BD254" s="8" t="s">
        <v>233</v>
      </c>
      <c r="BE254" s="4" t="s">
        <v>233</v>
      </c>
      <c r="BF254" s="8" t="s">
        <v>233</v>
      </c>
      <c r="BG254" s="7" t="s">
        <v>233</v>
      </c>
      <c r="BH254" s="7" t="s">
        <v>233</v>
      </c>
      <c r="BI254" s="7"/>
      <c r="BJ254" s="4">
        <v>12</v>
      </c>
      <c r="BK254" s="8">
        <v>489.21</v>
      </c>
      <c r="BL254" s="2" t="s">
        <v>516</v>
      </c>
      <c r="BM254" s="7"/>
      <c r="BN254" s="7"/>
      <c r="BO254" s="4"/>
      <c r="BP254" s="8"/>
      <c r="BQ254" s="4"/>
      <c r="BR254" s="8"/>
      <c r="BS254" s="7"/>
      <c r="BT254" s="7"/>
      <c r="BU254" s="2" t="s">
        <v>1694</v>
      </c>
      <c r="BV254" s="2" t="s">
        <v>233</v>
      </c>
      <c r="BW254" s="2" t="s">
        <v>233</v>
      </c>
      <c r="BX254" s="2" t="s">
        <v>233</v>
      </c>
      <c r="BY254" s="2" t="s">
        <v>280</v>
      </c>
      <c r="BZ254" s="2" t="s">
        <v>245</v>
      </c>
      <c r="CA254" s="2" t="s">
        <v>1683</v>
      </c>
      <c r="CB254" s="2" t="s">
        <v>1695</v>
      </c>
      <c r="CC254" s="2" t="s">
        <v>246</v>
      </c>
      <c r="CD254" s="2" t="s">
        <v>233</v>
      </c>
      <c r="CE254" s="4">
        <v>57</v>
      </c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>
        <v>100</v>
      </c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>
        <v>100</v>
      </c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</row>
    <row r="255">
      <c r="A255" s="2" t="s">
        <v>1696</v>
      </c>
      <c r="B255" s="2" t="s">
        <v>886</v>
      </c>
      <c r="C255" s="2" t="s">
        <v>901</v>
      </c>
      <c r="D255" s="2" t="s">
        <v>1167</v>
      </c>
      <c r="E255" s="2" t="s">
        <v>1168</v>
      </c>
      <c r="F255" s="2" t="s">
        <v>1697</v>
      </c>
      <c r="G255" s="2" t="s">
        <v>1698</v>
      </c>
      <c r="H255" s="2" t="s">
        <v>1697</v>
      </c>
      <c r="I255" s="2" t="s">
        <v>1699</v>
      </c>
      <c r="J255" s="2" t="s">
        <v>892</v>
      </c>
      <c r="K255" s="2" t="s">
        <v>271</v>
      </c>
      <c r="L255" s="3">
        <v>53</v>
      </c>
      <c r="M255" s="3">
        <v>55.65</v>
      </c>
      <c r="N255" s="3">
        <v>109.99</v>
      </c>
      <c r="O255" s="2" t="s">
        <v>245</v>
      </c>
      <c r="P255" s="2" t="s">
        <v>238</v>
      </c>
      <c r="Q255" s="2" t="s">
        <v>239</v>
      </c>
      <c r="R255" s="2" t="s">
        <v>233</v>
      </c>
      <c r="S255" s="2" t="s">
        <v>233</v>
      </c>
      <c r="T255" s="2" t="s">
        <v>233</v>
      </c>
      <c r="U255" s="2" t="s">
        <v>396</v>
      </c>
      <c r="V255" s="2" t="s">
        <v>893</v>
      </c>
      <c r="W255" s="2" t="s">
        <v>1700</v>
      </c>
      <c r="X255" s="2" t="s">
        <v>397</v>
      </c>
      <c r="Y255" s="2" t="s">
        <v>233</v>
      </c>
      <c r="Z255" s="4"/>
      <c r="AA255" s="4">
        <f>=ROUNDDOWN({0},0)</f>
      </c>
      <c r="AB255" s="5"/>
      <c r="AC255" s="2" t="s">
        <v>1701</v>
      </c>
      <c r="AD255" s="4">
        <v>100</v>
      </c>
      <c r="AE255" s="4">
        <v>100</v>
      </c>
      <c r="AF255" s="6"/>
      <c r="AG255" s="6"/>
      <c r="AH255" s="7">
        <v>0</v>
      </c>
      <c r="AI255" s="4"/>
      <c r="AJ255" s="4">
        <f>=ROUNDDOWN({0},0)</f>
      </c>
      <c r="AK255" s="5"/>
      <c r="AL255" s="2" t="s">
        <v>233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233</v>
      </c>
      <c r="BM255" s="7"/>
      <c r="BN255" s="7"/>
      <c r="BO255" s="4"/>
      <c r="BP255" s="8"/>
      <c r="BQ255" s="4"/>
      <c r="BR255" s="8"/>
      <c r="BS255" s="7"/>
      <c r="BT255" s="7"/>
      <c r="BU255" s="2" t="s">
        <v>243</v>
      </c>
      <c r="BV255" s="2" t="s">
        <v>233</v>
      </c>
      <c r="BW255" s="2" t="s">
        <v>233</v>
      </c>
      <c r="BX255" s="2" t="s">
        <v>243</v>
      </c>
      <c r="BY255" s="2" t="s">
        <v>244</v>
      </c>
      <c r="BZ255" s="2" t="s">
        <v>245</v>
      </c>
      <c r="CA255" s="2" t="s">
        <v>233</v>
      </c>
      <c r="CB255" s="2" t="s">
        <v>233</v>
      </c>
      <c r="CC255" s="2" t="s">
        <v>246</v>
      </c>
      <c r="CD255" s="2" t="s">
        <v>233</v>
      </c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>
        <v>100</v>
      </c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</row>
    <row r="256">
      <c r="A256" s="2" t="s">
        <v>1702</v>
      </c>
      <c r="B256" s="2" t="s">
        <v>1017</v>
      </c>
      <c r="C256" s="2" t="s">
        <v>901</v>
      </c>
      <c r="D256" s="2" t="s">
        <v>1018</v>
      </c>
      <c r="E256" s="2" t="s">
        <v>1019</v>
      </c>
      <c r="F256" s="2" t="s">
        <v>1703</v>
      </c>
      <c r="G256" s="2" t="s">
        <v>1703</v>
      </c>
      <c r="H256" s="2" t="s">
        <v>1703</v>
      </c>
      <c r="I256" s="2" t="s">
        <v>1704</v>
      </c>
      <c r="J256" s="2" t="s">
        <v>1705</v>
      </c>
      <c r="K256" s="2" t="s">
        <v>1365</v>
      </c>
      <c r="L256" s="3">
        <v>13.7</v>
      </c>
      <c r="M256" s="3">
        <v>14.39</v>
      </c>
      <c r="N256" s="3">
        <v>31.99</v>
      </c>
      <c r="O256" s="2" t="s">
        <v>245</v>
      </c>
      <c r="P256" s="2" t="s">
        <v>311</v>
      </c>
      <c r="Q256" s="2" t="s">
        <v>239</v>
      </c>
      <c r="R256" s="2" t="s">
        <v>233</v>
      </c>
      <c r="S256" s="2" t="s">
        <v>1706</v>
      </c>
      <c r="T256" s="2" t="s">
        <v>341</v>
      </c>
      <c r="U256" s="2" t="s">
        <v>396</v>
      </c>
      <c r="V256" s="2" t="s">
        <v>359</v>
      </c>
      <c r="W256" s="2" t="s">
        <v>397</v>
      </c>
      <c r="X256" s="2" t="s">
        <v>275</v>
      </c>
      <c r="Y256" s="2" t="s">
        <v>1707</v>
      </c>
      <c r="Z256" s="4">
        <v>7</v>
      </c>
      <c r="AA256" s="4">
        <f>=ROUNDDOWN(1.20689655172414,0)</f>
      </c>
      <c r="AB256" s="5">
        <v>5.8</v>
      </c>
      <c r="AC256" s="2" t="s">
        <v>233</v>
      </c>
      <c r="AD256" s="4"/>
      <c r="AE256" s="4"/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233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>
        <v>24</v>
      </c>
      <c r="BK256" s="8">
        <v>338.82</v>
      </c>
      <c r="BL256" s="2" t="s">
        <v>1708</v>
      </c>
      <c r="BM256" s="7"/>
      <c r="BN256" s="7"/>
      <c r="BO256" s="4"/>
      <c r="BP256" s="8"/>
      <c r="BQ256" s="4"/>
      <c r="BR256" s="8"/>
      <c r="BS256" s="7"/>
      <c r="BT256" s="7"/>
      <c r="BU256" s="2" t="s">
        <v>1709</v>
      </c>
      <c r="BV256" s="2" t="s">
        <v>233</v>
      </c>
      <c r="BW256" s="2" t="s">
        <v>233</v>
      </c>
      <c r="BX256" s="2" t="s">
        <v>233</v>
      </c>
      <c r="BY256" s="2" t="s">
        <v>280</v>
      </c>
      <c r="BZ256" s="2" t="s">
        <v>245</v>
      </c>
      <c r="CA256" s="2" t="s">
        <v>1710</v>
      </c>
      <c r="CB256" s="2" t="s">
        <v>1711</v>
      </c>
      <c r="CC256" s="2" t="s">
        <v>246</v>
      </c>
      <c r="CD256" s="2" t="s">
        <v>233</v>
      </c>
      <c r="CE256" s="4">
        <v>7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</row>
    <row r="257">
      <c r="A257" s="2" t="s">
        <v>1712</v>
      </c>
      <c r="B257" s="2" t="s">
        <v>1066</v>
      </c>
      <c r="C257" s="2" t="s">
        <v>901</v>
      </c>
      <c r="D257" s="2" t="s">
        <v>1713</v>
      </c>
      <c r="E257" s="2" t="s">
        <v>1714</v>
      </c>
      <c r="F257" s="2" t="s">
        <v>1715</v>
      </c>
      <c r="G257" s="2" t="s">
        <v>1715</v>
      </c>
      <c r="H257" s="2" t="s">
        <v>1715</v>
      </c>
      <c r="I257" s="2" t="s">
        <v>1716</v>
      </c>
      <c r="J257" s="2" t="s">
        <v>892</v>
      </c>
      <c r="K257" s="2" t="s">
        <v>1717</v>
      </c>
      <c r="L257" s="3">
        <v>155</v>
      </c>
      <c r="M257" s="3">
        <v>162.75</v>
      </c>
      <c r="N257" s="3">
        <v>319</v>
      </c>
      <c r="O257" s="2" t="s">
        <v>245</v>
      </c>
      <c r="P257" s="2" t="s">
        <v>238</v>
      </c>
      <c r="Q257" s="2" t="s">
        <v>239</v>
      </c>
      <c r="R257" s="2" t="s">
        <v>233</v>
      </c>
      <c r="S257" s="2" t="s">
        <v>233</v>
      </c>
      <c r="T257" s="2" t="s">
        <v>233</v>
      </c>
      <c r="U257" s="2" t="s">
        <v>396</v>
      </c>
      <c r="V257" s="2" t="s">
        <v>893</v>
      </c>
      <c r="W257" s="2" t="s">
        <v>894</v>
      </c>
      <c r="X257" s="2" t="s">
        <v>397</v>
      </c>
      <c r="Y257" s="2" t="s">
        <v>1718</v>
      </c>
      <c r="Z257" s="4"/>
      <c r="AA257" s="4">
        <f>=ROUNDDOWN({0},0)</f>
      </c>
      <c r="AB257" s="5">
        <v>12.5</v>
      </c>
      <c r="AC257" s="2" t="s">
        <v>1719</v>
      </c>
      <c r="AD257" s="4">
        <v>65</v>
      </c>
      <c r="AE257" s="4">
        <v>350</v>
      </c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233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233</v>
      </c>
      <c r="BM257" s="7"/>
      <c r="BN257" s="7"/>
      <c r="BO257" s="4"/>
      <c r="BP257" s="8"/>
      <c r="BQ257" s="4"/>
      <c r="BR257" s="8"/>
      <c r="BS257" s="7"/>
      <c r="BT257" s="7"/>
      <c r="BU257" s="2" t="s">
        <v>1720</v>
      </c>
      <c r="BV257" s="2" t="s">
        <v>233</v>
      </c>
      <c r="BW257" s="2" t="s">
        <v>233</v>
      </c>
      <c r="BX257" s="2" t="s">
        <v>243</v>
      </c>
      <c r="BY257" s="2" t="s">
        <v>280</v>
      </c>
      <c r="BZ257" s="2" t="s">
        <v>245</v>
      </c>
      <c r="CA257" s="2" t="s">
        <v>1582</v>
      </c>
      <c r="CB257" s="2" t="s">
        <v>1721</v>
      </c>
      <c r="CC257" s="2" t="s">
        <v>246</v>
      </c>
      <c r="CD257" s="2" t="s">
        <v>233</v>
      </c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>
        <v>65</v>
      </c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>
        <v>35</v>
      </c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>
        <v>100</v>
      </c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>
        <v>150</v>
      </c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</row>
    <row r="258">
      <c r="A258" s="2" t="s">
        <v>1722</v>
      </c>
      <c r="B258" s="2" t="s">
        <v>1066</v>
      </c>
      <c r="C258" s="2" t="s">
        <v>530</v>
      </c>
      <c r="D258" s="2" t="s">
        <v>1111</v>
      </c>
      <c r="E258" s="2" t="s">
        <v>1723</v>
      </c>
      <c r="F258" s="2" t="s">
        <v>1724</v>
      </c>
      <c r="G258" s="2" t="s">
        <v>1725</v>
      </c>
      <c r="H258" s="2" t="s">
        <v>1726</v>
      </c>
      <c r="I258" s="2" t="s">
        <v>1727</v>
      </c>
      <c r="J258" s="2" t="s">
        <v>892</v>
      </c>
      <c r="K258" s="2" t="s">
        <v>1191</v>
      </c>
      <c r="L258" s="3">
        <v>220</v>
      </c>
      <c r="M258" s="3">
        <v>231</v>
      </c>
      <c r="N258" s="3">
        <v>459.99</v>
      </c>
      <c r="O258" s="2" t="s">
        <v>252</v>
      </c>
      <c r="P258" s="2" t="s">
        <v>311</v>
      </c>
      <c r="Q258" s="2" t="s">
        <v>239</v>
      </c>
      <c r="R258" s="2" t="s">
        <v>233</v>
      </c>
      <c r="S258" s="2" t="s">
        <v>1728</v>
      </c>
      <c r="T258" s="2" t="s">
        <v>233</v>
      </c>
      <c r="U258" s="2" t="s">
        <v>233</v>
      </c>
      <c r="V258" s="2" t="s">
        <v>1658</v>
      </c>
      <c r="W258" s="2" t="s">
        <v>776</v>
      </c>
      <c r="X258" s="2" t="s">
        <v>233</v>
      </c>
      <c r="Y258" s="2" t="s">
        <v>276</v>
      </c>
      <c r="Z258" s="4"/>
      <c r="AA258" s="4">
        <f>=ROUNDDOWN({0},0)</f>
      </c>
      <c r="AB258" s="5"/>
      <c r="AC258" s="2" t="s">
        <v>233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233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233</v>
      </c>
      <c r="BM258" s="7"/>
      <c r="BN258" s="7"/>
      <c r="BO258" s="4"/>
      <c r="BP258" s="8"/>
      <c r="BQ258" s="4"/>
      <c r="BR258" s="8"/>
      <c r="BS258" s="7"/>
      <c r="BT258" s="7"/>
      <c r="BU258" s="2" t="s">
        <v>1729</v>
      </c>
      <c r="BV258" s="2" t="s">
        <v>233</v>
      </c>
      <c r="BW258" s="2" t="s">
        <v>233</v>
      </c>
      <c r="BX258" s="2" t="s">
        <v>233</v>
      </c>
      <c r="BY258" s="2" t="s">
        <v>280</v>
      </c>
      <c r="BZ258" s="2" t="s">
        <v>245</v>
      </c>
      <c r="CA258" s="2" t="s">
        <v>1730</v>
      </c>
      <c r="CB258" s="2" t="s">
        <v>1731</v>
      </c>
      <c r="CC258" s="2" t="s">
        <v>246</v>
      </c>
      <c r="CD258" s="2" t="s">
        <v>233</v>
      </c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</row>
    <row r="259">
      <c r="A259" s="2" t="s">
        <v>1732</v>
      </c>
      <c r="B259" s="2" t="s">
        <v>228</v>
      </c>
      <c r="C259" s="2" t="s">
        <v>530</v>
      </c>
      <c r="D259" s="2" t="s">
        <v>1616</v>
      </c>
      <c r="E259" s="2" t="s">
        <v>1617</v>
      </c>
      <c r="F259" s="2" t="s">
        <v>1733</v>
      </c>
      <c r="G259" s="2" t="s">
        <v>1734</v>
      </c>
      <c r="H259" s="2" t="s">
        <v>1734</v>
      </c>
      <c r="I259" s="2" t="s">
        <v>1735</v>
      </c>
      <c r="J259" s="2" t="s">
        <v>1736</v>
      </c>
      <c r="K259" s="2" t="s">
        <v>255</v>
      </c>
      <c r="L259" s="3">
        <v>14.59</v>
      </c>
      <c r="M259" s="3">
        <v>15.32</v>
      </c>
      <c r="N259" s="3">
        <v>30.99</v>
      </c>
      <c r="O259" s="2" t="s">
        <v>245</v>
      </c>
      <c r="P259" s="2" t="s">
        <v>741</v>
      </c>
      <c r="Q259" s="2" t="s">
        <v>239</v>
      </c>
      <c r="R259" s="2" t="s">
        <v>233</v>
      </c>
      <c r="S259" s="2" t="s">
        <v>1737</v>
      </c>
      <c r="T259" s="2" t="s">
        <v>976</v>
      </c>
      <c r="U259" s="2" t="s">
        <v>233</v>
      </c>
      <c r="V259" s="2" t="s">
        <v>1085</v>
      </c>
      <c r="W259" s="2" t="s">
        <v>275</v>
      </c>
      <c r="X259" s="2" t="s">
        <v>233</v>
      </c>
      <c r="Y259" s="2" t="s">
        <v>1738</v>
      </c>
      <c r="Z259" s="4">
        <v>974</v>
      </c>
      <c r="AA259" s="4">
        <f>=ROUNDDOWN(33.1292517006803,0)</f>
      </c>
      <c r="AB259" s="5">
        <v>29.4</v>
      </c>
      <c r="AC259" s="2" t="s">
        <v>1739</v>
      </c>
      <c r="AD259" s="4">
        <v>1000</v>
      </c>
      <c r="AE259" s="4">
        <v>1000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233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233</v>
      </c>
      <c r="BD259" s="8" t="s">
        <v>233</v>
      </c>
      <c r="BE259" s="4" t="s">
        <v>233</v>
      </c>
      <c r="BF259" s="8" t="s">
        <v>233</v>
      </c>
      <c r="BG259" s="7" t="s">
        <v>233</v>
      </c>
      <c r="BH259" s="7" t="s">
        <v>233</v>
      </c>
      <c r="BI259" s="7"/>
      <c r="BJ259" s="4">
        <v>38</v>
      </c>
      <c r="BK259" s="8">
        <v>578.15</v>
      </c>
      <c r="BL259" s="2" t="s">
        <v>1740</v>
      </c>
      <c r="BM259" s="7"/>
      <c r="BN259" s="7"/>
      <c r="BO259" s="4"/>
      <c r="BP259" s="8"/>
      <c r="BQ259" s="4"/>
      <c r="BR259" s="8"/>
      <c r="BS259" s="7"/>
      <c r="BT259" s="7"/>
      <c r="BU259" s="2" t="s">
        <v>1741</v>
      </c>
      <c r="BV259" s="2" t="s">
        <v>233</v>
      </c>
      <c r="BW259" s="2" t="s">
        <v>233</v>
      </c>
      <c r="BX259" s="2" t="s">
        <v>233</v>
      </c>
      <c r="BY259" s="2" t="s">
        <v>280</v>
      </c>
      <c r="BZ259" s="2" t="s">
        <v>245</v>
      </c>
      <c r="CA259" s="2" t="s">
        <v>1742</v>
      </c>
      <c r="CB259" s="2" t="s">
        <v>1743</v>
      </c>
      <c r="CC259" s="2" t="s">
        <v>246</v>
      </c>
      <c r="CD259" s="2" t="s">
        <v>233</v>
      </c>
      <c r="CE259" s="4">
        <v>974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>
        <v>1000</v>
      </c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</row>
    <row r="260">
      <c r="A260" s="2" t="s">
        <v>1744</v>
      </c>
      <c r="B260" s="2" t="s">
        <v>228</v>
      </c>
      <c r="C260" s="2" t="s">
        <v>530</v>
      </c>
      <c r="D260" s="2" t="s">
        <v>1616</v>
      </c>
      <c r="E260" s="2" t="s">
        <v>1617</v>
      </c>
      <c r="F260" s="2" t="s">
        <v>1733</v>
      </c>
      <c r="G260" s="2" t="s">
        <v>1734</v>
      </c>
      <c r="H260" s="2" t="s">
        <v>1734</v>
      </c>
      <c r="I260" s="2" t="s">
        <v>1735</v>
      </c>
      <c r="J260" s="2" t="s">
        <v>1736</v>
      </c>
      <c r="K260" s="2" t="s">
        <v>569</v>
      </c>
      <c r="L260" s="3">
        <v>14.59</v>
      </c>
      <c r="M260" s="3">
        <v>15.32</v>
      </c>
      <c r="N260" s="3">
        <v>30.99</v>
      </c>
      <c r="O260" s="2" t="s">
        <v>245</v>
      </c>
      <c r="P260" s="2" t="s">
        <v>741</v>
      </c>
      <c r="Q260" s="2" t="s">
        <v>239</v>
      </c>
      <c r="R260" s="2" t="s">
        <v>233</v>
      </c>
      <c r="S260" s="2" t="s">
        <v>1737</v>
      </c>
      <c r="T260" s="2" t="s">
        <v>976</v>
      </c>
      <c r="U260" s="2" t="s">
        <v>233</v>
      </c>
      <c r="V260" s="2" t="s">
        <v>1085</v>
      </c>
      <c r="W260" s="2" t="s">
        <v>275</v>
      </c>
      <c r="X260" s="2" t="s">
        <v>233</v>
      </c>
      <c r="Y260" s="2" t="s">
        <v>1745</v>
      </c>
      <c r="Z260" s="4">
        <v>753</v>
      </c>
      <c r="AA260" s="4">
        <f>=ROUNDDOWN(28.0970149253731,0)</f>
      </c>
      <c r="AB260" s="5">
        <v>26.8</v>
      </c>
      <c r="AC260" s="2" t="s">
        <v>1739</v>
      </c>
      <c r="AD260" s="4">
        <v>700</v>
      </c>
      <c r="AE260" s="4">
        <v>700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233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233</v>
      </c>
      <c r="BD260" s="8" t="s">
        <v>233</v>
      </c>
      <c r="BE260" s="4" t="s">
        <v>233</v>
      </c>
      <c r="BF260" s="8" t="s">
        <v>233</v>
      </c>
      <c r="BG260" s="7" t="s">
        <v>233</v>
      </c>
      <c r="BH260" s="7" t="s">
        <v>233</v>
      </c>
      <c r="BI260" s="7"/>
      <c r="BJ260" s="4">
        <v>47</v>
      </c>
      <c r="BK260" s="8">
        <v>685.79</v>
      </c>
      <c r="BL260" s="2" t="s">
        <v>1746</v>
      </c>
      <c r="BM260" s="7"/>
      <c r="BN260" s="7"/>
      <c r="BO260" s="4"/>
      <c r="BP260" s="8"/>
      <c r="BQ260" s="4"/>
      <c r="BR260" s="8"/>
      <c r="BS260" s="7"/>
      <c r="BT260" s="7"/>
      <c r="BU260" s="2" t="s">
        <v>1747</v>
      </c>
      <c r="BV260" s="2" t="s">
        <v>233</v>
      </c>
      <c r="BW260" s="2" t="s">
        <v>233</v>
      </c>
      <c r="BX260" s="2" t="s">
        <v>233</v>
      </c>
      <c r="BY260" s="2" t="s">
        <v>280</v>
      </c>
      <c r="BZ260" s="2" t="s">
        <v>245</v>
      </c>
      <c r="CA260" s="2" t="s">
        <v>1742</v>
      </c>
      <c r="CB260" s="2" t="s">
        <v>1748</v>
      </c>
      <c r="CC260" s="2" t="s">
        <v>246</v>
      </c>
      <c r="CD260" s="2" t="s">
        <v>233</v>
      </c>
      <c r="CE260" s="4">
        <v>752</v>
      </c>
      <c r="CF260" s="4"/>
      <c r="CG260" s="4"/>
      <c r="CH260" s="4"/>
      <c r="CI260" s="4"/>
      <c r="CJ260" s="4"/>
      <c r="CK260" s="4"/>
      <c r="CL260" s="4">
        <v>1</v>
      </c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>
        <v>700</v>
      </c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</row>
    <row r="261">
      <c r="A261" s="2" t="s">
        <v>1749</v>
      </c>
      <c r="B261" s="2" t="s">
        <v>1242</v>
      </c>
      <c r="C261" s="2" t="s">
        <v>1750</v>
      </c>
      <c r="D261" s="2" t="s">
        <v>969</v>
      </c>
      <c r="E261" s="2" t="s">
        <v>970</v>
      </c>
      <c r="F261" s="2" t="s">
        <v>1751</v>
      </c>
      <c r="G261" s="2" t="s">
        <v>1751</v>
      </c>
      <c r="H261" s="2" t="s">
        <v>1751</v>
      </c>
      <c r="I261" s="2" t="s">
        <v>1752</v>
      </c>
      <c r="J261" s="2" t="s">
        <v>981</v>
      </c>
      <c r="K261" s="2" t="s">
        <v>773</v>
      </c>
      <c r="L261" s="3">
        <v>102.14</v>
      </c>
      <c r="M261" s="3">
        <v>107.25</v>
      </c>
      <c r="N261" s="3">
        <v>299.99</v>
      </c>
      <c r="O261" s="2" t="s">
        <v>245</v>
      </c>
      <c r="P261" s="2" t="s">
        <v>974</v>
      </c>
      <c r="Q261" s="2" t="s">
        <v>239</v>
      </c>
      <c r="R261" s="2" t="s">
        <v>233</v>
      </c>
      <c r="S261" s="2" t="s">
        <v>1753</v>
      </c>
      <c r="T261" s="2" t="s">
        <v>233</v>
      </c>
      <c r="U261" s="2" t="s">
        <v>475</v>
      </c>
      <c r="V261" s="2" t="s">
        <v>921</v>
      </c>
      <c r="W261" s="2" t="s">
        <v>451</v>
      </c>
      <c r="X261" s="2" t="s">
        <v>275</v>
      </c>
      <c r="Y261" s="2" t="s">
        <v>233</v>
      </c>
      <c r="Z261" s="4"/>
      <c r="AA261" s="4">
        <f>=ROUNDDOWN({0},0)</f>
      </c>
      <c r="AB261" s="5"/>
      <c r="AC261" s="2" t="s">
        <v>1754</v>
      </c>
      <c r="AD261" s="4">
        <v>130</v>
      </c>
      <c r="AE261" s="4">
        <v>130</v>
      </c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233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233</v>
      </c>
      <c r="AW261" s="8" t="s">
        <v>233</v>
      </c>
      <c r="AX261" s="4" t="s">
        <v>233</v>
      </c>
      <c r="AY261" s="8" t="s">
        <v>233</v>
      </c>
      <c r="AZ261" s="7" t="s">
        <v>233</v>
      </c>
      <c r="BA261" s="7" t="s">
        <v>233</v>
      </c>
      <c r="BB261" s="7"/>
      <c r="BC261" s="4" t="s">
        <v>233</v>
      </c>
      <c r="BD261" s="8" t="s">
        <v>233</v>
      </c>
      <c r="BE261" s="4" t="s">
        <v>233</v>
      </c>
      <c r="BF261" s="8" t="s">
        <v>233</v>
      </c>
      <c r="BG261" s="7" t="s">
        <v>233</v>
      </c>
      <c r="BH261" s="7" t="s">
        <v>233</v>
      </c>
      <c r="BI261" s="7"/>
      <c r="BJ261" s="4"/>
      <c r="BK261" s="8"/>
      <c r="BL261" s="2" t="s">
        <v>233</v>
      </c>
      <c r="BM261" s="7"/>
      <c r="BN261" s="7"/>
      <c r="BO261" s="4"/>
      <c r="BP261" s="8"/>
      <c r="BQ261" s="4"/>
      <c r="BR261" s="8"/>
      <c r="BS261" s="7"/>
      <c r="BT261" s="7"/>
      <c r="BU261" s="2" t="s">
        <v>243</v>
      </c>
      <c r="BV261" s="2" t="s">
        <v>233</v>
      </c>
      <c r="BW261" s="2" t="s">
        <v>233</v>
      </c>
      <c r="BX261" s="2" t="s">
        <v>243</v>
      </c>
      <c r="BY261" s="2" t="s">
        <v>244</v>
      </c>
      <c r="BZ261" s="2" t="s">
        <v>245</v>
      </c>
      <c r="CA261" s="2" t="s">
        <v>233</v>
      </c>
      <c r="CB261" s="2" t="s">
        <v>233</v>
      </c>
      <c r="CC261" s="2" t="s">
        <v>246</v>
      </c>
      <c r="CD261" s="2" t="s">
        <v>233</v>
      </c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>
        <v>130</v>
      </c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</row>
    <row r="262">
      <c r="A262" s="2" t="s">
        <v>1755</v>
      </c>
      <c r="B262" s="2" t="s">
        <v>1242</v>
      </c>
      <c r="C262" s="2" t="s">
        <v>1750</v>
      </c>
      <c r="D262" s="2" t="s">
        <v>969</v>
      </c>
      <c r="E262" s="2" t="s">
        <v>970</v>
      </c>
      <c r="F262" s="2" t="s">
        <v>1751</v>
      </c>
      <c r="G262" s="2" t="s">
        <v>1751</v>
      </c>
      <c r="H262" s="2" t="s">
        <v>1751</v>
      </c>
      <c r="I262" s="2" t="s">
        <v>1752</v>
      </c>
      <c r="J262" s="2" t="s">
        <v>1142</v>
      </c>
      <c r="K262" s="2" t="s">
        <v>773</v>
      </c>
      <c r="L262" s="3">
        <v>119.16</v>
      </c>
      <c r="M262" s="3">
        <v>125.12</v>
      </c>
      <c r="N262" s="3">
        <v>349.99</v>
      </c>
      <c r="O262" s="2" t="s">
        <v>245</v>
      </c>
      <c r="P262" s="2" t="s">
        <v>974</v>
      </c>
      <c r="Q262" s="2" t="s">
        <v>239</v>
      </c>
      <c r="R262" s="2" t="s">
        <v>233</v>
      </c>
      <c r="S262" s="2" t="s">
        <v>1753</v>
      </c>
      <c r="T262" s="2" t="s">
        <v>233</v>
      </c>
      <c r="U262" s="2" t="s">
        <v>475</v>
      </c>
      <c r="V262" s="2" t="s">
        <v>921</v>
      </c>
      <c r="W262" s="2" t="s">
        <v>451</v>
      </c>
      <c r="X262" s="2" t="s">
        <v>275</v>
      </c>
      <c r="Y262" s="2" t="s">
        <v>233</v>
      </c>
      <c r="Z262" s="4"/>
      <c r="AA262" s="4">
        <f>=ROUNDDOWN({0},0)</f>
      </c>
      <c r="AB262" s="5"/>
      <c r="AC262" s="2" t="s">
        <v>1754</v>
      </c>
      <c r="AD262" s="4">
        <v>120</v>
      </c>
      <c r="AE262" s="4">
        <v>120</v>
      </c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233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233</v>
      </c>
      <c r="AW262" s="8" t="s">
        <v>233</v>
      </c>
      <c r="AX262" s="4" t="s">
        <v>233</v>
      </c>
      <c r="AY262" s="8" t="s">
        <v>233</v>
      </c>
      <c r="AZ262" s="7" t="s">
        <v>233</v>
      </c>
      <c r="BA262" s="7" t="s">
        <v>233</v>
      </c>
      <c r="BB262" s="7"/>
      <c r="BC262" s="4" t="s">
        <v>233</v>
      </c>
      <c r="BD262" s="8" t="s">
        <v>233</v>
      </c>
      <c r="BE262" s="4" t="s">
        <v>233</v>
      </c>
      <c r="BF262" s="8" t="s">
        <v>233</v>
      </c>
      <c r="BG262" s="7" t="s">
        <v>233</v>
      </c>
      <c r="BH262" s="7" t="s">
        <v>233</v>
      </c>
      <c r="BI262" s="7"/>
      <c r="BJ262" s="4"/>
      <c r="BK262" s="8"/>
      <c r="BL262" s="2" t="s">
        <v>233</v>
      </c>
      <c r="BM262" s="7"/>
      <c r="BN262" s="7"/>
      <c r="BO262" s="4"/>
      <c r="BP262" s="8"/>
      <c r="BQ262" s="4"/>
      <c r="BR262" s="8"/>
      <c r="BS262" s="7"/>
      <c r="BT262" s="7"/>
      <c r="BU262" s="2" t="s">
        <v>243</v>
      </c>
      <c r="BV262" s="2" t="s">
        <v>233</v>
      </c>
      <c r="BW262" s="2" t="s">
        <v>233</v>
      </c>
      <c r="BX262" s="2" t="s">
        <v>243</v>
      </c>
      <c r="BY262" s="2" t="s">
        <v>244</v>
      </c>
      <c r="BZ262" s="2" t="s">
        <v>245</v>
      </c>
      <c r="CA262" s="2" t="s">
        <v>233</v>
      </c>
      <c r="CB262" s="2" t="s">
        <v>233</v>
      </c>
      <c r="CC262" s="2" t="s">
        <v>246</v>
      </c>
      <c r="CD262" s="2" t="s">
        <v>233</v>
      </c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>
        <v>120</v>
      </c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</row>
    <row r="263">
      <c r="A263" s="2" t="s">
        <v>1756</v>
      </c>
      <c r="B263" s="2" t="s">
        <v>928</v>
      </c>
      <c r="C263" s="2" t="s">
        <v>530</v>
      </c>
      <c r="D263" s="2" t="s">
        <v>1757</v>
      </c>
      <c r="E263" s="2" t="s">
        <v>930</v>
      </c>
      <c r="F263" s="2" t="s">
        <v>1758</v>
      </c>
      <c r="G263" s="2" t="s">
        <v>1758</v>
      </c>
      <c r="H263" s="2" t="s">
        <v>1758</v>
      </c>
      <c r="I263" s="2" t="s">
        <v>1759</v>
      </c>
      <c r="J263" s="2" t="s">
        <v>892</v>
      </c>
      <c r="K263" s="2" t="s">
        <v>1760</v>
      </c>
      <c r="L263" s="3">
        <v>46.7</v>
      </c>
      <c r="M263" s="3">
        <v>49.04</v>
      </c>
      <c r="N263" s="3">
        <v>92.64</v>
      </c>
      <c r="O263" s="2" t="s">
        <v>245</v>
      </c>
      <c r="P263" s="2" t="s">
        <v>311</v>
      </c>
      <c r="Q263" s="2" t="s">
        <v>239</v>
      </c>
      <c r="R263" s="2" t="s">
        <v>233</v>
      </c>
      <c r="S263" s="2" t="s">
        <v>1761</v>
      </c>
      <c r="T263" s="2" t="s">
        <v>233</v>
      </c>
      <c r="U263" s="2" t="s">
        <v>342</v>
      </c>
      <c r="V263" s="2" t="s">
        <v>1762</v>
      </c>
      <c r="W263" s="2" t="s">
        <v>1763</v>
      </c>
      <c r="X263" s="2" t="s">
        <v>275</v>
      </c>
      <c r="Y263" s="2" t="s">
        <v>1161</v>
      </c>
      <c r="Z263" s="4">
        <v>29</v>
      </c>
      <c r="AA263" s="4">
        <f>=ROUNDDOWN(6.30434782608696,0)</f>
      </c>
      <c r="AB263" s="5">
        <v>4.6</v>
      </c>
      <c r="AC263" s="2" t="s">
        <v>233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233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>
        <v>13</v>
      </c>
      <c r="BK263" s="8">
        <v>745.5</v>
      </c>
      <c r="BL263" s="2" t="s">
        <v>1764</v>
      </c>
      <c r="BM263" s="7"/>
      <c r="BN263" s="7"/>
      <c r="BO263" s="4"/>
      <c r="BP263" s="8"/>
      <c r="BQ263" s="4"/>
      <c r="BR263" s="8"/>
      <c r="BS263" s="7"/>
      <c r="BT263" s="7"/>
      <c r="BU263" s="2" t="s">
        <v>1765</v>
      </c>
      <c r="BV263" s="2" t="s">
        <v>233</v>
      </c>
      <c r="BW263" s="2" t="s">
        <v>233</v>
      </c>
      <c r="BX263" s="2" t="s">
        <v>243</v>
      </c>
      <c r="BY263" s="2" t="s">
        <v>280</v>
      </c>
      <c r="BZ263" s="2" t="s">
        <v>245</v>
      </c>
      <c r="CA263" s="2" t="s">
        <v>1766</v>
      </c>
      <c r="CB263" s="2" t="s">
        <v>1767</v>
      </c>
      <c r="CC263" s="2" t="s">
        <v>246</v>
      </c>
      <c r="CD263" s="2" t="s">
        <v>233</v>
      </c>
      <c r="CE263" s="4"/>
      <c r="CF263" s="4">
        <v>29</v>
      </c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</row>
    <row r="264">
      <c r="A264" s="2" t="s">
        <v>1768</v>
      </c>
      <c r="B264" s="2" t="s">
        <v>228</v>
      </c>
      <c r="C264" s="2" t="s">
        <v>530</v>
      </c>
      <c r="D264" s="2" t="s">
        <v>969</v>
      </c>
      <c r="E264" s="2" t="s">
        <v>970</v>
      </c>
      <c r="F264" s="2" t="s">
        <v>1769</v>
      </c>
      <c r="G264" s="2" t="s">
        <v>1770</v>
      </c>
      <c r="H264" s="2" t="s">
        <v>1771</v>
      </c>
      <c r="I264" s="2" t="s">
        <v>1772</v>
      </c>
      <c r="J264" s="2" t="s">
        <v>270</v>
      </c>
      <c r="K264" s="2" t="s">
        <v>1083</v>
      </c>
      <c r="L264" s="3">
        <v>33.86</v>
      </c>
      <c r="M264" s="3">
        <v>35.55</v>
      </c>
      <c r="N264" s="3">
        <v>69.99</v>
      </c>
      <c r="O264" s="2" t="s">
        <v>245</v>
      </c>
      <c r="P264" s="2" t="s">
        <v>311</v>
      </c>
      <c r="Q264" s="2" t="s">
        <v>239</v>
      </c>
      <c r="R264" s="2" t="s">
        <v>233</v>
      </c>
      <c r="S264" s="2" t="s">
        <v>1773</v>
      </c>
      <c r="T264" s="2" t="s">
        <v>976</v>
      </c>
      <c r="U264" s="2" t="s">
        <v>491</v>
      </c>
      <c r="V264" s="2" t="s">
        <v>1762</v>
      </c>
      <c r="W264" s="2" t="s">
        <v>1774</v>
      </c>
      <c r="X264" s="2" t="s">
        <v>451</v>
      </c>
      <c r="Y264" s="2" t="s">
        <v>1775</v>
      </c>
      <c r="Z264" s="4">
        <v>216</v>
      </c>
      <c r="AA264" s="4">
        <f>=ROUNDDOWN(72,0)</f>
      </c>
      <c r="AB264" s="5">
        <v>3</v>
      </c>
      <c r="AC264" s="2" t="s">
        <v>233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233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>
        <v>2</v>
      </c>
      <c r="BK264" s="8">
        <v>73.95</v>
      </c>
      <c r="BL264" s="2" t="s">
        <v>1776</v>
      </c>
      <c r="BM264" s="7"/>
      <c r="BN264" s="7"/>
      <c r="BO264" s="4"/>
      <c r="BP264" s="8"/>
      <c r="BQ264" s="4"/>
      <c r="BR264" s="8"/>
      <c r="BS264" s="7"/>
      <c r="BT264" s="7"/>
      <c r="BU264" s="2" t="s">
        <v>1777</v>
      </c>
      <c r="BV264" s="2" t="s">
        <v>233</v>
      </c>
      <c r="BW264" s="2" t="s">
        <v>233</v>
      </c>
      <c r="BX264" s="2" t="s">
        <v>595</v>
      </c>
      <c r="BY264" s="2" t="s">
        <v>280</v>
      </c>
      <c r="BZ264" s="2" t="s">
        <v>245</v>
      </c>
      <c r="CA264" s="2" t="s">
        <v>1778</v>
      </c>
      <c r="CB264" s="2" t="s">
        <v>1779</v>
      </c>
      <c r="CC264" s="2" t="s">
        <v>246</v>
      </c>
      <c r="CD264" s="2" t="s">
        <v>233</v>
      </c>
      <c r="CE264" s="4">
        <v>216</v>
      </c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</row>
    <row r="265">
      <c r="A265" s="2" t="s">
        <v>1780</v>
      </c>
      <c r="B265" s="2" t="s">
        <v>1066</v>
      </c>
      <c r="C265" s="2" t="s">
        <v>1781</v>
      </c>
      <c r="D265" s="2" t="s">
        <v>1782</v>
      </c>
      <c r="E265" s="2" t="s">
        <v>1783</v>
      </c>
      <c r="F265" s="2" t="s">
        <v>1784</v>
      </c>
      <c r="G265" s="2" t="s">
        <v>1784</v>
      </c>
      <c r="H265" s="2" t="s">
        <v>1784</v>
      </c>
      <c r="I265" s="2" t="s">
        <v>1785</v>
      </c>
      <c r="J265" s="2" t="s">
        <v>892</v>
      </c>
      <c r="K265" s="2" t="s">
        <v>1786</v>
      </c>
      <c r="L265" s="3">
        <v>223.81</v>
      </c>
      <c r="M265" s="3">
        <v>235</v>
      </c>
      <c r="N265" s="3">
        <v>529</v>
      </c>
      <c r="O265" s="2" t="s">
        <v>237</v>
      </c>
      <c r="P265" s="2" t="s">
        <v>311</v>
      </c>
      <c r="Q265" s="2" t="s">
        <v>239</v>
      </c>
      <c r="R265" s="2" t="s">
        <v>233</v>
      </c>
      <c r="S265" s="2" t="s">
        <v>233</v>
      </c>
      <c r="T265" s="2" t="s">
        <v>233</v>
      </c>
      <c r="U265" s="2" t="s">
        <v>396</v>
      </c>
      <c r="V265" s="2" t="s">
        <v>241</v>
      </c>
      <c r="W265" s="2" t="s">
        <v>451</v>
      </c>
      <c r="X265" s="2" t="s">
        <v>233</v>
      </c>
      <c r="Y265" s="2" t="s">
        <v>1787</v>
      </c>
      <c r="Z265" s="4">
        <v>25</v>
      </c>
      <c r="AA265" s="4">
        <f>=ROUNDDOWN({0},0)</f>
      </c>
      <c r="AB265" s="5"/>
      <c r="AC265" s="2" t="s">
        <v>233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233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1023</v>
      </c>
      <c r="BM265" s="7"/>
      <c r="BN265" s="7"/>
      <c r="BO265" s="4"/>
      <c r="BP265" s="8"/>
      <c r="BQ265" s="4"/>
      <c r="BR265" s="8"/>
      <c r="BS265" s="7"/>
      <c r="BT265" s="7"/>
      <c r="BU265" s="2" t="s">
        <v>243</v>
      </c>
      <c r="BV265" s="2" t="s">
        <v>233</v>
      </c>
      <c r="BW265" s="2" t="s">
        <v>233</v>
      </c>
      <c r="BX265" s="2" t="s">
        <v>243</v>
      </c>
      <c r="BY265" s="2" t="s">
        <v>346</v>
      </c>
      <c r="BZ265" s="2" t="s">
        <v>245</v>
      </c>
      <c r="CA265" s="2" t="s">
        <v>233</v>
      </c>
      <c r="CB265" s="2" t="s">
        <v>233</v>
      </c>
      <c r="CC265" s="2" t="s">
        <v>246</v>
      </c>
      <c r="CD265" s="2" t="s">
        <v>233</v>
      </c>
      <c r="CE265" s="4"/>
      <c r="CF265" s="4">
        <v>25</v>
      </c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</row>
    <row r="266">
      <c r="A266" s="2" t="s">
        <v>1788</v>
      </c>
      <c r="B266" s="2" t="s">
        <v>1414</v>
      </c>
      <c r="C266" s="2" t="s">
        <v>530</v>
      </c>
      <c r="D266" s="2" t="s">
        <v>1414</v>
      </c>
      <c r="E266" s="2" t="s">
        <v>1414</v>
      </c>
      <c r="F266" s="2" t="s">
        <v>1789</v>
      </c>
      <c r="G266" s="2" t="s">
        <v>1790</v>
      </c>
      <c r="H266" s="2" t="s">
        <v>1791</v>
      </c>
      <c r="I266" s="2" t="s">
        <v>1792</v>
      </c>
      <c r="J266" s="2" t="s">
        <v>1793</v>
      </c>
      <c r="K266" s="2" t="s">
        <v>1794</v>
      </c>
      <c r="L266" s="3">
        <v>22</v>
      </c>
      <c r="M266" s="3">
        <v>23.1</v>
      </c>
      <c r="N266" s="3">
        <v>49.99</v>
      </c>
      <c r="O266" s="2" t="s">
        <v>245</v>
      </c>
      <c r="P266" s="2" t="s">
        <v>311</v>
      </c>
      <c r="Q266" s="2" t="s">
        <v>239</v>
      </c>
      <c r="R266" s="2" t="s">
        <v>233</v>
      </c>
      <c r="S266" s="2" t="s">
        <v>1795</v>
      </c>
      <c r="T266" s="2" t="s">
        <v>233</v>
      </c>
      <c r="U266" s="2" t="s">
        <v>396</v>
      </c>
      <c r="V266" s="2" t="s">
        <v>1762</v>
      </c>
      <c r="W266" s="2" t="s">
        <v>776</v>
      </c>
      <c r="X266" s="2" t="s">
        <v>233</v>
      </c>
      <c r="Y266" s="2" t="s">
        <v>1796</v>
      </c>
      <c r="Z266" s="4">
        <v>31</v>
      </c>
      <c r="AA266" s="4">
        <f>=ROUNDDOWN(19.375,0)</f>
      </c>
      <c r="AB266" s="5">
        <v>1.6</v>
      </c>
      <c r="AC266" s="2" t="s">
        <v>233</v>
      </c>
      <c r="AD266" s="4"/>
      <c r="AE266" s="4"/>
      <c r="AF266" s="6">
        <v>63</v>
      </c>
      <c r="AG266" s="6"/>
      <c r="AH266" s="7">
        <v>1</v>
      </c>
      <c r="AI266" s="4"/>
      <c r="AJ266" s="4">
        <f>=ROUNDDOWN({0},0)</f>
      </c>
      <c r="AK266" s="5"/>
      <c r="AL266" s="2" t="s">
        <v>233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233</v>
      </c>
      <c r="AW266" s="8" t="s">
        <v>233</v>
      </c>
      <c r="AX266" s="4" t="s">
        <v>233</v>
      </c>
      <c r="AY266" s="8" t="s">
        <v>233</v>
      </c>
      <c r="AZ266" s="7" t="s">
        <v>233</v>
      </c>
      <c r="BA266" s="7" t="s">
        <v>233</v>
      </c>
      <c r="BB266" s="7"/>
      <c r="BC266" s="4" t="s">
        <v>233</v>
      </c>
      <c r="BD266" s="8" t="s">
        <v>233</v>
      </c>
      <c r="BE266" s="4" t="s">
        <v>233</v>
      </c>
      <c r="BF266" s="8" t="s">
        <v>233</v>
      </c>
      <c r="BG266" s="7" t="s">
        <v>233</v>
      </c>
      <c r="BH266" s="7" t="s">
        <v>233</v>
      </c>
      <c r="BI266" s="7"/>
      <c r="BJ266" s="4">
        <v>6</v>
      </c>
      <c r="BK266" s="8">
        <v>90.11</v>
      </c>
      <c r="BL266" s="2" t="s">
        <v>1797</v>
      </c>
      <c r="BM266" s="7"/>
      <c r="BN266" s="7"/>
      <c r="BO266" s="4"/>
      <c r="BP266" s="8"/>
      <c r="BQ266" s="4"/>
      <c r="BR266" s="8"/>
      <c r="BS266" s="7"/>
      <c r="BT266" s="7"/>
      <c r="BU266" s="2" t="s">
        <v>1798</v>
      </c>
      <c r="BV266" s="2" t="s">
        <v>233</v>
      </c>
      <c r="BW266" s="2" t="s">
        <v>233</v>
      </c>
      <c r="BX266" s="2" t="s">
        <v>233</v>
      </c>
      <c r="BY266" s="2" t="s">
        <v>280</v>
      </c>
      <c r="BZ266" s="2" t="s">
        <v>245</v>
      </c>
      <c r="CA266" s="2" t="s">
        <v>1799</v>
      </c>
      <c r="CB266" s="2" t="s">
        <v>1800</v>
      </c>
      <c r="CC266" s="2" t="s">
        <v>246</v>
      </c>
      <c r="CD266" s="2" t="s">
        <v>233</v>
      </c>
      <c r="CE266" s="4"/>
      <c r="CF266" s="4">
        <v>31</v>
      </c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</row>
    <row r="267">
      <c r="A267" s="2" t="s">
        <v>1801</v>
      </c>
      <c r="B267" s="2" t="s">
        <v>1414</v>
      </c>
      <c r="C267" s="2" t="s">
        <v>530</v>
      </c>
      <c r="D267" s="2" t="s">
        <v>1414</v>
      </c>
      <c r="E267" s="2" t="s">
        <v>1414</v>
      </c>
      <c r="F267" s="2" t="s">
        <v>1789</v>
      </c>
      <c r="G267" s="2" t="s">
        <v>1790</v>
      </c>
      <c r="H267" s="2" t="s">
        <v>1791</v>
      </c>
      <c r="I267" s="2" t="s">
        <v>1792</v>
      </c>
      <c r="J267" s="2" t="s">
        <v>1418</v>
      </c>
      <c r="K267" s="2" t="s">
        <v>1794</v>
      </c>
      <c r="L267" s="3">
        <v>45</v>
      </c>
      <c r="M267" s="3">
        <v>47.25</v>
      </c>
      <c r="N267" s="3">
        <v>99.99</v>
      </c>
      <c r="O267" s="2" t="s">
        <v>245</v>
      </c>
      <c r="P267" s="2" t="s">
        <v>311</v>
      </c>
      <c r="Q267" s="2" t="s">
        <v>239</v>
      </c>
      <c r="R267" s="2" t="s">
        <v>233</v>
      </c>
      <c r="S267" s="2" t="s">
        <v>1795</v>
      </c>
      <c r="T267" s="2" t="s">
        <v>233</v>
      </c>
      <c r="U267" s="2" t="s">
        <v>396</v>
      </c>
      <c r="V267" s="2" t="s">
        <v>1762</v>
      </c>
      <c r="W267" s="2" t="s">
        <v>776</v>
      </c>
      <c r="X267" s="2" t="s">
        <v>233</v>
      </c>
      <c r="Y267" s="2" t="s">
        <v>1796</v>
      </c>
      <c r="Z267" s="4">
        <v>106</v>
      </c>
      <c r="AA267" s="4">
        <f>=ROUNDDOWN(1060,0)</f>
      </c>
      <c r="AB267" s="5">
        <v>0.1</v>
      </c>
      <c r="AC267" s="2" t="s">
        <v>233</v>
      </c>
      <c r="AD267" s="4"/>
      <c r="AE267" s="4"/>
      <c r="AF267" s="6">
        <v>63</v>
      </c>
      <c r="AG267" s="6"/>
      <c r="AH267" s="7">
        <v>1</v>
      </c>
      <c r="AI267" s="4"/>
      <c r="AJ267" s="4">
        <f>=ROUNDDOWN({0},0)</f>
      </c>
      <c r="AK267" s="5"/>
      <c r="AL267" s="2" t="s">
        <v>233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233</v>
      </c>
      <c r="AW267" s="8" t="s">
        <v>233</v>
      </c>
      <c r="AX267" s="4" t="s">
        <v>233</v>
      </c>
      <c r="AY267" s="8" t="s">
        <v>233</v>
      </c>
      <c r="AZ267" s="7" t="s">
        <v>233</v>
      </c>
      <c r="BA267" s="7" t="s">
        <v>233</v>
      </c>
      <c r="BB267" s="7"/>
      <c r="BC267" s="4" t="s">
        <v>233</v>
      </c>
      <c r="BD267" s="8" t="s">
        <v>233</v>
      </c>
      <c r="BE267" s="4" t="s">
        <v>233</v>
      </c>
      <c r="BF267" s="8" t="s">
        <v>233</v>
      </c>
      <c r="BG267" s="7" t="s">
        <v>233</v>
      </c>
      <c r="BH267" s="7" t="s">
        <v>233</v>
      </c>
      <c r="BI267" s="7"/>
      <c r="BJ267" s="4">
        <v>1</v>
      </c>
      <c r="BK267" s="8">
        <v>53.39</v>
      </c>
      <c r="BL267" s="2" t="s">
        <v>1802</v>
      </c>
      <c r="BM267" s="7"/>
      <c r="BN267" s="7"/>
      <c r="BO267" s="4"/>
      <c r="BP267" s="8"/>
      <c r="BQ267" s="4"/>
      <c r="BR267" s="8"/>
      <c r="BS267" s="7"/>
      <c r="BT267" s="7"/>
      <c r="BU267" s="2" t="s">
        <v>1803</v>
      </c>
      <c r="BV267" s="2" t="s">
        <v>233</v>
      </c>
      <c r="BW267" s="2" t="s">
        <v>233</v>
      </c>
      <c r="BX267" s="2" t="s">
        <v>233</v>
      </c>
      <c r="BY267" s="2" t="s">
        <v>280</v>
      </c>
      <c r="BZ267" s="2" t="s">
        <v>245</v>
      </c>
      <c r="CA267" s="2" t="s">
        <v>1799</v>
      </c>
      <c r="CB267" s="2" t="s">
        <v>233</v>
      </c>
      <c r="CC267" s="2" t="s">
        <v>246</v>
      </c>
      <c r="CD267" s="2" t="s">
        <v>233</v>
      </c>
      <c r="CE267" s="4"/>
      <c r="CF267" s="4">
        <v>106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</row>
    <row r="268">
      <c r="A268" s="2" t="s">
        <v>1804</v>
      </c>
      <c r="B268" s="2" t="s">
        <v>1414</v>
      </c>
      <c r="C268" s="2" t="s">
        <v>530</v>
      </c>
      <c r="D268" s="2" t="s">
        <v>1414</v>
      </c>
      <c r="E268" s="2" t="s">
        <v>1414</v>
      </c>
      <c r="F268" s="2" t="s">
        <v>1789</v>
      </c>
      <c r="G268" s="2" t="s">
        <v>1790</v>
      </c>
      <c r="H268" s="2" t="s">
        <v>1791</v>
      </c>
      <c r="I268" s="2" t="s">
        <v>1792</v>
      </c>
      <c r="J268" s="2" t="s">
        <v>1426</v>
      </c>
      <c r="K268" s="2" t="s">
        <v>1794</v>
      </c>
      <c r="L268" s="3">
        <v>67.5</v>
      </c>
      <c r="M268" s="3">
        <v>70.88</v>
      </c>
      <c r="N268" s="3">
        <v>149.98</v>
      </c>
      <c r="O268" s="2" t="s">
        <v>245</v>
      </c>
      <c r="P268" s="2" t="s">
        <v>311</v>
      </c>
      <c r="Q268" s="2" t="s">
        <v>239</v>
      </c>
      <c r="R268" s="2" t="s">
        <v>233</v>
      </c>
      <c r="S268" s="2" t="s">
        <v>1795</v>
      </c>
      <c r="T268" s="2" t="s">
        <v>233</v>
      </c>
      <c r="U268" s="2" t="s">
        <v>396</v>
      </c>
      <c r="V268" s="2" t="s">
        <v>1762</v>
      </c>
      <c r="W268" s="2" t="s">
        <v>776</v>
      </c>
      <c r="X268" s="2" t="s">
        <v>233</v>
      </c>
      <c r="Y268" s="2" t="s">
        <v>1796</v>
      </c>
      <c r="Z268" s="4">
        <v>41</v>
      </c>
      <c r="AA268" s="4">
        <f>=ROUNDDOWN(41,0)</f>
      </c>
      <c r="AB268" s="5">
        <v>1</v>
      </c>
      <c r="AC268" s="2" t="s">
        <v>233</v>
      </c>
      <c r="AD268" s="4"/>
      <c r="AE268" s="4"/>
      <c r="AF268" s="6">
        <v>63</v>
      </c>
      <c r="AG268" s="6"/>
      <c r="AH268" s="7">
        <v>1</v>
      </c>
      <c r="AI268" s="4"/>
      <c r="AJ268" s="4">
        <f>=ROUNDDOWN({0},0)</f>
      </c>
      <c r="AK268" s="5"/>
      <c r="AL268" s="2" t="s">
        <v>233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233</v>
      </c>
      <c r="AW268" s="8" t="s">
        <v>233</v>
      </c>
      <c r="AX268" s="4" t="s">
        <v>233</v>
      </c>
      <c r="AY268" s="8" t="s">
        <v>233</v>
      </c>
      <c r="AZ268" s="7" t="s">
        <v>233</v>
      </c>
      <c r="BA268" s="7" t="s">
        <v>233</v>
      </c>
      <c r="BB268" s="7"/>
      <c r="BC268" s="4" t="s">
        <v>233</v>
      </c>
      <c r="BD268" s="8" t="s">
        <v>233</v>
      </c>
      <c r="BE268" s="4" t="s">
        <v>233</v>
      </c>
      <c r="BF268" s="8" t="s">
        <v>233</v>
      </c>
      <c r="BG268" s="7" t="s">
        <v>233</v>
      </c>
      <c r="BH268" s="7" t="s">
        <v>233</v>
      </c>
      <c r="BI268" s="7"/>
      <c r="BJ268" s="4"/>
      <c r="BK268" s="8"/>
      <c r="BL268" s="2" t="s">
        <v>1028</v>
      </c>
      <c r="BM268" s="7"/>
      <c r="BN268" s="7"/>
      <c r="BO268" s="4"/>
      <c r="BP268" s="8"/>
      <c r="BQ268" s="4"/>
      <c r="BR268" s="8"/>
      <c r="BS268" s="7"/>
      <c r="BT268" s="7"/>
      <c r="BU268" s="2" t="s">
        <v>1805</v>
      </c>
      <c r="BV268" s="2" t="s">
        <v>233</v>
      </c>
      <c r="BW268" s="2" t="s">
        <v>233</v>
      </c>
      <c r="BX268" s="2" t="s">
        <v>233</v>
      </c>
      <c r="BY268" s="2" t="s">
        <v>280</v>
      </c>
      <c r="BZ268" s="2" t="s">
        <v>245</v>
      </c>
      <c r="CA268" s="2" t="s">
        <v>1799</v>
      </c>
      <c r="CB268" s="2" t="s">
        <v>1806</v>
      </c>
      <c r="CC268" s="2" t="s">
        <v>246</v>
      </c>
      <c r="CD268" s="2" t="s">
        <v>233</v>
      </c>
      <c r="CE268" s="4"/>
      <c r="CF268" s="4">
        <v>41</v>
      </c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</row>
    <row r="269">
      <c r="A269" s="2" t="s">
        <v>1807</v>
      </c>
      <c r="B269" s="2" t="s">
        <v>1414</v>
      </c>
      <c r="C269" s="2" t="s">
        <v>530</v>
      </c>
      <c r="D269" s="2" t="s">
        <v>1414</v>
      </c>
      <c r="E269" s="2" t="s">
        <v>1414</v>
      </c>
      <c r="F269" s="2" t="s">
        <v>1789</v>
      </c>
      <c r="G269" s="2" t="s">
        <v>1790</v>
      </c>
      <c r="H269" s="2" t="s">
        <v>1791</v>
      </c>
      <c r="I269" s="2" t="s">
        <v>1792</v>
      </c>
      <c r="J269" s="2" t="s">
        <v>1808</v>
      </c>
      <c r="K269" s="2" t="s">
        <v>1794</v>
      </c>
      <c r="L269" s="3">
        <v>94.5</v>
      </c>
      <c r="M269" s="3">
        <v>99.23</v>
      </c>
      <c r="N269" s="3">
        <v>199.98</v>
      </c>
      <c r="O269" s="2" t="s">
        <v>245</v>
      </c>
      <c r="P269" s="2" t="s">
        <v>311</v>
      </c>
      <c r="Q269" s="2" t="s">
        <v>239</v>
      </c>
      <c r="R269" s="2" t="s">
        <v>233</v>
      </c>
      <c r="S269" s="2" t="s">
        <v>1795</v>
      </c>
      <c r="T269" s="2" t="s">
        <v>233</v>
      </c>
      <c r="U269" s="2" t="s">
        <v>396</v>
      </c>
      <c r="V269" s="2" t="s">
        <v>1762</v>
      </c>
      <c r="W269" s="2" t="s">
        <v>776</v>
      </c>
      <c r="X269" s="2" t="s">
        <v>233</v>
      </c>
      <c r="Y269" s="2" t="s">
        <v>1796</v>
      </c>
      <c r="Z269" s="4">
        <v>6</v>
      </c>
      <c r="AA269" s="4">
        <f>=ROUNDDOWN(5,0)</f>
      </c>
      <c r="AB269" s="5">
        <v>1.2</v>
      </c>
      <c r="AC269" s="2" t="s">
        <v>233</v>
      </c>
      <c r="AD269" s="4"/>
      <c r="AE269" s="4"/>
      <c r="AF269" s="6">
        <v>63</v>
      </c>
      <c r="AG269" s="6"/>
      <c r="AH269" s="7">
        <v>1</v>
      </c>
      <c r="AI269" s="4"/>
      <c r="AJ269" s="4">
        <f>=ROUNDDOWN({0},0)</f>
      </c>
      <c r="AK269" s="5"/>
      <c r="AL269" s="2" t="s">
        <v>233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233</v>
      </c>
      <c r="AW269" s="8" t="s">
        <v>233</v>
      </c>
      <c r="AX269" s="4" t="s">
        <v>233</v>
      </c>
      <c r="AY269" s="8" t="s">
        <v>233</v>
      </c>
      <c r="AZ269" s="7" t="s">
        <v>233</v>
      </c>
      <c r="BA269" s="7" t="s">
        <v>233</v>
      </c>
      <c r="BB269" s="7"/>
      <c r="BC269" s="4" t="s">
        <v>233</v>
      </c>
      <c r="BD269" s="8" t="s">
        <v>233</v>
      </c>
      <c r="BE269" s="4" t="s">
        <v>233</v>
      </c>
      <c r="BF269" s="8" t="s">
        <v>233</v>
      </c>
      <c r="BG269" s="7" t="s">
        <v>233</v>
      </c>
      <c r="BH269" s="7" t="s">
        <v>233</v>
      </c>
      <c r="BI269" s="7"/>
      <c r="BJ269" s="4">
        <v>2</v>
      </c>
      <c r="BK269" s="8">
        <v>256.33</v>
      </c>
      <c r="BL269" s="2" t="s">
        <v>1809</v>
      </c>
      <c r="BM269" s="7"/>
      <c r="BN269" s="7"/>
      <c r="BO269" s="4"/>
      <c r="BP269" s="8"/>
      <c r="BQ269" s="4"/>
      <c r="BR269" s="8"/>
      <c r="BS269" s="7"/>
      <c r="BT269" s="7"/>
      <c r="BU269" s="2" t="s">
        <v>1810</v>
      </c>
      <c r="BV269" s="2" t="s">
        <v>233</v>
      </c>
      <c r="BW269" s="2" t="s">
        <v>233</v>
      </c>
      <c r="BX269" s="2" t="s">
        <v>233</v>
      </c>
      <c r="BY269" s="2" t="s">
        <v>280</v>
      </c>
      <c r="BZ269" s="2" t="s">
        <v>245</v>
      </c>
      <c r="CA269" s="2" t="s">
        <v>1799</v>
      </c>
      <c r="CB269" s="2" t="s">
        <v>233</v>
      </c>
      <c r="CC269" s="2" t="s">
        <v>246</v>
      </c>
      <c r="CD269" s="2" t="s">
        <v>233</v>
      </c>
      <c r="CE269" s="4"/>
      <c r="CF269" s="4">
        <v>6</v>
      </c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</row>
    <row r="270">
      <c r="A270" s="2" t="s">
        <v>1811</v>
      </c>
      <c r="B270" s="2" t="s">
        <v>886</v>
      </c>
      <c r="C270" s="2" t="s">
        <v>901</v>
      </c>
      <c r="D270" s="2" t="s">
        <v>1122</v>
      </c>
      <c r="E270" s="2" t="s">
        <v>1123</v>
      </c>
      <c r="F270" s="2" t="s">
        <v>1789</v>
      </c>
      <c r="G270" s="2" t="s">
        <v>1789</v>
      </c>
      <c r="H270" s="2" t="s">
        <v>1789</v>
      </c>
      <c r="I270" s="2" t="s">
        <v>1812</v>
      </c>
      <c r="J270" s="2" t="s">
        <v>892</v>
      </c>
      <c r="K270" s="2" t="s">
        <v>297</v>
      </c>
      <c r="L270" s="3">
        <v>43</v>
      </c>
      <c r="M270" s="3">
        <v>45.15</v>
      </c>
      <c r="N270" s="3">
        <v>89.99</v>
      </c>
      <c r="O270" s="2" t="s">
        <v>245</v>
      </c>
      <c r="P270" s="2" t="s">
        <v>311</v>
      </c>
      <c r="Q270" s="2" t="s">
        <v>239</v>
      </c>
      <c r="R270" s="2" t="s">
        <v>233</v>
      </c>
      <c r="S270" s="2" t="s">
        <v>233</v>
      </c>
      <c r="T270" s="2" t="s">
        <v>233</v>
      </c>
      <c r="U270" s="2" t="s">
        <v>396</v>
      </c>
      <c r="V270" s="2" t="s">
        <v>893</v>
      </c>
      <c r="W270" s="2" t="s">
        <v>397</v>
      </c>
      <c r="X270" s="2" t="s">
        <v>1813</v>
      </c>
      <c r="Y270" s="2" t="s">
        <v>1610</v>
      </c>
      <c r="Z270" s="4">
        <v>20</v>
      </c>
      <c r="AA270" s="4">
        <f>=ROUNDDOWN(6.66666666666667,0)</f>
      </c>
      <c r="AB270" s="5">
        <v>3</v>
      </c>
      <c r="AC270" s="2" t="s">
        <v>233</v>
      </c>
      <c r="AD270" s="4"/>
      <c r="AE270" s="4"/>
      <c r="AF270" s="6">
        <v>63</v>
      </c>
      <c r="AG270" s="6"/>
      <c r="AH270" s="7">
        <v>1</v>
      </c>
      <c r="AI270" s="4"/>
      <c r="AJ270" s="4">
        <f>=ROUNDDOWN({0},0)</f>
      </c>
      <c r="AK270" s="5"/>
      <c r="AL270" s="2" t="s">
        <v>233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233</v>
      </c>
      <c r="BD270" s="8" t="s">
        <v>233</v>
      </c>
      <c r="BE270" s="4" t="s">
        <v>233</v>
      </c>
      <c r="BF270" s="8" t="s">
        <v>233</v>
      </c>
      <c r="BG270" s="7" t="s">
        <v>233</v>
      </c>
      <c r="BH270" s="7" t="s">
        <v>233</v>
      </c>
      <c r="BI270" s="7"/>
      <c r="BJ270" s="4">
        <v>12</v>
      </c>
      <c r="BK270" s="8">
        <v>516.41</v>
      </c>
      <c r="BL270" s="2" t="s">
        <v>1814</v>
      </c>
      <c r="BM270" s="7"/>
      <c r="BN270" s="7"/>
      <c r="BO270" s="4"/>
      <c r="BP270" s="8"/>
      <c r="BQ270" s="4"/>
      <c r="BR270" s="8"/>
      <c r="BS270" s="7"/>
      <c r="BT270" s="7"/>
      <c r="BU270" s="2" t="s">
        <v>1815</v>
      </c>
      <c r="BV270" s="2" t="s">
        <v>233</v>
      </c>
      <c r="BW270" s="2" t="s">
        <v>233</v>
      </c>
      <c r="BX270" s="2" t="s">
        <v>233</v>
      </c>
      <c r="BY270" s="2" t="s">
        <v>280</v>
      </c>
      <c r="BZ270" s="2" t="s">
        <v>245</v>
      </c>
      <c r="CA270" s="2" t="s">
        <v>1816</v>
      </c>
      <c r="CB270" s="2" t="s">
        <v>1817</v>
      </c>
      <c r="CC270" s="2" t="s">
        <v>246</v>
      </c>
      <c r="CD270" s="2" t="s">
        <v>233</v>
      </c>
      <c r="CE270" s="4"/>
      <c r="CF270" s="4">
        <v>20</v>
      </c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</row>
    <row r="271">
      <c r="A271" s="2" t="s">
        <v>1818</v>
      </c>
      <c r="B271" s="2" t="s">
        <v>928</v>
      </c>
      <c r="C271" s="2" t="s">
        <v>530</v>
      </c>
      <c r="D271" s="2" t="s">
        <v>929</v>
      </c>
      <c r="E271" s="2" t="s">
        <v>939</v>
      </c>
      <c r="F271" s="2" t="s">
        <v>1819</v>
      </c>
      <c r="G271" s="2" t="s">
        <v>1819</v>
      </c>
      <c r="H271" s="2" t="s">
        <v>1819</v>
      </c>
      <c r="I271" s="2" t="s">
        <v>1820</v>
      </c>
      <c r="J271" s="2" t="s">
        <v>892</v>
      </c>
      <c r="K271" s="2" t="s">
        <v>271</v>
      </c>
      <c r="L271" s="3">
        <v>45.33</v>
      </c>
      <c r="M271" s="3">
        <v>47.6</v>
      </c>
      <c r="N271" s="3">
        <v>101.99</v>
      </c>
      <c r="O271" s="2" t="s">
        <v>245</v>
      </c>
      <c r="P271" s="2" t="s">
        <v>272</v>
      </c>
      <c r="Q271" s="2" t="s">
        <v>239</v>
      </c>
      <c r="R271" s="2" t="s">
        <v>233</v>
      </c>
      <c r="S271" s="2" t="s">
        <v>233</v>
      </c>
      <c r="T271" s="2" t="s">
        <v>233</v>
      </c>
      <c r="U271" s="2" t="s">
        <v>396</v>
      </c>
      <c r="V271" s="2" t="s">
        <v>921</v>
      </c>
      <c r="W271" s="2" t="s">
        <v>397</v>
      </c>
      <c r="X271" s="2" t="s">
        <v>233</v>
      </c>
      <c r="Y271" s="2" t="s">
        <v>1669</v>
      </c>
      <c r="Z271" s="4">
        <v>50</v>
      </c>
      <c r="AA271" s="4">
        <f>=ROUNDDOWN(5.55555555555556,0)</f>
      </c>
      <c r="AB271" s="5">
        <v>9</v>
      </c>
      <c r="AC271" s="2" t="s">
        <v>1821</v>
      </c>
      <c r="AD271" s="4">
        <v>120</v>
      </c>
      <c r="AE271" s="4">
        <v>120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233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>
        <v>37</v>
      </c>
      <c r="BK271" s="8">
        <v>2084.52</v>
      </c>
      <c r="BL271" s="2" t="s">
        <v>1822</v>
      </c>
      <c r="BM271" s="7"/>
      <c r="BN271" s="7"/>
      <c r="BO271" s="4"/>
      <c r="BP271" s="8"/>
      <c r="BQ271" s="4"/>
      <c r="BR271" s="8"/>
      <c r="BS271" s="7"/>
      <c r="BT271" s="7"/>
      <c r="BU271" s="2" t="s">
        <v>1823</v>
      </c>
      <c r="BV271" s="2" t="s">
        <v>233</v>
      </c>
      <c r="BW271" s="2" t="s">
        <v>233</v>
      </c>
      <c r="BX271" s="2" t="s">
        <v>233</v>
      </c>
      <c r="BY271" s="2" t="s">
        <v>280</v>
      </c>
      <c r="BZ271" s="2" t="s">
        <v>245</v>
      </c>
      <c r="CA271" s="2" t="s">
        <v>1824</v>
      </c>
      <c r="CB271" s="2" t="s">
        <v>1683</v>
      </c>
      <c r="CC271" s="2" t="s">
        <v>246</v>
      </c>
      <c r="CD271" s="2" t="s">
        <v>233</v>
      </c>
      <c r="CE271" s="4"/>
      <c r="CF271" s="4">
        <v>50</v>
      </c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>
        <v>120</v>
      </c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</row>
    <row r="272">
      <c r="A272" s="2" t="s">
        <v>1825</v>
      </c>
      <c r="B272" s="2" t="s">
        <v>1414</v>
      </c>
      <c r="C272" s="2" t="s">
        <v>530</v>
      </c>
      <c r="D272" s="2" t="s">
        <v>1414</v>
      </c>
      <c r="E272" s="2" t="s">
        <v>1414</v>
      </c>
      <c r="F272" s="2" t="s">
        <v>1826</v>
      </c>
      <c r="G272" s="2" t="s">
        <v>1827</v>
      </c>
      <c r="H272" s="2" t="s">
        <v>1828</v>
      </c>
      <c r="I272" s="2" t="s">
        <v>1829</v>
      </c>
      <c r="J272" s="2" t="s">
        <v>1808</v>
      </c>
      <c r="K272" s="2" t="s">
        <v>1830</v>
      </c>
      <c r="L272" s="3">
        <v>223.23</v>
      </c>
      <c r="M272" s="3">
        <v>234.39</v>
      </c>
      <c r="N272" s="3">
        <v>499.99</v>
      </c>
      <c r="O272" s="2" t="s">
        <v>252</v>
      </c>
      <c r="P272" s="2" t="s">
        <v>311</v>
      </c>
      <c r="Q272" s="2" t="s">
        <v>239</v>
      </c>
      <c r="R272" s="2" t="s">
        <v>233</v>
      </c>
      <c r="S272" s="2" t="s">
        <v>233</v>
      </c>
      <c r="T272" s="2" t="s">
        <v>233</v>
      </c>
      <c r="U272" s="2" t="s">
        <v>396</v>
      </c>
      <c r="V272" s="2" t="s">
        <v>1085</v>
      </c>
      <c r="W272" s="2" t="s">
        <v>397</v>
      </c>
      <c r="X272" s="2" t="s">
        <v>233</v>
      </c>
      <c r="Y272" s="2" t="s">
        <v>1831</v>
      </c>
      <c r="Z272" s="4">
        <v>78</v>
      </c>
      <c r="AA272" s="4">
        <f>=ROUNDDOWN(195,0)</f>
      </c>
      <c r="AB272" s="5">
        <v>0.4</v>
      </c>
      <c r="AC272" s="2" t="s">
        <v>233</v>
      </c>
      <c r="AD272" s="4"/>
      <c r="AE272" s="4"/>
      <c r="AF272" s="6">
        <v>63</v>
      </c>
      <c r="AG272" s="6"/>
      <c r="AH272" s="7">
        <v>1</v>
      </c>
      <c r="AI272" s="4"/>
      <c r="AJ272" s="4">
        <f>=ROUNDDOWN({0},0)</f>
      </c>
      <c r="AK272" s="5"/>
      <c r="AL272" s="2" t="s">
        <v>233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744</v>
      </c>
      <c r="BM272" s="7"/>
      <c r="BN272" s="7"/>
      <c r="BO272" s="4"/>
      <c r="BP272" s="8"/>
      <c r="BQ272" s="4"/>
      <c r="BR272" s="8"/>
      <c r="BS272" s="7"/>
      <c r="BT272" s="7"/>
      <c r="BU272" s="2" t="s">
        <v>1832</v>
      </c>
      <c r="BV272" s="2" t="s">
        <v>233</v>
      </c>
      <c r="BW272" s="2" t="s">
        <v>233</v>
      </c>
      <c r="BX272" s="2" t="s">
        <v>233</v>
      </c>
      <c r="BY272" s="2" t="s">
        <v>280</v>
      </c>
      <c r="BZ272" s="2" t="s">
        <v>245</v>
      </c>
      <c r="CA272" s="2" t="s">
        <v>1833</v>
      </c>
      <c r="CB272" s="2" t="s">
        <v>1834</v>
      </c>
      <c r="CC272" s="2" t="s">
        <v>246</v>
      </c>
      <c r="CD272" s="2" t="s">
        <v>233</v>
      </c>
      <c r="CE272" s="4"/>
      <c r="CF272" s="4">
        <v>78</v>
      </c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</row>
    <row r="273">
      <c r="A273" s="2" t="s">
        <v>1835</v>
      </c>
      <c r="B273" s="2" t="s">
        <v>1066</v>
      </c>
      <c r="C273" s="2" t="s">
        <v>530</v>
      </c>
      <c r="D273" s="2" t="s">
        <v>1111</v>
      </c>
      <c r="E273" s="2" t="s">
        <v>1112</v>
      </c>
      <c r="F273" s="2" t="s">
        <v>1836</v>
      </c>
      <c r="G273" s="2" t="s">
        <v>1836</v>
      </c>
      <c r="H273" s="2" t="s">
        <v>1836</v>
      </c>
      <c r="I273" s="2" t="s">
        <v>1837</v>
      </c>
      <c r="J273" s="2" t="s">
        <v>892</v>
      </c>
      <c r="K273" s="2" t="s">
        <v>1191</v>
      </c>
      <c r="L273" s="3">
        <v>210</v>
      </c>
      <c r="M273" s="3">
        <v>220.5</v>
      </c>
      <c r="N273" s="3">
        <v>449</v>
      </c>
      <c r="O273" s="2" t="s">
        <v>245</v>
      </c>
      <c r="P273" s="2" t="s">
        <v>238</v>
      </c>
      <c r="Q273" s="2" t="s">
        <v>239</v>
      </c>
      <c r="R273" s="2" t="s">
        <v>233</v>
      </c>
      <c r="S273" s="2" t="s">
        <v>233</v>
      </c>
      <c r="T273" s="2" t="s">
        <v>233</v>
      </c>
      <c r="U273" s="2" t="s">
        <v>396</v>
      </c>
      <c r="V273" s="2" t="s">
        <v>893</v>
      </c>
      <c r="W273" s="2" t="s">
        <v>451</v>
      </c>
      <c r="X273" s="2" t="s">
        <v>275</v>
      </c>
      <c r="Y273" s="2" t="s">
        <v>1838</v>
      </c>
      <c r="Z273" s="4"/>
      <c r="AA273" s="4">
        <f>=ROUNDDOWN({0},0)</f>
      </c>
      <c r="AB273" s="5">
        <v>7</v>
      </c>
      <c r="AC273" s="2" t="s">
        <v>1839</v>
      </c>
      <c r="AD273" s="4">
        <v>120</v>
      </c>
      <c r="AE273" s="4">
        <v>120</v>
      </c>
      <c r="AF273" s="6">
        <v>74</v>
      </c>
      <c r="AG273" s="6"/>
      <c r="AH273" s="7">
        <v>0</v>
      </c>
      <c r="AI273" s="4"/>
      <c r="AJ273" s="4">
        <f>=ROUNDDOWN({0},0)</f>
      </c>
      <c r="AK273" s="5"/>
      <c r="AL273" s="2" t="s">
        <v>233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233</v>
      </c>
      <c r="BD273" s="8" t="s">
        <v>233</v>
      </c>
      <c r="BE273" s="4" t="s">
        <v>233</v>
      </c>
      <c r="BF273" s="8" t="s">
        <v>233</v>
      </c>
      <c r="BG273" s="7" t="s">
        <v>233</v>
      </c>
      <c r="BH273" s="7" t="s">
        <v>233</v>
      </c>
      <c r="BI273" s="7"/>
      <c r="BJ273" s="4"/>
      <c r="BK273" s="8"/>
      <c r="BL273" s="2" t="s">
        <v>233</v>
      </c>
      <c r="BM273" s="7"/>
      <c r="BN273" s="7"/>
      <c r="BO273" s="4"/>
      <c r="BP273" s="8"/>
      <c r="BQ273" s="4"/>
      <c r="BR273" s="8"/>
      <c r="BS273" s="7"/>
      <c r="BT273" s="7"/>
      <c r="BU273" s="2" t="s">
        <v>243</v>
      </c>
      <c r="BV273" s="2" t="s">
        <v>233</v>
      </c>
      <c r="BW273" s="2" t="s">
        <v>233</v>
      </c>
      <c r="BX273" s="2" t="s">
        <v>243</v>
      </c>
      <c r="BY273" s="2" t="s">
        <v>244</v>
      </c>
      <c r="BZ273" s="2" t="s">
        <v>245</v>
      </c>
      <c r="CA273" s="2" t="s">
        <v>233</v>
      </c>
      <c r="CB273" s="2" t="s">
        <v>233</v>
      </c>
      <c r="CC273" s="2" t="s">
        <v>246</v>
      </c>
      <c r="CD273" s="2" t="s">
        <v>233</v>
      </c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>
        <v>120</v>
      </c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</row>
    <row r="274">
      <c r="A274" s="2" t="s">
        <v>1840</v>
      </c>
      <c r="B274" s="2" t="s">
        <v>910</v>
      </c>
      <c r="C274" s="2" t="s">
        <v>1266</v>
      </c>
      <c r="D274" s="2" t="s">
        <v>912</v>
      </c>
      <c r="E274" s="2" t="s">
        <v>913</v>
      </c>
      <c r="F274" s="2" t="s">
        <v>1836</v>
      </c>
      <c r="G274" s="2" t="s">
        <v>1841</v>
      </c>
      <c r="H274" s="2" t="s">
        <v>1842</v>
      </c>
      <c r="I274" s="2" t="s">
        <v>1843</v>
      </c>
      <c r="J274" s="2" t="s">
        <v>918</v>
      </c>
      <c r="K274" s="2" t="s">
        <v>1844</v>
      </c>
      <c r="L274" s="3">
        <v>22.5</v>
      </c>
      <c r="M274" s="3">
        <v>23.62</v>
      </c>
      <c r="N274" s="3">
        <v>44.99</v>
      </c>
      <c r="O274" s="2" t="s">
        <v>245</v>
      </c>
      <c r="P274" s="2" t="s">
        <v>272</v>
      </c>
      <c r="Q274" s="2" t="s">
        <v>239</v>
      </c>
      <c r="R274" s="2" t="s">
        <v>233</v>
      </c>
      <c r="S274" s="2" t="s">
        <v>1845</v>
      </c>
      <c r="T274" s="2" t="s">
        <v>395</v>
      </c>
      <c r="U274" s="2" t="s">
        <v>475</v>
      </c>
      <c r="V274" s="2" t="s">
        <v>359</v>
      </c>
      <c r="W274" s="2" t="s">
        <v>275</v>
      </c>
      <c r="X274" s="2" t="s">
        <v>397</v>
      </c>
      <c r="Y274" s="2" t="s">
        <v>276</v>
      </c>
      <c r="Z274" s="4">
        <v>119</v>
      </c>
      <c r="AA274" s="4">
        <f>=ROUNDDOWN(29.75,0)</f>
      </c>
      <c r="AB274" s="5">
        <v>4</v>
      </c>
      <c r="AC274" s="2" t="s">
        <v>1701</v>
      </c>
      <c r="AD274" s="4">
        <v>40</v>
      </c>
      <c r="AE274" s="4">
        <v>70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233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233</v>
      </c>
      <c r="BD274" s="8" t="s">
        <v>233</v>
      </c>
      <c r="BE274" s="4" t="s">
        <v>233</v>
      </c>
      <c r="BF274" s="8" t="s">
        <v>233</v>
      </c>
      <c r="BG274" s="7" t="s">
        <v>233</v>
      </c>
      <c r="BH274" s="7" t="s">
        <v>233</v>
      </c>
      <c r="BI274" s="7"/>
      <c r="BJ274" s="4">
        <v>29</v>
      </c>
      <c r="BK274" s="8">
        <v>692.34</v>
      </c>
      <c r="BL274" s="2" t="s">
        <v>1846</v>
      </c>
      <c r="BM274" s="7"/>
      <c r="BN274" s="7"/>
      <c r="BO274" s="4"/>
      <c r="BP274" s="8"/>
      <c r="BQ274" s="4"/>
      <c r="BR274" s="8"/>
      <c r="BS274" s="7"/>
      <c r="BT274" s="7"/>
      <c r="BU274" s="2" t="s">
        <v>1847</v>
      </c>
      <c r="BV274" s="2" t="s">
        <v>233</v>
      </c>
      <c r="BW274" s="2" t="s">
        <v>233</v>
      </c>
      <c r="BX274" s="2" t="s">
        <v>233</v>
      </c>
      <c r="BY274" s="2" t="s">
        <v>280</v>
      </c>
      <c r="BZ274" s="2" t="s">
        <v>245</v>
      </c>
      <c r="CA274" s="2" t="s">
        <v>281</v>
      </c>
      <c r="CB274" s="2" t="s">
        <v>1848</v>
      </c>
      <c r="CC274" s="2" t="s">
        <v>246</v>
      </c>
      <c r="CD274" s="2" t="s">
        <v>233</v>
      </c>
      <c r="CE274" s="4">
        <v>116</v>
      </c>
      <c r="CF274" s="4"/>
      <c r="CG274" s="4"/>
      <c r="CH274" s="4"/>
      <c r="CI274" s="4">
        <v>3</v>
      </c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>
        <v>40</v>
      </c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>
        <v>30</v>
      </c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</row>
    <row r="275">
      <c r="A275" s="2" t="s">
        <v>1849</v>
      </c>
      <c r="B275" s="2" t="s">
        <v>1066</v>
      </c>
      <c r="C275" s="2" t="s">
        <v>530</v>
      </c>
      <c r="D275" s="2" t="s">
        <v>1111</v>
      </c>
      <c r="E275" s="2" t="s">
        <v>1112</v>
      </c>
      <c r="F275" s="2" t="s">
        <v>1836</v>
      </c>
      <c r="G275" s="2" t="s">
        <v>1836</v>
      </c>
      <c r="H275" s="2" t="s">
        <v>1836</v>
      </c>
      <c r="I275" s="2" t="s">
        <v>1837</v>
      </c>
      <c r="J275" s="2" t="s">
        <v>892</v>
      </c>
      <c r="K275" s="2" t="s">
        <v>1537</v>
      </c>
      <c r="L275" s="3">
        <v>210</v>
      </c>
      <c r="M275" s="3">
        <v>220.5</v>
      </c>
      <c r="N275" s="3">
        <v>449</v>
      </c>
      <c r="O275" s="2" t="s">
        <v>245</v>
      </c>
      <c r="P275" s="2" t="s">
        <v>238</v>
      </c>
      <c r="Q275" s="2" t="s">
        <v>239</v>
      </c>
      <c r="R275" s="2" t="s">
        <v>233</v>
      </c>
      <c r="S275" s="2" t="s">
        <v>233</v>
      </c>
      <c r="T275" s="2" t="s">
        <v>233</v>
      </c>
      <c r="U275" s="2" t="s">
        <v>396</v>
      </c>
      <c r="V275" s="2" t="s">
        <v>893</v>
      </c>
      <c r="W275" s="2" t="s">
        <v>451</v>
      </c>
      <c r="X275" s="2" t="s">
        <v>275</v>
      </c>
      <c r="Y275" s="2" t="s">
        <v>1838</v>
      </c>
      <c r="Z275" s="4"/>
      <c r="AA275" s="4">
        <f>=ROUNDDOWN({0},0)</f>
      </c>
      <c r="AB275" s="5">
        <v>7</v>
      </c>
      <c r="AC275" s="2" t="s">
        <v>1839</v>
      </c>
      <c r="AD275" s="4">
        <v>72</v>
      </c>
      <c r="AE275" s="4">
        <v>72</v>
      </c>
      <c r="AF275" s="6">
        <v>74</v>
      </c>
      <c r="AG275" s="6"/>
      <c r="AH275" s="7">
        <v>0</v>
      </c>
      <c r="AI275" s="4"/>
      <c r="AJ275" s="4">
        <f>=ROUNDDOWN({0},0)</f>
      </c>
      <c r="AK275" s="5"/>
      <c r="AL275" s="2" t="s">
        <v>233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233</v>
      </c>
      <c r="BD275" s="8" t="s">
        <v>233</v>
      </c>
      <c r="BE275" s="4" t="s">
        <v>233</v>
      </c>
      <c r="BF275" s="8" t="s">
        <v>233</v>
      </c>
      <c r="BG275" s="7" t="s">
        <v>233</v>
      </c>
      <c r="BH275" s="7" t="s">
        <v>233</v>
      </c>
      <c r="BI275" s="7"/>
      <c r="BJ275" s="4"/>
      <c r="BK275" s="8"/>
      <c r="BL275" s="2" t="s">
        <v>233</v>
      </c>
      <c r="BM275" s="7"/>
      <c r="BN275" s="7"/>
      <c r="BO275" s="4"/>
      <c r="BP275" s="8"/>
      <c r="BQ275" s="4"/>
      <c r="BR275" s="8"/>
      <c r="BS275" s="7"/>
      <c r="BT275" s="7"/>
      <c r="BU275" s="2" t="s">
        <v>243</v>
      </c>
      <c r="BV275" s="2" t="s">
        <v>233</v>
      </c>
      <c r="BW275" s="2" t="s">
        <v>233</v>
      </c>
      <c r="BX275" s="2" t="s">
        <v>243</v>
      </c>
      <c r="BY275" s="2" t="s">
        <v>244</v>
      </c>
      <c r="BZ275" s="2" t="s">
        <v>245</v>
      </c>
      <c r="CA275" s="2" t="s">
        <v>233</v>
      </c>
      <c r="CB275" s="2" t="s">
        <v>233</v>
      </c>
      <c r="CC275" s="2" t="s">
        <v>246</v>
      </c>
      <c r="CD275" s="2" t="s">
        <v>233</v>
      </c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>
        <v>72</v>
      </c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</row>
    <row r="276">
      <c r="A276" s="2" t="s">
        <v>1850</v>
      </c>
      <c r="B276" s="2" t="s">
        <v>1066</v>
      </c>
      <c r="C276" s="2" t="s">
        <v>530</v>
      </c>
      <c r="D276" s="2" t="s">
        <v>1851</v>
      </c>
      <c r="E276" s="2" t="s">
        <v>1852</v>
      </c>
      <c r="F276" s="2" t="s">
        <v>1853</v>
      </c>
      <c r="G276" s="2" t="s">
        <v>1854</v>
      </c>
      <c r="H276" s="2" t="s">
        <v>1855</v>
      </c>
      <c r="I276" s="2" t="s">
        <v>1856</v>
      </c>
      <c r="J276" s="2" t="s">
        <v>892</v>
      </c>
      <c r="K276" s="2" t="s">
        <v>773</v>
      </c>
      <c r="L276" s="3">
        <v>125.4</v>
      </c>
      <c r="M276" s="3">
        <v>131.67</v>
      </c>
      <c r="N276" s="3">
        <v>269</v>
      </c>
      <c r="O276" s="2" t="s">
        <v>245</v>
      </c>
      <c r="P276" s="2" t="s">
        <v>272</v>
      </c>
      <c r="Q276" s="2" t="s">
        <v>239</v>
      </c>
      <c r="R276" s="2" t="s">
        <v>233</v>
      </c>
      <c r="S276" s="2" t="s">
        <v>1857</v>
      </c>
      <c r="T276" s="2" t="s">
        <v>233</v>
      </c>
      <c r="U276" s="2" t="s">
        <v>233</v>
      </c>
      <c r="V276" s="2" t="s">
        <v>241</v>
      </c>
      <c r="W276" s="2" t="s">
        <v>451</v>
      </c>
      <c r="X276" s="2" t="s">
        <v>233</v>
      </c>
      <c r="Y276" s="2" t="s">
        <v>276</v>
      </c>
      <c r="Z276" s="4">
        <v>45</v>
      </c>
      <c r="AA276" s="4">
        <f>=ROUNDDOWN(9.375,0)</f>
      </c>
      <c r="AB276" s="5">
        <v>4.8</v>
      </c>
      <c r="AC276" s="2" t="s">
        <v>1107</v>
      </c>
      <c r="AD276" s="4">
        <v>200</v>
      </c>
      <c r="AE276" s="4">
        <v>385</v>
      </c>
      <c r="AF276" s="6">
        <v>76</v>
      </c>
      <c r="AG276" s="6">
        <v>67</v>
      </c>
      <c r="AH276" s="7">
        <v>1</v>
      </c>
      <c r="AI276" s="4"/>
      <c r="AJ276" s="4">
        <f>=ROUNDDOWN({0},0)</f>
      </c>
      <c r="AK276" s="5"/>
      <c r="AL276" s="2" t="s">
        <v>233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>
        <v>30</v>
      </c>
      <c r="BK276" s="8">
        <v>3499.86</v>
      </c>
      <c r="BL276" s="2" t="s">
        <v>1858</v>
      </c>
      <c r="BM276" s="7"/>
      <c r="BN276" s="7"/>
      <c r="BO276" s="4"/>
      <c r="BP276" s="8"/>
      <c r="BQ276" s="4"/>
      <c r="BR276" s="8"/>
      <c r="BS276" s="7"/>
      <c r="BT276" s="7"/>
      <c r="BU276" s="2" t="s">
        <v>1859</v>
      </c>
      <c r="BV276" s="2" t="s">
        <v>233</v>
      </c>
      <c r="BW276" s="2" t="s">
        <v>233</v>
      </c>
      <c r="BX276" s="2" t="s">
        <v>233</v>
      </c>
      <c r="BY276" s="2" t="s">
        <v>280</v>
      </c>
      <c r="BZ276" s="2" t="s">
        <v>245</v>
      </c>
      <c r="CA276" s="2" t="s">
        <v>281</v>
      </c>
      <c r="CB276" s="2" t="s">
        <v>1860</v>
      </c>
      <c r="CC276" s="2" t="s">
        <v>246</v>
      </c>
      <c r="CD276" s="2" t="s">
        <v>233</v>
      </c>
      <c r="CE276" s="4"/>
      <c r="CF276" s="4">
        <v>45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>
        <v>200</v>
      </c>
      <c r="DK276" s="4"/>
      <c r="DL276" s="4"/>
      <c r="DM276" s="4">
        <v>110</v>
      </c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>
        <v>75</v>
      </c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</row>
    <row r="277">
      <c r="A277" s="2" t="s">
        <v>1861</v>
      </c>
      <c r="B277" s="2" t="s">
        <v>228</v>
      </c>
      <c r="C277" s="2" t="s">
        <v>530</v>
      </c>
      <c r="D277" s="2" t="s">
        <v>1862</v>
      </c>
      <c r="E277" s="2" t="s">
        <v>1863</v>
      </c>
      <c r="F277" s="2" t="s">
        <v>1864</v>
      </c>
      <c r="G277" s="2" t="s">
        <v>1865</v>
      </c>
      <c r="H277" s="2" t="s">
        <v>1866</v>
      </c>
      <c r="I277" s="2" t="s">
        <v>1867</v>
      </c>
      <c r="J277" s="2" t="s">
        <v>981</v>
      </c>
      <c r="K277" s="2" t="s">
        <v>569</v>
      </c>
      <c r="L277" s="3">
        <v>45.9</v>
      </c>
      <c r="M277" s="3">
        <v>48.2</v>
      </c>
      <c r="N277" s="3">
        <v>94.99</v>
      </c>
      <c r="O277" s="2" t="s">
        <v>237</v>
      </c>
      <c r="P277" s="2" t="s">
        <v>311</v>
      </c>
      <c r="Q277" s="2" t="s">
        <v>239</v>
      </c>
      <c r="R277" s="2" t="s">
        <v>233</v>
      </c>
      <c r="S277" s="2" t="s">
        <v>1868</v>
      </c>
      <c r="T277" s="2" t="s">
        <v>976</v>
      </c>
      <c r="U277" s="2" t="s">
        <v>475</v>
      </c>
      <c r="V277" s="2" t="s">
        <v>1869</v>
      </c>
      <c r="W277" s="2" t="s">
        <v>978</v>
      </c>
      <c r="X277" s="2" t="s">
        <v>1056</v>
      </c>
      <c r="Y277" s="2" t="s">
        <v>1870</v>
      </c>
      <c r="Z277" s="4">
        <v>113</v>
      </c>
      <c r="AA277" s="4">
        <f>=ROUNDDOWN(80.7142857142857,0)</f>
      </c>
      <c r="AB277" s="5">
        <v>1.4</v>
      </c>
      <c r="AC277" s="2" t="s">
        <v>233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233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>
        <v>6</v>
      </c>
      <c r="BK277" s="8">
        <v>288.42</v>
      </c>
      <c r="BL277" s="2" t="s">
        <v>300</v>
      </c>
      <c r="BM277" s="7"/>
      <c r="BN277" s="7"/>
      <c r="BO277" s="4"/>
      <c r="BP277" s="8"/>
      <c r="BQ277" s="4"/>
      <c r="BR277" s="8"/>
      <c r="BS277" s="7"/>
      <c r="BT277" s="7"/>
      <c r="BU277" s="2" t="s">
        <v>1871</v>
      </c>
      <c r="BV277" s="2" t="s">
        <v>233</v>
      </c>
      <c r="BW277" s="2" t="s">
        <v>233</v>
      </c>
      <c r="BX277" s="2" t="s">
        <v>233</v>
      </c>
      <c r="BY277" s="2" t="s">
        <v>280</v>
      </c>
      <c r="BZ277" s="2" t="s">
        <v>245</v>
      </c>
      <c r="CA277" s="2" t="s">
        <v>1396</v>
      </c>
      <c r="CB277" s="2" t="s">
        <v>1872</v>
      </c>
      <c r="CC277" s="2" t="s">
        <v>246</v>
      </c>
      <c r="CD277" s="2" t="s">
        <v>233</v>
      </c>
      <c r="CE277" s="4">
        <v>113</v>
      </c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</row>
    <row r="278">
      <c r="A278" s="2" t="s">
        <v>1873</v>
      </c>
      <c r="B278" s="2" t="s">
        <v>910</v>
      </c>
      <c r="C278" s="2" t="s">
        <v>911</v>
      </c>
      <c r="D278" s="2" t="s">
        <v>969</v>
      </c>
      <c r="E278" s="2" t="s">
        <v>970</v>
      </c>
      <c r="F278" s="2" t="s">
        <v>1874</v>
      </c>
      <c r="G278" s="2" t="s">
        <v>1770</v>
      </c>
      <c r="H278" s="2" t="s">
        <v>1875</v>
      </c>
      <c r="I278" s="2" t="s">
        <v>1876</v>
      </c>
      <c r="J278" s="2" t="s">
        <v>918</v>
      </c>
      <c r="K278" s="2" t="s">
        <v>255</v>
      </c>
      <c r="L278" s="3">
        <v>33.33</v>
      </c>
      <c r="M278" s="3">
        <v>35</v>
      </c>
      <c r="N278" s="3">
        <v>69.99</v>
      </c>
      <c r="O278" s="2" t="s">
        <v>237</v>
      </c>
      <c r="P278" s="2" t="s">
        <v>311</v>
      </c>
      <c r="Q278" s="2" t="s">
        <v>239</v>
      </c>
      <c r="R278" s="2" t="s">
        <v>233</v>
      </c>
      <c r="S278" s="2" t="s">
        <v>1877</v>
      </c>
      <c r="T278" s="2" t="s">
        <v>233</v>
      </c>
      <c r="U278" s="2" t="s">
        <v>491</v>
      </c>
      <c r="V278" s="2" t="s">
        <v>1085</v>
      </c>
      <c r="W278" s="2" t="s">
        <v>397</v>
      </c>
      <c r="X278" s="2" t="s">
        <v>275</v>
      </c>
      <c r="Y278" s="2" t="s">
        <v>1878</v>
      </c>
      <c r="Z278" s="4">
        <v>6</v>
      </c>
      <c r="AA278" s="4">
        <f>=ROUNDDOWN(2.22222222222222,0)</f>
      </c>
      <c r="AB278" s="5">
        <v>2.7</v>
      </c>
      <c r="AC278" s="2" t="s">
        <v>233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233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233</v>
      </c>
      <c r="AW278" s="8" t="s">
        <v>233</v>
      </c>
      <c r="AX278" s="4" t="s">
        <v>233</v>
      </c>
      <c r="AY278" s="8" t="s">
        <v>233</v>
      </c>
      <c r="AZ278" s="7" t="s">
        <v>233</v>
      </c>
      <c r="BA278" s="7" t="s">
        <v>233</v>
      </c>
      <c r="BB278" s="7" t="s">
        <v>233</v>
      </c>
      <c r="BC278" s="4" t="s">
        <v>233</v>
      </c>
      <c r="BD278" s="8" t="s">
        <v>233</v>
      </c>
      <c r="BE278" s="4" t="s">
        <v>233</v>
      </c>
      <c r="BF278" s="8" t="s">
        <v>233</v>
      </c>
      <c r="BG278" s="7" t="s">
        <v>233</v>
      </c>
      <c r="BH278" s="7" t="s">
        <v>233</v>
      </c>
      <c r="BI278" s="7"/>
      <c r="BJ278" s="4">
        <v>16</v>
      </c>
      <c r="BK278" s="8">
        <v>498.38</v>
      </c>
      <c r="BL278" s="2" t="s">
        <v>1879</v>
      </c>
      <c r="BM278" s="7"/>
      <c r="BN278" s="7"/>
      <c r="BO278" s="4"/>
      <c r="BP278" s="8"/>
      <c r="BQ278" s="4"/>
      <c r="BR278" s="8"/>
      <c r="BS278" s="7"/>
      <c r="BT278" s="7"/>
      <c r="BU278" s="2" t="s">
        <v>1880</v>
      </c>
      <c r="BV278" s="2" t="s">
        <v>233</v>
      </c>
      <c r="BW278" s="2" t="s">
        <v>233</v>
      </c>
      <c r="BX278" s="2" t="s">
        <v>233</v>
      </c>
      <c r="BY278" s="2" t="s">
        <v>280</v>
      </c>
      <c r="BZ278" s="2" t="s">
        <v>245</v>
      </c>
      <c r="CA278" s="2" t="s">
        <v>1881</v>
      </c>
      <c r="CB278" s="2" t="s">
        <v>1882</v>
      </c>
      <c r="CC278" s="2" t="s">
        <v>246</v>
      </c>
      <c r="CD278" s="2" t="s">
        <v>233</v>
      </c>
      <c r="CE278" s="4">
        <v>6</v>
      </c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</row>
    <row r="279">
      <c r="A279" s="2" t="s">
        <v>1883</v>
      </c>
      <c r="B279" s="2" t="s">
        <v>910</v>
      </c>
      <c r="C279" s="2" t="s">
        <v>911</v>
      </c>
      <c r="D279" s="2" t="s">
        <v>912</v>
      </c>
      <c r="E279" s="2" t="s">
        <v>1139</v>
      </c>
      <c r="F279" s="2" t="s">
        <v>1874</v>
      </c>
      <c r="G279" s="2" t="s">
        <v>1770</v>
      </c>
      <c r="H279" s="2" t="s">
        <v>1875</v>
      </c>
      <c r="I279" s="2" t="s">
        <v>1884</v>
      </c>
      <c r="J279" s="2" t="s">
        <v>918</v>
      </c>
      <c r="K279" s="2" t="s">
        <v>255</v>
      </c>
      <c r="L279" s="3">
        <v>26.19</v>
      </c>
      <c r="M279" s="3">
        <v>27.5</v>
      </c>
      <c r="N279" s="3">
        <v>54.99</v>
      </c>
      <c r="O279" s="2" t="s">
        <v>237</v>
      </c>
      <c r="P279" s="2" t="s">
        <v>311</v>
      </c>
      <c r="Q279" s="2" t="s">
        <v>239</v>
      </c>
      <c r="R279" s="2" t="s">
        <v>233</v>
      </c>
      <c r="S279" s="2" t="s">
        <v>1877</v>
      </c>
      <c r="T279" s="2" t="s">
        <v>233</v>
      </c>
      <c r="U279" s="2" t="s">
        <v>491</v>
      </c>
      <c r="V279" s="2" t="s">
        <v>1085</v>
      </c>
      <c r="W279" s="2" t="s">
        <v>397</v>
      </c>
      <c r="X279" s="2" t="s">
        <v>275</v>
      </c>
      <c r="Y279" s="2" t="s">
        <v>1878</v>
      </c>
      <c r="Z279" s="4">
        <v>46</v>
      </c>
      <c r="AA279" s="4">
        <f>=ROUNDDOWN(23,0)</f>
      </c>
      <c r="AB279" s="5">
        <v>2</v>
      </c>
      <c r="AC279" s="2" t="s">
        <v>233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233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233</v>
      </c>
      <c r="AW279" s="8" t="s">
        <v>233</v>
      </c>
      <c r="AX279" s="4" t="s">
        <v>233</v>
      </c>
      <c r="AY279" s="8" t="s">
        <v>233</v>
      </c>
      <c r="AZ279" s="7" t="s">
        <v>233</v>
      </c>
      <c r="BA279" s="7" t="s">
        <v>233</v>
      </c>
      <c r="BB279" s="7" t="s">
        <v>233</v>
      </c>
      <c r="BC279" s="4" t="s">
        <v>233</v>
      </c>
      <c r="BD279" s="8" t="s">
        <v>233</v>
      </c>
      <c r="BE279" s="4" t="s">
        <v>233</v>
      </c>
      <c r="BF279" s="8" t="s">
        <v>233</v>
      </c>
      <c r="BG279" s="7" t="s">
        <v>233</v>
      </c>
      <c r="BH279" s="7" t="s">
        <v>233</v>
      </c>
      <c r="BI279" s="7"/>
      <c r="BJ279" s="4">
        <v>1</v>
      </c>
      <c r="BK279" s="8">
        <v>17.32</v>
      </c>
      <c r="BL279" s="2" t="s">
        <v>1885</v>
      </c>
      <c r="BM279" s="7"/>
      <c r="BN279" s="7"/>
      <c r="BO279" s="4"/>
      <c r="BP279" s="8"/>
      <c r="BQ279" s="4"/>
      <c r="BR279" s="8"/>
      <c r="BS279" s="7"/>
      <c r="BT279" s="7"/>
      <c r="BU279" s="2" t="s">
        <v>1886</v>
      </c>
      <c r="BV279" s="2" t="s">
        <v>233</v>
      </c>
      <c r="BW279" s="2" t="s">
        <v>233</v>
      </c>
      <c r="BX279" s="2" t="s">
        <v>233</v>
      </c>
      <c r="BY279" s="2" t="s">
        <v>280</v>
      </c>
      <c r="BZ279" s="2" t="s">
        <v>245</v>
      </c>
      <c r="CA279" s="2" t="s">
        <v>1684</v>
      </c>
      <c r="CB279" s="2" t="s">
        <v>1026</v>
      </c>
      <c r="CC279" s="2" t="s">
        <v>246</v>
      </c>
      <c r="CD279" s="2" t="s">
        <v>233</v>
      </c>
      <c r="CE279" s="4">
        <v>46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</row>
    <row r="280">
      <c r="A280" s="2" t="s">
        <v>1887</v>
      </c>
      <c r="B280" s="2" t="s">
        <v>910</v>
      </c>
      <c r="C280" s="2" t="s">
        <v>911</v>
      </c>
      <c r="D280" s="2" t="s">
        <v>969</v>
      </c>
      <c r="E280" s="2" t="s">
        <v>970</v>
      </c>
      <c r="F280" s="2" t="s">
        <v>1874</v>
      </c>
      <c r="G280" s="2" t="s">
        <v>1770</v>
      </c>
      <c r="H280" s="2" t="s">
        <v>1875</v>
      </c>
      <c r="I280" s="2" t="s">
        <v>1876</v>
      </c>
      <c r="J280" s="2" t="s">
        <v>981</v>
      </c>
      <c r="K280" s="2" t="s">
        <v>255</v>
      </c>
      <c r="L280" s="3">
        <v>38.09</v>
      </c>
      <c r="M280" s="3">
        <v>39.99</v>
      </c>
      <c r="N280" s="3">
        <v>79.99</v>
      </c>
      <c r="O280" s="2" t="s">
        <v>237</v>
      </c>
      <c r="P280" s="2" t="s">
        <v>311</v>
      </c>
      <c r="Q280" s="2" t="s">
        <v>239</v>
      </c>
      <c r="R280" s="2" t="s">
        <v>233</v>
      </c>
      <c r="S280" s="2" t="s">
        <v>1877</v>
      </c>
      <c r="T280" s="2" t="s">
        <v>233</v>
      </c>
      <c r="U280" s="2" t="s">
        <v>475</v>
      </c>
      <c r="V280" s="2" t="s">
        <v>1085</v>
      </c>
      <c r="W280" s="2" t="s">
        <v>397</v>
      </c>
      <c r="X280" s="2" t="s">
        <v>275</v>
      </c>
      <c r="Y280" s="2" t="s">
        <v>1878</v>
      </c>
      <c r="Z280" s="4">
        <v>525</v>
      </c>
      <c r="AA280" s="4">
        <f>=ROUNDDOWN(228.260869565217,0)</f>
      </c>
      <c r="AB280" s="5">
        <v>2.3</v>
      </c>
      <c r="AC280" s="2" t="s">
        <v>233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233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233</v>
      </c>
      <c r="AW280" s="8" t="s">
        <v>233</v>
      </c>
      <c r="AX280" s="4" t="s">
        <v>233</v>
      </c>
      <c r="AY280" s="8" t="s">
        <v>233</v>
      </c>
      <c r="AZ280" s="7" t="s">
        <v>233</v>
      </c>
      <c r="BA280" s="7" t="s">
        <v>233</v>
      </c>
      <c r="BB280" s="7"/>
      <c r="BC280" s="4" t="s">
        <v>233</v>
      </c>
      <c r="BD280" s="8" t="s">
        <v>233</v>
      </c>
      <c r="BE280" s="4" t="s">
        <v>233</v>
      </c>
      <c r="BF280" s="8" t="s">
        <v>233</v>
      </c>
      <c r="BG280" s="7" t="s">
        <v>233</v>
      </c>
      <c r="BH280" s="7" t="s">
        <v>233</v>
      </c>
      <c r="BI280" s="7"/>
      <c r="BJ280" s="4">
        <v>22</v>
      </c>
      <c r="BK280" s="8">
        <v>718.26</v>
      </c>
      <c r="BL280" s="2" t="s">
        <v>1888</v>
      </c>
      <c r="BM280" s="7"/>
      <c r="BN280" s="7"/>
      <c r="BO280" s="4"/>
      <c r="BP280" s="8"/>
      <c r="BQ280" s="4"/>
      <c r="BR280" s="8"/>
      <c r="BS280" s="7"/>
      <c r="BT280" s="7"/>
      <c r="BU280" s="2" t="s">
        <v>1889</v>
      </c>
      <c r="BV280" s="2" t="s">
        <v>233</v>
      </c>
      <c r="BW280" s="2" t="s">
        <v>233</v>
      </c>
      <c r="BX280" s="2" t="s">
        <v>233</v>
      </c>
      <c r="BY280" s="2" t="s">
        <v>280</v>
      </c>
      <c r="BZ280" s="2" t="s">
        <v>245</v>
      </c>
      <c r="CA280" s="2" t="s">
        <v>1881</v>
      </c>
      <c r="CB280" s="2" t="s">
        <v>233</v>
      </c>
      <c r="CC280" s="2" t="s">
        <v>246</v>
      </c>
      <c r="CD280" s="2" t="s">
        <v>233</v>
      </c>
      <c r="CE280" s="4">
        <v>525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</row>
    <row r="281">
      <c r="A281" s="2" t="s">
        <v>1890</v>
      </c>
      <c r="B281" s="2" t="s">
        <v>886</v>
      </c>
      <c r="C281" s="2" t="s">
        <v>901</v>
      </c>
      <c r="D281" s="2" t="s">
        <v>1122</v>
      </c>
      <c r="E281" s="2" t="s">
        <v>1123</v>
      </c>
      <c r="F281" s="2" t="s">
        <v>1891</v>
      </c>
      <c r="G281" s="2" t="s">
        <v>1891</v>
      </c>
      <c r="H281" s="2" t="s">
        <v>1891</v>
      </c>
      <c r="I281" s="2" t="s">
        <v>1892</v>
      </c>
      <c r="J281" s="2" t="s">
        <v>892</v>
      </c>
      <c r="K281" s="2" t="s">
        <v>1537</v>
      </c>
      <c r="L281" s="3">
        <v>71</v>
      </c>
      <c r="M281" s="3">
        <v>74.55</v>
      </c>
      <c r="N281" s="3">
        <v>149.99</v>
      </c>
      <c r="O281" s="2" t="s">
        <v>245</v>
      </c>
      <c r="P281" s="2" t="s">
        <v>311</v>
      </c>
      <c r="Q281" s="2" t="s">
        <v>239</v>
      </c>
      <c r="R281" s="2" t="s">
        <v>233</v>
      </c>
      <c r="S281" s="2" t="s">
        <v>233</v>
      </c>
      <c r="T281" s="2" t="s">
        <v>233</v>
      </c>
      <c r="U281" s="2" t="s">
        <v>396</v>
      </c>
      <c r="V281" s="2" t="s">
        <v>893</v>
      </c>
      <c r="W281" s="2" t="s">
        <v>977</v>
      </c>
      <c r="X281" s="2" t="s">
        <v>1813</v>
      </c>
      <c r="Y281" s="2" t="s">
        <v>1610</v>
      </c>
      <c r="Z281" s="4">
        <v>67</v>
      </c>
      <c r="AA281" s="4">
        <f>=ROUNDDOWN(33.5,0)</f>
      </c>
      <c r="AB281" s="5">
        <v>2</v>
      </c>
      <c r="AC281" s="2" t="s">
        <v>233</v>
      </c>
      <c r="AD281" s="4"/>
      <c r="AE281" s="4"/>
      <c r="AF281" s="6">
        <v>63</v>
      </c>
      <c r="AG281" s="6"/>
      <c r="AH281" s="7">
        <v>1</v>
      </c>
      <c r="AI281" s="4"/>
      <c r="AJ281" s="4">
        <f>=ROUNDDOWN({0},0)</f>
      </c>
      <c r="AK281" s="5"/>
      <c r="AL281" s="2" t="s">
        <v>233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>
        <v>1</v>
      </c>
      <c r="BK281" s="8">
        <v>81.65</v>
      </c>
      <c r="BL281" s="2" t="s">
        <v>1893</v>
      </c>
      <c r="BM281" s="7"/>
      <c r="BN281" s="7"/>
      <c r="BO281" s="4"/>
      <c r="BP281" s="8"/>
      <c r="BQ281" s="4"/>
      <c r="BR281" s="8"/>
      <c r="BS281" s="7"/>
      <c r="BT281" s="7"/>
      <c r="BU281" s="2" t="s">
        <v>1894</v>
      </c>
      <c r="BV281" s="2" t="s">
        <v>233</v>
      </c>
      <c r="BW281" s="2" t="s">
        <v>233</v>
      </c>
      <c r="BX281" s="2" t="s">
        <v>243</v>
      </c>
      <c r="BY281" s="2" t="s">
        <v>280</v>
      </c>
      <c r="BZ281" s="2" t="s">
        <v>245</v>
      </c>
      <c r="CA281" s="2" t="s">
        <v>1816</v>
      </c>
      <c r="CB281" s="2" t="s">
        <v>1895</v>
      </c>
      <c r="CC281" s="2" t="s">
        <v>246</v>
      </c>
      <c r="CD281" s="2" t="s">
        <v>233</v>
      </c>
      <c r="CE281" s="4"/>
      <c r="CF281" s="4">
        <v>67</v>
      </c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</row>
    <row r="282">
      <c r="A282" s="2" t="s">
        <v>1896</v>
      </c>
      <c r="B282" s="2" t="s">
        <v>1066</v>
      </c>
      <c r="C282" s="2" t="s">
        <v>530</v>
      </c>
      <c r="D282" s="2" t="s">
        <v>1111</v>
      </c>
      <c r="E282" s="2" t="s">
        <v>1723</v>
      </c>
      <c r="F282" s="2" t="s">
        <v>1897</v>
      </c>
      <c r="G282" s="2" t="s">
        <v>1898</v>
      </c>
      <c r="H282" s="2" t="s">
        <v>1899</v>
      </c>
      <c r="I282" s="2" t="s">
        <v>1900</v>
      </c>
      <c r="J282" s="2" t="s">
        <v>892</v>
      </c>
      <c r="K282" s="2" t="s">
        <v>569</v>
      </c>
      <c r="L282" s="3">
        <v>270.75</v>
      </c>
      <c r="M282" s="3">
        <v>284.29</v>
      </c>
      <c r="N282" s="3">
        <v>569</v>
      </c>
      <c r="O282" s="2" t="s">
        <v>245</v>
      </c>
      <c r="P282" s="2" t="s">
        <v>393</v>
      </c>
      <c r="Q282" s="2" t="s">
        <v>239</v>
      </c>
      <c r="R282" s="2" t="s">
        <v>233</v>
      </c>
      <c r="S282" s="2" t="s">
        <v>233</v>
      </c>
      <c r="T282" s="2" t="s">
        <v>233</v>
      </c>
      <c r="U282" s="2" t="s">
        <v>396</v>
      </c>
      <c r="V282" s="2" t="s">
        <v>241</v>
      </c>
      <c r="W282" s="2" t="s">
        <v>451</v>
      </c>
      <c r="X282" s="2" t="s">
        <v>233</v>
      </c>
      <c r="Y282" s="2" t="s">
        <v>1901</v>
      </c>
      <c r="Z282" s="4">
        <v>66</v>
      </c>
      <c r="AA282" s="4">
        <f>=ROUNDDOWN(22,0)</f>
      </c>
      <c r="AB282" s="5">
        <v>3</v>
      </c>
      <c r="AC282" s="2" t="s">
        <v>873</v>
      </c>
      <c r="AD282" s="4">
        <v>81</v>
      </c>
      <c r="AE282" s="4">
        <v>81</v>
      </c>
      <c r="AF282" s="6">
        <v>66</v>
      </c>
      <c r="AG282" s="6">
        <v>49</v>
      </c>
      <c r="AH282" s="7">
        <v>1</v>
      </c>
      <c r="AI282" s="4"/>
      <c r="AJ282" s="4">
        <f>=ROUNDDOWN({0},0)</f>
      </c>
      <c r="AK282" s="5"/>
      <c r="AL282" s="2" t="s">
        <v>233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>
        <v>9</v>
      </c>
      <c r="BK282" s="8">
        <v>2563.08</v>
      </c>
      <c r="BL282" s="2" t="s">
        <v>1902</v>
      </c>
      <c r="BM282" s="7"/>
      <c r="BN282" s="7"/>
      <c r="BO282" s="4"/>
      <c r="BP282" s="8"/>
      <c r="BQ282" s="4"/>
      <c r="BR282" s="8"/>
      <c r="BS282" s="7"/>
      <c r="BT282" s="7"/>
      <c r="BU282" s="2" t="s">
        <v>1903</v>
      </c>
      <c r="BV282" s="2" t="s">
        <v>233</v>
      </c>
      <c r="BW282" s="2" t="s">
        <v>233</v>
      </c>
      <c r="BX282" s="2" t="s">
        <v>233</v>
      </c>
      <c r="BY282" s="2" t="s">
        <v>280</v>
      </c>
      <c r="BZ282" s="2" t="s">
        <v>245</v>
      </c>
      <c r="CA282" s="2" t="s">
        <v>1901</v>
      </c>
      <c r="CB282" s="2" t="s">
        <v>1904</v>
      </c>
      <c r="CC282" s="2" t="s">
        <v>246</v>
      </c>
      <c r="CD282" s="2" t="s">
        <v>233</v>
      </c>
      <c r="CE282" s="4"/>
      <c r="CF282" s="4">
        <v>66</v>
      </c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>
        <v>81</v>
      </c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</row>
    <row r="283">
      <c r="A283" s="2" t="s">
        <v>1905</v>
      </c>
      <c r="B283" s="2" t="s">
        <v>886</v>
      </c>
      <c r="C283" s="2" t="s">
        <v>887</v>
      </c>
      <c r="D283" s="2" t="s">
        <v>1326</v>
      </c>
      <c r="E283" s="2" t="s">
        <v>1327</v>
      </c>
      <c r="F283" s="2" t="s">
        <v>1906</v>
      </c>
      <c r="G283" s="2" t="s">
        <v>1906</v>
      </c>
      <c r="H283" s="2" t="s">
        <v>1906</v>
      </c>
      <c r="I283" s="2" t="s">
        <v>1907</v>
      </c>
      <c r="J283" s="2" t="s">
        <v>892</v>
      </c>
      <c r="K283" s="2" t="s">
        <v>1105</v>
      </c>
      <c r="L283" s="3">
        <v>99</v>
      </c>
      <c r="M283" s="3">
        <v>103.95</v>
      </c>
      <c r="N283" s="3">
        <v>229.99</v>
      </c>
      <c r="O283" s="2" t="s">
        <v>245</v>
      </c>
      <c r="P283" s="2" t="s">
        <v>311</v>
      </c>
      <c r="Q283" s="2" t="s">
        <v>239</v>
      </c>
      <c r="R283" s="2" t="s">
        <v>233</v>
      </c>
      <c r="S283" s="2" t="s">
        <v>233</v>
      </c>
      <c r="T283" s="2" t="s">
        <v>233</v>
      </c>
      <c r="U283" s="2" t="s">
        <v>396</v>
      </c>
      <c r="V283" s="2" t="s">
        <v>893</v>
      </c>
      <c r="W283" s="2" t="s">
        <v>397</v>
      </c>
      <c r="X283" s="2" t="s">
        <v>451</v>
      </c>
      <c r="Y283" s="2" t="s">
        <v>1610</v>
      </c>
      <c r="Z283" s="4">
        <v>22</v>
      </c>
      <c r="AA283" s="4">
        <f>=ROUNDDOWN(13.75,0)</f>
      </c>
      <c r="AB283" s="5">
        <v>1.6</v>
      </c>
      <c r="AC283" s="2" t="s">
        <v>233</v>
      </c>
      <c r="AD283" s="4"/>
      <c r="AE283" s="4"/>
      <c r="AF283" s="6">
        <v>63</v>
      </c>
      <c r="AG283" s="6"/>
      <c r="AH283" s="7">
        <v>1</v>
      </c>
      <c r="AI283" s="4"/>
      <c r="AJ283" s="4">
        <f>=ROUNDDOWN({0},0)</f>
      </c>
      <c r="AK283" s="5"/>
      <c r="AL283" s="2" t="s">
        <v>233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>
        <v>3</v>
      </c>
      <c r="BK283" s="8">
        <v>387.49</v>
      </c>
      <c r="BL283" s="2" t="s">
        <v>1908</v>
      </c>
      <c r="BM283" s="7"/>
      <c r="BN283" s="7"/>
      <c r="BO283" s="4"/>
      <c r="BP283" s="8"/>
      <c r="BQ283" s="4"/>
      <c r="BR283" s="8"/>
      <c r="BS283" s="7"/>
      <c r="BT283" s="7"/>
      <c r="BU283" s="2" t="s">
        <v>1909</v>
      </c>
      <c r="BV283" s="2" t="s">
        <v>233</v>
      </c>
      <c r="BW283" s="2" t="s">
        <v>233</v>
      </c>
      <c r="BX283" s="2" t="s">
        <v>233</v>
      </c>
      <c r="BY283" s="2" t="s">
        <v>280</v>
      </c>
      <c r="BZ283" s="2" t="s">
        <v>245</v>
      </c>
      <c r="CA283" s="2" t="s">
        <v>1910</v>
      </c>
      <c r="CB283" s="2" t="s">
        <v>1911</v>
      </c>
      <c r="CC283" s="2" t="s">
        <v>246</v>
      </c>
      <c r="CD283" s="2" t="s">
        <v>233</v>
      </c>
      <c r="CE283" s="4"/>
      <c r="CF283" s="4">
        <v>22</v>
      </c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</row>
    <row r="284">
      <c r="A284" s="2" t="s">
        <v>1912</v>
      </c>
      <c r="B284" s="2" t="s">
        <v>1066</v>
      </c>
      <c r="C284" s="2" t="s">
        <v>1157</v>
      </c>
      <c r="D284" s="2" t="s">
        <v>1713</v>
      </c>
      <c r="E284" s="2" t="s">
        <v>1913</v>
      </c>
      <c r="F284" s="2" t="s">
        <v>1914</v>
      </c>
      <c r="G284" s="2" t="s">
        <v>1914</v>
      </c>
      <c r="H284" s="2" t="s">
        <v>1914</v>
      </c>
      <c r="I284" s="2" t="s">
        <v>1915</v>
      </c>
      <c r="J284" s="2" t="s">
        <v>892</v>
      </c>
      <c r="K284" s="2" t="s">
        <v>271</v>
      </c>
      <c r="L284" s="3">
        <v>85</v>
      </c>
      <c r="M284" s="3">
        <v>89.25</v>
      </c>
      <c r="N284" s="3">
        <v>179</v>
      </c>
      <c r="O284" s="2" t="s">
        <v>245</v>
      </c>
      <c r="P284" s="2" t="s">
        <v>1916</v>
      </c>
      <c r="Q284" s="2" t="s">
        <v>239</v>
      </c>
      <c r="R284" s="2" t="s">
        <v>233</v>
      </c>
      <c r="S284" s="2" t="s">
        <v>233</v>
      </c>
      <c r="T284" s="2" t="s">
        <v>233</v>
      </c>
      <c r="U284" s="2" t="s">
        <v>396</v>
      </c>
      <c r="V284" s="2" t="s">
        <v>893</v>
      </c>
      <c r="W284" s="2" t="s">
        <v>451</v>
      </c>
      <c r="X284" s="2" t="s">
        <v>776</v>
      </c>
      <c r="Y284" s="2" t="s">
        <v>233</v>
      </c>
      <c r="Z284" s="4"/>
      <c r="AA284" s="4">
        <f>=ROUNDDOWN({0},0)</f>
      </c>
      <c r="AB284" s="5"/>
      <c r="AC284" s="2" t="s">
        <v>1917</v>
      </c>
      <c r="AD284" s="4">
        <v>90</v>
      </c>
      <c r="AE284" s="4">
        <v>90</v>
      </c>
      <c r="AF284" s="6">
        <v>74</v>
      </c>
      <c r="AG284" s="6"/>
      <c r="AH284" s="7">
        <v>0</v>
      </c>
      <c r="AI284" s="4"/>
      <c r="AJ284" s="4">
        <f>=ROUNDDOWN({0},0)</f>
      </c>
      <c r="AK284" s="5"/>
      <c r="AL284" s="2" t="s">
        <v>233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233</v>
      </c>
      <c r="AW284" s="8" t="s">
        <v>233</v>
      </c>
      <c r="AX284" s="4" t="s">
        <v>233</v>
      </c>
      <c r="AY284" s="8" t="s">
        <v>233</v>
      </c>
      <c r="AZ284" s="7" t="s">
        <v>233</v>
      </c>
      <c r="BA284" s="7" t="s">
        <v>233</v>
      </c>
      <c r="BB284" s="7" t="s">
        <v>233</v>
      </c>
      <c r="BC284" s="4" t="s">
        <v>233</v>
      </c>
      <c r="BD284" s="8" t="s">
        <v>233</v>
      </c>
      <c r="BE284" s="4" t="s">
        <v>233</v>
      </c>
      <c r="BF284" s="8" t="s">
        <v>233</v>
      </c>
      <c r="BG284" s="7" t="s">
        <v>233</v>
      </c>
      <c r="BH284" s="7" t="s">
        <v>233</v>
      </c>
      <c r="BI284" s="7"/>
      <c r="BJ284" s="4"/>
      <c r="BK284" s="8"/>
      <c r="BL284" s="2" t="s">
        <v>233</v>
      </c>
      <c r="BM284" s="7"/>
      <c r="BN284" s="7"/>
      <c r="BO284" s="4"/>
      <c r="BP284" s="8"/>
      <c r="BQ284" s="4"/>
      <c r="BR284" s="8"/>
      <c r="BS284" s="7"/>
      <c r="BT284" s="7"/>
      <c r="BU284" s="2" t="s">
        <v>243</v>
      </c>
      <c r="BV284" s="2" t="s">
        <v>233</v>
      </c>
      <c r="BW284" s="2" t="s">
        <v>233</v>
      </c>
      <c r="BX284" s="2" t="s">
        <v>243</v>
      </c>
      <c r="BY284" s="2" t="s">
        <v>244</v>
      </c>
      <c r="BZ284" s="2" t="s">
        <v>245</v>
      </c>
      <c r="CA284" s="2" t="s">
        <v>233</v>
      </c>
      <c r="CB284" s="2" t="s">
        <v>233</v>
      </c>
      <c r="CC284" s="2" t="s">
        <v>246</v>
      </c>
      <c r="CD284" s="2" t="s">
        <v>233</v>
      </c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>
        <v>90</v>
      </c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</row>
    <row r="285">
      <c r="A285" s="2" t="s">
        <v>1918</v>
      </c>
      <c r="B285" s="2" t="s">
        <v>1066</v>
      </c>
      <c r="C285" s="2" t="s">
        <v>1157</v>
      </c>
      <c r="D285" s="2" t="s">
        <v>1919</v>
      </c>
      <c r="E285" s="2" t="s">
        <v>1920</v>
      </c>
      <c r="F285" s="2" t="s">
        <v>1914</v>
      </c>
      <c r="G285" s="2" t="s">
        <v>1914</v>
      </c>
      <c r="H285" s="2" t="s">
        <v>1914</v>
      </c>
      <c r="I285" s="2" t="s">
        <v>1921</v>
      </c>
      <c r="J285" s="2" t="s">
        <v>892</v>
      </c>
      <c r="K285" s="2" t="s">
        <v>271</v>
      </c>
      <c r="L285" s="3">
        <v>142</v>
      </c>
      <c r="M285" s="3">
        <v>149.1</v>
      </c>
      <c r="N285" s="3">
        <v>299</v>
      </c>
      <c r="O285" s="2" t="s">
        <v>245</v>
      </c>
      <c r="P285" s="2" t="s">
        <v>1916</v>
      </c>
      <c r="Q285" s="2" t="s">
        <v>239</v>
      </c>
      <c r="R285" s="2" t="s">
        <v>233</v>
      </c>
      <c r="S285" s="2" t="s">
        <v>233</v>
      </c>
      <c r="T285" s="2" t="s">
        <v>233</v>
      </c>
      <c r="U285" s="2" t="s">
        <v>491</v>
      </c>
      <c r="V285" s="2" t="s">
        <v>893</v>
      </c>
      <c r="W285" s="2" t="s">
        <v>451</v>
      </c>
      <c r="X285" s="2" t="s">
        <v>776</v>
      </c>
      <c r="Y285" s="2" t="s">
        <v>233</v>
      </c>
      <c r="Z285" s="4"/>
      <c r="AA285" s="4">
        <f>=ROUNDDOWN({0},0)</f>
      </c>
      <c r="AB285" s="5"/>
      <c r="AC285" s="2" t="s">
        <v>1917</v>
      </c>
      <c r="AD285" s="4">
        <v>90</v>
      </c>
      <c r="AE285" s="4">
        <v>90</v>
      </c>
      <c r="AF285" s="6">
        <v>74</v>
      </c>
      <c r="AG285" s="6"/>
      <c r="AH285" s="7">
        <v>0</v>
      </c>
      <c r="AI285" s="4"/>
      <c r="AJ285" s="4">
        <f>=ROUNDDOWN({0},0)</f>
      </c>
      <c r="AK285" s="5"/>
      <c r="AL285" s="2" t="s">
        <v>233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233</v>
      </c>
      <c r="AW285" s="8" t="s">
        <v>233</v>
      </c>
      <c r="AX285" s="4" t="s">
        <v>233</v>
      </c>
      <c r="AY285" s="8" t="s">
        <v>233</v>
      </c>
      <c r="AZ285" s="7" t="s">
        <v>233</v>
      </c>
      <c r="BA285" s="7" t="s">
        <v>233</v>
      </c>
      <c r="BB285" s="7" t="s">
        <v>233</v>
      </c>
      <c r="BC285" s="4" t="s">
        <v>233</v>
      </c>
      <c r="BD285" s="8" t="s">
        <v>233</v>
      </c>
      <c r="BE285" s="4" t="s">
        <v>233</v>
      </c>
      <c r="BF285" s="8" t="s">
        <v>233</v>
      </c>
      <c r="BG285" s="7" t="s">
        <v>233</v>
      </c>
      <c r="BH285" s="7" t="s">
        <v>233</v>
      </c>
      <c r="BI285" s="7"/>
      <c r="BJ285" s="4"/>
      <c r="BK285" s="8"/>
      <c r="BL285" s="2" t="s">
        <v>233</v>
      </c>
      <c r="BM285" s="7"/>
      <c r="BN285" s="7"/>
      <c r="BO285" s="4"/>
      <c r="BP285" s="8"/>
      <c r="BQ285" s="4"/>
      <c r="BR285" s="8"/>
      <c r="BS285" s="7"/>
      <c r="BT285" s="7"/>
      <c r="BU285" s="2" t="s">
        <v>243</v>
      </c>
      <c r="BV285" s="2" t="s">
        <v>233</v>
      </c>
      <c r="BW285" s="2" t="s">
        <v>233</v>
      </c>
      <c r="BX285" s="2" t="s">
        <v>243</v>
      </c>
      <c r="BY285" s="2" t="s">
        <v>244</v>
      </c>
      <c r="BZ285" s="2" t="s">
        <v>245</v>
      </c>
      <c r="CA285" s="2" t="s">
        <v>233</v>
      </c>
      <c r="CB285" s="2" t="s">
        <v>233</v>
      </c>
      <c r="CC285" s="2" t="s">
        <v>246</v>
      </c>
      <c r="CD285" s="2" t="s">
        <v>233</v>
      </c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>
        <v>90</v>
      </c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</row>
    <row r="286">
      <c r="A286" s="2" t="s">
        <v>1922</v>
      </c>
      <c r="B286" s="2" t="s">
        <v>1066</v>
      </c>
      <c r="C286" s="2" t="s">
        <v>1157</v>
      </c>
      <c r="D286" s="2" t="s">
        <v>1923</v>
      </c>
      <c r="E286" s="2" t="s">
        <v>1924</v>
      </c>
      <c r="F286" s="2" t="s">
        <v>1914</v>
      </c>
      <c r="G286" s="2" t="s">
        <v>1914</v>
      </c>
      <c r="H286" s="2" t="s">
        <v>1914</v>
      </c>
      <c r="I286" s="2" t="s">
        <v>1925</v>
      </c>
      <c r="J286" s="2" t="s">
        <v>892</v>
      </c>
      <c r="K286" s="2" t="s">
        <v>271</v>
      </c>
      <c r="L286" s="3">
        <v>105</v>
      </c>
      <c r="M286" s="3">
        <v>110.25</v>
      </c>
      <c r="N286" s="3">
        <v>219</v>
      </c>
      <c r="O286" s="2" t="s">
        <v>245</v>
      </c>
      <c r="P286" s="2" t="s">
        <v>1916</v>
      </c>
      <c r="Q286" s="2" t="s">
        <v>239</v>
      </c>
      <c r="R286" s="2" t="s">
        <v>233</v>
      </c>
      <c r="S286" s="2" t="s">
        <v>233</v>
      </c>
      <c r="T286" s="2" t="s">
        <v>233</v>
      </c>
      <c r="U286" s="2" t="s">
        <v>491</v>
      </c>
      <c r="V286" s="2" t="s">
        <v>893</v>
      </c>
      <c r="W286" s="2" t="s">
        <v>451</v>
      </c>
      <c r="X286" s="2" t="s">
        <v>776</v>
      </c>
      <c r="Y286" s="2" t="s">
        <v>233</v>
      </c>
      <c r="Z286" s="4"/>
      <c r="AA286" s="4">
        <f>=ROUNDDOWN({0},0)</f>
      </c>
      <c r="AB286" s="5"/>
      <c r="AC286" s="2" t="s">
        <v>1917</v>
      </c>
      <c r="AD286" s="4">
        <v>90</v>
      </c>
      <c r="AE286" s="4">
        <v>90</v>
      </c>
      <c r="AF286" s="6">
        <v>74</v>
      </c>
      <c r="AG286" s="6"/>
      <c r="AH286" s="7">
        <v>0</v>
      </c>
      <c r="AI286" s="4"/>
      <c r="AJ286" s="4">
        <f>=ROUNDDOWN({0},0)</f>
      </c>
      <c r="AK286" s="5"/>
      <c r="AL286" s="2" t="s">
        <v>233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233</v>
      </c>
      <c r="AW286" s="8" t="s">
        <v>233</v>
      </c>
      <c r="AX286" s="4" t="s">
        <v>233</v>
      </c>
      <c r="AY286" s="8" t="s">
        <v>233</v>
      </c>
      <c r="AZ286" s="7" t="s">
        <v>233</v>
      </c>
      <c r="BA286" s="7" t="s">
        <v>233</v>
      </c>
      <c r="BB286" s="7" t="s">
        <v>233</v>
      </c>
      <c r="BC286" s="4" t="s">
        <v>233</v>
      </c>
      <c r="BD286" s="8" t="s">
        <v>233</v>
      </c>
      <c r="BE286" s="4" t="s">
        <v>233</v>
      </c>
      <c r="BF286" s="8" t="s">
        <v>233</v>
      </c>
      <c r="BG286" s="7" t="s">
        <v>233</v>
      </c>
      <c r="BH286" s="7" t="s">
        <v>233</v>
      </c>
      <c r="BI286" s="7"/>
      <c r="BJ286" s="4"/>
      <c r="BK286" s="8"/>
      <c r="BL286" s="2" t="s">
        <v>233</v>
      </c>
      <c r="BM286" s="7"/>
      <c r="BN286" s="7"/>
      <c r="BO286" s="4"/>
      <c r="BP286" s="8"/>
      <c r="BQ286" s="4"/>
      <c r="BR286" s="8"/>
      <c r="BS286" s="7"/>
      <c r="BT286" s="7"/>
      <c r="BU286" s="2" t="s">
        <v>243</v>
      </c>
      <c r="BV286" s="2" t="s">
        <v>233</v>
      </c>
      <c r="BW286" s="2" t="s">
        <v>233</v>
      </c>
      <c r="BX286" s="2" t="s">
        <v>243</v>
      </c>
      <c r="BY286" s="2" t="s">
        <v>244</v>
      </c>
      <c r="BZ286" s="2" t="s">
        <v>245</v>
      </c>
      <c r="CA286" s="2" t="s">
        <v>233</v>
      </c>
      <c r="CB286" s="2" t="s">
        <v>233</v>
      </c>
      <c r="CC286" s="2" t="s">
        <v>246</v>
      </c>
      <c r="CD286" s="2" t="s">
        <v>233</v>
      </c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>
        <v>90</v>
      </c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</row>
    <row r="287">
      <c r="A287" s="2" t="s">
        <v>1926</v>
      </c>
      <c r="B287" s="2" t="s">
        <v>1174</v>
      </c>
      <c r="C287" s="2" t="s">
        <v>530</v>
      </c>
      <c r="D287" s="2" t="s">
        <v>1175</v>
      </c>
      <c r="E287" s="2" t="s">
        <v>1206</v>
      </c>
      <c r="F287" s="2" t="s">
        <v>1914</v>
      </c>
      <c r="G287" s="2" t="s">
        <v>1927</v>
      </c>
      <c r="H287" s="2" t="s">
        <v>1928</v>
      </c>
      <c r="I287" s="2" t="s">
        <v>1929</v>
      </c>
      <c r="J287" s="2" t="s">
        <v>1453</v>
      </c>
      <c r="K287" s="2" t="s">
        <v>1930</v>
      </c>
      <c r="L287" s="3">
        <v>31.5</v>
      </c>
      <c r="M287" s="3">
        <v>33.08</v>
      </c>
      <c r="N287" s="3">
        <v>69.99</v>
      </c>
      <c r="O287" s="2" t="s">
        <v>245</v>
      </c>
      <c r="P287" s="2" t="s">
        <v>741</v>
      </c>
      <c r="Q287" s="2" t="s">
        <v>239</v>
      </c>
      <c r="R287" s="2" t="s">
        <v>233</v>
      </c>
      <c r="S287" s="2" t="s">
        <v>1931</v>
      </c>
      <c r="T287" s="2" t="s">
        <v>233</v>
      </c>
      <c r="U287" s="2" t="s">
        <v>233</v>
      </c>
      <c r="V287" s="2" t="s">
        <v>1932</v>
      </c>
      <c r="W287" s="2" t="s">
        <v>776</v>
      </c>
      <c r="X287" s="2" t="s">
        <v>1526</v>
      </c>
      <c r="Y287" s="2" t="s">
        <v>276</v>
      </c>
      <c r="Z287" s="4">
        <v>76</v>
      </c>
      <c r="AA287" s="4">
        <f>=ROUNDDOWN(9.5,0)</f>
      </c>
      <c r="AB287" s="5">
        <v>8</v>
      </c>
      <c r="AC287" s="2" t="s">
        <v>1107</v>
      </c>
      <c r="AD287" s="4">
        <v>104</v>
      </c>
      <c r="AE287" s="4">
        <v>324</v>
      </c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233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233</v>
      </c>
      <c r="BD287" s="8" t="s">
        <v>233</v>
      </c>
      <c r="BE287" s="4" t="s">
        <v>233</v>
      </c>
      <c r="BF287" s="8" t="s">
        <v>233</v>
      </c>
      <c r="BG287" s="7" t="s">
        <v>233</v>
      </c>
      <c r="BH287" s="7" t="s">
        <v>233</v>
      </c>
      <c r="BI287" s="7"/>
      <c r="BJ287" s="4">
        <v>23</v>
      </c>
      <c r="BK287" s="8">
        <v>808.58</v>
      </c>
      <c r="BL287" s="2" t="s">
        <v>1933</v>
      </c>
      <c r="BM287" s="7"/>
      <c r="BN287" s="7"/>
      <c r="BO287" s="4"/>
      <c r="BP287" s="8"/>
      <c r="BQ287" s="4"/>
      <c r="BR287" s="8"/>
      <c r="BS287" s="7"/>
      <c r="BT287" s="7"/>
      <c r="BU287" s="2" t="s">
        <v>1934</v>
      </c>
      <c r="BV287" s="2" t="s">
        <v>233</v>
      </c>
      <c r="BW287" s="2" t="s">
        <v>233</v>
      </c>
      <c r="BX287" s="2" t="s">
        <v>233</v>
      </c>
      <c r="BY287" s="2" t="s">
        <v>280</v>
      </c>
      <c r="BZ287" s="2" t="s">
        <v>245</v>
      </c>
      <c r="CA287" s="2" t="s">
        <v>281</v>
      </c>
      <c r="CB287" s="2" t="s">
        <v>1935</v>
      </c>
      <c r="CC287" s="2" t="s">
        <v>246</v>
      </c>
      <c r="CD287" s="2" t="s">
        <v>233</v>
      </c>
      <c r="CE287" s="4">
        <v>76</v>
      </c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>
        <v>104</v>
      </c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>
        <v>68</v>
      </c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>
        <v>152</v>
      </c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</row>
    <row r="288">
      <c r="A288" s="2" t="s">
        <v>1936</v>
      </c>
      <c r="B288" s="2" t="s">
        <v>1066</v>
      </c>
      <c r="C288" s="2" t="s">
        <v>1157</v>
      </c>
      <c r="D288" s="2" t="s">
        <v>1713</v>
      </c>
      <c r="E288" s="2" t="s">
        <v>1913</v>
      </c>
      <c r="F288" s="2" t="s">
        <v>1914</v>
      </c>
      <c r="G288" s="2" t="s">
        <v>1914</v>
      </c>
      <c r="H288" s="2" t="s">
        <v>1914</v>
      </c>
      <c r="I288" s="2" t="s">
        <v>1915</v>
      </c>
      <c r="J288" s="2" t="s">
        <v>892</v>
      </c>
      <c r="K288" s="2" t="s">
        <v>1191</v>
      </c>
      <c r="L288" s="3">
        <v>85</v>
      </c>
      <c r="M288" s="3">
        <v>89.25</v>
      </c>
      <c r="N288" s="3">
        <v>179</v>
      </c>
      <c r="O288" s="2" t="s">
        <v>245</v>
      </c>
      <c r="P288" s="2" t="s">
        <v>1916</v>
      </c>
      <c r="Q288" s="2" t="s">
        <v>239</v>
      </c>
      <c r="R288" s="2" t="s">
        <v>233</v>
      </c>
      <c r="S288" s="2" t="s">
        <v>233</v>
      </c>
      <c r="T288" s="2" t="s">
        <v>233</v>
      </c>
      <c r="U288" s="2" t="s">
        <v>396</v>
      </c>
      <c r="V288" s="2" t="s">
        <v>893</v>
      </c>
      <c r="W288" s="2" t="s">
        <v>451</v>
      </c>
      <c r="X288" s="2" t="s">
        <v>776</v>
      </c>
      <c r="Y288" s="2" t="s">
        <v>233</v>
      </c>
      <c r="Z288" s="4"/>
      <c r="AA288" s="4">
        <f>=ROUNDDOWN({0},0)</f>
      </c>
      <c r="AB288" s="5"/>
      <c r="AC288" s="2" t="s">
        <v>1917</v>
      </c>
      <c r="AD288" s="4">
        <v>90</v>
      </c>
      <c r="AE288" s="4">
        <v>90</v>
      </c>
      <c r="AF288" s="6">
        <v>74</v>
      </c>
      <c r="AG288" s="6"/>
      <c r="AH288" s="7">
        <v>0</v>
      </c>
      <c r="AI288" s="4"/>
      <c r="AJ288" s="4">
        <f>=ROUNDDOWN({0},0)</f>
      </c>
      <c r="AK288" s="5"/>
      <c r="AL288" s="2" t="s">
        <v>233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233</v>
      </c>
      <c r="BD288" s="8" t="s">
        <v>233</v>
      </c>
      <c r="BE288" s="4" t="s">
        <v>233</v>
      </c>
      <c r="BF288" s="8" t="s">
        <v>233</v>
      </c>
      <c r="BG288" s="7" t="s">
        <v>233</v>
      </c>
      <c r="BH288" s="7" t="s">
        <v>233</v>
      </c>
      <c r="BI288" s="7"/>
      <c r="BJ288" s="4"/>
      <c r="BK288" s="8"/>
      <c r="BL288" s="2" t="s">
        <v>233</v>
      </c>
      <c r="BM288" s="7"/>
      <c r="BN288" s="7"/>
      <c r="BO288" s="4"/>
      <c r="BP288" s="8"/>
      <c r="BQ288" s="4"/>
      <c r="BR288" s="8"/>
      <c r="BS288" s="7"/>
      <c r="BT288" s="7"/>
      <c r="BU288" s="2" t="s">
        <v>243</v>
      </c>
      <c r="BV288" s="2" t="s">
        <v>233</v>
      </c>
      <c r="BW288" s="2" t="s">
        <v>233</v>
      </c>
      <c r="BX288" s="2" t="s">
        <v>243</v>
      </c>
      <c r="BY288" s="2" t="s">
        <v>244</v>
      </c>
      <c r="BZ288" s="2" t="s">
        <v>245</v>
      </c>
      <c r="CA288" s="2" t="s">
        <v>233</v>
      </c>
      <c r="CB288" s="2" t="s">
        <v>233</v>
      </c>
      <c r="CC288" s="2" t="s">
        <v>246</v>
      </c>
      <c r="CD288" s="2" t="s">
        <v>233</v>
      </c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>
        <v>90</v>
      </c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</row>
    <row r="289">
      <c r="A289" s="2" t="s">
        <v>1937</v>
      </c>
      <c r="B289" s="2" t="s">
        <v>1066</v>
      </c>
      <c r="C289" s="2" t="s">
        <v>1157</v>
      </c>
      <c r="D289" s="2" t="s">
        <v>1919</v>
      </c>
      <c r="E289" s="2" t="s">
        <v>1920</v>
      </c>
      <c r="F289" s="2" t="s">
        <v>1914</v>
      </c>
      <c r="G289" s="2" t="s">
        <v>1914</v>
      </c>
      <c r="H289" s="2" t="s">
        <v>1914</v>
      </c>
      <c r="I289" s="2" t="s">
        <v>1921</v>
      </c>
      <c r="J289" s="2" t="s">
        <v>892</v>
      </c>
      <c r="K289" s="2" t="s">
        <v>1938</v>
      </c>
      <c r="L289" s="3">
        <v>142</v>
      </c>
      <c r="M289" s="3">
        <v>149.1</v>
      </c>
      <c r="N289" s="3">
        <v>299</v>
      </c>
      <c r="O289" s="2" t="s">
        <v>245</v>
      </c>
      <c r="P289" s="2" t="s">
        <v>1916</v>
      </c>
      <c r="Q289" s="2" t="s">
        <v>239</v>
      </c>
      <c r="R289" s="2" t="s">
        <v>233</v>
      </c>
      <c r="S289" s="2" t="s">
        <v>233</v>
      </c>
      <c r="T289" s="2" t="s">
        <v>233</v>
      </c>
      <c r="U289" s="2" t="s">
        <v>491</v>
      </c>
      <c r="V289" s="2" t="s">
        <v>893</v>
      </c>
      <c r="W289" s="2" t="s">
        <v>451</v>
      </c>
      <c r="X289" s="2" t="s">
        <v>776</v>
      </c>
      <c r="Y289" s="2" t="s">
        <v>233</v>
      </c>
      <c r="Z289" s="4"/>
      <c r="AA289" s="4">
        <f>=ROUNDDOWN({0},0)</f>
      </c>
      <c r="AB289" s="5"/>
      <c r="AC289" s="2" t="s">
        <v>1917</v>
      </c>
      <c r="AD289" s="4">
        <v>90</v>
      </c>
      <c r="AE289" s="4">
        <v>90</v>
      </c>
      <c r="AF289" s="6">
        <v>74</v>
      </c>
      <c r="AG289" s="6"/>
      <c r="AH289" s="7">
        <v>0</v>
      </c>
      <c r="AI289" s="4"/>
      <c r="AJ289" s="4">
        <f>=ROUNDDOWN({0},0)</f>
      </c>
      <c r="AK289" s="5"/>
      <c r="AL289" s="2" t="s">
        <v>233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233</v>
      </c>
      <c r="AW289" s="8" t="s">
        <v>233</v>
      </c>
      <c r="AX289" s="4" t="s">
        <v>233</v>
      </c>
      <c r="AY289" s="8" t="s">
        <v>233</v>
      </c>
      <c r="AZ289" s="7" t="s">
        <v>233</v>
      </c>
      <c r="BA289" s="7" t="s">
        <v>233</v>
      </c>
      <c r="BB289" s="7" t="s">
        <v>233</v>
      </c>
      <c r="BC289" s="4" t="s">
        <v>233</v>
      </c>
      <c r="BD289" s="8" t="s">
        <v>233</v>
      </c>
      <c r="BE289" s="4" t="s">
        <v>233</v>
      </c>
      <c r="BF289" s="8" t="s">
        <v>233</v>
      </c>
      <c r="BG289" s="7" t="s">
        <v>233</v>
      </c>
      <c r="BH289" s="7" t="s">
        <v>233</v>
      </c>
      <c r="BI289" s="7"/>
      <c r="BJ289" s="4"/>
      <c r="BK289" s="8"/>
      <c r="BL289" s="2" t="s">
        <v>233</v>
      </c>
      <c r="BM289" s="7"/>
      <c r="BN289" s="7"/>
      <c r="BO289" s="4"/>
      <c r="BP289" s="8"/>
      <c r="BQ289" s="4"/>
      <c r="BR289" s="8"/>
      <c r="BS289" s="7"/>
      <c r="BT289" s="7"/>
      <c r="BU289" s="2" t="s">
        <v>243</v>
      </c>
      <c r="BV289" s="2" t="s">
        <v>233</v>
      </c>
      <c r="BW289" s="2" t="s">
        <v>233</v>
      </c>
      <c r="BX289" s="2" t="s">
        <v>243</v>
      </c>
      <c r="BY289" s="2" t="s">
        <v>244</v>
      </c>
      <c r="BZ289" s="2" t="s">
        <v>245</v>
      </c>
      <c r="CA289" s="2" t="s">
        <v>233</v>
      </c>
      <c r="CB289" s="2" t="s">
        <v>233</v>
      </c>
      <c r="CC289" s="2" t="s">
        <v>246</v>
      </c>
      <c r="CD289" s="2" t="s">
        <v>233</v>
      </c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>
        <v>90</v>
      </c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</row>
    <row r="290">
      <c r="A290" s="2" t="s">
        <v>1939</v>
      </c>
      <c r="B290" s="2" t="s">
        <v>1066</v>
      </c>
      <c r="C290" s="2" t="s">
        <v>1157</v>
      </c>
      <c r="D290" s="2" t="s">
        <v>1923</v>
      </c>
      <c r="E290" s="2" t="s">
        <v>1924</v>
      </c>
      <c r="F290" s="2" t="s">
        <v>1914</v>
      </c>
      <c r="G290" s="2" t="s">
        <v>1914</v>
      </c>
      <c r="H290" s="2" t="s">
        <v>1914</v>
      </c>
      <c r="I290" s="2" t="s">
        <v>1925</v>
      </c>
      <c r="J290" s="2" t="s">
        <v>892</v>
      </c>
      <c r="K290" s="2" t="s">
        <v>1938</v>
      </c>
      <c r="L290" s="3">
        <v>105</v>
      </c>
      <c r="M290" s="3">
        <v>110.25</v>
      </c>
      <c r="N290" s="3">
        <v>219</v>
      </c>
      <c r="O290" s="2" t="s">
        <v>245</v>
      </c>
      <c r="P290" s="2" t="s">
        <v>1916</v>
      </c>
      <c r="Q290" s="2" t="s">
        <v>239</v>
      </c>
      <c r="R290" s="2" t="s">
        <v>233</v>
      </c>
      <c r="S290" s="2" t="s">
        <v>233</v>
      </c>
      <c r="T290" s="2" t="s">
        <v>233</v>
      </c>
      <c r="U290" s="2" t="s">
        <v>491</v>
      </c>
      <c r="V290" s="2" t="s">
        <v>893</v>
      </c>
      <c r="W290" s="2" t="s">
        <v>451</v>
      </c>
      <c r="X290" s="2" t="s">
        <v>776</v>
      </c>
      <c r="Y290" s="2" t="s">
        <v>233</v>
      </c>
      <c r="Z290" s="4"/>
      <c r="AA290" s="4">
        <f>=ROUNDDOWN({0},0)</f>
      </c>
      <c r="AB290" s="5"/>
      <c r="AC290" s="2" t="s">
        <v>1917</v>
      </c>
      <c r="AD290" s="4">
        <v>90</v>
      </c>
      <c r="AE290" s="4">
        <v>90</v>
      </c>
      <c r="AF290" s="6">
        <v>74</v>
      </c>
      <c r="AG290" s="6"/>
      <c r="AH290" s="7">
        <v>0</v>
      </c>
      <c r="AI290" s="4"/>
      <c r="AJ290" s="4">
        <f>=ROUNDDOWN({0},0)</f>
      </c>
      <c r="AK290" s="5"/>
      <c r="AL290" s="2" t="s">
        <v>233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233</v>
      </c>
      <c r="AW290" s="8" t="s">
        <v>233</v>
      </c>
      <c r="AX290" s="4" t="s">
        <v>233</v>
      </c>
      <c r="AY290" s="8" t="s">
        <v>233</v>
      </c>
      <c r="AZ290" s="7" t="s">
        <v>233</v>
      </c>
      <c r="BA290" s="7" t="s">
        <v>233</v>
      </c>
      <c r="BB290" s="7" t="s">
        <v>233</v>
      </c>
      <c r="BC290" s="4" t="s">
        <v>233</v>
      </c>
      <c r="BD290" s="8" t="s">
        <v>233</v>
      </c>
      <c r="BE290" s="4" t="s">
        <v>233</v>
      </c>
      <c r="BF290" s="8" t="s">
        <v>233</v>
      </c>
      <c r="BG290" s="7" t="s">
        <v>233</v>
      </c>
      <c r="BH290" s="7" t="s">
        <v>233</v>
      </c>
      <c r="BI290" s="7"/>
      <c r="BJ290" s="4"/>
      <c r="BK290" s="8"/>
      <c r="BL290" s="2" t="s">
        <v>233</v>
      </c>
      <c r="BM290" s="7"/>
      <c r="BN290" s="7"/>
      <c r="BO290" s="4"/>
      <c r="BP290" s="8"/>
      <c r="BQ290" s="4"/>
      <c r="BR290" s="8"/>
      <c r="BS290" s="7"/>
      <c r="BT290" s="7"/>
      <c r="BU290" s="2" t="s">
        <v>243</v>
      </c>
      <c r="BV290" s="2" t="s">
        <v>233</v>
      </c>
      <c r="BW290" s="2" t="s">
        <v>233</v>
      </c>
      <c r="BX290" s="2" t="s">
        <v>243</v>
      </c>
      <c r="BY290" s="2" t="s">
        <v>244</v>
      </c>
      <c r="BZ290" s="2" t="s">
        <v>245</v>
      </c>
      <c r="CA290" s="2" t="s">
        <v>233</v>
      </c>
      <c r="CB290" s="2" t="s">
        <v>233</v>
      </c>
      <c r="CC290" s="2" t="s">
        <v>246</v>
      </c>
      <c r="CD290" s="2" t="s">
        <v>233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>
        <v>90</v>
      </c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</row>
    <row r="291">
      <c r="A291" s="2" t="s">
        <v>1940</v>
      </c>
      <c r="B291" s="2" t="s">
        <v>1066</v>
      </c>
      <c r="C291" s="2" t="s">
        <v>1157</v>
      </c>
      <c r="D291" s="2" t="s">
        <v>1713</v>
      </c>
      <c r="E291" s="2" t="s">
        <v>1913</v>
      </c>
      <c r="F291" s="2" t="s">
        <v>1914</v>
      </c>
      <c r="G291" s="2" t="s">
        <v>1914</v>
      </c>
      <c r="H291" s="2" t="s">
        <v>1914</v>
      </c>
      <c r="I291" s="2" t="s">
        <v>1915</v>
      </c>
      <c r="J291" s="2" t="s">
        <v>892</v>
      </c>
      <c r="K291" s="2" t="s">
        <v>1537</v>
      </c>
      <c r="L291" s="3">
        <v>85</v>
      </c>
      <c r="M291" s="3">
        <v>89.25</v>
      </c>
      <c r="N291" s="3">
        <v>179</v>
      </c>
      <c r="O291" s="2" t="s">
        <v>245</v>
      </c>
      <c r="P291" s="2" t="s">
        <v>1916</v>
      </c>
      <c r="Q291" s="2" t="s">
        <v>239</v>
      </c>
      <c r="R291" s="2" t="s">
        <v>233</v>
      </c>
      <c r="S291" s="2" t="s">
        <v>233</v>
      </c>
      <c r="T291" s="2" t="s">
        <v>233</v>
      </c>
      <c r="U291" s="2" t="s">
        <v>396</v>
      </c>
      <c r="V291" s="2" t="s">
        <v>893</v>
      </c>
      <c r="W291" s="2" t="s">
        <v>451</v>
      </c>
      <c r="X291" s="2" t="s">
        <v>776</v>
      </c>
      <c r="Y291" s="2" t="s">
        <v>233</v>
      </c>
      <c r="Z291" s="4"/>
      <c r="AA291" s="4">
        <f>=ROUNDDOWN({0},0)</f>
      </c>
      <c r="AB291" s="5"/>
      <c r="AC291" s="2" t="s">
        <v>1917</v>
      </c>
      <c r="AD291" s="4">
        <v>160</v>
      </c>
      <c r="AE291" s="4">
        <v>160</v>
      </c>
      <c r="AF291" s="6">
        <v>74</v>
      </c>
      <c r="AG291" s="6"/>
      <c r="AH291" s="7">
        <v>0</v>
      </c>
      <c r="AI291" s="4"/>
      <c r="AJ291" s="4">
        <f>=ROUNDDOWN({0},0)</f>
      </c>
      <c r="AK291" s="5"/>
      <c r="AL291" s="2" t="s">
        <v>233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233</v>
      </c>
      <c r="AW291" s="8" t="s">
        <v>233</v>
      </c>
      <c r="AX291" s="4" t="s">
        <v>233</v>
      </c>
      <c r="AY291" s="8" t="s">
        <v>233</v>
      </c>
      <c r="AZ291" s="7" t="s">
        <v>233</v>
      </c>
      <c r="BA291" s="7" t="s">
        <v>233</v>
      </c>
      <c r="BB291" s="7" t="s">
        <v>233</v>
      </c>
      <c r="BC291" s="4" t="s">
        <v>233</v>
      </c>
      <c r="BD291" s="8" t="s">
        <v>233</v>
      </c>
      <c r="BE291" s="4" t="s">
        <v>233</v>
      </c>
      <c r="BF291" s="8" t="s">
        <v>233</v>
      </c>
      <c r="BG291" s="7" t="s">
        <v>233</v>
      </c>
      <c r="BH291" s="7" t="s">
        <v>233</v>
      </c>
      <c r="BI291" s="7"/>
      <c r="BJ291" s="4"/>
      <c r="BK291" s="8"/>
      <c r="BL291" s="2" t="s">
        <v>233</v>
      </c>
      <c r="BM291" s="7"/>
      <c r="BN291" s="7"/>
      <c r="BO291" s="4"/>
      <c r="BP291" s="8"/>
      <c r="BQ291" s="4"/>
      <c r="BR291" s="8"/>
      <c r="BS291" s="7"/>
      <c r="BT291" s="7"/>
      <c r="BU291" s="2" t="s">
        <v>243</v>
      </c>
      <c r="BV291" s="2" t="s">
        <v>233</v>
      </c>
      <c r="BW291" s="2" t="s">
        <v>233</v>
      </c>
      <c r="BX291" s="2" t="s">
        <v>243</v>
      </c>
      <c r="BY291" s="2" t="s">
        <v>244</v>
      </c>
      <c r="BZ291" s="2" t="s">
        <v>245</v>
      </c>
      <c r="CA291" s="2" t="s">
        <v>233</v>
      </c>
      <c r="CB291" s="2" t="s">
        <v>233</v>
      </c>
      <c r="CC291" s="2" t="s">
        <v>246</v>
      </c>
      <c r="CD291" s="2" t="s">
        <v>233</v>
      </c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>
        <v>160</v>
      </c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</row>
    <row r="292">
      <c r="A292" s="2" t="s">
        <v>1941</v>
      </c>
      <c r="B292" s="2" t="s">
        <v>1066</v>
      </c>
      <c r="C292" s="2" t="s">
        <v>1157</v>
      </c>
      <c r="D292" s="2" t="s">
        <v>1919</v>
      </c>
      <c r="E292" s="2" t="s">
        <v>1920</v>
      </c>
      <c r="F292" s="2" t="s">
        <v>1914</v>
      </c>
      <c r="G292" s="2" t="s">
        <v>1914</v>
      </c>
      <c r="H292" s="2" t="s">
        <v>1914</v>
      </c>
      <c r="I292" s="2" t="s">
        <v>1921</v>
      </c>
      <c r="J292" s="2" t="s">
        <v>892</v>
      </c>
      <c r="K292" s="2" t="s">
        <v>1537</v>
      </c>
      <c r="L292" s="3">
        <v>142</v>
      </c>
      <c r="M292" s="3">
        <v>149.1</v>
      </c>
      <c r="N292" s="3">
        <v>299</v>
      </c>
      <c r="O292" s="2" t="s">
        <v>245</v>
      </c>
      <c r="P292" s="2" t="s">
        <v>1916</v>
      </c>
      <c r="Q292" s="2" t="s">
        <v>239</v>
      </c>
      <c r="R292" s="2" t="s">
        <v>233</v>
      </c>
      <c r="S292" s="2" t="s">
        <v>233</v>
      </c>
      <c r="T292" s="2" t="s">
        <v>233</v>
      </c>
      <c r="U292" s="2" t="s">
        <v>491</v>
      </c>
      <c r="V292" s="2" t="s">
        <v>893</v>
      </c>
      <c r="W292" s="2" t="s">
        <v>451</v>
      </c>
      <c r="X292" s="2" t="s">
        <v>776</v>
      </c>
      <c r="Y292" s="2" t="s">
        <v>233</v>
      </c>
      <c r="Z292" s="4"/>
      <c r="AA292" s="4">
        <f>=ROUNDDOWN({0},0)</f>
      </c>
      <c r="AB292" s="5"/>
      <c r="AC292" s="2" t="s">
        <v>1917</v>
      </c>
      <c r="AD292" s="4">
        <v>160</v>
      </c>
      <c r="AE292" s="4">
        <v>160</v>
      </c>
      <c r="AF292" s="6">
        <v>74</v>
      </c>
      <c r="AG292" s="6"/>
      <c r="AH292" s="7">
        <v>0</v>
      </c>
      <c r="AI292" s="4"/>
      <c r="AJ292" s="4">
        <f>=ROUNDDOWN({0},0)</f>
      </c>
      <c r="AK292" s="5"/>
      <c r="AL292" s="2" t="s">
        <v>233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233</v>
      </c>
      <c r="AW292" s="8" t="s">
        <v>233</v>
      </c>
      <c r="AX292" s="4" t="s">
        <v>233</v>
      </c>
      <c r="AY292" s="8" t="s">
        <v>233</v>
      </c>
      <c r="AZ292" s="7" t="s">
        <v>233</v>
      </c>
      <c r="BA292" s="7" t="s">
        <v>233</v>
      </c>
      <c r="BB292" s="7" t="s">
        <v>233</v>
      </c>
      <c r="BC292" s="4" t="s">
        <v>233</v>
      </c>
      <c r="BD292" s="8" t="s">
        <v>233</v>
      </c>
      <c r="BE292" s="4" t="s">
        <v>233</v>
      </c>
      <c r="BF292" s="8" t="s">
        <v>233</v>
      </c>
      <c r="BG292" s="7" t="s">
        <v>233</v>
      </c>
      <c r="BH292" s="7" t="s">
        <v>233</v>
      </c>
      <c r="BI292" s="7"/>
      <c r="BJ292" s="4"/>
      <c r="BK292" s="8"/>
      <c r="BL292" s="2" t="s">
        <v>233</v>
      </c>
      <c r="BM292" s="7"/>
      <c r="BN292" s="7"/>
      <c r="BO292" s="4"/>
      <c r="BP292" s="8"/>
      <c r="BQ292" s="4"/>
      <c r="BR292" s="8"/>
      <c r="BS292" s="7"/>
      <c r="BT292" s="7"/>
      <c r="BU292" s="2" t="s">
        <v>243</v>
      </c>
      <c r="BV292" s="2" t="s">
        <v>233</v>
      </c>
      <c r="BW292" s="2" t="s">
        <v>233</v>
      </c>
      <c r="BX292" s="2" t="s">
        <v>243</v>
      </c>
      <c r="BY292" s="2" t="s">
        <v>244</v>
      </c>
      <c r="BZ292" s="2" t="s">
        <v>245</v>
      </c>
      <c r="CA292" s="2" t="s">
        <v>233</v>
      </c>
      <c r="CB292" s="2" t="s">
        <v>233</v>
      </c>
      <c r="CC292" s="2" t="s">
        <v>246</v>
      </c>
      <c r="CD292" s="2" t="s">
        <v>233</v>
      </c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>
        <v>160</v>
      </c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</row>
    <row r="293">
      <c r="A293" s="2" t="s">
        <v>1942</v>
      </c>
      <c r="B293" s="2" t="s">
        <v>1066</v>
      </c>
      <c r="C293" s="2" t="s">
        <v>1157</v>
      </c>
      <c r="D293" s="2" t="s">
        <v>1923</v>
      </c>
      <c r="E293" s="2" t="s">
        <v>1924</v>
      </c>
      <c r="F293" s="2" t="s">
        <v>1914</v>
      </c>
      <c r="G293" s="2" t="s">
        <v>1914</v>
      </c>
      <c r="H293" s="2" t="s">
        <v>1914</v>
      </c>
      <c r="I293" s="2" t="s">
        <v>1925</v>
      </c>
      <c r="J293" s="2" t="s">
        <v>892</v>
      </c>
      <c r="K293" s="2" t="s">
        <v>1537</v>
      </c>
      <c r="L293" s="3">
        <v>105</v>
      </c>
      <c r="M293" s="3">
        <v>110.25</v>
      </c>
      <c r="N293" s="3">
        <v>219</v>
      </c>
      <c r="O293" s="2" t="s">
        <v>245</v>
      </c>
      <c r="P293" s="2" t="s">
        <v>1916</v>
      </c>
      <c r="Q293" s="2" t="s">
        <v>239</v>
      </c>
      <c r="R293" s="2" t="s">
        <v>233</v>
      </c>
      <c r="S293" s="2" t="s">
        <v>233</v>
      </c>
      <c r="T293" s="2" t="s">
        <v>233</v>
      </c>
      <c r="U293" s="2" t="s">
        <v>491</v>
      </c>
      <c r="V293" s="2" t="s">
        <v>893</v>
      </c>
      <c r="W293" s="2" t="s">
        <v>451</v>
      </c>
      <c r="X293" s="2" t="s">
        <v>776</v>
      </c>
      <c r="Y293" s="2" t="s">
        <v>233</v>
      </c>
      <c r="Z293" s="4"/>
      <c r="AA293" s="4">
        <f>=ROUNDDOWN({0},0)</f>
      </c>
      <c r="AB293" s="5"/>
      <c r="AC293" s="2" t="s">
        <v>1917</v>
      </c>
      <c r="AD293" s="4">
        <v>160</v>
      </c>
      <c r="AE293" s="4">
        <v>160</v>
      </c>
      <c r="AF293" s="6">
        <v>74</v>
      </c>
      <c r="AG293" s="6"/>
      <c r="AH293" s="7">
        <v>0</v>
      </c>
      <c r="AI293" s="4"/>
      <c r="AJ293" s="4">
        <f>=ROUNDDOWN({0},0)</f>
      </c>
      <c r="AK293" s="5"/>
      <c r="AL293" s="2" t="s">
        <v>233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233</v>
      </c>
      <c r="AW293" s="8" t="s">
        <v>233</v>
      </c>
      <c r="AX293" s="4" t="s">
        <v>233</v>
      </c>
      <c r="AY293" s="8" t="s">
        <v>233</v>
      </c>
      <c r="AZ293" s="7" t="s">
        <v>233</v>
      </c>
      <c r="BA293" s="7" t="s">
        <v>233</v>
      </c>
      <c r="BB293" s="7" t="s">
        <v>233</v>
      </c>
      <c r="BC293" s="4" t="s">
        <v>233</v>
      </c>
      <c r="BD293" s="8" t="s">
        <v>233</v>
      </c>
      <c r="BE293" s="4" t="s">
        <v>233</v>
      </c>
      <c r="BF293" s="8" t="s">
        <v>233</v>
      </c>
      <c r="BG293" s="7" t="s">
        <v>233</v>
      </c>
      <c r="BH293" s="7" t="s">
        <v>233</v>
      </c>
      <c r="BI293" s="7"/>
      <c r="BJ293" s="4"/>
      <c r="BK293" s="8"/>
      <c r="BL293" s="2" t="s">
        <v>233</v>
      </c>
      <c r="BM293" s="7"/>
      <c r="BN293" s="7"/>
      <c r="BO293" s="4"/>
      <c r="BP293" s="8"/>
      <c r="BQ293" s="4"/>
      <c r="BR293" s="8"/>
      <c r="BS293" s="7"/>
      <c r="BT293" s="7"/>
      <c r="BU293" s="2" t="s">
        <v>243</v>
      </c>
      <c r="BV293" s="2" t="s">
        <v>233</v>
      </c>
      <c r="BW293" s="2" t="s">
        <v>233</v>
      </c>
      <c r="BX293" s="2" t="s">
        <v>243</v>
      </c>
      <c r="BY293" s="2" t="s">
        <v>244</v>
      </c>
      <c r="BZ293" s="2" t="s">
        <v>245</v>
      </c>
      <c r="CA293" s="2" t="s">
        <v>233</v>
      </c>
      <c r="CB293" s="2" t="s">
        <v>233</v>
      </c>
      <c r="CC293" s="2" t="s">
        <v>246</v>
      </c>
      <c r="CD293" s="2" t="s">
        <v>233</v>
      </c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>
        <v>160</v>
      </c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</row>
    <row r="294">
      <c r="A294" s="2" t="s">
        <v>1943</v>
      </c>
      <c r="B294" s="2" t="s">
        <v>1242</v>
      </c>
      <c r="C294" s="2" t="s">
        <v>530</v>
      </c>
      <c r="D294" s="2" t="s">
        <v>1862</v>
      </c>
      <c r="E294" s="2" t="s">
        <v>1944</v>
      </c>
      <c r="F294" s="2" t="s">
        <v>1914</v>
      </c>
      <c r="G294" s="2" t="s">
        <v>1927</v>
      </c>
      <c r="H294" s="2" t="s">
        <v>1928</v>
      </c>
      <c r="I294" s="2" t="s">
        <v>1945</v>
      </c>
      <c r="J294" s="2" t="s">
        <v>348</v>
      </c>
      <c r="K294" s="2" t="s">
        <v>620</v>
      </c>
      <c r="L294" s="3">
        <v>63.7</v>
      </c>
      <c r="M294" s="3">
        <v>66.89</v>
      </c>
      <c r="N294" s="3">
        <v>139.99</v>
      </c>
      <c r="O294" s="2" t="s">
        <v>245</v>
      </c>
      <c r="P294" s="2" t="s">
        <v>272</v>
      </c>
      <c r="Q294" s="2" t="s">
        <v>239</v>
      </c>
      <c r="R294" s="2" t="s">
        <v>233</v>
      </c>
      <c r="S294" s="2" t="s">
        <v>1946</v>
      </c>
      <c r="T294" s="2" t="s">
        <v>1481</v>
      </c>
      <c r="U294" s="2" t="s">
        <v>1482</v>
      </c>
      <c r="V294" s="2" t="s">
        <v>1932</v>
      </c>
      <c r="W294" s="2" t="s">
        <v>776</v>
      </c>
      <c r="X294" s="2" t="s">
        <v>233</v>
      </c>
      <c r="Y294" s="2" t="s">
        <v>1721</v>
      </c>
      <c r="Z294" s="4">
        <v>1</v>
      </c>
      <c r="AA294" s="4">
        <f>=ROUNDDOWN(0.1,0)</f>
      </c>
      <c r="AB294" s="5">
        <v>10</v>
      </c>
      <c r="AC294" s="2" t="s">
        <v>1947</v>
      </c>
      <c r="AD294" s="4">
        <v>140</v>
      </c>
      <c r="AE294" s="4">
        <v>200</v>
      </c>
      <c r="AF294" s="6">
        <v>65</v>
      </c>
      <c r="AG294" s="6"/>
      <c r="AH294" s="7">
        <v>0.5806</v>
      </c>
      <c r="AI294" s="4"/>
      <c r="AJ294" s="4">
        <f>=ROUNDDOWN({0},0)</f>
      </c>
      <c r="AK294" s="5"/>
      <c r="AL294" s="2" t="s">
        <v>233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233</v>
      </c>
      <c r="BD294" s="8" t="s">
        <v>233</v>
      </c>
      <c r="BE294" s="4" t="s">
        <v>233</v>
      </c>
      <c r="BF294" s="8" t="s">
        <v>233</v>
      </c>
      <c r="BG294" s="7" t="s">
        <v>233</v>
      </c>
      <c r="BH294" s="7" t="s">
        <v>233</v>
      </c>
      <c r="BI294" s="7"/>
      <c r="BJ294" s="4">
        <v>9</v>
      </c>
      <c r="BK294" s="8">
        <v>612.53</v>
      </c>
      <c r="BL294" s="2" t="s">
        <v>1948</v>
      </c>
      <c r="BM294" s="7"/>
      <c r="BN294" s="7"/>
      <c r="BO294" s="4"/>
      <c r="BP294" s="8"/>
      <c r="BQ294" s="4"/>
      <c r="BR294" s="8"/>
      <c r="BS294" s="7"/>
      <c r="BT294" s="7"/>
      <c r="BU294" s="2" t="s">
        <v>1949</v>
      </c>
      <c r="BV294" s="2" t="s">
        <v>233</v>
      </c>
      <c r="BW294" s="2" t="s">
        <v>233</v>
      </c>
      <c r="BX294" s="2" t="s">
        <v>243</v>
      </c>
      <c r="BY294" s="2" t="s">
        <v>280</v>
      </c>
      <c r="BZ294" s="2" t="s">
        <v>245</v>
      </c>
      <c r="CA294" s="2" t="s">
        <v>1950</v>
      </c>
      <c r="CB294" s="2" t="s">
        <v>1951</v>
      </c>
      <c r="CC294" s="2" t="s">
        <v>246</v>
      </c>
      <c r="CD294" s="2" t="s">
        <v>233</v>
      </c>
      <c r="CE294" s="4">
        <v>1</v>
      </c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>
        <v>140</v>
      </c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>
        <v>60</v>
      </c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</row>
    <row r="295">
      <c r="A295" s="2" t="s">
        <v>1952</v>
      </c>
      <c r="B295" s="2" t="s">
        <v>886</v>
      </c>
      <c r="C295" s="2" t="s">
        <v>887</v>
      </c>
      <c r="D295" s="2" t="s">
        <v>1326</v>
      </c>
      <c r="E295" s="2" t="s">
        <v>1327</v>
      </c>
      <c r="F295" s="2" t="s">
        <v>1953</v>
      </c>
      <c r="G295" s="2" t="s">
        <v>1953</v>
      </c>
      <c r="H295" s="2" t="s">
        <v>1953</v>
      </c>
      <c r="I295" s="2" t="s">
        <v>1954</v>
      </c>
      <c r="J295" s="2" t="s">
        <v>892</v>
      </c>
      <c r="K295" s="2" t="s">
        <v>1105</v>
      </c>
      <c r="L295" s="3">
        <v>86.4</v>
      </c>
      <c r="M295" s="3">
        <v>90.72</v>
      </c>
      <c r="N295" s="3">
        <v>179.99</v>
      </c>
      <c r="O295" s="2" t="s">
        <v>245</v>
      </c>
      <c r="P295" s="2" t="s">
        <v>763</v>
      </c>
      <c r="Q295" s="2" t="s">
        <v>239</v>
      </c>
      <c r="R295" s="2" t="s">
        <v>233</v>
      </c>
      <c r="S295" s="2" t="s">
        <v>233</v>
      </c>
      <c r="T295" s="2" t="s">
        <v>233</v>
      </c>
      <c r="U295" s="2" t="s">
        <v>396</v>
      </c>
      <c r="V295" s="2" t="s">
        <v>893</v>
      </c>
      <c r="W295" s="2" t="s">
        <v>451</v>
      </c>
      <c r="X295" s="2" t="s">
        <v>233</v>
      </c>
      <c r="Y295" s="2" t="s">
        <v>1955</v>
      </c>
      <c r="Z295" s="4">
        <v>162</v>
      </c>
      <c r="AA295" s="4">
        <f>=ROUNDDOWN(27,0)</f>
      </c>
      <c r="AB295" s="5">
        <v>6</v>
      </c>
      <c r="AC295" s="2" t="s">
        <v>233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233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233</v>
      </c>
      <c r="AW295" s="8" t="s">
        <v>233</v>
      </c>
      <c r="AX295" s="4" t="s">
        <v>233</v>
      </c>
      <c r="AY295" s="8" t="s">
        <v>233</v>
      </c>
      <c r="AZ295" s="7" t="s">
        <v>233</v>
      </c>
      <c r="BA295" s="7" t="s">
        <v>233</v>
      </c>
      <c r="BB295" s="7" t="s">
        <v>233</v>
      </c>
      <c r="BC295" s="4" t="s">
        <v>233</v>
      </c>
      <c r="BD295" s="8" t="s">
        <v>233</v>
      </c>
      <c r="BE295" s="4" t="s">
        <v>233</v>
      </c>
      <c r="BF295" s="8" t="s">
        <v>233</v>
      </c>
      <c r="BG295" s="7" t="s">
        <v>233</v>
      </c>
      <c r="BH295" s="7" t="s">
        <v>233</v>
      </c>
      <c r="BI295" s="7"/>
      <c r="BJ295" s="4">
        <v>8</v>
      </c>
      <c r="BK295" s="8">
        <v>784.02</v>
      </c>
      <c r="BL295" s="2" t="s">
        <v>1956</v>
      </c>
      <c r="BM295" s="7"/>
      <c r="BN295" s="7"/>
      <c r="BO295" s="4"/>
      <c r="BP295" s="8"/>
      <c r="BQ295" s="4"/>
      <c r="BR295" s="8"/>
      <c r="BS295" s="7"/>
      <c r="BT295" s="7"/>
      <c r="BU295" s="2" t="s">
        <v>1957</v>
      </c>
      <c r="BV295" s="2" t="s">
        <v>233</v>
      </c>
      <c r="BW295" s="2" t="s">
        <v>233</v>
      </c>
      <c r="BX295" s="2" t="s">
        <v>233</v>
      </c>
      <c r="BY295" s="2" t="s">
        <v>280</v>
      </c>
      <c r="BZ295" s="2" t="s">
        <v>245</v>
      </c>
      <c r="CA295" s="2" t="s">
        <v>1958</v>
      </c>
      <c r="CB295" s="2" t="s">
        <v>958</v>
      </c>
      <c r="CC295" s="2" t="s">
        <v>246</v>
      </c>
      <c r="CD295" s="2" t="s">
        <v>233</v>
      </c>
      <c r="CE295" s="4"/>
      <c r="CF295" s="4">
        <v>162</v>
      </c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</row>
    <row r="296">
      <c r="A296" s="2" t="s">
        <v>1959</v>
      </c>
      <c r="B296" s="2" t="s">
        <v>886</v>
      </c>
      <c r="C296" s="2" t="s">
        <v>887</v>
      </c>
      <c r="D296" s="2" t="s">
        <v>1167</v>
      </c>
      <c r="E296" s="2" t="s">
        <v>1168</v>
      </c>
      <c r="F296" s="2" t="s">
        <v>1953</v>
      </c>
      <c r="G296" s="2" t="s">
        <v>1953</v>
      </c>
      <c r="H296" s="2" t="s">
        <v>1953</v>
      </c>
      <c r="I296" s="2" t="s">
        <v>1960</v>
      </c>
      <c r="J296" s="2" t="s">
        <v>892</v>
      </c>
      <c r="K296" s="2" t="s">
        <v>1105</v>
      </c>
      <c r="L296" s="3">
        <v>52.44</v>
      </c>
      <c r="M296" s="3">
        <v>55.06</v>
      </c>
      <c r="N296" s="3">
        <v>119.99</v>
      </c>
      <c r="O296" s="2" t="s">
        <v>245</v>
      </c>
      <c r="P296" s="2" t="s">
        <v>311</v>
      </c>
      <c r="Q296" s="2" t="s">
        <v>239</v>
      </c>
      <c r="R296" s="2" t="s">
        <v>233</v>
      </c>
      <c r="S296" s="2" t="s">
        <v>233</v>
      </c>
      <c r="T296" s="2" t="s">
        <v>233</v>
      </c>
      <c r="U296" s="2" t="s">
        <v>396</v>
      </c>
      <c r="V296" s="2" t="s">
        <v>893</v>
      </c>
      <c r="W296" s="2" t="s">
        <v>397</v>
      </c>
      <c r="X296" s="2" t="s">
        <v>451</v>
      </c>
      <c r="Y296" s="2" t="s">
        <v>899</v>
      </c>
      <c r="Z296" s="4">
        <v>38</v>
      </c>
      <c r="AA296" s="4">
        <f>=ROUNDDOWN(47.5,0)</f>
      </c>
      <c r="AB296" s="5">
        <v>0.8</v>
      </c>
      <c r="AC296" s="2" t="s">
        <v>233</v>
      </c>
      <c r="AD296" s="4"/>
      <c r="AE296" s="4"/>
      <c r="AF296" s="6">
        <v>63</v>
      </c>
      <c r="AG296" s="6"/>
      <c r="AH296" s="7">
        <v>1</v>
      </c>
      <c r="AI296" s="4"/>
      <c r="AJ296" s="4">
        <f>=ROUNDDOWN({0},0)</f>
      </c>
      <c r="AK296" s="5"/>
      <c r="AL296" s="2" t="s">
        <v>233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233</v>
      </c>
      <c r="AW296" s="8" t="s">
        <v>233</v>
      </c>
      <c r="AX296" s="4" t="s">
        <v>233</v>
      </c>
      <c r="AY296" s="8" t="s">
        <v>233</v>
      </c>
      <c r="AZ296" s="7" t="s">
        <v>233</v>
      </c>
      <c r="BA296" s="7" t="s">
        <v>233</v>
      </c>
      <c r="BB296" s="7" t="s">
        <v>233</v>
      </c>
      <c r="BC296" s="4" t="s">
        <v>233</v>
      </c>
      <c r="BD296" s="8" t="s">
        <v>233</v>
      </c>
      <c r="BE296" s="4" t="s">
        <v>233</v>
      </c>
      <c r="BF296" s="8" t="s">
        <v>233</v>
      </c>
      <c r="BG296" s="7" t="s">
        <v>233</v>
      </c>
      <c r="BH296" s="7" t="s">
        <v>233</v>
      </c>
      <c r="BI296" s="7"/>
      <c r="BJ296" s="4">
        <v>2</v>
      </c>
      <c r="BK296" s="8">
        <v>110.12</v>
      </c>
      <c r="BL296" s="2" t="s">
        <v>1023</v>
      </c>
      <c r="BM296" s="7"/>
      <c r="BN296" s="7"/>
      <c r="BO296" s="4"/>
      <c r="BP296" s="8"/>
      <c r="BQ296" s="4"/>
      <c r="BR296" s="8"/>
      <c r="BS296" s="7"/>
      <c r="BT296" s="7"/>
      <c r="BU296" s="2" t="s">
        <v>1961</v>
      </c>
      <c r="BV296" s="2" t="s">
        <v>233</v>
      </c>
      <c r="BW296" s="2" t="s">
        <v>233</v>
      </c>
      <c r="BX296" s="2" t="s">
        <v>233</v>
      </c>
      <c r="BY296" s="2" t="s">
        <v>280</v>
      </c>
      <c r="BZ296" s="2" t="s">
        <v>245</v>
      </c>
      <c r="CA296" s="2" t="s">
        <v>1962</v>
      </c>
      <c r="CB296" s="2" t="s">
        <v>1963</v>
      </c>
      <c r="CC296" s="2" t="s">
        <v>246</v>
      </c>
      <c r="CD296" s="2" t="s">
        <v>233</v>
      </c>
      <c r="CE296" s="4"/>
      <c r="CF296" s="4">
        <v>38</v>
      </c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</row>
    <row r="297">
      <c r="A297" s="2" t="s">
        <v>1964</v>
      </c>
      <c r="B297" s="2" t="s">
        <v>886</v>
      </c>
      <c r="C297" s="2" t="s">
        <v>887</v>
      </c>
      <c r="D297" s="2" t="s">
        <v>1122</v>
      </c>
      <c r="E297" s="2" t="s">
        <v>1123</v>
      </c>
      <c r="F297" s="2" t="s">
        <v>1953</v>
      </c>
      <c r="G297" s="2" t="s">
        <v>1953</v>
      </c>
      <c r="H297" s="2" t="s">
        <v>1953</v>
      </c>
      <c r="I297" s="2" t="s">
        <v>1965</v>
      </c>
      <c r="J297" s="2" t="s">
        <v>1966</v>
      </c>
      <c r="K297" s="2" t="s">
        <v>1967</v>
      </c>
      <c r="L297" s="3">
        <v>47.52</v>
      </c>
      <c r="M297" s="3">
        <v>49.9</v>
      </c>
      <c r="N297" s="3">
        <v>109.99</v>
      </c>
      <c r="O297" s="2" t="s">
        <v>245</v>
      </c>
      <c r="P297" s="2" t="s">
        <v>238</v>
      </c>
      <c r="Q297" s="2" t="s">
        <v>239</v>
      </c>
      <c r="R297" s="2" t="s">
        <v>233</v>
      </c>
      <c r="S297" s="2" t="s">
        <v>233</v>
      </c>
      <c r="T297" s="2" t="s">
        <v>233</v>
      </c>
      <c r="U297" s="2" t="s">
        <v>396</v>
      </c>
      <c r="V297" s="2" t="s">
        <v>893</v>
      </c>
      <c r="W297" s="2" t="s">
        <v>451</v>
      </c>
      <c r="X297" s="2" t="s">
        <v>977</v>
      </c>
      <c r="Y297" s="2" t="s">
        <v>233</v>
      </c>
      <c r="Z297" s="4"/>
      <c r="AA297" s="4">
        <f>=ROUNDDOWN({0},0)</f>
      </c>
      <c r="AB297" s="5"/>
      <c r="AC297" s="2" t="s">
        <v>1172</v>
      </c>
      <c r="AD297" s="4">
        <v>120</v>
      </c>
      <c r="AE297" s="4">
        <v>120</v>
      </c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233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233</v>
      </c>
      <c r="BD297" s="8" t="s">
        <v>233</v>
      </c>
      <c r="BE297" s="4" t="s">
        <v>233</v>
      </c>
      <c r="BF297" s="8" t="s">
        <v>233</v>
      </c>
      <c r="BG297" s="7" t="s">
        <v>233</v>
      </c>
      <c r="BH297" s="7" t="s">
        <v>233</v>
      </c>
      <c r="BI297" s="7"/>
      <c r="BJ297" s="4"/>
      <c r="BK297" s="8"/>
      <c r="BL297" s="2" t="s">
        <v>233</v>
      </c>
      <c r="BM297" s="7"/>
      <c r="BN297" s="7"/>
      <c r="BO297" s="4"/>
      <c r="BP297" s="8"/>
      <c r="BQ297" s="4"/>
      <c r="BR297" s="8"/>
      <c r="BS297" s="7"/>
      <c r="BT297" s="7"/>
      <c r="BU297" s="2" t="s">
        <v>243</v>
      </c>
      <c r="BV297" s="2" t="s">
        <v>233</v>
      </c>
      <c r="BW297" s="2" t="s">
        <v>233</v>
      </c>
      <c r="BX297" s="2" t="s">
        <v>243</v>
      </c>
      <c r="BY297" s="2" t="s">
        <v>244</v>
      </c>
      <c r="BZ297" s="2" t="s">
        <v>245</v>
      </c>
      <c r="CA297" s="2" t="s">
        <v>233</v>
      </c>
      <c r="CB297" s="2" t="s">
        <v>233</v>
      </c>
      <c r="CC297" s="2" t="s">
        <v>246</v>
      </c>
      <c r="CD297" s="2" t="s">
        <v>233</v>
      </c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>
        <v>120</v>
      </c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</row>
    <row r="298">
      <c r="A298" s="2" t="s">
        <v>1968</v>
      </c>
      <c r="B298" s="2" t="s">
        <v>1066</v>
      </c>
      <c r="C298" s="2" t="s">
        <v>901</v>
      </c>
      <c r="D298" s="2" t="s">
        <v>1969</v>
      </c>
      <c r="E298" s="2" t="s">
        <v>1970</v>
      </c>
      <c r="F298" s="2" t="s">
        <v>1971</v>
      </c>
      <c r="G298" s="2" t="s">
        <v>1971</v>
      </c>
      <c r="H298" s="2" t="s">
        <v>1971</v>
      </c>
      <c r="I298" s="2" t="s">
        <v>1972</v>
      </c>
      <c r="J298" s="2" t="s">
        <v>892</v>
      </c>
      <c r="K298" s="2" t="s">
        <v>984</v>
      </c>
      <c r="L298" s="3">
        <v>128</v>
      </c>
      <c r="M298" s="3">
        <v>134.4</v>
      </c>
      <c r="N298" s="3">
        <v>269</v>
      </c>
      <c r="O298" s="2" t="s">
        <v>245</v>
      </c>
      <c r="P298" s="2" t="s">
        <v>1916</v>
      </c>
      <c r="Q298" s="2" t="s">
        <v>239</v>
      </c>
      <c r="R298" s="2" t="s">
        <v>233</v>
      </c>
      <c r="S298" s="2" t="s">
        <v>233</v>
      </c>
      <c r="T298" s="2" t="s">
        <v>233</v>
      </c>
      <c r="U298" s="2" t="s">
        <v>396</v>
      </c>
      <c r="V298" s="2" t="s">
        <v>893</v>
      </c>
      <c r="W298" s="2" t="s">
        <v>397</v>
      </c>
      <c r="X298" s="2" t="s">
        <v>705</v>
      </c>
      <c r="Y298" s="2" t="s">
        <v>233</v>
      </c>
      <c r="Z298" s="4"/>
      <c r="AA298" s="4">
        <f>=ROUNDDOWN({0},0)</f>
      </c>
      <c r="AB298" s="5"/>
      <c r="AC298" s="2" t="s">
        <v>233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233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233</v>
      </c>
      <c r="BM298" s="7"/>
      <c r="BN298" s="7"/>
      <c r="BO298" s="4"/>
      <c r="BP298" s="8"/>
      <c r="BQ298" s="4"/>
      <c r="BR298" s="8"/>
      <c r="BS298" s="7"/>
      <c r="BT298" s="7"/>
      <c r="BU298" s="2" t="s">
        <v>243</v>
      </c>
      <c r="BV298" s="2" t="s">
        <v>233</v>
      </c>
      <c r="BW298" s="2" t="s">
        <v>233</v>
      </c>
      <c r="BX298" s="2" t="s">
        <v>243</v>
      </c>
      <c r="BY298" s="2" t="s">
        <v>244</v>
      </c>
      <c r="BZ298" s="2" t="s">
        <v>245</v>
      </c>
      <c r="CA298" s="2" t="s">
        <v>233</v>
      </c>
      <c r="CB298" s="2" t="s">
        <v>233</v>
      </c>
      <c r="CC298" s="2" t="s">
        <v>246</v>
      </c>
      <c r="CD298" s="2" t="s">
        <v>233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</row>
    <row r="299">
      <c r="A299" s="2" t="s">
        <v>1973</v>
      </c>
      <c r="B299" s="2" t="s">
        <v>1066</v>
      </c>
      <c r="C299" s="2" t="s">
        <v>530</v>
      </c>
      <c r="D299" s="2" t="s">
        <v>1111</v>
      </c>
      <c r="E299" s="2" t="s">
        <v>1974</v>
      </c>
      <c r="F299" s="2" t="s">
        <v>1975</v>
      </c>
      <c r="G299" s="2" t="s">
        <v>1976</v>
      </c>
      <c r="H299" s="2" t="s">
        <v>1977</v>
      </c>
      <c r="I299" s="2" t="s">
        <v>1978</v>
      </c>
      <c r="J299" s="2" t="s">
        <v>892</v>
      </c>
      <c r="K299" s="2" t="s">
        <v>1979</v>
      </c>
      <c r="L299" s="3">
        <v>237.5</v>
      </c>
      <c r="M299" s="3">
        <v>249.38</v>
      </c>
      <c r="N299" s="3">
        <v>499</v>
      </c>
      <c r="O299" s="2" t="s">
        <v>245</v>
      </c>
      <c r="P299" s="2" t="s">
        <v>272</v>
      </c>
      <c r="Q299" s="2" t="s">
        <v>239</v>
      </c>
      <c r="R299" s="2" t="s">
        <v>233</v>
      </c>
      <c r="S299" s="2" t="s">
        <v>233</v>
      </c>
      <c r="T299" s="2" t="s">
        <v>233</v>
      </c>
      <c r="U299" s="2" t="s">
        <v>396</v>
      </c>
      <c r="V299" s="2" t="s">
        <v>241</v>
      </c>
      <c r="W299" s="2" t="s">
        <v>451</v>
      </c>
      <c r="X299" s="2" t="s">
        <v>233</v>
      </c>
      <c r="Y299" s="2" t="s">
        <v>1980</v>
      </c>
      <c r="Z299" s="4">
        <v>38</v>
      </c>
      <c r="AA299" s="4">
        <f>=ROUNDDOWN(4.75,0)</f>
      </c>
      <c r="AB299" s="5">
        <v>8</v>
      </c>
      <c r="AC299" s="2" t="s">
        <v>1601</v>
      </c>
      <c r="AD299" s="4">
        <v>100</v>
      </c>
      <c r="AE299" s="4">
        <v>230</v>
      </c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233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>
        <v>41</v>
      </c>
      <c r="BK299" s="8">
        <v>7933.8</v>
      </c>
      <c r="BL299" s="2" t="s">
        <v>1981</v>
      </c>
      <c r="BM299" s="7"/>
      <c r="BN299" s="7"/>
      <c r="BO299" s="4"/>
      <c r="BP299" s="8"/>
      <c r="BQ299" s="4"/>
      <c r="BR299" s="8"/>
      <c r="BS299" s="7"/>
      <c r="BT299" s="7"/>
      <c r="BU299" s="2" t="s">
        <v>1982</v>
      </c>
      <c r="BV299" s="2" t="s">
        <v>233</v>
      </c>
      <c r="BW299" s="2" t="s">
        <v>233</v>
      </c>
      <c r="BX299" s="2" t="s">
        <v>233</v>
      </c>
      <c r="BY299" s="2" t="s">
        <v>280</v>
      </c>
      <c r="BZ299" s="2" t="s">
        <v>245</v>
      </c>
      <c r="CA299" s="2" t="s">
        <v>1983</v>
      </c>
      <c r="CB299" s="2" t="s">
        <v>1984</v>
      </c>
      <c r="CC299" s="2" t="s">
        <v>246</v>
      </c>
      <c r="CD299" s="2" t="s">
        <v>233</v>
      </c>
      <c r="CE299" s="4"/>
      <c r="CF299" s="4">
        <v>38</v>
      </c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>
        <v>100</v>
      </c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>
        <v>130</v>
      </c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</row>
    <row r="300">
      <c r="A300" s="2" t="s">
        <v>1985</v>
      </c>
      <c r="B300" s="2" t="s">
        <v>1242</v>
      </c>
      <c r="C300" s="2" t="s">
        <v>1986</v>
      </c>
      <c r="D300" s="2" t="s">
        <v>1194</v>
      </c>
      <c r="E300" s="2" t="s">
        <v>1987</v>
      </c>
      <c r="F300" s="2" t="s">
        <v>1988</v>
      </c>
      <c r="G300" s="2" t="s">
        <v>1988</v>
      </c>
      <c r="H300" s="2" t="s">
        <v>1988</v>
      </c>
      <c r="I300" s="2" t="s">
        <v>1989</v>
      </c>
      <c r="J300" s="2" t="s">
        <v>1990</v>
      </c>
      <c r="K300" s="2" t="s">
        <v>984</v>
      </c>
      <c r="L300" s="3">
        <v>30.95</v>
      </c>
      <c r="M300" s="3">
        <v>32.5</v>
      </c>
      <c r="N300" s="3">
        <v>99.99</v>
      </c>
      <c r="O300" s="2" t="s">
        <v>245</v>
      </c>
      <c r="P300" s="2" t="s">
        <v>393</v>
      </c>
      <c r="Q300" s="2" t="s">
        <v>239</v>
      </c>
      <c r="R300" s="2" t="s">
        <v>233</v>
      </c>
      <c r="S300" s="2" t="s">
        <v>233</v>
      </c>
      <c r="T300" s="2" t="s">
        <v>233</v>
      </c>
      <c r="U300" s="2" t="s">
        <v>396</v>
      </c>
      <c r="V300" s="2" t="s">
        <v>1869</v>
      </c>
      <c r="W300" s="2" t="s">
        <v>776</v>
      </c>
      <c r="X300" s="2" t="s">
        <v>233</v>
      </c>
      <c r="Y300" s="2" t="s">
        <v>1669</v>
      </c>
      <c r="Z300" s="4">
        <v>195</v>
      </c>
      <c r="AA300" s="4">
        <f>=ROUNDDOWN(195,0)</f>
      </c>
      <c r="AB300" s="5">
        <v>1</v>
      </c>
      <c r="AC300" s="2" t="s">
        <v>233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233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233</v>
      </c>
      <c r="BD300" s="8" t="s">
        <v>233</v>
      </c>
      <c r="BE300" s="4" t="s">
        <v>233</v>
      </c>
      <c r="BF300" s="8" t="s">
        <v>233</v>
      </c>
      <c r="BG300" s="7" t="s">
        <v>233</v>
      </c>
      <c r="BH300" s="7" t="s">
        <v>233</v>
      </c>
      <c r="BI300" s="7"/>
      <c r="BJ300" s="4">
        <v>3</v>
      </c>
      <c r="BK300" s="8">
        <v>106.92</v>
      </c>
      <c r="BL300" s="2" t="s">
        <v>1041</v>
      </c>
      <c r="BM300" s="7"/>
      <c r="BN300" s="7"/>
      <c r="BO300" s="4"/>
      <c r="BP300" s="8"/>
      <c r="BQ300" s="4"/>
      <c r="BR300" s="8"/>
      <c r="BS300" s="7"/>
      <c r="BT300" s="7"/>
      <c r="BU300" s="2" t="s">
        <v>1991</v>
      </c>
      <c r="BV300" s="2" t="s">
        <v>233</v>
      </c>
      <c r="BW300" s="2" t="s">
        <v>233</v>
      </c>
      <c r="BX300" s="2" t="s">
        <v>233</v>
      </c>
      <c r="BY300" s="2" t="s">
        <v>280</v>
      </c>
      <c r="BZ300" s="2" t="s">
        <v>245</v>
      </c>
      <c r="CA300" s="2" t="s">
        <v>1613</v>
      </c>
      <c r="CB300" s="2" t="s">
        <v>1992</v>
      </c>
      <c r="CC300" s="2" t="s">
        <v>246</v>
      </c>
      <c r="CD300" s="2" t="s">
        <v>233</v>
      </c>
      <c r="CE300" s="4">
        <v>195</v>
      </c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</row>
    <row r="301">
      <c r="A301" s="2" t="s">
        <v>1993</v>
      </c>
      <c r="B301" s="2" t="s">
        <v>1242</v>
      </c>
      <c r="C301" s="2" t="s">
        <v>1986</v>
      </c>
      <c r="D301" s="2" t="s">
        <v>1194</v>
      </c>
      <c r="E301" s="2" t="s">
        <v>1987</v>
      </c>
      <c r="F301" s="2" t="s">
        <v>1988</v>
      </c>
      <c r="G301" s="2" t="s">
        <v>1988</v>
      </c>
      <c r="H301" s="2" t="s">
        <v>1988</v>
      </c>
      <c r="I301" s="2" t="s">
        <v>1989</v>
      </c>
      <c r="J301" s="2" t="s">
        <v>1990</v>
      </c>
      <c r="K301" s="2" t="s">
        <v>1994</v>
      </c>
      <c r="L301" s="3">
        <v>30.95</v>
      </c>
      <c r="M301" s="3">
        <v>32.5</v>
      </c>
      <c r="N301" s="3">
        <v>99.99</v>
      </c>
      <c r="O301" s="2" t="s">
        <v>245</v>
      </c>
      <c r="P301" s="2" t="s">
        <v>272</v>
      </c>
      <c r="Q301" s="2" t="s">
        <v>239</v>
      </c>
      <c r="R301" s="2" t="s">
        <v>233</v>
      </c>
      <c r="S301" s="2" t="s">
        <v>233</v>
      </c>
      <c r="T301" s="2" t="s">
        <v>233</v>
      </c>
      <c r="U301" s="2" t="s">
        <v>396</v>
      </c>
      <c r="V301" s="2" t="s">
        <v>1869</v>
      </c>
      <c r="W301" s="2" t="s">
        <v>776</v>
      </c>
      <c r="X301" s="2" t="s">
        <v>233</v>
      </c>
      <c r="Y301" s="2" t="s">
        <v>1995</v>
      </c>
      <c r="Z301" s="4">
        <v>77</v>
      </c>
      <c r="AA301" s="4">
        <f>=ROUNDDOWN(38.5,0)</f>
      </c>
      <c r="AB301" s="5">
        <v>2</v>
      </c>
      <c r="AC301" s="2" t="s">
        <v>233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233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233</v>
      </c>
      <c r="BD301" s="8" t="s">
        <v>233</v>
      </c>
      <c r="BE301" s="4" t="s">
        <v>233</v>
      </c>
      <c r="BF301" s="8" t="s">
        <v>233</v>
      </c>
      <c r="BG301" s="7" t="s">
        <v>233</v>
      </c>
      <c r="BH301" s="7" t="s">
        <v>233</v>
      </c>
      <c r="BI301" s="7"/>
      <c r="BJ301" s="4">
        <v>5</v>
      </c>
      <c r="BK301" s="8">
        <v>323.87</v>
      </c>
      <c r="BL301" s="2" t="s">
        <v>1996</v>
      </c>
      <c r="BM301" s="7"/>
      <c r="BN301" s="7"/>
      <c r="BO301" s="4"/>
      <c r="BP301" s="8"/>
      <c r="BQ301" s="4"/>
      <c r="BR301" s="8"/>
      <c r="BS301" s="7"/>
      <c r="BT301" s="7"/>
      <c r="BU301" s="2" t="s">
        <v>1997</v>
      </c>
      <c r="BV301" s="2" t="s">
        <v>233</v>
      </c>
      <c r="BW301" s="2" t="s">
        <v>233</v>
      </c>
      <c r="BX301" s="2" t="s">
        <v>233</v>
      </c>
      <c r="BY301" s="2" t="s">
        <v>280</v>
      </c>
      <c r="BZ301" s="2" t="s">
        <v>245</v>
      </c>
      <c r="CA301" s="2" t="s">
        <v>1613</v>
      </c>
      <c r="CB301" s="2" t="s">
        <v>1998</v>
      </c>
      <c r="CC301" s="2" t="s">
        <v>246</v>
      </c>
      <c r="CD301" s="2" t="s">
        <v>233</v>
      </c>
      <c r="CE301" s="4">
        <v>77</v>
      </c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</row>
    <row r="302">
      <c r="A302" s="2" t="s">
        <v>1999</v>
      </c>
      <c r="B302" s="2" t="s">
        <v>1242</v>
      </c>
      <c r="C302" s="2" t="s">
        <v>1986</v>
      </c>
      <c r="D302" s="2" t="s">
        <v>1194</v>
      </c>
      <c r="E302" s="2" t="s">
        <v>1987</v>
      </c>
      <c r="F302" s="2" t="s">
        <v>1988</v>
      </c>
      <c r="G302" s="2" t="s">
        <v>1988</v>
      </c>
      <c r="H302" s="2" t="s">
        <v>1988</v>
      </c>
      <c r="I302" s="2" t="s">
        <v>1989</v>
      </c>
      <c r="J302" s="2" t="s">
        <v>1990</v>
      </c>
      <c r="K302" s="2" t="s">
        <v>257</v>
      </c>
      <c r="L302" s="3">
        <v>30.95</v>
      </c>
      <c r="M302" s="3">
        <v>32.5</v>
      </c>
      <c r="N302" s="3">
        <v>99.99</v>
      </c>
      <c r="O302" s="2" t="s">
        <v>245</v>
      </c>
      <c r="P302" s="2" t="s">
        <v>272</v>
      </c>
      <c r="Q302" s="2" t="s">
        <v>239</v>
      </c>
      <c r="R302" s="2" t="s">
        <v>233</v>
      </c>
      <c r="S302" s="2" t="s">
        <v>233</v>
      </c>
      <c r="T302" s="2" t="s">
        <v>233</v>
      </c>
      <c r="U302" s="2" t="s">
        <v>396</v>
      </c>
      <c r="V302" s="2" t="s">
        <v>1869</v>
      </c>
      <c r="W302" s="2" t="s">
        <v>776</v>
      </c>
      <c r="X302" s="2" t="s">
        <v>233</v>
      </c>
      <c r="Y302" s="2" t="s">
        <v>1669</v>
      </c>
      <c r="Z302" s="4">
        <v>36</v>
      </c>
      <c r="AA302" s="4">
        <f>=ROUNDDOWN(12,0)</f>
      </c>
      <c r="AB302" s="5">
        <v>3</v>
      </c>
      <c r="AC302" s="2" t="s">
        <v>825</v>
      </c>
      <c r="AD302" s="4">
        <v>270</v>
      </c>
      <c r="AE302" s="4">
        <v>270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233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233</v>
      </c>
      <c r="BD302" s="8" t="s">
        <v>233</v>
      </c>
      <c r="BE302" s="4" t="s">
        <v>233</v>
      </c>
      <c r="BF302" s="8" t="s">
        <v>233</v>
      </c>
      <c r="BG302" s="7" t="s">
        <v>233</v>
      </c>
      <c r="BH302" s="7" t="s">
        <v>233</v>
      </c>
      <c r="BI302" s="7"/>
      <c r="BJ302" s="4">
        <v>13</v>
      </c>
      <c r="BK302" s="8">
        <v>436.32</v>
      </c>
      <c r="BL302" s="2" t="s">
        <v>2000</v>
      </c>
      <c r="BM302" s="7"/>
      <c r="BN302" s="7"/>
      <c r="BO302" s="4"/>
      <c r="BP302" s="8"/>
      <c r="BQ302" s="4"/>
      <c r="BR302" s="8"/>
      <c r="BS302" s="7"/>
      <c r="BT302" s="7"/>
      <c r="BU302" s="2" t="s">
        <v>2001</v>
      </c>
      <c r="BV302" s="2" t="s">
        <v>233</v>
      </c>
      <c r="BW302" s="2" t="s">
        <v>233</v>
      </c>
      <c r="BX302" s="2" t="s">
        <v>233</v>
      </c>
      <c r="BY302" s="2" t="s">
        <v>280</v>
      </c>
      <c r="BZ302" s="2" t="s">
        <v>245</v>
      </c>
      <c r="CA302" s="2" t="s">
        <v>1613</v>
      </c>
      <c r="CB302" s="2" t="s">
        <v>2002</v>
      </c>
      <c r="CC302" s="2" t="s">
        <v>246</v>
      </c>
      <c r="CD302" s="2" t="s">
        <v>233</v>
      </c>
      <c r="CE302" s="4">
        <v>36</v>
      </c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>
        <v>270</v>
      </c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</row>
    <row r="303">
      <c r="A303" s="2" t="s">
        <v>2003</v>
      </c>
      <c r="B303" s="2" t="s">
        <v>886</v>
      </c>
      <c r="C303" s="2" t="s">
        <v>901</v>
      </c>
      <c r="D303" s="2" t="s">
        <v>888</v>
      </c>
      <c r="E303" s="2" t="s">
        <v>889</v>
      </c>
      <c r="F303" s="2" t="s">
        <v>2004</v>
      </c>
      <c r="G303" s="2" t="s">
        <v>2004</v>
      </c>
      <c r="H303" s="2" t="s">
        <v>2004</v>
      </c>
      <c r="I303" s="2" t="s">
        <v>2005</v>
      </c>
      <c r="J303" s="2" t="s">
        <v>2006</v>
      </c>
      <c r="K303" s="2" t="s">
        <v>1105</v>
      </c>
      <c r="L303" s="3">
        <v>94.5</v>
      </c>
      <c r="M303" s="3">
        <v>99.22</v>
      </c>
      <c r="N303" s="3">
        <v>219.99</v>
      </c>
      <c r="O303" s="2" t="s">
        <v>245</v>
      </c>
      <c r="P303" s="2" t="s">
        <v>311</v>
      </c>
      <c r="Q303" s="2" t="s">
        <v>239</v>
      </c>
      <c r="R303" s="2" t="s">
        <v>233</v>
      </c>
      <c r="S303" s="2" t="s">
        <v>233</v>
      </c>
      <c r="T303" s="2" t="s">
        <v>233</v>
      </c>
      <c r="U303" s="2" t="s">
        <v>396</v>
      </c>
      <c r="V303" s="2" t="s">
        <v>893</v>
      </c>
      <c r="W303" s="2" t="s">
        <v>977</v>
      </c>
      <c r="X303" s="2" t="s">
        <v>1813</v>
      </c>
      <c r="Y303" s="2" t="s">
        <v>1610</v>
      </c>
      <c r="Z303" s="4">
        <v>23</v>
      </c>
      <c r="AA303" s="4">
        <f>=ROUNDDOWN(11.5,0)</f>
      </c>
      <c r="AB303" s="5">
        <v>2</v>
      </c>
      <c r="AC303" s="2" t="s">
        <v>233</v>
      </c>
      <c r="AD303" s="4"/>
      <c r="AE303" s="4"/>
      <c r="AF303" s="6">
        <v>63</v>
      </c>
      <c r="AG303" s="6"/>
      <c r="AH303" s="7">
        <v>1</v>
      </c>
      <c r="AI303" s="4"/>
      <c r="AJ303" s="4">
        <f>=ROUNDDOWN({0},0)</f>
      </c>
      <c r="AK303" s="5"/>
      <c r="AL303" s="2" t="s">
        <v>233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233</v>
      </c>
      <c r="AW303" s="8" t="s">
        <v>233</v>
      </c>
      <c r="AX303" s="4" t="s">
        <v>233</v>
      </c>
      <c r="AY303" s="8" t="s">
        <v>233</v>
      </c>
      <c r="AZ303" s="7" t="s">
        <v>233</v>
      </c>
      <c r="BA303" s="7" t="s">
        <v>233</v>
      </c>
      <c r="BB303" s="7"/>
      <c r="BC303" s="4" t="s">
        <v>233</v>
      </c>
      <c r="BD303" s="8" t="s">
        <v>233</v>
      </c>
      <c r="BE303" s="4" t="s">
        <v>233</v>
      </c>
      <c r="BF303" s="8" t="s">
        <v>233</v>
      </c>
      <c r="BG303" s="7" t="s">
        <v>233</v>
      </c>
      <c r="BH303" s="7" t="s">
        <v>233</v>
      </c>
      <c r="BI303" s="7"/>
      <c r="BJ303" s="4">
        <v>5</v>
      </c>
      <c r="BK303" s="8">
        <v>556.97</v>
      </c>
      <c r="BL303" s="2" t="s">
        <v>1814</v>
      </c>
      <c r="BM303" s="7"/>
      <c r="BN303" s="7"/>
      <c r="BO303" s="4"/>
      <c r="BP303" s="8"/>
      <c r="BQ303" s="4"/>
      <c r="BR303" s="8"/>
      <c r="BS303" s="7"/>
      <c r="BT303" s="7"/>
      <c r="BU303" s="2" t="s">
        <v>2007</v>
      </c>
      <c r="BV303" s="2" t="s">
        <v>233</v>
      </c>
      <c r="BW303" s="2" t="s">
        <v>233</v>
      </c>
      <c r="BX303" s="2" t="s">
        <v>233</v>
      </c>
      <c r="BY303" s="2" t="s">
        <v>280</v>
      </c>
      <c r="BZ303" s="2" t="s">
        <v>245</v>
      </c>
      <c r="CA303" s="2" t="s">
        <v>1910</v>
      </c>
      <c r="CB303" s="2" t="s">
        <v>2008</v>
      </c>
      <c r="CC303" s="2" t="s">
        <v>246</v>
      </c>
      <c r="CD303" s="2" t="s">
        <v>233</v>
      </c>
      <c r="CE303" s="4"/>
      <c r="CF303" s="4">
        <v>23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</row>
    <row r="304">
      <c r="A304" s="2" t="s">
        <v>2009</v>
      </c>
      <c r="B304" s="2" t="s">
        <v>886</v>
      </c>
      <c r="C304" s="2" t="s">
        <v>901</v>
      </c>
      <c r="D304" s="2" t="s">
        <v>888</v>
      </c>
      <c r="E304" s="2" t="s">
        <v>889</v>
      </c>
      <c r="F304" s="2" t="s">
        <v>2004</v>
      </c>
      <c r="G304" s="2" t="s">
        <v>2004</v>
      </c>
      <c r="H304" s="2" t="s">
        <v>2004</v>
      </c>
      <c r="I304" s="2" t="s">
        <v>2010</v>
      </c>
      <c r="J304" s="2" t="s">
        <v>2011</v>
      </c>
      <c r="K304" s="2" t="s">
        <v>1105</v>
      </c>
      <c r="L304" s="3">
        <v>63.9</v>
      </c>
      <c r="M304" s="3">
        <v>67.1</v>
      </c>
      <c r="N304" s="3">
        <v>149.99</v>
      </c>
      <c r="O304" s="2" t="s">
        <v>245</v>
      </c>
      <c r="P304" s="2" t="s">
        <v>311</v>
      </c>
      <c r="Q304" s="2" t="s">
        <v>239</v>
      </c>
      <c r="R304" s="2" t="s">
        <v>233</v>
      </c>
      <c r="S304" s="2" t="s">
        <v>233</v>
      </c>
      <c r="T304" s="2" t="s">
        <v>233</v>
      </c>
      <c r="U304" s="2" t="s">
        <v>233</v>
      </c>
      <c r="V304" s="2" t="s">
        <v>893</v>
      </c>
      <c r="W304" s="2" t="s">
        <v>397</v>
      </c>
      <c r="X304" s="2" t="s">
        <v>451</v>
      </c>
      <c r="Y304" s="2" t="s">
        <v>2012</v>
      </c>
      <c r="Z304" s="4">
        <v>75</v>
      </c>
      <c r="AA304" s="4">
        <f>=ROUNDDOWN(75,0)</f>
      </c>
      <c r="AB304" s="5">
        <v>1</v>
      </c>
      <c r="AC304" s="2" t="s">
        <v>233</v>
      </c>
      <c r="AD304" s="4"/>
      <c r="AE304" s="4"/>
      <c r="AF304" s="6">
        <v>63</v>
      </c>
      <c r="AG304" s="6"/>
      <c r="AH304" s="7">
        <v>1</v>
      </c>
      <c r="AI304" s="4"/>
      <c r="AJ304" s="4">
        <f>=ROUNDDOWN({0},0)</f>
      </c>
      <c r="AK304" s="5"/>
      <c r="AL304" s="2" t="s">
        <v>233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233</v>
      </c>
      <c r="AW304" s="8" t="s">
        <v>233</v>
      </c>
      <c r="AX304" s="4" t="s">
        <v>233</v>
      </c>
      <c r="AY304" s="8" t="s">
        <v>233</v>
      </c>
      <c r="AZ304" s="7" t="s">
        <v>233</v>
      </c>
      <c r="BA304" s="7" t="s">
        <v>233</v>
      </c>
      <c r="BB304" s="7"/>
      <c r="BC304" s="4" t="s">
        <v>233</v>
      </c>
      <c r="BD304" s="8" t="s">
        <v>233</v>
      </c>
      <c r="BE304" s="4" t="s">
        <v>233</v>
      </c>
      <c r="BF304" s="8" t="s">
        <v>233</v>
      </c>
      <c r="BG304" s="7" t="s">
        <v>233</v>
      </c>
      <c r="BH304" s="7" t="s">
        <v>233</v>
      </c>
      <c r="BI304" s="7"/>
      <c r="BJ304" s="4"/>
      <c r="BK304" s="8"/>
      <c r="BL304" s="2" t="s">
        <v>233</v>
      </c>
      <c r="BM304" s="7"/>
      <c r="BN304" s="7"/>
      <c r="BO304" s="4"/>
      <c r="BP304" s="8"/>
      <c r="BQ304" s="4"/>
      <c r="BR304" s="8"/>
      <c r="BS304" s="7"/>
      <c r="BT304" s="7"/>
      <c r="BU304" s="2" t="s">
        <v>2013</v>
      </c>
      <c r="BV304" s="2" t="s">
        <v>233</v>
      </c>
      <c r="BW304" s="2" t="s">
        <v>233</v>
      </c>
      <c r="BX304" s="2" t="s">
        <v>233</v>
      </c>
      <c r="BY304" s="2" t="s">
        <v>280</v>
      </c>
      <c r="BZ304" s="2" t="s">
        <v>245</v>
      </c>
      <c r="CA304" s="2" t="s">
        <v>1358</v>
      </c>
      <c r="CB304" s="2" t="s">
        <v>2014</v>
      </c>
      <c r="CC304" s="2" t="s">
        <v>246</v>
      </c>
      <c r="CD304" s="2" t="s">
        <v>233</v>
      </c>
      <c r="CE304" s="4"/>
      <c r="CF304" s="4">
        <v>75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</row>
    <row r="305">
      <c r="A305" s="2" t="s">
        <v>2015</v>
      </c>
      <c r="B305" s="2" t="s">
        <v>928</v>
      </c>
      <c r="C305" s="2" t="s">
        <v>530</v>
      </c>
      <c r="D305" s="2" t="s">
        <v>1101</v>
      </c>
      <c r="E305" s="2" t="s">
        <v>1102</v>
      </c>
      <c r="F305" s="2" t="s">
        <v>2004</v>
      </c>
      <c r="G305" s="2" t="s">
        <v>2004</v>
      </c>
      <c r="H305" s="2" t="s">
        <v>2004</v>
      </c>
      <c r="I305" s="2" t="s">
        <v>2016</v>
      </c>
      <c r="J305" s="2" t="s">
        <v>892</v>
      </c>
      <c r="K305" s="2" t="s">
        <v>1105</v>
      </c>
      <c r="L305" s="3">
        <v>57.14</v>
      </c>
      <c r="M305" s="3">
        <v>60</v>
      </c>
      <c r="N305" s="3">
        <v>119.99</v>
      </c>
      <c r="O305" s="2" t="s">
        <v>245</v>
      </c>
      <c r="P305" s="2" t="s">
        <v>238</v>
      </c>
      <c r="Q305" s="2" t="s">
        <v>239</v>
      </c>
      <c r="R305" s="2" t="s">
        <v>233</v>
      </c>
      <c r="S305" s="2" t="s">
        <v>233</v>
      </c>
      <c r="T305" s="2" t="s">
        <v>233</v>
      </c>
      <c r="U305" s="2" t="s">
        <v>396</v>
      </c>
      <c r="V305" s="2" t="s">
        <v>893</v>
      </c>
      <c r="W305" s="2" t="s">
        <v>705</v>
      </c>
      <c r="X305" s="2" t="s">
        <v>776</v>
      </c>
      <c r="Y305" s="2" t="s">
        <v>233</v>
      </c>
      <c r="Z305" s="4"/>
      <c r="AA305" s="4">
        <f>=ROUNDDOWN({0},0)</f>
      </c>
      <c r="AB305" s="5"/>
      <c r="AC305" s="2" t="s">
        <v>521</v>
      </c>
      <c r="AD305" s="4">
        <v>100</v>
      </c>
      <c r="AE305" s="4">
        <v>100</v>
      </c>
      <c r="AF305" s="6"/>
      <c r="AG305" s="6"/>
      <c r="AH305" s="7">
        <v>0</v>
      </c>
      <c r="AI305" s="4"/>
      <c r="AJ305" s="4">
        <f>=ROUNDDOWN({0},0)</f>
      </c>
      <c r="AK305" s="5"/>
      <c r="AL305" s="2" t="s">
        <v>233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233</v>
      </c>
      <c r="AW305" s="8" t="s">
        <v>233</v>
      </c>
      <c r="AX305" s="4" t="s">
        <v>233</v>
      </c>
      <c r="AY305" s="8" t="s">
        <v>233</v>
      </c>
      <c r="AZ305" s="7" t="s">
        <v>233</v>
      </c>
      <c r="BA305" s="7" t="s">
        <v>233</v>
      </c>
      <c r="BB305" s="7"/>
      <c r="BC305" s="4" t="s">
        <v>233</v>
      </c>
      <c r="BD305" s="8" t="s">
        <v>233</v>
      </c>
      <c r="BE305" s="4" t="s">
        <v>233</v>
      </c>
      <c r="BF305" s="8" t="s">
        <v>233</v>
      </c>
      <c r="BG305" s="7" t="s">
        <v>233</v>
      </c>
      <c r="BH305" s="7" t="s">
        <v>233</v>
      </c>
      <c r="BI305" s="7"/>
      <c r="BJ305" s="4"/>
      <c r="BK305" s="8"/>
      <c r="BL305" s="2" t="s">
        <v>233</v>
      </c>
      <c r="BM305" s="7"/>
      <c r="BN305" s="7"/>
      <c r="BO305" s="4"/>
      <c r="BP305" s="8"/>
      <c r="BQ305" s="4"/>
      <c r="BR305" s="8"/>
      <c r="BS305" s="7"/>
      <c r="BT305" s="7"/>
      <c r="BU305" s="2" t="s">
        <v>243</v>
      </c>
      <c r="BV305" s="2" t="s">
        <v>233</v>
      </c>
      <c r="BW305" s="2" t="s">
        <v>233</v>
      </c>
      <c r="BX305" s="2" t="s">
        <v>243</v>
      </c>
      <c r="BY305" s="2" t="s">
        <v>244</v>
      </c>
      <c r="BZ305" s="2" t="s">
        <v>245</v>
      </c>
      <c r="CA305" s="2" t="s">
        <v>233</v>
      </c>
      <c r="CB305" s="2" t="s">
        <v>233</v>
      </c>
      <c r="CC305" s="2" t="s">
        <v>246</v>
      </c>
      <c r="CD305" s="2" t="s">
        <v>233</v>
      </c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>
        <v>100</v>
      </c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</row>
    <row r="306">
      <c r="A306" s="2" t="s">
        <v>2017</v>
      </c>
      <c r="B306" s="2" t="s">
        <v>928</v>
      </c>
      <c r="C306" s="2" t="s">
        <v>530</v>
      </c>
      <c r="D306" s="2" t="s">
        <v>1757</v>
      </c>
      <c r="E306" s="2" t="s">
        <v>939</v>
      </c>
      <c r="F306" s="2" t="s">
        <v>2018</v>
      </c>
      <c r="G306" s="2" t="s">
        <v>2018</v>
      </c>
      <c r="H306" s="2" t="s">
        <v>2018</v>
      </c>
      <c r="I306" s="2" t="s">
        <v>2019</v>
      </c>
      <c r="J306" s="2" t="s">
        <v>892</v>
      </c>
      <c r="K306" s="2" t="s">
        <v>2020</v>
      </c>
      <c r="L306" s="3">
        <v>54.4</v>
      </c>
      <c r="M306" s="3">
        <v>57.12</v>
      </c>
      <c r="N306" s="3">
        <v>114.74</v>
      </c>
      <c r="O306" s="2" t="s">
        <v>245</v>
      </c>
      <c r="P306" s="2" t="s">
        <v>393</v>
      </c>
      <c r="Q306" s="2" t="s">
        <v>239</v>
      </c>
      <c r="R306" s="2" t="s">
        <v>233</v>
      </c>
      <c r="S306" s="2" t="s">
        <v>2021</v>
      </c>
      <c r="T306" s="2" t="s">
        <v>233</v>
      </c>
      <c r="U306" s="2" t="s">
        <v>491</v>
      </c>
      <c r="V306" s="2" t="s">
        <v>921</v>
      </c>
      <c r="W306" s="2" t="s">
        <v>397</v>
      </c>
      <c r="X306" s="2" t="s">
        <v>343</v>
      </c>
      <c r="Y306" s="2" t="s">
        <v>2022</v>
      </c>
      <c r="Z306" s="4">
        <v>124</v>
      </c>
      <c r="AA306" s="4">
        <f>=ROUNDDOWN(62,0)</f>
      </c>
      <c r="AB306" s="5">
        <v>2</v>
      </c>
      <c r="AC306" s="2" t="s">
        <v>233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233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>
        <v>11</v>
      </c>
      <c r="BK306" s="8">
        <v>717.78</v>
      </c>
      <c r="BL306" s="2" t="s">
        <v>2023</v>
      </c>
      <c r="BM306" s="7"/>
      <c r="BN306" s="7"/>
      <c r="BO306" s="4"/>
      <c r="BP306" s="8"/>
      <c r="BQ306" s="4"/>
      <c r="BR306" s="8"/>
      <c r="BS306" s="7"/>
      <c r="BT306" s="7"/>
      <c r="BU306" s="2" t="s">
        <v>2024</v>
      </c>
      <c r="BV306" s="2" t="s">
        <v>233</v>
      </c>
      <c r="BW306" s="2" t="s">
        <v>233</v>
      </c>
      <c r="BX306" s="2" t="s">
        <v>233</v>
      </c>
      <c r="BY306" s="2" t="s">
        <v>280</v>
      </c>
      <c r="BZ306" s="2" t="s">
        <v>245</v>
      </c>
      <c r="CA306" s="2" t="s">
        <v>2025</v>
      </c>
      <c r="CB306" s="2" t="s">
        <v>2026</v>
      </c>
      <c r="CC306" s="2" t="s">
        <v>246</v>
      </c>
      <c r="CD306" s="2" t="s">
        <v>233</v>
      </c>
      <c r="CE306" s="4"/>
      <c r="CF306" s="4">
        <v>124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</row>
    <row r="307">
      <c r="A307" s="2" t="s">
        <v>2027</v>
      </c>
      <c r="B307" s="2" t="s">
        <v>928</v>
      </c>
      <c r="C307" s="2" t="s">
        <v>530</v>
      </c>
      <c r="D307" s="2" t="s">
        <v>961</v>
      </c>
      <c r="E307" s="2" t="s">
        <v>2028</v>
      </c>
      <c r="F307" s="2" t="s">
        <v>2029</v>
      </c>
      <c r="G307" s="2" t="s">
        <v>2029</v>
      </c>
      <c r="H307" s="2" t="s">
        <v>2029</v>
      </c>
      <c r="I307" s="2" t="s">
        <v>2030</v>
      </c>
      <c r="J307" s="2" t="s">
        <v>892</v>
      </c>
      <c r="K307" s="2" t="s">
        <v>1561</v>
      </c>
      <c r="L307" s="3">
        <v>41.69</v>
      </c>
      <c r="M307" s="3">
        <v>43.77</v>
      </c>
      <c r="N307" s="3">
        <v>89.24</v>
      </c>
      <c r="O307" s="2" t="s">
        <v>245</v>
      </c>
      <c r="P307" s="2" t="s">
        <v>272</v>
      </c>
      <c r="Q307" s="2" t="s">
        <v>239</v>
      </c>
      <c r="R307" s="2" t="s">
        <v>233</v>
      </c>
      <c r="S307" s="2" t="s">
        <v>233</v>
      </c>
      <c r="T307" s="2" t="s">
        <v>233</v>
      </c>
      <c r="U307" s="2" t="s">
        <v>475</v>
      </c>
      <c r="V307" s="2" t="s">
        <v>952</v>
      </c>
      <c r="W307" s="2" t="s">
        <v>451</v>
      </c>
      <c r="X307" s="2" t="s">
        <v>233</v>
      </c>
      <c r="Y307" s="2" t="s">
        <v>2031</v>
      </c>
      <c r="Z307" s="4">
        <v>194</v>
      </c>
      <c r="AA307" s="4">
        <f>=ROUNDDOWN(77.6,0)</f>
      </c>
      <c r="AB307" s="5">
        <v>2.5</v>
      </c>
      <c r="AC307" s="2" t="s">
        <v>233</v>
      </c>
      <c r="AD307" s="4"/>
      <c r="AE307" s="4"/>
      <c r="AF307" s="6">
        <v>63</v>
      </c>
      <c r="AG307" s="6"/>
      <c r="AH307" s="7">
        <v>1</v>
      </c>
      <c r="AI307" s="4"/>
      <c r="AJ307" s="4">
        <f>=ROUNDDOWN({0},0)</f>
      </c>
      <c r="AK307" s="5"/>
      <c r="AL307" s="2" t="s">
        <v>233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>
        <v>10</v>
      </c>
      <c r="BK307" s="8">
        <v>533.95</v>
      </c>
      <c r="BL307" s="2" t="s">
        <v>2032</v>
      </c>
      <c r="BM307" s="7"/>
      <c r="BN307" s="7"/>
      <c r="BO307" s="4"/>
      <c r="BP307" s="8"/>
      <c r="BQ307" s="4"/>
      <c r="BR307" s="8"/>
      <c r="BS307" s="7"/>
      <c r="BT307" s="7"/>
      <c r="BU307" s="2" t="s">
        <v>2033</v>
      </c>
      <c r="BV307" s="2" t="s">
        <v>233</v>
      </c>
      <c r="BW307" s="2" t="s">
        <v>233</v>
      </c>
      <c r="BX307" s="2" t="s">
        <v>233</v>
      </c>
      <c r="BY307" s="2" t="s">
        <v>280</v>
      </c>
      <c r="BZ307" s="2" t="s">
        <v>245</v>
      </c>
      <c r="CA307" s="2" t="s">
        <v>2034</v>
      </c>
      <c r="CB307" s="2" t="s">
        <v>2035</v>
      </c>
      <c r="CC307" s="2" t="s">
        <v>246</v>
      </c>
      <c r="CD307" s="2" t="s">
        <v>233</v>
      </c>
      <c r="CE307" s="4"/>
      <c r="CF307" s="4">
        <v>194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</row>
    <row r="308">
      <c r="A308" s="2" t="s">
        <v>2036</v>
      </c>
      <c r="B308" s="2" t="s">
        <v>1066</v>
      </c>
      <c r="C308" s="2" t="s">
        <v>530</v>
      </c>
      <c r="D308" s="2" t="s">
        <v>2037</v>
      </c>
      <c r="E308" s="2" t="s">
        <v>2038</v>
      </c>
      <c r="F308" s="2" t="s">
        <v>2039</v>
      </c>
      <c r="G308" s="2" t="s">
        <v>2040</v>
      </c>
      <c r="H308" s="2" t="s">
        <v>2041</v>
      </c>
      <c r="I308" s="2" t="s">
        <v>2042</v>
      </c>
      <c r="J308" s="2" t="s">
        <v>892</v>
      </c>
      <c r="K308" s="2" t="s">
        <v>1930</v>
      </c>
      <c r="L308" s="3">
        <v>231.88</v>
      </c>
      <c r="M308" s="3">
        <v>243.47</v>
      </c>
      <c r="N308" s="3">
        <v>479</v>
      </c>
      <c r="O308" s="2" t="s">
        <v>237</v>
      </c>
      <c r="P308" s="2" t="s">
        <v>311</v>
      </c>
      <c r="Q308" s="2" t="s">
        <v>239</v>
      </c>
      <c r="R308" s="2" t="s">
        <v>233</v>
      </c>
      <c r="S308" s="2" t="s">
        <v>2043</v>
      </c>
      <c r="T308" s="2" t="s">
        <v>233</v>
      </c>
      <c r="U308" s="2" t="s">
        <v>233</v>
      </c>
      <c r="V308" s="2" t="s">
        <v>241</v>
      </c>
      <c r="W308" s="2" t="s">
        <v>451</v>
      </c>
      <c r="X308" s="2" t="s">
        <v>233</v>
      </c>
      <c r="Y308" s="2" t="s">
        <v>2044</v>
      </c>
      <c r="Z308" s="4">
        <v>95</v>
      </c>
      <c r="AA308" s="4">
        <f>=ROUNDDOWN(50,0)</f>
      </c>
      <c r="AB308" s="5">
        <v>1.9</v>
      </c>
      <c r="AC308" s="2" t="s">
        <v>233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233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>
        <v>6</v>
      </c>
      <c r="BK308" s="8">
        <v>1496.26</v>
      </c>
      <c r="BL308" s="2" t="s">
        <v>2045</v>
      </c>
      <c r="BM308" s="7"/>
      <c r="BN308" s="7"/>
      <c r="BO308" s="4"/>
      <c r="BP308" s="8"/>
      <c r="BQ308" s="4"/>
      <c r="BR308" s="8"/>
      <c r="BS308" s="7"/>
      <c r="BT308" s="7"/>
      <c r="BU308" s="2" t="s">
        <v>2046</v>
      </c>
      <c r="BV308" s="2" t="s">
        <v>233</v>
      </c>
      <c r="BW308" s="2" t="s">
        <v>233</v>
      </c>
      <c r="BX308" s="2" t="s">
        <v>243</v>
      </c>
      <c r="BY308" s="2" t="s">
        <v>280</v>
      </c>
      <c r="BZ308" s="2" t="s">
        <v>245</v>
      </c>
      <c r="CA308" s="2" t="s">
        <v>2047</v>
      </c>
      <c r="CB308" s="2" t="s">
        <v>2048</v>
      </c>
      <c r="CC308" s="2" t="s">
        <v>246</v>
      </c>
      <c r="CD308" s="2" t="s">
        <v>233</v>
      </c>
      <c r="CE308" s="4"/>
      <c r="CF308" s="4">
        <v>95</v>
      </c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</row>
    <row r="309">
      <c r="A309" s="2" t="s">
        <v>2049</v>
      </c>
      <c r="B309" s="2" t="s">
        <v>1414</v>
      </c>
      <c r="C309" s="2" t="s">
        <v>530</v>
      </c>
      <c r="D309" s="2" t="s">
        <v>1414</v>
      </c>
      <c r="E309" s="2" t="s">
        <v>1414</v>
      </c>
      <c r="F309" s="2" t="s">
        <v>2050</v>
      </c>
      <c r="G309" s="2" t="s">
        <v>2051</v>
      </c>
      <c r="H309" s="2" t="s">
        <v>2052</v>
      </c>
      <c r="I309" s="2" t="s">
        <v>2053</v>
      </c>
      <c r="J309" s="2" t="s">
        <v>2054</v>
      </c>
      <c r="K309" s="2" t="s">
        <v>2055</v>
      </c>
      <c r="L309" s="3">
        <v>22</v>
      </c>
      <c r="M309" s="3">
        <v>23.1</v>
      </c>
      <c r="N309" s="3">
        <v>49.99</v>
      </c>
      <c r="O309" s="2" t="s">
        <v>245</v>
      </c>
      <c r="P309" s="2" t="s">
        <v>311</v>
      </c>
      <c r="Q309" s="2" t="s">
        <v>239</v>
      </c>
      <c r="R309" s="2" t="s">
        <v>233</v>
      </c>
      <c r="S309" s="2" t="s">
        <v>2056</v>
      </c>
      <c r="T309" s="2" t="s">
        <v>233</v>
      </c>
      <c r="U309" s="2" t="s">
        <v>396</v>
      </c>
      <c r="V309" s="2" t="s">
        <v>1085</v>
      </c>
      <c r="W309" s="2" t="s">
        <v>397</v>
      </c>
      <c r="X309" s="2" t="s">
        <v>275</v>
      </c>
      <c r="Y309" s="2" t="s">
        <v>518</v>
      </c>
      <c r="Z309" s="4">
        <v>7</v>
      </c>
      <c r="AA309" s="4">
        <f>=ROUNDDOWN(23.3333333333333,0)</f>
      </c>
      <c r="AB309" s="5">
        <v>0.3</v>
      </c>
      <c r="AC309" s="2" t="s">
        <v>233</v>
      </c>
      <c r="AD309" s="4"/>
      <c r="AE309" s="4"/>
      <c r="AF309" s="6">
        <v>63</v>
      </c>
      <c r="AG309" s="6"/>
      <c r="AH309" s="7">
        <v>1</v>
      </c>
      <c r="AI309" s="4"/>
      <c r="AJ309" s="4">
        <f>=ROUNDDOWN({0},0)</f>
      </c>
      <c r="AK309" s="5"/>
      <c r="AL309" s="2" t="s">
        <v>233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233</v>
      </c>
      <c r="AW309" s="8" t="s">
        <v>233</v>
      </c>
      <c r="AX309" s="4" t="s">
        <v>233</v>
      </c>
      <c r="AY309" s="8" t="s">
        <v>233</v>
      </c>
      <c r="AZ309" s="7" t="s">
        <v>233</v>
      </c>
      <c r="BA309" s="7" t="s">
        <v>233</v>
      </c>
      <c r="BB309" s="7"/>
      <c r="BC309" s="4" t="s">
        <v>233</v>
      </c>
      <c r="BD309" s="8" t="s">
        <v>233</v>
      </c>
      <c r="BE309" s="4" t="s">
        <v>233</v>
      </c>
      <c r="BF309" s="8" t="s">
        <v>233</v>
      </c>
      <c r="BG309" s="7" t="s">
        <v>233</v>
      </c>
      <c r="BH309" s="7" t="s">
        <v>233</v>
      </c>
      <c r="BI309" s="7"/>
      <c r="BJ309" s="4">
        <v>2</v>
      </c>
      <c r="BK309" s="8">
        <v>48.51</v>
      </c>
      <c r="BL309" s="2" t="s">
        <v>2057</v>
      </c>
      <c r="BM309" s="7"/>
      <c r="BN309" s="7"/>
      <c r="BO309" s="4"/>
      <c r="BP309" s="8"/>
      <c r="BQ309" s="4"/>
      <c r="BR309" s="8"/>
      <c r="BS309" s="7"/>
      <c r="BT309" s="7"/>
      <c r="BU309" s="2" t="s">
        <v>2058</v>
      </c>
      <c r="BV309" s="2" t="s">
        <v>233</v>
      </c>
      <c r="BW309" s="2" t="s">
        <v>233</v>
      </c>
      <c r="BX309" s="2" t="s">
        <v>233</v>
      </c>
      <c r="BY309" s="2" t="s">
        <v>280</v>
      </c>
      <c r="BZ309" s="2" t="s">
        <v>245</v>
      </c>
      <c r="CA309" s="2" t="s">
        <v>2059</v>
      </c>
      <c r="CB309" s="2" t="s">
        <v>233</v>
      </c>
      <c r="CC309" s="2" t="s">
        <v>246</v>
      </c>
      <c r="CD309" s="2" t="s">
        <v>233</v>
      </c>
      <c r="CE309" s="4"/>
      <c r="CF309" s="4">
        <v>7</v>
      </c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</row>
    <row r="310">
      <c r="A310" s="2" t="s">
        <v>2060</v>
      </c>
      <c r="B310" s="2" t="s">
        <v>1414</v>
      </c>
      <c r="C310" s="2" t="s">
        <v>530</v>
      </c>
      <c r="D310" s="2" t="s">
        <v>1414</v>
      </c>
      <c r="E310" s="2" t="s">
        <v>1414</v>
      </c>
      <c r="F310" s="2" t="s">
        <v>2050</v>
      </c>
      <c r="G310" s="2" t="s">
        <v>2051</v>
      </c>
      <c r="H310" s="2" t="s">
        <v>2052</v>
      </c>
      <c r="I310" s="2" t="s">
        <v>2053</v>
      </c>
      <c r="J310" s="2" t="s">
        <v>1418</v>
      </c>
      <c r="K310" s="2" t="s">
        <v>2055</v>
      </c>
      <c r="L310" s="3">
        <v>59</v>
      </c>
      <c r="M310" s="3">
        <v>61.95</v>
      </c>
      <c r="N310" s="3">
        <v>139.99</v>
      </c>
      <c r="O310" s="2" t="s">
        <v>245</v>
      </c>
      <c r="P310" s="2" t="s">
        <v>311</v>
      </c>
      <c r="Q310" s="2" t="s">
        <v>239</v>
      </c>
      <c r="R310" s="2" t="s">
        <v>233</v>
      </c>
      <c r="S310" s="2" t="s">
        <v>2056</v>
      </c>
      <c r="T310" s="2" t="s">
        <v>233</v>
      </c>
      <c r="U310" s="2" t="s">
        <v>396</v>
      </c>
      <c r="V310" s="2" t="s">
        <v>1085</v>
      </c>
      <c r="W310" s="2" t="s">
        <v>397</v>
      </c>
      <c r="X310" s="2" t="s">
        <v>233</v>
      </c>
      <c r="Y310" s="2" t="s">
        <v>518</v>
      </c>
      <c r="Z310" s="4">
        <v>12</v>
      </c>
      <c r="AA310" s="4">
        <f>=ROUNDDOWN(10.9090909090909,0)</f>
      </c>
      <c r="AB310" s="5">
        <v>1.1</v>
      </c>
      <c r="AC310" s="2" t="s">
        <v>233</v>
      </c>
      <c r="AD310" s="4"/>
      <c r="AE310" s="4"/>
      <c r="AF310" s="6">
        <v>63</v>
      </c>
      <c r="AG310" s="6"/>
      <c r="AH310" s="7">
        <v>1</v>
      </c>
      <c r="AI310" s="4"/>
      <c r="AJ310" s="4">
        <f>=ROUNDDOWN({0},0)</f>
      </c>
      <c r="AK310" s="5"/>
      <c r="AL310" s="2" t="s">
        <v>233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233</v>
      </c>
      <c r="AW310" s="8" t="s">
        <v>233</v>
      </c>
      <c r="AX310" s="4" t="s">
        <v>233</v>
      </c>
      <c r="AY310" s="8" t="s">
        <v>233</v>
      </c>
      <c r="AZ310" s="7" t="s">
        <v>233</v>
      </c>
      <c r="BA310" s="7" t="s">
        <v>233</v>
      </c>
      <c r="BB310" s="7"/>
      <c r="BC310" s="4" t="s">
        <v>233</v>
      </c>
      <c r="BD310" s="8" t="s">
        <v>233</v>
      </c>
      <c r="BE310" s="4" t="s">
        <v>233</v>
      </c>
      <c r="BF310" s="8" t="s">
        <v>233</v>
      </c>
      <c r="BG310" s="7" t="s">
        <v>233</v>
      </c>
      <c r="BH310" s="7" t="s">
        <v>233</v>
      </c>
      <c r="BI310" s="7"/>
      <c r="BJ310" s="4">
        <v>1</v>
      </c>
      <c r="BK310" s="8">
        <v>82.69</v>
      </c>
      <c r="BL310" s="2" t="s">
        <v>744</v>
      </c>
      <c r="BM310" s="7"/>
      <c r="BN310" s="7"/>
      <c r="BO310" s="4"/>
      <c r="BP310" s="8"/>
      <c r="BQ310" s="4"/>
      <c r="BR310" s="8"/>
      <c r="BS310" s="7"/>
      <c r="BT310" s="7"/>
      <c r="BU310" s="2" t="s">
        <v>2061</v>
      </c>
      <c r="BV310" s="2" t="s">
        <v>233</v>
      </c>
      <c r="BW310" s="2" t="s">
        <v>233</v>
      </c>
      <c r="BX310" s="2" t="s">
        <v>233</v>
      </c>
      <c r="BY310" s="2" t="s">
        <v>280</v>
      </c>
      <c r="BZ310" s="2" t="s">
        <v>245</v>
      </c>
      <c r="CA310" s="2" t="s">
        <v>2059</v>
      </c>
      <c r="CB310" s="2" t="s">
        <v>2062</v>
      </c>
      <c r="CC310" s="2" t="s">
        <v>246</v>
      </c>
      <c r="CD310" s="2" t="s">
        <v>233</v>
      </c>
      <c r="CE310" s="4"/>
      <c r="CF310" s="4">
        <v>12</v>
      </c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</row>
    <row r="311">
      <c r="A311" s="2" t="s">
        <v>2063</v>
      </c>
      <c r="B311" s="2" t="s">
        <v>1414</v>
      </c>
      <c r="C311" s="2" t="s">
        <v>530</v>
      </c>
      <c r="D311" s="2" t="s">
        <v>1414</v>
      </c>
      <c r="E311" s="2" t="s">
        <v>1414</v>
      </c>
      <c r="F311" s="2" t="s">
        <v>2050</v>
      </c>
      <c r="G311" s="2" t="s">
        <v>2051</v>
      </c>
      <c r="H311" s="2" t="s">
        <v>2052</v>
      </c>
      <c r="I311" s="2" t="s">
        <v>2053</v>
      </c>
      <c r="J311" s="2" t="s">
        <v>1426</v>
      </c>
      <c r="K311" s="2" t="s">
        <v>2055</v>
      </c>
      <c r="L311" s="3">
        <v>94</v>
      </c>
      <c r="M311" s="3">
        <v>98.7</v>
      </c>
      <c r="N311" s="3">
        <v>209.98</v>
      </c>
      <c r="O311" s="2" t="s">
        <v>245</v>
      </c>
      <c r="P311" s="2" t="s">
        <v>311</v>
      </c>
      <c r="Q311" s="2" t="s">
        <v>239</v>
      </c>
      <c r="R311" s="2" t="s">
        <v>233</v>
      </c>
      <c r="S311" s="2" t="s">
        <v>2056</v>
      </c>
      <c r="T311" s="2" t="s">
        <v>233</v>
      </c>
      <c r="U311" s="2" t="s">
        <v>396</v>
      </c>
      <c r="V311" s="2" t="s">
        <v>1085</v>
      </c>
      <c r="W311" s="2" t="s">
        <v>397</v>
      </c>
      <c r="X311" s="2" t="s">
        <v>233</v>
      </c>
      <c r="Y311" s="2" t="s">
        <v>518</v>
      </c>
      <c r="Z311" s="4">
        <v>51</v>
      </c>
      <c r="AA311" s="4">
        <f>=ROUNDDOWN({0},0)</f>
      </c>
      <c r="AB311" s="5"/>
      <c r="AC311" s="2" t="s">
        <v>233</v>
      </c>
      <c r="AD311" s="4"/>
      <c r="AE311" s="4"/>
      <c r="AF311" s="6">
        <v>63</v>
      </c>
      <c r="AG311" s="6"/>
      <c r="AH311" s="7">
        <v>1</v>
      </c>
      <c r="AI311" s="4"/>
      <c r="AJ311" s="4">
        <f>=ROUNDDOWN({0},0)</f>
      </c>
      <c r="AK311" s="5"/>
      <c r="AL311" s="2" t="s">
        <v>233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233</v>
      </c>
      <c r="AW311" s="8" t="s">
        <v>233</v>
      </c>
      <c r="AX311" s="4" t="s">
        <v>233</v>
      </c>
      <c r="AY311" s="8" t="s">
        <v>233</v>
      </c>
      <c r="AZ311" s="7" t="s">
        <v>233</v>
      </c>
      <c r="BA311" s="7" t="s">
        <v>233</v>
      </c>
      <c r="BB311" s="7"/>
      <c r="BC311" s="4" t="s">
        <v>233</v>
      </c>
      <c r="BD311" s="8" t="s">
        <v>233</v>
      </c>
      <c r="BE311" s="4" t="s">
        <v>233</v>
      </c>
      <c r="BF311" s="8" t="s">
        <v>233</v>
      </c>
      <c r="BG311" s="7" t="s">
        <v>233</v>
      </c>
      <c r="BH311" s="7" t="s">
        <v>233</v>
      </c>
      <c r="BI311" s="7"/>
      <c r="BJ311" s="4">
        <v>1</v>
      </c>
      <c r="BK311" s="8">
        <v>108.57</v>
      </c>
      <c r="BL311" s="2" t="s">
        <v>2064</v>
      </c>
      <c r="BM311" s="7"/>
      <c r="BN311" s="7"/>
      <c r="BO311" s="4"/>
      <c r="BP311" s="8"/>
      <c r="BQ311" s="4"/>
      <c r="BR311" s="8"/>
      <c r="BS311" s="7"/>
      <c r="BT311" s="7"/>
      <c r="BU311" s="2" t="s">
        <v>2065</v>
      </c>
      <c r="BV311" s="2" t="s">
        <v>233</v>
      </c>
      <c r="BW311" s="2" t="s">
        <v>233</v>
      </c>
      <c r="BX311" s="2" t="s">
        <v>233</v>
      </c>
      <c r="BY311" s="2" t="s">
        <v>280</v>
      </c>
      <c r="BZ311" s="2" t="s">
        <v>245</v>
      </c>
      <c r="CA311" s="2" t="s">
        <v>2059</v>
      </c>
      <c r="CB311" s="2" t="s">
        <v>233</v>
      </c>
      <c r="CC311" s="2" t="s">
        <v>246</v>
      </c>
      <c r="CD311" s="2" t="s">
        <v>233</v>
      </c>
      <c r="CE311" s="4"/>
      <c r="CF311" s="4">
        <v>51</v>
      </c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</row>
    <row r="312">
      <c r="A312" s="2" t="s">
        <v>2066</v>
      </c>
      <c r="B312" s="2" t="s">
        <v>1414</v>
      </c>
      <c r="C312" s="2" t="s">
        <v>530</v>
      </c>
      <c r="D312" s="2" t="s">
        <v>1414</v>
      </c>
      <c r="E312" s="2" t="s">
        <v>1414</v>
      </c>
      <c r="F312" s="2" t="s">
        <v>2050</v>
      </c>
      <c r="G312" s="2" t="s">
        <v>2051</v>
      </c>
      <c r="H312" s="2" t="s">
        <v>2052</v>
      </c>
      <c r="I312" s="2" t="s">
        <v>2053</v>
      </c>
      <c r="J312" s="2" t="s">
        <v>1808</v>
      </c>
      <c r="K312" s="2" t="s">
        <v>2055</v>
      </c>
      <c r="L312" s="3">
        <v>125</v>
      </c>
      <c r="M312" s="3">
        <v>131.25</v>
      </c>
      <c r="N312" s="3">
        <v>279.98</v>
      </c>
      <c r="O312" s="2" t="s">
        <v>245</v>
      </c>
      <c r="P312" s="2" t="s">
        <v>311</v>
      </c>
      <c r="Q312" s="2" t="s">
        <v>239</v>
      </c>
      <c r="R312" s="2" t="s">
        <v>233</v>
      </c>
      <c r="S312" s="2" t="s">
        <v>2056</v>
      </c>
      <c r="T312" s="2" t="s">
        <v>233</v>
      </c>
      <c r="U312" s="2" t="s">
        <v>396</v>
      </c>
      <c r="V312" s="2" t="s">
        <v>1085</v>
      </c>
      <c r="W312" s="2" t="s">
        <v>397</v>
      </c>
      <c r="X312" s="2" t="s">
        <v>233</v>
      </c>
      <c r="Y312" s="2" t="s">
        <v>518</v>
      </c>
      <c r="Z312" s="4">
        <v>98</v>
      </c>
      <c r="AA312" s="4">
        <f>=ROUNDDOWN({0},0)</f>
      </c>
      <c r="AB312" s="5"/>
      <c r="AC312" s="2" t="s">
        <v>233</v>
      </c>
      <c r="AD312" s="4"/>
      <c r="AE312" s="4"/>
      <c r="AF312" s="6">
        <v>63</v>
      </c>
      <c r="AG312" s="6"/>
      <c r="AH312" s="7">
        <v>1</v>
      </c>
      <c r="AI312" s="4"/>
      <c r="AJ312" s="4">
        <f>=ROUNDDOWN({0},0)</f>
      </c>
      <c r="AK312" s="5"/>
      <c r="AL312" s="2" t="s">
        <v>233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233</v>
      </c>
      <c r="AW312" s="8" t="s">
        <v>233</v>
      </c>
      <c r="AX312" s="4" t="s">
        <v>233</v>
      </c>
      <c r="AY312" s="8" t="s">
        <v>233</v>
      </c>
      <c r="AZ312" s="7" t="s">
        <v>233</v>
      </c>
      <c r="BA312" s="7" t="s">
        <v>233</v>
      </c>
      <c r="BB312" s="7"/>
      <c r="BC312" s="4" t="s">
        <v>233</v>
      </c>
      <c r="BD312" s="8" t="s">
        <v>233</v>
      </c>
      <c r="BE312" s="4" t="s">
        <v>233</v>
      </c>
      <c r="BF312" s="8" t="s">
        <v>233</v>
      </c>
      <c r="BG312" s="7" t="s">
        <v>233</v>
      </c>
      <c r="BH312" s="7" t="s">
        <v>233</v>
      </c>
      <c r="BI312" s="7"/>
      <c r="BJ312" s="4"/>
      <c r="BK312" s="8"/>
      <c r="BL312" s="2" t="s">
        <v>744</v>
      </c>
      <c r="BM312" s="7"/>
      <c r="BN312" s="7"/>
      <c r="BO312" s="4"/>
      <c r="BP312" s="8"/>
      <c r="BQ312" s="4"/>
      <c r="BR312" s="8"/>
      <c r="BS312" s="7"/>
      <c r="BT312" s="7"/>
      <c r="BU312" s="2" t="s">
        <v>2067</v>
      </c>
      <c r="BV312" s="2" t="s">
        <v>233</v>
      </c>
      <c r="BW312" s="2" t="s">
        <v>233</v>
      </c>
      <c r="BX312" s="2" t="s">
        <v>233</v>
      </c>
      <c r="BY312" s="2" t="s">
        <v>280</v>
      </c>
      <c r="BZ312" s="2" t="s">
        <v>245</v>
      </c>
      <c r="CA312" s="2" t="s">
        <v>2059</v>
      </c>
      <c r="CB312" s="2" t="s">
        <v>233</v>
      </c>
      <c r="CC312" s="2" t="s">
        <v>246</v>
      </c>
      <c r="CD312" s="2" t="s">
        <v>233</v>
      </c>
      <c r="CE312" s="4"/>
      <c r="CF312" s="4">
        <v>98</v>
      </c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</row>
    <row r="313">
      <c r="A313" s="2" t="s">
        <v>2068</v>
      </c>
      <c r="B313" s="2" t="s">
        <v>1174</v>
      </c>
      <c r="C313" s="2" t="s">
        <v>530</v>
      </c>
      <c r="D313" s="2" t="s">
        <v>1175</v>
      </c>
      <c r="E313" s="2" t="s">
        <v>2069</v>
      </c>
      <c r="F313" s="2" t="s">
        <v>2070</v>
      </c>
      <c r="G313" s="2" t="s">
        <v>2071</v>
      </c>
      <c r="H313" s="2" t="s">
        <v>2072</v>
      </c>
      <c r="I313" s="2" t="s">
        <v>2073</v>
      </c>
      <c r="J313" s="2" t="s">
        <v>1524</v>
      </c>
      <c r="K313" s="2" t="s">
        <v>645</v>
      </c>
      <c r="L313" s="3">
        <v>10</v>
      </c>
      <c r="M313" s="3">
        <v>10.5</v>
      </c>
      <c r="N313" s="3">
        <v>24.99</v>
      </c>
      <c r="O313" s="2" t="s">
        <v>252</v>
      </c>
      <c r="P313" s="2" t="s">
        <v>311</v>
      </c>
      <c r="Q313" s="2" t="s">
        <v>239</v>
      </c>
      <c r="R313" s="2" t="s">
        <v>233</v>
      </c>
      <c r="S313" s="2" t="s">
        <v>2074</v>
      </c>
      <c r="T313" s="2" t="s">
        <v>233</v>
      </c>
      <c r="U313" s="2" t="s">
        <v>396</v>
      </c>
      <c r="V313" s="2" t="s">
        <v>241</v>
      </c>
      <c r="W313" s="2" t="s">
        <v>397</v>
      </c>
      <c r="X313" s="2" t="s">
        <v>233</v>
      </c>
      <c r="Y313" s="2" t="s">
        <v>2075</v>
      </c>
      <c r="Z313" s="4">
        <v>30</v>
      </c>
      <c r="AA313" s="4">
        <f>=ROUNDDOWN(15,0)</f>
      </c>
      <c r="AB313" s="5">
        <v>2</v>
      </c>
      <c r="AC313" s="2" t="s">
        <v>233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233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233</v>
      </c>
      <c r="BD313" s="8" t="s">
        <v>233</v>
      </c>
      <c r="BE313" s="4" t="s">
        <v>233</v>
      </c>
      <c r="BF313" s="8" t="s">
        <v>233</v>
      </c>
      <c r="BG313" s="7" t="s">
        <v>233</v>
      </c>
      <c r="BH313" s="7" t="s">
        <v>233</v>
      </c>
      <c r="BI313" s="7"/>
      <c r="BJ313" s="4"/>
      <c r="BK313" s="8"/>
      <c r="BL313" s="2" t="s">
        <v>233</v>
      </c>
      <c r="BM313" s="7"/>
      <c r="BN313" s="7"/>
      <c r="BO313" s="4"/>
      <c r="BP313" s="8"/>
      <c r="BQ313" s="4"/>
      <c r="BR313" s="8"/>
      <c r="BS313" s="7"/>
      <c r="BT313" s="7"/>
      <c r="BU313" s="2" t="s">
        <v>2076</v>
      </c>
      <c r="BV313" s="2" t="s">
        <v>233</v>
      </c>
      <c r="BW313" s="2" t="s">
        <v>233</v>
      </c>
      <c r="BX313" s="2" t="s">
        <v>243</v>
      </c>
      <c r="BY313" s="2" t="s">
        <v>280</v>
      </c>
      <c r="BZ313" s="2" t="s">
        <v>245</v>
      </c>
      <c r="CA313" s="2" t="s">
        <v>2077</v>
      </c>
      <c r="CB313" s="2" t="s">
        <v>233</v>
      </c>
      <c r="CC313" s="2" t="s">
        <v>246</v>
      </c>
      <c r="CD313" s="2" t="s">
        <v>233</v>
      </c>
      <c r="CE313" s="4">
        <v>30</v>
      </c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</row>
    <row r="314">
      <c r="A314" s="2" t="s">
        <v>2078</v>
      </c>
      <c r="B314" s="2" t="s">
        <v>228</v>
      </c>
      <c r="C314" s="2" t="s">
        <v>911</v>
      </c>
      <c r="D314" s="2" t="s">
        <v>969</v>
      </c>
      <c r="E314" s="2" t="s">
        <v>970</v>
      </c>
      <c r="F314" s="2" t="s">
        <v>2070</v>
      </c>
      <c r="G314" s="2" t="s">
        <v>2079</v>
      </c>
      <c r="H314" s="2" t="s">
        <v>2079</v>
      </c>
      <c r="I314" s="2" t="s">
        <v>2080</v>
      </c>
      <c r="J314" s="2" t="s">
        <v>981</v>
      </c>
      <c r="K314" s="2" t="s">
        <v>255</v>
      </c>
      <c r="L314" s="3">
        <v>25.08</v>
      </c>
      <c r="M314" s="3">
        <v>26.33</v>
      </c>
      <c r="N314" s="3">
        <v>56.99</v>
      </c>
      <c r="O314" s="2" t="s">
        <v>237</v>
      </c>
      <c r="P314" s="2" t="s">
        <v>311</v>
      </c>
      <c r="Q314" s="2" t="s">
        <v>239</v>
      </c>
      <c r="R314" s="2" t="s">
        <v>233</v>
      </c>
      <c r="S314" s="2" t="s">
        <v>2081</v>
      </c>
      <c r="T314" s="2" t="s">
        <v>395</v>
      </c>
      <c r="U314" s="2" t="s">
        <v>233</v>
      </c>
      <c r="V314" s="2" t="s">
        <v>241</v>
      </c>
      <c r="W314" s="2" t="s">
        <v>275</v>
      </c>
      <c r="X314" s="2" t="s">
        <v>2082</v>
      </c>
      <c r="Y314" s="2" t="s">
        <v>276</v>
      </c>
      <c r="Z314" s="4">
        <v>102</v>
      </c>
      <c r="AA314" s="4">
        <f>=ROUNDDOWN(78.4615384615385,0)</f>
      </c>
      <c r="AB314" s="5">
        <v>1.3</v>
      </c>
      <c r="AC314" s="2" t="s">
        <v>233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233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 t="s">
        <v>233</v>
      </c>
      <c r="BD314" s="8" t="s">
        <v>233</v>
      </c>
      <c r="BE314" s="4" t="s">
        <v>233</v>
      </c>
      <c r="BF314" s="8" t="s">
        <v>233</v>
      </c>
      <c r="BG314" s="7" t="s">
        <v>233</v>
      </c>
      <c r="BH314" s="7" t="s">
        <v>233</v>
      </c>
      <c r="BI314" s="7"/>
      <c r="BJ314" s="4">
        <v>5</v>
      </c>
      <c r="BK314" s="8">
        <v>120.26</v>
      </c>
      <c r="BL314" s="2" t="s">
        <v>2083</v>
      </c>
      <c r="BM314" s="7"/>
      <c r="BN314" s="7"/>
      <c r="BO314" s="4"/>
      <c r="BP314" s="8"/>
      <c r="BQ314" s="4"/>
      <c r="BR314" s="8"/>
      <c r="BS314" s="7"/>
      <c r="BT314" s="7"/>
      <c r="BU314" s="2" t="s">
        <v>2084</v>
      </c>
      <c r="BV314" s="2" t="s">
        <v>233</v>
      </c>
      <c r="BW314" s="2" t="s">
        <v>233</v>
      </c>
      <c r="BX314" s="2" t="s">
        <v>233</v>
      </c>
      <c r="BY314" s="2" t="s">
        <v>280</v>
      </c>
      <c r="BZ314" s="2" t="s">
        <v>245</v>
      </c>
      <c r="CA314" s="2" t="s">
        <v>281</v>
      </c>
      <c r="CB314" s="2" t="s">
        <v>2085</v>
      </c>
      <c r="CC314" s="2" t="s">
        <v>246</v>
      </c>
      <c r="CD314" s="2" t="s">
        <v>233</v>
      </c>
      <c r="CE314" s="4">
        <v>102</v>
      </c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</row>
    <row r="315">
      <c r="A315" s="2" t="s">
        <v>2086</v>
      </c>
      <c r="B315" s="2" t="s">
        <v>1174</v>
      </c>
      <c r="C315" s="2" t="s">
        <v>1986</v>
      </c>
      <c r="D315" s="2" t="s">
        <v>1175</v>
      </c>
      <c r="E315" s="2" t="s">
        <v>1448</v>
      </c>
      <c r="F315" s="2" t="s">
        <v>2087</v>
      </c>
      <c r="G315" s="2" t="s">
        <v>2087</v>
      </c>
      <c r="H315" s="2" t="s">
        <v>2087</v>
      </c>
      <c r="I315" s="2" t="s">
        <v>2088</v>
      </c>
      <c r="J315" s="2" t="s">
        <v>2089</v>
      </c>
      <c r="K315" s="2" t="s">
        <v>1994</v>
      </c>
      <c r="L315" s="3">
        <v>27.23</v>
      </c>
      <c r="M315" s="3">
        <v>28.59</v>
      </c>
      <c r="N315" s="3">
        <v>79.99</v>
      </c>
      <c r="O315" s="2" t="s">
        <v>245</v>
      </c>
      <c r="P315" s="2" t="s">
        <v>393</v>
      </c>
      <c r="Q315" s="2" t="s">
        <v>239</v>
      </c>
      <c r="R315" s="2" t="s">
        <v>233</v>
      </c>
      <c r="S315" s="2" t="s">
        <v>233</v>
      </c>
      <c r="T315" s="2" t="s">
        <v>233</v>
      </c>
      <c r="U315" s="2" t="s">
        <v>396</v>
      </c>
      <c r="V315" s="2" t="s">
        <v>241</v>
      </c>
      <c r="W315" s="2" t="s">
        <v>705</v>
      </c>
      <c r="X315" s="2" t="s">
        <v>233</v>
      </c>
      <c r="Y315" s="2" t="s">
        <v>2090</v>
      </c>
      <c r="Z315" s="4">
        <v>136</v>
      </c>
      <c r="AA315" s="4">
        <f>=ROUNDDOWN(68,0)</f>
      </c>
      <c r="AB315" s="5">
        <v>2</v>
      </c>
      <c r="AC315" s="2" t="s">
        <v>233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233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233</v>
      </c>
      <c r="AW315" s="8" t="s">
        <v>233</v>
      </c>
      <c r="AX315" s="4" t="s">
        <v>233</v>
      </c>
      <c r="AY315" s="8" t="s">
        <v>233</v>
      </c>
      <c r="AZ315" s="7" t="s">
        <v>233</v>
      </c>
      <c r="BA315" s="7" t="s">
        <v>233</v>
      </c>
      <c r="BB315" s="7"/>
      <c r="BC315" s="4" t="s">
        <v>233</v>
      </c>
      <c r="BD315" s="8" t="s">
        <v>233</v>
      </c>
      <c r="BE315" s="4" t="s">
        <v>233</v>
      </c>
      <c r="BF315" s="8" t="s">
        <v>233</v>
      </c>
      <c r="BG315" s="7" t="s">
        <v>233</v>
      </c>
      <c r="BH315" s="7" t="s">
        <v>233</v>
      </c>
      <c r="BI315" s="7"/>
      <c r="BJ315" s="4">
        <v>2</v>
      </c>
      <c r="BK315" s="8">
        <v>65.98</v>
      </c>
      <c r="BL315" s="2" t="s">
        <v>744</v>
      </c>
      <c r="BM315" s="7"/>
      <c r="BN315" s="7"/>
      <c r="BO315" s="4"/>
      <c r="BP315" s="8"/>
      <c r="BQ315" s="4"/>
      <c r="BR315" s="8"/>
      <c r="BS315" s="7"/>
      <c r="BT315" s="7"/>
      <c r="BU315" s="2" t="s">
        <v>2091</v>
      </c>
      <c r="BV315" s="2" t="s">
        <v>233</v>
      </c>
      <c r="BW315" s="2" t="s">
        <v>233</v>
      </c>
      <c r="BX315" s="2" t="s">
        <v>233</v>
      </c>
      <c r="BY315" s="2" t="s">
        <v>280</v>
      </c>
      <c r="BZ315" s="2" t="s">
        <v>245</v>
      </c>
      <c r="CA315" s="2" t="s">
        <v>2092</v>
      </c>
      <c r="CB315" s="2" t="s">
        <v>233</v>
      </c>
      <c r="CC315" s="2" t="s">
        <v>246</v>
      </c>
      <c r="CD315" s="2" t="s">
        <v>233</v>
      </c>
      <c r="CE315" s="4">
        <v>136</v>
      </c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</row>
    <row r="316">
      <c r="A316" s="2" t="s">
        <v>2093</v>
      </c>
      <c r="B316" s="2" t="s">
        <v>1174</v>
      </c>
      <c r="C316" s="2" t="s">
        <v>1986</v>
      </c>
      <c r="D316" s="2" t="s">
        <v>1175</v>
      </c>
      <c r="E316" s="2" t="s">
        <v>1448</v>
      </c>
      <c r="F316" s="2" t="s">
        <v>2087</v>
      </c>
      <c r="G316" s="2" t="s">
        <v>2087</v>
      </c>
      <c r="H316" s="2" t="s">
        <v>2087</v>
      </c>
      <c r="I316" s="2" t="s">
        <v>2088</v>
      </c>
      <c r="J316" s="2" t="s">
        <v>2094</v>
      </c>
      <c r="K316" s="2" t="s">
        <v>1994</v>
      </c>
      <c r="L316" s="3">
        <v>23.83</v>
      </c>
      <c r="M316" s="3">
        <v>25.02</v>
      </c>
      <c r="N316" s="3">
        <v>69.99</v>
      </c>
      <c r="O316" s="2" t="s">
        <v>245</v>
      </c>
      <c r="P316" s="2" t="s">
        <v>393</v>
      </c>
      <c r="Q316" s="2" t="s">
        <v>239</v>
      </c>
      <c r="R316" s="2" t="s">
        <v>233</v>
      </c>
      <c r="S316" s="2" t="s">
        <v>233</v>
      </c>
      <c r="T316" s="2" t="s">
        <v>233</v>
      </c>
      <c r="U316" s="2" t="s">
        <v>396</v>
      </c>
      <c r="V316" s="2" t="s">
        <v>241</v>
      </c>
      <c r="W316" s="2" t="s">
        <v>705</v>
      </c>
      <c r="X316" s="2" t="s">
        <v>233</v>
      </c>
      <c r="Y316" s="2" t="s">
        <v>2090</v>
      </c>
      <c r="Z316" s="4">
        <v>226</v>
      </c>
      <c r="AA316" s="4">
        <f>=ROUNDDOWN(113,0)</f>
      </c>
      <c r="AB316" s="5">
        <v>2</v>
      </c>
      <c r="AC316" s="2" t="s">
        <v>233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233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233</v>
      </c>
      <c r="AW316" s="8" t="s">
        <v>233</v>
      </c>
      <c r="AX316" s="4" t="s">
        <v>233</v>
      </c>
      <c r="AY316" s="8" t="s">
        <v>233</v>
      </c>
      <c r="AZ316" s="7" t="s">
        <v>233</v>
      </c>
      <c r="BA316" s="7" t="s">
        <v>233</v>
      </c>
      <c r="BB316" s="7"/>
      <c r="BC316" s="4" t="s">
        <v>233</v>
      </c>
      <c r="BD316" s="8" t="s">
        <v>233</v>
      </c>
      <c r="BE316" s="4" t="s">
        <v>233</v>
      </c>
      <c r="BF316" s="8" t="s">
        <v>233</v>
      </c>
      <c r="BG316" s="7" t="s">
        <v>233</v>
      </c>
      <c r="BH316" s="7" t="s">
        <v>233</v>
      </c>
      <c r="BI316" s="7"/>
      <c r="BJ316" s="4">
        <v>12</v>
      </c>
      <c r="BK316" s="8">
        <v>315.24</v>
      </c>
      <c r="BL316" s="2" t="s">
        <v>1592</v>
      </c>
      <c r="BM316" s="7"/>
      <c r="BN316" s="7"/>
      <c r="BO316" s="4"/>
      <c r="BP316" s="8"/>
      <c r="BQ316" s="4"/>
      <c r="BR316" s="8"/>
      <c r="BS316" s="7"/>
      <c r="BT316" s="7"/>
      <c r="BU316" s="2" t="s">
        <v>2095</v>
      </c>
      <c r="BV316" s="2" t="s">
        <v>233</v>
      </c>
      <c r="BW316" s="2" t="s">
        <v>233</v>
      </c>
      <c r="BX316" s="2" t="s">
        <v>233</v>
      </c>
      <c r="BY316" s="2" t="s">
        <v>280</v>
      </c>
      <c r="BZ316" s="2" t="s">
        <v>245</v>
      </c>
      <c r="CA316" s="2" t="s">
        <v>2092</v>
      </c>
      <c r="CB316" s="2" t="s">
        <v>2096</v>
      </c>
      <c r="CC316" s="2" t="s">
        <v>246</v>
      </c>
      <c r="CD316" s="2" t="s">
        <v>233</v>
      </c>
      <c r="CE316" s="4">
        <v>226</v>
      </c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</row>
    <row r="317">
      <c r="A317" s="2" t="s">
        <v>2097</v>
      </c>
      <c r="B317" s="2" t="s">
        <v>1174</v>
      </c>
      <c r="C317" s="2" t="s">
        <v>1986</v>
      </c>
      <c r="D317" s="2" t="s">
        <v>1175</v>
      </c>
      <c r="E317" s="2" t="s">
        <v>1448</v>
      </c>
      <c r="F317" s="2" t="s">
        <v>2087</v>
      </c>
      <c r="G317" s="2" t="s">
        <v>2087</v>
      </c>
      <c r="H317" s="2" t="s">
        <v>2087</v>
      </c>
      <c r="I317" s="2" t="s">
        <v>2098</v>
      </c>
      <c r="J317" s="2" t="s">
        <v>2099</v>
      </c>
      <c r="K317" s="2" t="s">
        <v>1994</v>
      </c>
      <c r="L317" s="3">
        <v>17.02</v>
      </c>
      <c r="M317" s="3">
        <v>17.87</v>
      </c>
      <c r="N317" s="3">
        <v>49.99</v>
      </c>
      <c r="O317" s="2" t="s">
        <v>245</v>
      </c>
      <c r="P317" s="2" t="s">
        <v>393</v>
      </c>
      <c r="Q317" s="2" t="s">
        <v>239</v>
      </c>
      <c r="R317" s="2" t="s">
        <v>233</v>
      </c>
      <c r="S317" s="2" t="s">
        <v>233</v>
      </c>
      <c r="T317" s="2" t="s">
        <v>233</v>
      </c>
      <c r="U317" s="2" t="s">
        <v>396</v>
      </c>
      <c r="V317" s="2" t="s">
        <v>241</v>
      </c>
      <c r="W317" s="2" t="s">
        <v>705</v>
      </c>
      <c r="X317" s="2" t="s">
        <v>233</v>
      </c>
      <c r="Y317" s="2" t="s">
        <v>2090</v>
      </c>
      <c r="Z317" s="4"/>
      <c r="AA317" s="4">
        <f>=ROUNDDOWN({0},0)</f>
      </c>
      <c r="AB317" s="5">
        <v>2</v>
      </c>
      <c r="AC317" s="2" t="s">
        <v>233</v>
      </c>
      <c r="AD317" s="4"/>
      <c r="AE317" s="4"/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233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233</v>
      </c>
      <c r="AW317" s="8" t="s">
        <v>233</v>
      </c>
      <c r="AX317" s="4" t="s">
        <v>233</v>
      </c>
      <c r="AY317" s="8" t="s">
        <v>233</v>
      </c>
      <c r="AZ317" s="7" t="s">
        <v>233</v>
      </c>
      <c r="BA317" s="7" t="s">
        <v>233</v>
      </c>
      <c r="BB317" s="7"/>
      <c r="BC317" s="4" t="s">
        <v>233</v>
      </c>
      <c r="BD317" s="8" t="s">
        <v>233</v>
      </c>
      <c r="BE317" s="4" t="s">
        <v>233</v>
      </c>
      <c r="BF317" s="8" t="s">
        <v>233</v>
      </c>
      <c r="BG317" s="7" t="s">
        <v>233</v>
      </c>
      <c r="BH317" s="7" t="s">
        <v>233</v>
      </c>
      <c r="BI317" s="7"/>
      <c r="BJ317" s="4"/>
      <c r="BK317" s="8"/>
      <c r="BL317" s="2" t="s">
        <v>1602</v>
      </c>
      <c r="BM317" s="7"/>
      <c r="BN317" s="7"/>
      <c r="BO317" s="4"/>
      <c r="BP317" s="8"/>
      <c r="BQ317" s="4"/>
      <c r="BR317" s="8"/>
      <c r="BS317" s="7"/>
      <c r="BT317" s="7"/>
      <c r="BU317" s="2" t="s">
        <v>2100</v>
      </c>
      <c r="BV317" s="2" t="s">
        <v>233</v>
      </c>
      <c r="BW317" s="2" t="s">
        <v>233</v>
      </c>
      <c r="BX317" s="2" t="s">
        <v>233</v>
      </c>
      <c r="BY317" s="2" t="s">
        <v>280</v>
      </c>
      <c r="BZ317" s="2" t="s">
        <v>245</v>
      </c>
      <c r="CA317" s="2" t="s">
        <v>2092</v>
      </c>
      <c r="CB317" s="2" t="s">
        <v>375</v>
      </c>
      <c r="CC317" s="2" t="s">
        <v>246</v>
      </c>
      <c r="CD317" s="2" t="s">
        <v>233</v>
      </c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</row>
    <row r="318">
      <c r="A318" s="2" t="s">
        <v>2101</v>
      </c>
      <c r="B318" s="2" t="s">
        <v>1174</v>
      </c>
      <c r="C318" s="2" t="s">
        <v>1986</v>
      </c>
      <c r="D318" s="2" t="s">
        <v>1175</v>
      </c>
      <c r="E318" s="2" t="s">
        <v>1448</v>
      </c>
      <c r="F318" s="2" t="s">
        <v>2087</v>
      </c>
      <c r="G318" s="2" t="s">
        <v>2087</v>
      </c>
      <c r="H318" s="2" t="s">
        <v>2087</v>
      </c>
      <c r="I318" s="2" t="s">
        <v>2088</v>
      </c>
      <c r="J318" s="2" t="s">
        <v>2089</v>
      </c>
      <c r="K318" s="2" t="s">
        <v>1454</v>
      </c>
      <c r="L318" s="3">
        <v>27.23</v>
      </c>
      <c r="M318" s="3">
        <v>28.59</v>
      </c>
      <c r="N318" s="3">
        <v>79.99</v>
      </c>
      <c r="O318" s="2" t="s">
        <v>245</v>
      </c>
      <c r="P318" s="2" t="s">
        <v>393</v>
      </c>
      <c r="Q318" s="2" t="s">
        <v>239</v>
      </c>
      <c r="R318" s="2" t="s">
        <v>233</v>
      </c>
      <c r="S318" s="2" t="s">
        <v>233</v>
      </c>
      <c r="T318" s="2" t="s">
        <v>233</v>
      </c>
      <c r="U318" s="2" t="s">
        <v>396</v>
      </c>
      <c r="V318" s="2" t="s">
        <v>241</v>
      </c>
      <c r="W318" s="2" t="s">
        <v>705</v>
      </c>
      <c r="X318" s="2" t="s">
        <v>233</v>
      </c>
      <c r="Y318" s="2" t="s">
        <v>2090</v>
      </c>
      <c r="Z318" s="4">
        <v>29</v>
      </c>
      <c r="AA318" s="4">
        <f>=ROUNDDOWN(14.5,0)</f>
      </c>
      <c r="AB318" s="5">
        <v>2</v>
      </c>
      <c r="AC318" s="2" t="s">
        <v>2102</v>
      </c>
      <c r="AD318" s="4">
        <v>92</v>
      </c>
      <c r="AE318" s="4">
        <v>92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233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233</v>
      </c>
      <c r="AW318" s="8" t="s">
        <v>233</v>
      </c>
      <c r="AX318" s="4" t="s">
        <v>233</v>
      </c>
      <c r="AY318" s="8" t="s">
        <v>233</v>
      </c>
      <c r="AZ318" s="7" t="s">
        <v>233</v>
      </c>
      <c r="BA318" s="7" t="s">
        <v>233</v>
      </c>
      <c r="BB318" s="7"/>
      <c r="BC318" s="4" t="s">
        <v>233</v>
      </c>
      <c r="BD318" s="8" t="s">
        <v>233</v>
      </c>
      <c r="BE318" s="4" t="s">
        <v>233</v>
      </c>
      <c r="BF318" s="8" t="s">
        <v>233</v>
      </c>
      <c r="BG318" s="7" t="s">
        <v>233</v>
      </c>
      <c r="BH318" s="7" t="s">
        <v>233</v>
      </c>
      <c r="BI318" s="7"/>
      <c r="BJ318" s="4">
        <v>9</v>
      </c>
      <c r="BK318" s="8">
        <v>611.91</v>
      </c>
      <c r="BL318" s="2" t="s">
        <v>1602</v>
      </c>
      <c r="BM318" s="7"/>
      <c r="BN318" s="7"/>
      <c r="BO318" s="4"/>
      <c r="BP318" s="8"/>
      <c r="BQ318" s="4"/>
      <c r="BR318" s="8"/>
      <c r="BS318" s="7"/>
      <c r="BT318" s="7"/>
      <c r="BU318" s="2" t="s">
        <v>2103</v>
      </c>
      <c r="BV318" s="2" t="s">
        <v>233</v>
      </c>
      <c r="BW318" s="2" t="s">
        <v>233</v>
      </c>
      <c r="BX318" s="2" t="s">
        <v>233</v>
      </c>
      <c r="BY318" s="2" t="s">
        <v>280</v>
      </c>
      <c r="BZ318" s="2" t="s">
        <v>245</v>
      </c>
      <c r="CA318" s="2" t="s">
        <v>2092</v>
      </c>
      <c r="CB318" s="2" t="s">
        <v>485</v>
      </c>
      <c r="CC318" s="2" t="s">
        <v>246</v>
      </c>
      <c r="CD318" s="2" t="s">
        <v>233</v>
      </c>
      <c r="CE318" s="4">
        <v>29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>
        <v>92</v>
      </c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</row>
    <row r="319">
      <c r="A319" s="2" t="s">
        <v>2104</v>
      </c>
      <c r="B319" s="2" t="s">
        <v>1174</v>
      </c>
      <c r="C319" s="2" t="s">
        <v>1986</v>
      </c>
      <c r="D319" s="2" t="s">
        <v>1175</v>
      </c>
      <c r="E319" s="2" t="s">
        <v>1448</v>
      </c>
      <c r="F319" s="2" t="s">
        <v>2087</v>
      </c>
      <c r="G319" s="2" t="s">
        <v>2087</v>
      </c>
      <c r="H319" s="2" t="s">
        <v>2087</v>
      </c>
      <c r="I319" s="2" t="s">
        <v>2088</v>
      </c>
      <c r="J319" s="2" t="s">
        <v>2094</v>
      </c>
      <c r="K319" s="2" t="s">
        <v>1454</v>
      </c>
      <c r="L319" s="3">
        <v>23.83</v>
      </c>
      <c r="M319" s="3">
        <v>25.02</v>
      </c>
      <c r="N319" s="3">
        <v>69.99</v>
      </c>
      <c r="O319" s="2" t="s">
        <v>245</v>
      </c>
      <c r="P319" s="2" t="s">
        <v>393</v>
      </c>
      <c r="Q319" s="2" t="s">
        <v>239</v>
      </c>
      <c r="R319" s="2" t="s">
        <v>233</v>
      </c>
      <c r="S319" s="2" t="s">
        <v>233</v>
      </c>
      <c r="T319" s="2" t="s">
        <v>233</v>
      </c>
      <c r="U319" s="2" t="s">
        <v>396</v>
      </c>
      <c r="V319" s="2" t="s">
        <v>241</v>
      </c>
      <c r="W319" s="2" t="s">
        <v>705</v>
      </c>
      <c r="X319" s="2" t="s">
        <v>233</v>
      </c>
      <c r="Y319" s="2" t="s">
        <v>2090</v>
      </c>
      <c r="Z319" s="4">
        <v>95</v>
      </c>
      <c r="AA319" s="4">
        <f>=ROUNDDOWN(19,0)</f>
      </c>
      <c r="AB319" s="5">
        <v>5</v>
      </c>
      <c r="AC319" s="2" t="s">
        <v>2102</v>
      </c>
      <c r="AD319" s="4">
        <v>220</v>
      </c>
      <c r="AE319" s="4">
        <v>220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233</v>
      </c>
      <c r="AW319" s="8" t="s">
        <v>233</v>
      </c>
      <c r="AX319" s="4" t="s">
        <v>233</v>
      </c>
      <c r="AY319" s="8" t="s">
        <v>233</v>
      </c>
      <c r="AZ319" s="7" t="s">
        <v>233</v>
      </c>
      <c r="BA319" s="7" t="s">
        <v>233</v>
      </c>
      <c r="BB319" s="7"/>
      <c r="BC319" s="4" t="s">
        <v>233</v>
      </c>
      <c r="BD319" s="8" t="s">
        <v>233</v>
      </c>
      <c r="BE319" s="4" t="s">
        <v>233</v>
      </c>
      <c r="BF319" s="8" t="s">
        <v>233</v>
      </c>
      <c r="BG319" s="7" t="s">
        <v>233</v>
      </c>
      <c r="BH319" s="7" t="s">
        <v>233</v>
      </c>
      <c r="BI319" s="7"/>
      <c r="BJ319" s="4">
        <v>24</v>
      </c>
      <c r="BK319" s="8">
        <v>810</v>
      </c>
      <c r="BL319" s="2" t="s">
        <v>1611</v>
      </c>
      <c r="BM319" s="7"/>
      <c r="BN319" s="7"/>
      <c r="BO319" s="4"/>
      <c r="BP319" s="8"/>
      <c r="BQ319" s="4"/>
      <c r="BR319" s="8"/>
      <c r="BS319" s="7"/>
      <c r="BT319" s="7"/>
      <c r="BU319" s="2" t="s">
        <v>2105</v>
      </c>
      <c r="BV319" s="2" t="s">
        <v>233</v>
      </c>
      <c r="BW319" s="2" t="s">
        <v>233</v>
      </c>
      <c r="BX319" s="2" t="s">
        <v>233</v>
      </c>
      <c r="BY319" s="2" t="s">
        <v>280</v>
      </c>
      <c r="BZ319" s="2" t="s">
        <v>245</v>
      </c>
      <c r="CA319" s="2" t="s">
        <v>2092</v>
      </c>
      <c r="CB319" s="2" t="s">
        <v>1992</v>
      </c>
      <c r="CC319" s="2" t="s">
        <v>246</v>
      </c>
      <c r="CD319" s="2" t="s">
        <v>233</v>
      </c>
      <c r="CE319" s="4">
        <v>95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>
        <v>220</v>
      </c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</row>
    <row r="320">
      <c r="A320" s="2" t="s">
        <v>2106</v>
      </c>
      <c r="B320" s="2" t="s">
        <v>1174</v>
      </c>
      <c r="C320" s="2" t="s">
        <v>1986</v>
      </c>
      <c r="D320" s="2" t="s">
        <v>1175</v>
      </c>
      <c r="E320" s="2" t="s">
        <v>1448</v>
      </c>
      <c r="F320" s="2" t="s">
        <v>2087</v>
      </c>
      <c r="G320" s="2" t="s">
        <v>2087</v>
      </c>
      <c r="H320" s="2" t="s">
        <v>2087</v>
      </c>
      <c r="I320" s="2" t="s">
        <v>2098</v>
      </c>
      <c r="J320" s="2" t="s">
        <v>2099</v>
      </c>
      <c r="K320" s="2" t="s">
        <v>1454</v>
      </c>
      <c r="L320" s="3">
        <v>17.02</v>
      </c>
      <c r="M320" s="3">
        <v>17.87</v>
      </c>
      <c r="N320" s="3">
        <v>49.99</v>
      </c>
      <c r="O320" s="2" t="s">
        <v>245</v>
      </c>
      <c r="P320" s="2" t="s">
        <v>393</v>
      </c>
      <c r="Q320" s="2" t="s">
        <v>239</v>
      </c>
      <c r="R320" s="2" t="s">
        <v>233</v>
      </c>
      <c r="S320" s="2" t="s">
        <v>233</v>
      </c>
      <c r="T320" s="2" t="s">
        <v>233</v>
      </c>
      <c r="U320" s="2" t="s">
        <v>396</v>
      </c>
      <c r="V320" s="2" t="s">
        <v>241</v>
      </c>
      <c r="W320" s="2" t="s">
        <v>705</v>
      </c>
      <c r="X320" s="2" t="s">
        <v>233</v>
      </c>
      <c r="Y320" s="2" t="s">
        <v>2090</v>
      </c>
      <c r="Z320" s="4"/>
      <c r="AA320" s="4">
        <f>=ROUNDDOWN({0},0)</f>
      </c>
      <c r="AB320" s="5">
        <v>2</v>
      </c>
      <c r="AC320" s="2" t="s">
        <v>2102</v>
      </c>
      <c r="AD320" s="4">
        <v>92</v>
      </c>
      <c r="AE320" s="4">
        <v>92</v>
      </c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233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233</v>
      </c>
      <c r="AW320" s="8" t="s">
        <v>233</v>
      </c>
      <c r="AX320" s="4" t="s">
        <v>233</v>
      </c>
      <c r="AY320" s="8" t="s">
        <v>233</v>
      </c>
      <c r="AZ320" s="7" t="s">
        <v>233</v>
      </c>
      <c r="BA320" s="7" t="s">
        <v>233</v>
      </c>
      <c r="BB320" s="7"/>
      <c r="BC320" s="4" t="s">
        <v>233</v>
      </c>
      <c r="BD320" s="8" t="s">
        <v>233</v>
      </c>
      <c r="BE320" s="4" t="s">
        <v>233</v>
      </c>
      <c r="BF320" s="8" t="s">
        <v>233</v>
      </c>
      <c r="BG320" s="7" t="s">
        <v>233</v>
      </c>
      <c r="BH320" s="7" t="s">
        <v>233</v>
      </c>
      <c r="BI320" s="7"/>
      <c r="BJ320" s="4"/>
      <c r="BK320" s="8"/>
      <c r="BL320" s="2" t="s">
        <v>1602</v>
      </c>
      <c r="BM320" s="7"/>
      <c r="BN320" s="7"/>
      <c r="BO320" s="4"/>
      <c r="BP320" s="8"/>
      <c r="BQ320" s="4"/>
      <c r="BR320" s="8"/>
      <c r="BS320" s="7"/>
      <c r="BT320" s="7"/>
      <c r="BU320" s="2" t="s">
        <v>2107</v>
      </c>
      <c r="BV320" s="2" t="s">
        <v>233</v>
      </c>
      <c r="BW320" s="2" t="s">
        <v>233</v>
      </c>
      <c r="BX320" s="2" t="s">
        <v>233</v>
      </c>
      <c r="BY320" s="2" t="s">
        <v>280</v>
      </c>
      <c r="BZ320" s="2" t="s">
        <v>245</v>
      </c>
      <c r="CA320" s="2" t="s">
        <v>2092</v>
      </c>
      <c r="CB320" s="2" t="s">
        <v>233</v>
      </c>
      <c r="CC320" s="2" t="s">
        <v>246</v>
      </c>
      <c r="CD320" s="2" t="s">
        <v>233</v>
      </c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>
        <v>92</v>
      </c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</row>
    <row r="321">
      <c r="A321" s="2" t="s">
        <v>2108</v>
      </c>
      <c r="B321" s="2" t="s">
        <v>1174</v>
      </c>
      <c r="C321" s="2" t="s">
        <v>1986</v>
      </c>
      <c r="D321" s="2" t="s">
        <v>1175</v>
      </c>
      <c r="E321" s="2" t="s">
        <v>1448</v>
      </c>
      <c r="F321" s="2" t="s">
        <v>2087</v>
      </c>
      <c r="G321" s="2" t="s">
        <v>2087</v>
      </c>
      <c r="H321" s="2" t="s">
        <v>2087</v>
      </c>
      <c r="I321" s="2" t="s">
        <v>2088</v>
      </c>
      <c r="J321" s="2" t="s">
        <v>2089</v>
      </c>
      <c r="K321" s="2" t="s">
        <v>525</v>
      </c>
      <c r="L321" s="3">
        <v>27.23</v>
      </c>
      <c r="M321" s="3">
        <v>28.59</v>
      </c>
      <c r="N321" s="3">
        <v>79.99</v>
      </c>
      <c r="O321" s="2" t="s">
        <v>245</v>
      </c>
      <c r="P321" s="2" t="s">
        <v>393</v>
      </c>
      <c r="Q321" s="2" t="s">
        <v>239</v>
      </c>
      <c r="R321" s="2" t="s">
        <v>233</v>
      </c>
      <c r="S321" s="2" t="s">
        <v>233</v>
      </c>
      <c r="T321" s="2" t="s">
        <v>233</v>
      </c>
      <c r="U321" s="2" t="s">
        <v>396</v>
      </c>
      <c r="V321" s="2" t="s">
        <v>241</v>
      </c>
      <c r="W321" s="2" t="s">
        <v>705</v>
      </c>
      <c r="X321" s="2" t="s">
        <v>233</v>
      </c>
      <c r="Y321" s="2" t="s">
        <v>2090</v>
      </c>
      <c r="Z321" s="4">
        <v>119</v>
      </c>
      <c r="AA321" s="4">
        <f>=ROUNDDOWN(39.6666666666667,0)</f>
      </c>
      <c r="AB321" s="5">
        <v>3</v>
      </c>
      <c r="AC321" s="2" t="s">
        <v>233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233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233</v>
      </c>
      <c r="AW321" s="8" t="s">
        <v>233</v>
      </c>
      <c r="AX321" s="4" t="s">
        <v>233</v>
      </c>
      <c r="AY321" s="8" t="s">
        <v>233</v>
      </c>
      <c r="AZ321" s="7" t="s">
        <v>233</v>
      </c>
      <c r="BA321" s="7" t="s">
        <v>233</v>
      </c>
      <c r="BB321" s="7"/>
      <c r="BC321" s="4" t="s">
        <v>233</v>
      </c>
      <c r="BD321" s="8" t="s">
        <v>233</v>
      </c>
      <c r="BE321" s="4" t="s">
        <v>233</v>
      </c>
      <c r="BF321" s="8" t="s">
        <v>233</v>
      </c>
      <c r="BG321" s="7" t="s">
        <v>233</v>
      </c>
      <c r="BH321" s="7" t="s">
        <v>233</v>
      </c>
      <c r="BI321" s="7"/>
      <c r="BJ321" s="4"/>
      <c r="BK321" s="8"/>
      <c r="BL321" s="2" t="s">
        <v>233</v>
      </c>
      <c r="BM321" s="7"/>
      <c r="BN321" s="7"/>
      <c r="BO321" s="4"/>
      <c r="BP321" s="8"/>
      <c r="BQ321" s="4"/>
      <c r="BR321" s="8"/>
      <c r="BS321" s="7"/>
      <c r="BT321" s="7"/>
      <c r="BU321" s="2" t="s">
        <v>2109</v>
      </c>
      <c r="BV321" s="2" t="s">
        <v>233</v>
      </c>
      <c r="BW321" s="2" t="s">
        <v>233</v>
      </c>
      <c r="BX321" s="2" t="s">
        <v>233</v>
      </c>
      <c r="BY321" s="2" t="s">
        <v>280</v>
      </c>
      <c r="BZ321" s="2" t="s">
        <v>245</v>
      </c>
      <c r="CA321" s="2" t="s">
        <v>2092</v>
      </c>
      <c r="CB321" s="2" t="s">
        <v>1012</v>
      </c>
      <c r="CC321" s="2" t="s">
        <v>246</v>
      </c>
      <c r="CD321" s="2" t="s">
        <v>233</v>
      </c>
      <c r="CE321" s="4">
        <v>119</v>
      </c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</row>
    <row r="322">
      <c r="A322" s="2" t="s">
        <v>2110</v>
      </c>
      <c r="B322" s="2" t="s">
        <v>1174</v>
      </c>
      <c r="C322" s="2" t="s">
        <v>1986</v>
      </c>
      <c r="D322" s="2" t="s">
        <v>1175</v>
      </c>
      <c r="E322" s="2" t="s">
        <v>1448</v>
      </c>
      <c r="F322" s="2" t="s">
        <v>2087</v>
      </c>
      <c r="G322" s="2" t="s">
        <v>2087</v>
      </c>
      <c r="H322" s="2" t="s">
        <v>2087</v>
      </c>
      <c r="I322" s="2" t="s">
        <v>2098</v>
      </c>
      <c r="J322" s="2" t="s">
        <v>2099</v>
      </c>
      <c r="K322" s="2" t="s">
        <v>525</v>
      </c>
      <c r="L322" s="3">
        <v>17.02</v>
      </c>
      <c r="M322" s="3">
        <v>17.87</v>
      </c>
      <c r="N322" s="3">
        <v>49.99</v>
      </c>
      <c r="O322" s="2" t="s">
        <v>245</v>
      </c>
      <c r="P322" s="2" t="s">
        <v>393</v>
      </c>
      <c r="Q322" s="2" t="s">
        <v>239</v>
      </c>
      <c r="R322" s="2" t="s">
        <v>233</v>
      </c>
      <c r="S322" s="2" t="s">
        <v>233</v>
      </c>
      <c r="T322" s="2" t="s">
        <v>233</v>
      </c>
      <c r="U322" s="2" t="s">
        <v>396</v>
      </c>
      <c r="V322" s="2" t="s">
        <v>241</v>
      </c>
      <c r="W322" s="2" t="s">
        <v>705</v>
      </c>
      <c r="X322" s="2" t="s">
        <v>233</v>
      </c>
      <c r="Y322" s="2" t="s">
        <v>2090</v>
      </c>
      <c r="Z322" s="4"/>
      <c r="AA322" s="4">
        <f>=ROUNDDOWN({0},0)</f>
      </c>
      <c r="AB322" s="5">
        <v>3</v>
      </c>
      <c r="AC322" s="2" t="s">
        <v>233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233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233</v>
      </c>
      <c r="AW322" s="8" t="s">
        <v>233</v>
      </c>
      <c r="AX322" s="4" t="s">
        <v>233</v>
      </c>
      <c r="AY322" s="8" t="s">
        <v>233</v>
      </c>
      <c r="AZ322" s="7" t="s">
        <v>233</v>
      </c>
      <c r="BA322" s="7" t="s">
        <v>233</v>
      </c>
      <c r="BB322" s="7"/>
      <c r="BC322" s="4" t="s">
        <v>233</v>
      </c>
      <c r="BD322" s="8" t="s">
        <v>233</v>
      </c>
      <c r="BE322" s="4" t="s">
        <v>233</v>
      </c>
      <c r="BF322" s="8" t="s">
        <v>233</v>
      </c>
      <c r="BG322" s="7" t="s">
        <v>233</v>
      </c>
      <c r="BH322" s="7" t="s">
        <v>233</v>
      </c>
      <c r="BI322" s="7"/>
      <c r="BJ322" s="4"/>
      <c r="BK322" s="8"/>
      <c r="BL322" s="2" t="s">
        <v>744</v>
      </c>
      <c r="BM322" s="7"/>
      <c r="BN322" s="7"/>
      <c r="BO322" s="4"/>
      <c r="BP322" s="8"/>
      <c r="BQ322" s="4"/>
      <c r="BR322" s="8"/>
      <c r="BS322" s="7"/>
      <c r="BT322" s="7"/>
      <c r="BU322" s="2" t="s">
        <v>2111</v>
      </c>
      <c r="BV322" s="2" t="s">
        <v>233</v>
      </c>
      <c r="BW322" s="2" t="s">
        <v>233</v>
      </c>
      <c r="BX322" s="2" t="s">
        <v>233</v>
      </c>
      <c r="BY322" s="2" t="s">
        <v>280</v>
      </c>
      <c r="BZ322" s="2" t="s">
        <v>245</v>
      </c>
      <c r="CA322" s="2" t="s">
        <v>2092</v>
      </c>
      <c r="CB322" s="2" t="s">
        <v>2112</v>
      </c>
      <c r="CC322" s="2" t="s">
        <v>246</v>
      </c>
      <c r="CD322" s="2" t="s">
        <v>233</v>
      </c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</row>
    <row r="323">
      <c r="A323" s="2" t="s">
        <v>2113</v>
      </c>
      <c r="B323" s="2" t="s">
        <v>1174</v>
      </c>
      <c r="C323" s="2" t="s">
        <v>1986</v>
      </c>
      <c r="D323" s="2" t="s">
        <v>1175</v>
      </c>
      <c r="E323" s="2" t="s">
        <v>1448</v>
      </c>
      <c r="F323" s="2" t="s">
        <v>2087</v>
      </c>
      <c r="G323" s="2" t="s">
        <v>2087</v>
      </c>
      <c r="H323" s="2" t="s">
        <v>2087</v>
      </c>
      <c r="I323" s="2" t="s">
        <v>2088</v>
      </c>
      <c r="J323" s="2" t="s">
        <v>2089</v>
      </c>
      <c r="K323" s="2" t="s">
        <v>297</v>
      </c>
      <c r="L323" s="3">
        <v>27.23</v>
      </c>
      <c r="M323" s="3">
        <v>28.59</v>
      </c>
      <c r="N323" s="3">
        <v>79.99</v>
      </c>
      <c r="O323" s="2" t="s">
        <v>245</v>
      </c>
      <c r="P323" s="2" t="s">
        <v>393</v>
      </c>
      <c r="Q323" s="2" t="s">
        <v>239</v>
      </c>
      <c r="R323" s="2" t="s">
        <v>233</v>
      </c>
      <c r="S323" s="2" t="s">
        <v>233</v>
      </c>
      <c r="T323" s="2" t="s">
        <v>233</v>
      </c>
      <c r="U323" s="2" t="s">
        <v>396</v>
      </c>
      <c r="V323" s="2" t="s">
        <v>241</v>
      </c>
      <c r="W323" s="2" t="s">
        <v>705</v>
      </c>
      <c r="X323" s="2" t="s">
        <v>233</v>
      </c>
      <c r="Y323" s="2" t="s">
        <v>2090</v>
      </c>
      <c r="Z323" s="4">
        <v>145</v>
      </c>
      <c r="AA323" s="4">
        <f>=ROUNDDOWN(725,0)</f>
      </c>
      <c r="AB323" s="5">
        <v>0.2</v>
      </c>
      <c r="AC323" s="2" t="s">
        <v>233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233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233</v>
      </c>
      <c r="AW323" s="8" t="s">
        <v>233</v>
      </c>
      <c r="AX323" s="4" t="s">
        <v>233</v>
      </c>
      <c r="AY323" s="8" t="s">
        <v>233</v>
      </c>
      <c r="AZ323" s="7" t="s">
        <v>233</v>
      </c>
      <c r="BA323" s="7" t="s">
        <v>233</v>
      </c>
      <c r="BB323" s="7"/>
      <c r="BC323" s="4" t="s">
        <v>233</v>
      </c>
      <c r="BD323" s="8" t="s">
        <v>233</v>
      </c>
      <c r="BE323" s="4" t="s">
        <v>233</v>
      </c>
      <c r="BF323" s="8" t="s">
        <v>233</v>
      </c>
      <c r="BG323" s="7" t="s">
        <v>233</v>
      </c>
      <c r="BH323" s="7" t="s">
        <v>233</v>
      </c>
      <c r="BI323" s="7"/>
      <c r="BJ323" s="4">
        <v>1</v>
      </c>
      <c r="BK323" s="8">
        <v>30.02</v>
      </c>
      <c r="BL323" s="2" t="s">
        <v>1592</v>
      </c>
      <c r="BM323" s="7"/>
      <c r="BN323" s="7"/>
      <c r="BO323" s="4"/>
      <c r="BP323" s="8"/>
      <c r="BQ323" s="4"/>
      <c r="BR323" s="8"/>
      <c r="BS323" s="7"/>
      <c r="BT323" s="7"/>
      <c r="BU323" s="2" t="s">
        <v>2114</v>
      </c>
      <c r="BV323" s="2" t="s">
        <v>233</v>
      </c>
      <c r="BW323" s="2" t="s">
        <v>233</v>
      </c>
      <c r="BX323" s="2" t="s">
        <v>233</v>
      </c>
      <c r="BY323" s="2" t="s">
        <v>280</v>
      </c>
      <c r="BZ323" s="2" t="s">
        <v>245</v>
      </c>
      <c r="CA323" s="2" t="s">
        <v>2092</v>
      </c>
      <c r="CB323" s="2" t="s">
        <v>2115</v>
      </c>
      <c r="CC323" s="2" t="s">
        <v>246</v>
      </c>
      <c r="CD323" s="2" t="s">
        <v>233</v>
      </c>
      <c r="CE323" s="4">
        <v>145</v>
      </c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</row>
    <row r="324">
      <c r="A324" s="2" t="s">
        <v>2116</v>
      </c>
      <c r="B324" s="2" t="s">
        <v>1174</v>
      </c>
      <c r="C324" s="2" t="s">
        <v>1986</v>
      </c>
      <c r="D324" s="2" t="s">
        <v>1175</v>
      </c>
      <c r="E324" s="2" t="s">
        <v>1448</v>
      </c>
      <c r="F324" s="2" t="s">
        <v>2087</v>
      </c>
      <c r="G324" s="2" t="s">
        <v>2087</v>
      </c>
      <c r="H324" s="2" t="s">
        <v>2087</v>
      </c>
      <c r="I324" s="2" t="s">
        <v>2088</v>
      </c>
      <c r="J324" s="2" t="s">
        <v>2094</v>
      </c>
      <c r="K324" s="2" t="s">
        <v>297</v>
      </c>
      <c r="L324" s="3">
        <v>23.83</v>
      </c>
      <c r="M324" s="3">
        <v>25.02</v>
      </c>
      <c r="N324" s="3">
        <v>69.99</v>
      </c>
      <c r="O324" s="2" t="s">
        <v>245</v>
      </c>
      <c r="P324" s="2" t="s">
        <v>393</v>
      </c>
      <c r="Q324" s="2" t="s">
        <v>239</v>
      </c>
      <c r="R324" s="2" t="s">
        <v>233</v>
      </c>
      <c r="S324" s="2" t="s">
        <v>233</v>
      </c>
      <c r="T324" s="2" t="s">
        <v>233</v>
      </c>
      <c r="U324" s="2" t="s">
        <v>396</v>
      </c>
      <c r="V324" s="2" t="s">
        <v>241</v>
      </c>
      <c r="W324" s="2" t="s">
        <v>705</v>
      </c>
      <c r="X324" s="2" t="s">
        <v>233</v>
      </c>
      <c r="Y324" s="2" t="s">
        <v>2090</v>
      </c>
      <c r="Z324" s="4">
        <v>193</v>
      </c>
      <c r="AA324" s="4">
        <f>=ROUNDDOWN({0},0)</f>
      </c>
      <c r="AB324" s="5"/>
      <c r="AC324" s="2" t="s">
        <v>233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233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233</v>
      </c>
      <c r="AW324" s="8" t="s">
        <v>233</v>
      </c>
      <c r="AX324" s="4" t="s">
        <v>233</v>
      </c>
      <c r="AY324" s="8" t="s">
        <v>233</v>
      </c>
      <c r="AZ324" s="7" t="s">
        <v>233</v>
      </c>
      <c r="BA324" s="7" t="s">
        <v>233</v>
      </c>
      <c r="BB324" s="7"/>
      <c r="BC324" s="4" t="s">
        <v>233</v>
      </c>
      <c r="BD324" s="8" t="s">
        <v>233</v>
      </c>
      <c r="BE324" s="4" t="s">
        <v>233</v>
      </c>
      <c r="BF324" s="8" t="s">
        <v>233</v>
      </c>
      <c r="BG324" s="7" t="s">
        <v>233</v>
      </c>
      <c r="BH324" s="7" t="s">
        <v>233</v>
      </c>
      <c r="BI324" s="7"/>
      <c r="BJ324" s="4">
        <v>4</v>
      </c>
      <c r="BK324" s="8">
        <v>105.08</v>
      </c>
      <c r="BL324" s="2" t="s">
        <v>2117</v>
      </c>
      <c r="BM324" s="7"/>
      <c r="BN324" s="7"/>
      <c r="BO324" s="4"/>
      <c r="BP324" s="8"/>
      <c r="BQ324" s="4"/>
      <c r="BR324" s="8"/>
      <c r="BS324" s="7"/>
      <c r="BT324" s="7"/>
      <c r="BU324" s="2" t="s">
        <v>2118</v>
      </c>
      <c r="BV324" s="2" t="s">
        <v>233</v>
      </c>
      <c r="BW324" s="2" t="s">
        <v>233</v>
      </c>
      <c r="BX324" s="2" t="s">
        <v>233</v>
      </c>
      <c r="BY324" s="2" t="s">
        <v>280</v>
      </c>
      <c r="BZ324" s="2" t="s">
        <v>245</v>
      </c>
      <c r="CA324" s="2" t="s">
        <v>2092</v>
      </c>
      <c r="CB324" s="2" t="s">
        <v>2119</v>
      </c>
      <c r="CC324" s="2" t="s">
        <v>246</v>
      </c>
      <c r="CD324" s="2" t="s">
        <v>233</v>
      </c>
      <c r="CE324" s="4">
        <v>193</v>
      </c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</row>
    <row r="325">
      <c r="A325" s="2" t="s">
        <v>2120</v>
      </c>
      <c r="B325" s="2" t="s">
        <v>1174</v>
      </c>
      <c r="C325" s="2" t="s">
        <v>1986</v>
      </c>
      <c r="D325" s="2" t="s">
        <v>1175</v>
      </c>
      <c r="E325" s="2" t="s">
        <v>1448</v>
      </c>
      <c r="F325" s="2" t="s">
        <v>2087</v>
      </c>
      <c r="G325" s="2" t="s">
        <v>2087</v>
      </c>
      <c r="H325" s="2" t="s">
        <v>2087</v>
      </c>
      <c r="I325" s="2" t="s">
        <v>2098</v>
      </c>
      <c r="J325" s="2" t="s">
        <v>2099</v>
      </c>
      <c r="K325" s="2" t="s">
        <v>297</v>
      </c>
      <c r="L325" s="3">
        <v>17.02</v>
      </c>
      <c r="M325" s="3">
        <v>17.87</v>
      </c>
      <c r="N325" s="3">
        <v>49.99</v>
      </c>
      <c r="O325" s="2" t="s">
        <v>245</v>
      </c>
      <c r="P325" s="2" t="s">
        <v>393</v>
      </c>
      <c r="Q325" s="2" t="s">
        <v>239</v>
      </c>
      <c r="R325" s="2" t="s">
        <v>233</v>
      </c>
      <c r="S325" s="2" t="s">
        <v>233</v>
      </c>
      <c r="T325" s="2" t="s">
        <v>233</v>
      </c>
      <c r="U325" s="2" t="s">
        <v>396</v>
      </c>
      <c r="V325" s="2" t="s">
        <v>241</v>
      </c>
      <c r="W325" s="2" t="s">
        <v>705</v>
      </c>
      <c r="X325" s="2" t="s">
        <v>233</v>
      </c>
      <c r="Y325" s="2" t="s">
        <v>2090</v>
      </c>
      <c r="Z325" s="4">
        <v>128</v>
      </c>
      <c r="AA325" s="4">
        <f>=ROUNDDOWN(64,0)</f>
      </c>
      <c r="AB325" s="5">
        <v>2</v>
      </c>
      <c r="AC325" s="2" t="s">
        <v>233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233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233</v>
      </c>
      <c r="AW325" s="8" t="s">
        <v>233</v>
      </c>
      <c r="AX325" s="4" t="s">
        <v>233</v>
      </c>
      <c r="AY325" s="8" t="s">
        <v>233</v>
      </c>
      <c r="AZ325" s="7" t="s">
        <v>233</v>
      </c>
      <c r="BA325" s="7" t="s">
        <v>233</v>
      </c>
      <c r="BB325" s="7"/>
      <c r="BC325" s="4" t="s">
        <v>233</v>
      </c>
      <c r="BD325" s="8" t="s">
        <v>233</v>
      </c>
      <c r="BE325" s="4" t="s">
        <v>233</v>
      </c>
      <c r="BF325" s="8" t="s">
        <v>233</v>
      </c>
      <c r="BG325" s="7" t="s">
        <v>233</v>
      </c>
      <c r="BH325" s="7" t="s">
        <v>233</v>
      </c>
      <c r="BI325" s="7"/>
      <c r="BJ325" s="4"/>
      <c r="BK325" s="8"/>
      <c r="BL325" s="2" t="s">
        <v>1602</v>
      </c>
      <c r="BM325" s="7"/>
      <c r="BN325" s="7"/>
      <c r="BO325" s="4"/>
      <c r="BP325" s="8"/>
      <c r="BQ325" s="4"/>
      <c r="BR325" s="8"/>
      <c r="BS325" s="7"/>
      <c r="BT325" s="7"/>
      <c r="BU325" s="2" t="s">
        <v>2121</v>
      </c>
      <c r="BV325" s="2" t="s">
        <v>233</v>
      </c>
      <c r="BW325" s="2" t="s">
        <v>233</v>
      </c>
      <c r="BX325" s="2" t="s">
        <v>233</v>
      </c>
      <c r="BY325" s="2" t="s">
        <v>280</v>
      </c>
      <c r="BZ325" s="2" t="s">
        <v>245</v>
      </c>
      <c r="CA325" s="2" t="s">
        <v>2092</v>
      </c>
      <c r="CB325" s="2" t="s">
        <v>1998</v>
      </c>
      <c r="CC325" s="2" t="s">
        <v>246</v>
      </c>
      <c r="CD325" s="2" t="s">
        <v>233</v>
      </c>
      <c r="CE325" s="4">
        <v>128</v>
      </c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</row>
    <row r="326">
      <c r="A326" s="2" t="s">
        <v>2122</v>
      </c>
      <c r="B326" s="2" t="s">
        <v>1066</v>
      </c>
      <c r="C326" s="2" t="s">
        <v>530</v>
      </c>
      <c r="D326" s="2" t="s">
        <v>1919</v>
      </c>
      <c r="E326" s="2" t="s">
        <v>1920</v>
      </c>
      <c r="F326" s="2" t="s">
        <v>2123</v>
      </c>
      <c r="G326" s="2" t="s">
        <v>1198</v>
      </c>
      <c r="H326" s="2" t="s">
        <v>2124</v>
      </c>
      <c r="I326" s="2" t="s">
        <v>2125</v>
      </c>
      <c r="J326" s="2" t="s">
        <v>892</v>
      </c>
      <c r="K326" s="2" t="s">
        <v>255</v>
      </c>
      <c r="L326" s="3">
        <v>80.87</v>
      </c>
      <c r="M326" s="3">
        <v>84.91</v>
      </c>
      <c r="N326" s="3">
        <v>169</v>
      </c>
      <c r="O326" s="2" t="s">
        <v>245</v>
      </c>
      <c r="P326" s="2" t="s">
        <v>272</v>
      </c>
      <c r="Q326" s="2" t="s">
        <v>239</v>
      </c>
      <c r="R326" s="2" t="s">
        <v>233</v>
      </c>
      <c r="S326" s="2" t="s">
        <v>2126</v>
      </c>
      <c r="T326" s="2" t="s">
        <v>233</v>
      </c>
      <c r="U326" s="2" t="s">
        <v>233</v>
      </c>
      <c r="V326" s="2" t="s">
        <v>241</v>
      </c>
      <c r="W326" s="2" t="s">
        <v>451</v>
      </c>
      <c r="X326" s="2" t="s">
        <v>233</v>
      </c>
      <c r="Y326" s="2" t="s">
        <v>276</v>
      </c>
      <c r="Z326" s="4">
        <v>549</v>
      </c>
      <c r="AA326" s="4">
        <f>=ROUNDDOWN(152.5,0)</f>
      </c>
      <c r="AB326" s="5">
        <v>3.6</v>
      </c>
      <c r="AC326" s="2" t="s">
        <v>233</v>
      </c>
      <c r="AD326" s="4"/>
      <c r="AE326" s="4"/>
      <c r="AF326" s="6">
        <v>76</v>
      </c>
      <c r="AG326" s="6">
        <v>67</v>
      </c>
      <c r="AH326" s="7">
        <v>1</v>
      </c>
      <c r="AI326" s="4"/>
      <c r="AJ326" s="4">
        <f>=ROUNDDOWN({0},0)</f>
      </c>
      <c r="AK326" s="5"/>
      <c r="AL326" s="2" t="s">
        <v>233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>
        <v>10</v>
      </c>
      <c r="BK326" s="8">
        <v>846.33</v>
      </c>
      <c r="BL326" s="2" t="s">
        <v>2127</v>
      </c>
      <c r="BM326" s="7"/>
      <c r="BN326" s="7"/>
      <c r="BO326" s="4"/>
      <c r="BP326" s="8"/>
      <c r="BQ326" s="4"/>
      <c r="BR326" s="8"/>
      <c r="BS326" s="7"/>
      <c r="BT326" s="7"/>
      <c r="BU326" s="2" t="s">
        <v>2128</v>
      </c>
      <c r="BV326" s="2" t="s">
        <v>233</v>
      </c>
      <c r="BW326" s="2" t="s">
        <v>233</v>
      </c>
      <c r="BX326" s="2" t="s">
        <v>243</v>
      </c>
      <c r="BY326" s="2" t="s">
        <v>280</v>
      </c>
      <c r="BZ326" s="2" t="s">
        <v>245</v>
      </c>
      <c r="CA326" s="2" t="s">
        <v>281</v>
      </c>
      <c r="CB326" s="2" t="s">
        <v>2129</v>
      </c>
      <c r="CC326" s="2" t="s">
        <v>246</v>
      </c>
      <c r="CD326" s="2" t="s">
        <v>233</v>
      </c>
      <c r="CE326" s="4"/>
      <c r="CF326" s="4">
        <v>459</v>
      </c>
      <c r="CG326" s="4"/>
      <c r="CH326" s="4"/>
      <c r="CI326" s="4">
        <v>90</v>
      </c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</row>
    <row r="327">
      <c r="A327" s="2" t="s">
        <v>2130</v>
      </c>
      <c r="B327" s="2" t="s">
        <v>1066</v>
      </c>
      <c r="C327" s="2" t="s">
        <v>947</v>
      </c>
      <c r="D327" s="2" t="s">
        <v>1782</v>
      </c>
      <c r="E327" s="2" t="s">
        <v>2131</v>
      </c>
      <c r="F327" s="2" t="s">
        <v>2132</v>
      </c>
      <c r="G327" s="2" t="s">
        <v>2132</v>
      </c>
      <c r="H327" s="2" t="s">
        <v>2132</v>
      </c>
      <c r="I327" s="2" t="s">
        <v>2133</v>
      </c>
      <c r="J327" s="2" t="s">
        <v>892</v>
      </c>
      <c r="K327" s="2" t="s">
        <v>2134</v>
      </c>
      <c r="L327" s="3">
        <v>185</v>
      </c>
      <c r="M327" s="3">
        <v>194.25</v>
      </c>
      <c r="N327" s="3">
        <v>399</v>
      </c>
      <c r="O327" s="2" t="s">
        <v>245</v>
      </c>
      <c r="P327" s="2" t="s">
        <v>238</v>
      </c>
      <c r="Q327" s="2" t="s">
        <v>239</v>
      </c>
      <c r="R327" s="2" t="s">
        <v>233</v>
      </c>
      <c r="S327" s="2" t="s">
        <v>233</v>
      </c>
      <c r="T327" s="2" t="s">
        <v>233</v>
      </c>
      <c r="U327" s="2" t="s">
        <v>396</v>
      </c>
      <c r="V327" s="2" t="s">
        <v>893</v>
      </c>
      <c r="W327" s="2" t="s">
        <v>2135</v>
      </c>
      <c r="X327" s="2" t="s">
        <v>953</v>
      </c>
      <c r="Y327" s="2" t="s">
        <v>2136</v>
      </c>
      <c r="Z327" s="4">
        <v>99</v>
      </c>
      <c r="AA327" s="4">
        <f>=ROUNDDOWN(495,0)</f>
      </c>
      <c r="AB327" s="5">
        <v>0.2</v>
      </c>
      <c r="AC327" s="2" t="s">
        <v>233</v>
      </c>
      <c r="AD327" s="4"/>
      <c r="AE327" s="4"/>
      <c r="AF327" s="6">
        <v>74</v>
      </c>
      <c r="AG327" s="6"/>
      <c r="AH327" s="7">
        <v>1</v>
      </c>
      <c r="AI327" s="4"/>
      <c r="AJ327" s="4">
        <f>=ROUNDDOWN({0},0)</f>
      </c>
      <c r="AK327" s="5"/>
      <c r="AL327" s="2" t="s">
        <v>233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233</v>
      </c>
      <c r="BD327" s="8" t="s">
        <v>233</v>
      </c>
      <c r="BE327" s="4" t="s">
        <v>233</v>
      </c>
      <c r="BF327" s="8" t="s">
        <v>233</v>
      </c>
      <c r="BG327" s="7" t="s">
        <v>233</v>
      </c>
      <c r="BH327" s="7" t="s">
        <v>233</v>
      </c>
      <c r="BI327" s="7"/>
      <c r="BJ327" s="4"/>
      <c r="BK327" s="8"/>
      <c r="BL327" s="2" t="s">
        <v>233</v>
      </c>
      <c r="BM327" s="7"/>
      <c r="BN327" s="7"/>
      <c r="BO327" s="4"/>
      <c r="BP327" s="8"/>
      <c r="BQ327" s="4"/>
      <c r="BR327" s="8"/>
      <c r="BS327" s="7"/>
      <c r="BT327" s="7"/>
      <c r="BU327" s="2" t="s">
        <v>2137</v>
      </c>
      <c r="BV327" s="2" t="s">
        <v>233</v>
      </c>
      <c r="BW327" s="2" t="s">
        <v>233</v>
      </c>
      <c r="BX327" s="2" t="s">
        <v>243</v>
      </c>
      <c r="BY327" s="2" t="s">
        <v>280</v>
      </c>
      <c r="BZ327" s="2" t="s">
        <v>245</v>
      </c>
      <c r="CA327" s="2" t="s">
        <v>2138</v>
      </c>
      <c r="CB327" s="2" t="s">
        <v>233</v>
      </c>
      <c r="CC327" s="2" t="s">
        <v>246</v>
      </c>
      <c r="CD327" s="2" t="s">
        <v>233</v>
      </c>
      <c r="CE327" s="4"/>
      <c r="CF327" s="4">
        <v>99</v>
      </c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</row>
    <row r="328">
      <c r="A328" s="2" t="s">
        <v>2139</v>
      </c>
      <c r="B328" s="2" t="s">
        <v>1066</v>
      </c>
      <c r="C328" s="2" t="s">
        <v>947</v>
      </c>
      <c r="D328" s="2" t="s">
        <v>2140</v>
      </c>
      <c r="E328" s="2" t="s">
        <v>2141</v>
      </c>
      <c r="F328" s="2" t="s">
        <v>2132</v>
      </c>
      <c r="G328" s="2" t="s">
        <v>2132</v>
      </c>
      <c r="H328" s="2" t="s">
        <v>2132</v>
      </c>
      <c r="I328" s="2" t="s">
        <v>2142</v>
      </c>
      <c r="J328" s="2" t="s">
        <v>892</v>
      </c>
      <c r="K328" s="2" t="s">
        <v>2143</v>
      </c>
      <c r="L328" s="3">
        <v>285</v>
      </c>
      <c r="M328" s="3">
        <v>299.25</v>
      </c>
      <c r="N328" s="3">
        <v>599</v>
      </c>
      <c r="O328" s="2" t="s">
        <v>245</v>
      </c>
      <c r="P328" s="2" t="s">
        <v>238</v>
      </c>
      <c r="Q328" s="2" t="s">
        <v>239</v>
      </c>
      <c r="R328" s="2" t="s">
        <v>233</v>
      </c>
      <c r="S328" s="2" t="s">
        <v>233</v>
      </c>
      <c r="T328" s="2" t="s">
        <v>233</v>
      </c>
      <c r="U328" s="2" t="s">
        <v>396</v>
      </c>
      <c r="V328" s="2" t="s">
        <v>893</v>
      </c>
      <c r="W328" s="2" t="s">
        <v>977</v>
      </c>
      <c r="X328" s="2" t="s">
        <v>953</v>
      </c>
      <c r="Y328" s="2" t="s">
        <v>1838</v>
      </c>
      <c r="Z328" s="4"/>
      <c r="AA328" s="4">
        <f>=ROUNDDOWN({0},0)</f>
      </c>
      <c r="AB328" s="5"/>
      <c r="AC328" s="2" t="s">
        <v>1136</v>
      </c>
      <c r="AD328" s="4">
        <v>98</v>
      </c>
      <c r="AE328" s="4">
        <v>98</v>
      </c>
      <c r="AF328" s="6">
        <v>74</v>
      </c>
      <c r="AG328" s="6"/>
      <c r="AH328" s="7">
        <v>0</v>
      </c>
      <c r="AI328" s="4"/>
      <c r="AJ328" s="4">
        <f>=ROUNDDOWN({0},0)</f>
      </c>
      <c r="AK328" s="5"/>
      <c r="AL328" s="2" t="s">
        <v>233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233</v>
      </c>
      <c r="BD328" s="8" t="s">
        <v>233</v>
      </c>
      <c r="BE328" s="4" t="s">
        <v>233</v>
      </c>
      <c r="BF328" s="8" t="s">
        <v>233</v>
      </c>
      <c r="BG328" s="7" t="s">
        <v>233</v>
      </c>
      <c r="BH328" s="7" t="s">
        <v>233</v>
      </c>
      <c r="BI328" s="7"/>
      <c r="BJ328" s="4"/>
      <c r="BK328" s="8"/>
      <c r="BL328" s="2" t="s">
        <v>233</v>
      </c>
      <c r="BM328" s="7"/>
      <c r="BN328" s="7"/>
      <c r="BO328" s="4"/>
      <c r="BP328" s="8"/>
      <c r="BQ328" s="4"/>
      <c r="BR328" s="8"/>
      <c r="BS328" s="7"/>
      <c r="BT328" s="7"/>
      <c r="BU328" s="2" t="s">
        <v>243</v>
      </c>
      <c r="BV328" s="2" t="s">
        <v>233</v>
      </c>
      <c r="BW328" s="2" t="s">
        <v>233</v>
      </c>
      <c r="BX328" s="2" t="s">
        <v>243</v>
      </c>
      <c r="BY328" s="2" t="s">
        <v>244</v>
      </c>
      <c r="BZ328" s="2" t="s">
        <v>245</v>
      </c>
      <c r="CA328" s="2" t="s">
        <v>233</v>
      </c>
      <c r="CB328" s="2" t="s">
        <v>233</v>
      </c>
      <c r="CC328" s="2" t="s">
        <v>246</v>
      </c>
      <c r="CD328" s="2" t="s">
        <v>233</v>
      </c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>
        <v>98</v>
      </c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</row>
    <row r="329">
      <c r="A329" s="2" t="s">
        <v>2144</v>
      </c>
      <c r="B329" s="2" t="s">
        <v>1242</v>
      </c>
      <c r="C329" s="2" t="s">
        <v>2145</v>
      </c>
      <c r="D329" s="2" t="s">
        <v>969</v>
      </c>
      <c r="E329" s="2" t="s">
        <v>970</v>
      </c>
      <c r="F329" s="2" t="s">
        <v>2146</v>
      </c>
      <c r="G329" s="2" t="s">
        <v>2147</v>
      </c>
      <c r="H329" s="2" t="s">
        <v>2148</v>
      </c>
      <c r="I329" s="2" t="s">
        <v>2149</v>
      </c>
      <c r="J329" s="2" t="s">
        <v>918</v>
      </c>
      <c r="K329" s="2" t="s">
        <v>255</v>
      </c>
      <c r="L329" s="3">
        <v>23.8</v>
      </c>
      <c r="M329" s="3">
        <v>24.99</v>
      </c>
      <c r="N329" s="3">
        <v>49.99</v>
      </c>
      <c r="O329" s="2" t="s">
        <v>237</v>
      </c>
      <c r="P329" s="2" t="s">
        <v>238</v>
      </c>
      <c r="Q329" s="2" t="s">
        <v>239</v>
      </c>
      <c r="R329" s="2" t="s">
        <v>233</v>
      </c>
      <c r="S329" s="2" t="s">
        <v>2150</v>
      </c>
      <c r="T329" s="2" t="s">
        <v>1481</v>
      </c>
      <c r="U329" s="2" t="s">
        <v>491</v>
      </c>
      <c r="V329" s="2" t="s">
        <v>241</v>
      </c>
      <c r="W329" s="2" t="s">
        <v>275</v>
      </c>
      <c r="X329" s="2" t="s">
        <v>705</v>
      </c>
      <c r="Y329" s="2" t="s">
        <v>233</v>
      </c>
      <c r="Z329" s="4"/>
      <c r="AA329" s="4">
        <f>=ROUNDDOWN({0},0)</f>
      </c>
      <c r="AB329" s="5"/>
      <c r="AC329" s="2" t="s">
        <v>233</v>
      </c>
      <c r="AD329" s="4"/>
      <c r="AE329" s="4"/>
      <c r="AF329" s="6">
        <v>63</v>
      </c>
      <c r="AG329" s="6">
        <v>46</v>
      </c>
      <c r="AH329" s="7">
        <v>0</v>
      </c>
      <c r="AI329" s="4"/>
      <c r="AJ329" s="4">
        <f>=ROUNDDOWN({0},0)</f>
      </c>
      <c r="AK329" s="5"/>
      <c r="AL329" s="2" t="s">
        <v>233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233</v>
      </c>
      <c r="AW329" s="8" t="s">
        <v>233</v>
      </c>
      <c r="AX329" s="4" t="s">
        <v>233</v>
      </c>
      <c r="AY329" s="8" t="s">
        <v>233</v>
      </c>
      <c r="AZ329" s="7" t="s">
        <v>233</v>
      </c>
      <c r="BA329" s="7" t="s">
        <v>233</v>
      </c>
      <c r="BB329" s="7" t="s">
        <v>233</v>
      </c>
      <c r="BC329" s="4" t="s">
        <v>233</v>
      </c>
      <c r="BD329" s="8" t="s">
        <v>233</v>
      </c>
      <c r="BE329" s="4" t="s">
        <v>233</v>
      </c>
      <c r="BF329" s="8" t="s">
        <v>233</v>
      </c>
      <c r="BG329" s="7" t="s">
        <v>233</v>
      </c>
      <c r="BH329" s="7" t="s">
        <v>233</v>
      </c>
      <c r="BI329" s="7"/>
      <c r="BJ329" s="4"/>
      <c r="BK329" s="8"/>
      <c r="BL329" s="2" t="s">
        <v>233</v>
      </c>
      <c r="BM329" s="7"/>
      <c r="BN329" s="7"/>
      <c r="BO329" s="4"/>
      <c r="BP329" s="8"/>
      <c r="BQ329" s="4"/>
      <c r="BR329" s="8"/>
      <c r="BS329" s="7"/>
      <c r="BT329" s="7"/>
      <c r="BU329" s="2" t="s">
        <v>243</v>
      </c>
      <c r="BV329" s="2" t="s">
        <v>233</v>
      </c>
      <c r="BW329" s="2" t="s">
        <v>233</v>
      </c>
      <c r="BX329" s="2" t="s">
        <v>243</v>
      </c>
      <c r="BY329" s="2" t="s">
        <v>244</v>
      </c>
      <c r="BZ329" s="2" t="s">
        <v>245</v>
      </c>
      <c r="CA329" s="2" t="s">
        <v>233</v>
      </c>
      <c r="CB329" s="2" t="s">
        <v>233</v>
      </c>
      <c r="CC329" s="2" t="s">
        <v>246</v>
      </c>
      <c r="CD329" s="2" t="s">
        <v>233</v>
      </c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</row>
    <row r="330">
      <c r="A330" s="2" t="s">
        <v>2151</v>
      </c>
      <c r="B330" s="2" t="s">
        <v>1242</v>
      </c>
      <c r="C330" s="2" t="s">
        <v>2145</v>
      </c>
      <c r="D330" s="2" t="s">
        <v>912</v>
      </c>
      <c r="E330" s="2" t="s">
        <v>1139</v>
      </c>
      <c r="F330" s="2" t="s">
        <v>2146</v>
      </c>
      <c r="G330" s="2" t="s">
        <v>2147</v>
      </c>
      <c r="H330" s="2" t="s">
        <v>2148</v>
      </c>
      <c r="I330" s="2" t="s">
        <v>2152</v>
      </c>
      <c r="J330" s="2" t="s">
        <v>918</v>
      </c>
      <c r="K330" s="2" t="s">
        <v>255</v>
      </c>
      <c r="L330" s="3">
        <v>17.85</v>
      </c>
      <c r="M330" s="3">
        <v>18.74</v>
      </c>
      <c r="N330" s="3">
        <v>37.49</v>
      </c>
      <c r="O330" s="2" t="s">
        <v>237</v>
      </c>
      <c r="P330" s="2" t="s">
        <v>238</v>
      </c>
      <c r="Q330" s="2" t="s">
        <v>239</v>
      </c>
      <c r="R330" s="2" t="s">
        <v>233</v>
      </c>
      <c r="S330" s="2" t="s">
        <v>2150</v>
      </c>
      <c r="T330" s="2" t="s">
        <v>1481</v>
      </c>
      <c r="U330" s="2" t="s">
        <v>491</v>
      </c>
      <c r="V330" s="2" t="s">
        <v>241</v>
      </c>
      <c r="W330" s="2" t="s">
        <v>275</v>
      </c>
      <c r="X330" s="2" t="s">
        <v>705</v>
      </c>
      <c r="Y330" s="2" t="s">
        <v>233</v>
      </c>
      <c r="Z330" s="4"/>
      <c r="AA330" s="4">
        <f>=ROUNDDOWN({0},0)</f>
      </c>
      <c r="AB330" s="5"/>
      <c r="AC330" s="2" t="s">
        <v>233</v>
      </c>
      <c r="AD330" s="4"/>
      <c r="AE330" s="4"/>
      <c r="AF330" s="6">
        <v>63</v>
      </c>
      <c r="AG330" s="6">
        <v>46</v>
      </c>
      <c r="AH330" s="7">
        <v>0</v>
      </c>
      <c r="AI330" s="4"/>
      <c r="AJ330" s="4">
        <f>=ROUNDDOWN({0},0)</f>
      </c>
      <c r="AK330" s="5"/>
      <c r="AL330" s="2" t="s">
        <v>233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233</v>
      </c>
      <c r="AW330" s="8" t="s">
        <v>233</v>
      </c>
      <c r="AX330" s="4" t="s">
        <v>233</v>
      </c>
      <c r="AY330" s="8" t="s">
        <v>233</v>
      </c>
      <c r="AZ330" s="7" t="s">
        <v>233</v>
      </c>
      <c r="BA330" s="7" t="s">
        <v>233</v>
      </c>
      <c r="BB330" s="7" t="s">
        <v>233</v>
      </c>
      <c r="BC330" s="4" t="s">
        <v>233</v>
      </c>
      <c r="BD330" s="8" t="s">
        <v>233</v>
      </c>
      <c r="BE330" s="4" t="s">
        <v>233</v>
      </c>
      <c r="BF330" s="8" t="s">
        <v>233</v>
      </c>
      <c r="BG330" s="7" t="s">
        <v>233</v>
      </c>
      <c r="BH330" s="7" t="s">
        <v>233</v>
      </c>
      <c r="BI330" s="7"/>
      <c r="BJ330" s="4"/>
      <c r="BK330" s="8"/>
      <c r="BL330" s="2" t="s">
        <v>233</v>
      </c>
      <c r="BM330" s="7"/>
      <c r="BN330" s="7"/>
      <c r="BO330" s="4"/>
      <c r="BP330" s="8"/>
      <c r="BQ330" s="4"/>
      <c r="BR330" s="8"/>
      <c r="BS330" s="7"/>
      <c r="BT330" s="7"/>
      <c r="BU330" s="2" t="s">
        <v>243</v>
      </c>
      <c r="BV330" s="2" t="s">
        <v>233</v>
      </c>
      <c r="BW330" s="2" t="s">
        <v>233</v>
      </c>
      <c r="BX330" s="2" t="s">
        <v>243</v>
      </c>
      <c r="BY330" s="2" t="s">
        <v>244</v>
      </c>
      <c r="BZ330" s="2" t="s">
        <v>245</v>
      </c>
      <c r="CA330" s="2" t="s">
        <v>233</v>
      </c>
      <c r="CB330" s="2" t="s">
        <v>233</v>
      </c>
      <c r="CC330" s="2" t="s">
        <v>246</v>
      </c>
      <c r="CD330" s="2" t="s">
        <v>233</v>
      </c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</row>
    <row r="331">
      <c r="A331" s="2" t="s">
        <v>2153</v>
      </c>
      <c r="B331" s="2" t="s">
        <v>1242</v>
      </c>
      <c r="C331" s="2" t="s">
        <v>2145</v>
      </c>
      <c r="D331" s="2" t="s">
        <v>969</v>
      </c>
      <c r="E331" s="2" t="s">
        <v>970</v>
      </c>
      <c r="F331" s="2" t="s">
        <v>2146</v>
      </c>
      <c r="G331" s="2" t="s">
        <v>2147</v>
      </c>
      <c r="H331" s="2" t="s">
        <v>2148</v>
      </c>
      <c r="I331" s="2" t="s">
        <v>2149</v>
      </c>
      <c r="J331" s="2" t="s">
        <v>981</v>
      </c>
      <c r="K331" s="2" t="s">
        <v>255</v>
      </c>
      <c r="L331" s="3">
        <v>28.57</v>
      </c>
      <c r="M331" s="3">
        <v>30</v>
      </c>
      <c r="N331" s="3">
        <v>59.99</v>
      </c>
      <c r="O331" s="2" t="s">
        <v>237</v>
      </c>
      <c r="P331" s="2" t="s">
        <v>238</v>
      </c>
      <c r="Q331" s="2" t="s">
        <v>239</v>
      </c>
      <c r="R331" s="2" t="s">
        <v>233</v>
      </c>
      <c r="S331" s="2" t="s">
        <v>2150</v>
      </c>
      <c r="T331" s="2" t="s">
        <v>1481</v>
      </c>
      <c r="U331" s="2" t="s">
        <v>475</v>
      </c>
      <c r="V331" s="2" t="s">
        <v>241</v>
      </c>
      <c r="W331" s="2" t="s">
        <v>275</v>
      </c>
      <c r="X331" s="2" t="s">
        <v>705</v>
      </c>
      <c r="Y331" s="2" t="s">
        <v>233</v>
      </c>
      <c r="Z331" s="4"/>
      <c r="AA331" s="4">
        <f>=ROUNDDOWN({0},0)</f>
      </c>
      <c r="AB331" s="5"/>
      <c r="AC331" s="2" t="s">
        <v>233</v>
      </c>
      <c r="AD331" s="4"/>
      <c r="AE331" s="4"/>
      <c r="AF331" s="6">
        <v>63</v>
      </c>
      <c r="AG331" s="6">
        <v>46</v>
      </c>
      <c r="AH331" s="7">
        <v>0</v>
      </c>
      <c r="AI331" s="4"/>
      <c r="AJ331" s="4">
        <f>=ROUNDDOWN({0},0)</f>
      </c>
      <c r="AK331" s="5"/>
      <c r="AL331" s="2" t="s">
        <v>233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233</v>
      </c>
      <c r="AW331" s="8" t="s">
        <v>233</v>
      </c>
      <c r="AX331" s="4" t="s">
        <v>233</v>
      </c>
      <c r="AY331" s="8" t="s">
        <v>233</v>
      </c>
      <c r="AZ331" s="7" t="s">
        <v>233</v>
      </c>
      <c r="BA331" s="7" t="s">
        <v>233</v>
      </c>
      <c r="BB331" s="7" t="s">
        <v>233</v>
      </c>
      <c r="BC331" s="4" t="s">
        <v>233</v>
      </c>
      <c r="BD331" s="8" t="s">
        <v>233</v>
      </c>
      <c r="BE331" s="4" t="s">
        <v>233</v>
      </c>
      <c r="BF331" s="8" t="s">
        <v>233</v>
      </c>
      <c r="BG331" s="7" t="s">
        <v>233</v>
      </c>
      <c r="BH331" s="7" t="s">
        <v>233</v>
      </c>
      <c r="BI331" s="7"/>
      <c r="BJ331" s="4"/>
      <c r="BK331" s="8"/>
      <c r="BL331" s="2" t="s">
        <v>233</v>
      </c>
      <c r="BM331" s="7"/>
      <c r="BN331" s="7"/>
      <c r="BO331" s="4"/>
      <c r="BP331" s="8"/>
      <c r="BQ331" s="4"/>
      <c r="BR331" s="8"/>
      <c r="BS331" s="7"/>
      <c r="BT331" s="7"/>
      <c r="BU331" s="2" t="s">
        <v>243</v>
      </c>
      <c r="BV331" s="2" t="s">
        <v>233</v>
      </c>
      <c r="BW331" s="2" t="s">
        <v>233</v>
      </c>
      <c r="BX331" s="2" t="s">
        <v>243</v>
      </c>
      <c r="BY331" s="2" t="s">
        <v>244</v>
      </c>
      <c r="BZ331" s="2" t="s">
        <v>245</v>
      </c>
      <c r="CA331" s="2" t="s">
        <v>233</v>
      </c>
      <c r="CB331" s="2" t="s">
        <v>233</v>
      </c>
      <c r="CC331" s="2" t="s">
        <v>246</v>
      </c>
      <c r="CD331" s="2" t="s">
        <v>233</v>
      </c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</row>
    <row r="332">
      <c r="A332" s="2" t="s">
        <v>2154</v>
      </c>
      <c r="B332" s="2" t="s">
        <v>1242</v>
      </c>
      <c r="C332" s="2" t="s">
        <v>2145</v>
      </c>
      <c r="D332" s="2" t="s">
        <v>912</v>
      </c>
      <c r="E332" s="2" t="s">
        <v>1139</v>
      </c>
      <c r="F332" s="2" t="s">
        <v>2146</v>
      </c>
      <c r="G332" s="2" t="s">
        <v>2147</v>
      </c>
      <c r="H332" s="2" t="s">
        <v>2148</v>
      </c>
      <c r="I332" s="2" t="s">
        <v>2152</v>
      </c>
      <c r="J332" s="2" t="s">
        <v>981</v>
      </c>
      <c r="K332" s="2" t="s">
        <v>255</v>
      </c>
      <c r="L332" s="3">
        <v>22.61</v>
      </c>
      <c r="M332" s="3">
        <v>23.74</v>
      </c>
      <c r="N332" s="3">
        <v>47.49</v>
      </c>
      <c r="O332" s="2" t="s">
        <v>237</v>
      </c>
      <c r="P332" s="2" t="s">
        <v>238</v>
      </c>
      <c r="Q332" s="2" t="s">
        <v>239</v>
      </c>
      <c r="R332" s="2" t="s">
        <v>233</v>
      </c>
      <c r="S332" s="2" t="s">
        <v>2150</v>
      </c>
      <c r="T332" s="2" t="s">
        <v>1481</v>
      </c>
      <c r="U332" s="2" t="s">
        <v>475</v>
      </c>
      <c r="V332" s="2" t="s">
        <v>241</v>
      </c>
      <c r="W332" s="2" t="s">
        <v>275</v>
      </c>
      <c r="X332" s="2" t="s">
        <v>705</v>
      </c>
      <c r="Y332" s="2" t="s">
        <v>233</v>
      </c>
      <c r="Z332" s="4"/>
      <c r="AA332" s="4">
        <f>=ROUNDDOWN({0},0)</f>
      </c>
      <c r="AB332" s="5"/>
      <c r="AC332" s="2" t="s">
        <v>233</v>
      </c>
      <c r="AD332" s="4"/>
      <c r="AE332" s="4"/>
      <c r="AF332" s="6">
        <v>63</v>
      </c>
      <c r="AG332" s="6">
        <v>46</v>
      </c>
      <c r="AH332" s="7">
        <v>0</v>
      </c>
      <c r="AI332" s="4"/>
      <c r="AJ332" s="4">
        <f>=ROUNDDOWN({0},0)</f>
      </c>
      <c r="AK332" s="5"/>
      <c r="AL332" s="2" t="s">
        <v>233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233</v>
      </c>
      <c r="AW332" s="8" t="s">
        <v>233</v>
      </c>
      <c r="AX332" s="4" t="s">
        <v>233</v>
      </c>
      <c r="AY332" s="8" t="s">
        <v>233</v>
      </c>
      <c r="AZ332" s="7" t="s">
        <v>233</v>
      </c>
      <c r="BA332" s="7" t="s">
        <v>233</v>
      </c>
      <c r="BB332" s="7" t="s">
        <v>233</v>
      </c>
      <c r="BC332" s="4" t="s">
        <v>233</v>
      </c>
      <c r="BD332" s="8" t="s">
        <v>233</v>
      </c>
      <c r="BE332" s="4" t="s">
        <v>233</v>
      </c>
      <c r="BF332" s="8" t="s">
        <v>233</v>
      </c>
      <c r="BG332" s="7" t="s">
        <v>233</v>
      </c>
      <c r="BH332" s="7" t="s">
        <v>233</v>
      </c>
      <c r="BI332" s="7"/>
      <c r="BJ332" s="4"/>
      <c r="BK332" s="8"/>
      <c r="BL332" s="2" t="s">
        <v>233</v>
      </c>
      <c r="BM332" s="7"/>
      <c r="BN332" s="7"/>
      <c r="BO332" s="4"/>
      <c r="BP332" s="8"/>
      <c r="BQ332" s="4"/>
      <c r="BR332" s="8"/>
      <c r="BS332" s="7"/>
      <c r="BT332" s="7"/>
      <c r="BU332" s="2" t="s">
        <v>243</v>
      </c>
      <c r="BV332" s="2" t="s">
        <v>233</v>
      </c>
      <c r="BW332" s="2" t="s">
        <v>233</v>
      </c>
      <c r="BX332" s="2" t="s">
        <v>243</v>
      </c>
      <c r="BY332" s="2" t="s">
        <v>244</v>
      </c>
      <c r="BZ332" s="2" t="s">
        <v>245</v>
      </c>
      <c r="CA332" s="2" t="s">
        <v>233</v>
      </c>
      <c r="CB332" s="2" t="s">
        <v>233</v>
      </c>
      <c r="CC332" s="2" t="s">
        <v>246</v>
      </c>
      <c r="CD332" s="2" t="s">
        <v>233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</row>
    <row r="333">
      <c r="A333" s="2" t="s">
        <v>2155</v>
      </c>
      <c r="B333" s="2" t="s">
        <v>1242</v>
      </c>
      <c r="C333" s="2" t="s">
        <v>2145</v>
      </c>
      <c r="D333" s="2" t="s">
        <v>969</v>
      </c>
      <c r="E333" s="2" t="s">
        <v>970</v>
      </c>
      <c r="F333" s="2" t="s">
        <v>2146</v>
      </c>
      <c r="G333" s="2" t="s">
        <v>2147</v>
      </c>
      <c r="H333" s="2" t="s">
        <v>2148</v>
      </c>
      <c r="I333" s="2" t="s">
        <v>2149</v>
      </c>
      <c r="J333" s="2" t="s">
        <v>1142</v>
      </c>
      <c r="K333" s="2" t="s">
        <v>255</v>
      </c>
      <c r="L333" s="3">
        <v>33.33</v>
      </c>
      <c r="M333" s="3">
        <v>35</v>
      </c>
      <c r="N333" s="3">
        <v>69.99</v>
      </c>
      <c r="O333" s="2" t="s">
        <v>237</v>
      </c>
      <c r="P333" s="2" t="s">
        <v>238</v>
      </c>
      <c r="Q333" s="2" t="s">
        <v>239</v>
      </c>
      <c r="R333" s="2" t="s">
        <v>233</v>
      </c>
      <c r="S333" s="2" t="s">
        <v>2150</v>
      </c>
      <c r="T333" s="2" t="s">
        <v>1481</v>
      </c>
      <c r="U333" s="2" t="s">
        <v>475</v>
      </c>
      <c r="V333" s="2" t="s">
        <v>241</v>
      </c>
      <c r="W333" s="2" t="s">
        <v>275</v>
      </c>
      <c r="X333" s="2" t="s">
        <v>705</v>
      </c>
      <c r="Y333" s="2" t="s">
        <v>233</v>
      </c>
      <c r="Z333" s="4"/>
      <c r="AA333" s="4">
        <f>=ROUNDDOWN({0},0)</f>
      </c>
      <c r="AB333" s="5"/>
      <c r="AC333" s="2" t="s">
        <v>233</v>
      </c>
      <c r="AD333" s="4"/>
      <c r="AE333" s="4"/>
      <c r="AF333" s="6">
        <v>63</v>
      </c>
      <c r="AG333" s="6">
        <v>46</v>
      </c>
      <c r="AH333" s="7">
        <v>0</v>
      </c>
      <c r="AI333" s="4"/>
      <c r="AJ333" s="4">
        <f>=ROUNDDOWN({0},0)</f>
      </c>
      <c r="AK333" s="5"/>
      <c r="AL333" s="2" t="s">
        <v>233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233</v>
      </c>
      <c r="AW333" s="8" t="s">
        <v>233</v>
      </c>
      <c r="AX333" s="4" t="s">
        <v>233</v>
      </c>
      <c r="AY333" s="8" t="s">
        <v>233</v>
      </c>
      <c r="AZ333" s="7" t="s">
        <v>233</v>
      </c>
      <c r="BA333" s="7" t="s">
        <v>233</v>
      </c>
      <c r="BB333" s="7" t="s">
        <v>233</v>
      </c>
      <c r="BC333" s="4" t="s">
        <v>233</v>
      </c>
      <c r="BD333" s="8" t="s">
        <v>233</v>
      </c>
      <c r="BE333" s="4" t="s">
        <v>233</v>
      </c>
      <c r="BF333" s="8" t="s">
        <v>233</v>
      </c>
      <c r="BG333" s="7" t="s">
        <v>233</v>
      </c>
      <c r="BH333" s="7" t="s">
        <v>233</v>
      </c>
      <c r="BI333" s="7"/>
      <c r="BJ333" s="4"/>
      <c r="BK333" s="8"/>
      <c r="BL333" s="2" t="s">
        <v>233</v>
      </c>
      <c r="BM333" s="7"/>
      <c r="BN333" s="7"/>
      <c r="BO333" s="4"/>
      <c r="BP333" s="8"/>
      <c r="BQ333" s="4"/>
      <c r="BR333" s="8"/>
      <c r="BS333" s="7"/>
      <c r="BT333" s="7"/>
      <c r="BU333" s="2" t="s">
        <v>243</v>
      </c>
      <c r="BV333" s="2" t="s">
        <v>233</v>
      </c>
      <c r="BW333" s="2" t="s">
        <v>233</v>
      </c>
      <c r="BX333" s="2" t="s">
        <v>243</v>
      </c>
      <c r="BY333" s="2" t="s">
        <v>244</v>
      </c>
      <c r="BZ333" s="2" t="s">
        <v>245</v>
      </c>
      <c r="CA333" s="2" t="s">
        <v>233</v>
      </c>
      <c r="CB333" s="2" t="s">
        <v>233</v>
      </c>
      <c r="CC333" s="2" t="s">
        <v>246</v>
      </c>
      <c r="CD333" s="2" t="s">
        <v>233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</row>
    <row r="334">
      <c r="A334" s="2" t="s">
        <v>2156</v>
      </c>
      <c r="B334" s="2" t="s">
        <v>1242</v>
      </c>
      <c r="C334" s="2" t="s">
        <v>2145</v>
      </c>
      <c r="D334" s="2" t="s">
        <v>912</v>
      </c>
      <c r="E334" s="2" t="s">
        <v>1139</v>
      </c>
      <c r="F334" s="2" t="s">
        <v>2146</v>
      </c>
      <c r="G334" s="2" t="s">
        <v>2147</v>
      </c>
      <c r="H334" s="2" t="s">
        <v>2148</v>
      </c>
      <c r="I334" s="2" t="s">
        <v>2152</v>
      </c>
      <c r="J334" s="2" t="s">
        <v>1142</v>
      </c>
      <c r="K334" s="2" t="s">
        <v>255</v>
      </c>
      <c r="L334" s="3">
        <v>27.38</v>
      </c>
      <c r="M334" s="3">
        <v>28.75</v>
      </c>
      <c r="N334" s="3">
        <v>57.49</v>
      </c>
      <c r="O334" s="2" t="s">
        <v>237</v>
      </c>
      <c r="P334" s="2" t="s">
        <v>238</v>
      </c>
      <c r="Q334" s="2" t="s">
        <v>239</v>
      </c>
      <c r="R334" s="2" t="s">
        <v>233</v>
      </c>
      <c r="S334" s="2" t="s">
        <v>2150</v>
      </c>
      <c r="T334" s="2" t="s">
        <v>1481</v>
      </c>
      <c r="U334" s="2" t="s">
        <v>475</v>
      </c>
      <c r="V334" s="2" t="s">
        <v>241</v>
      </c>
      <c r="W334" s="2" t="s">
        <v>275</v>
      </c>
      <c r="X334" s="2" t="s">
        <v>705</v>
      </c>
      <c r="Y334" s="2" t="s">
        <v>233</v>
      </c>
      <c r="Z334" s="4"/>
      <c r="AA334" s="4">
        <f>=ROUNDDOWN({0},0)</f>
      </c>
      <c r="AB334" s="5"/>
      <c r="AC334" s="2" t="s">
        <v>233</v>
      </c>
      <c r="AD334" s="4"/>
      <c r="AE334" s="4"/>
      <c r="AF334" s="6">
        <v>63</v>
      </c>
      <c r="AG334" s="6">
        <v>46</v>
      </c>
      <c r="AH334" s="7">
        <v>0</v>
      </c>
      <c r="AI334" s="4"/>
      <c r="AJ334" s="4">
        <f>=ROUNDDOWN({0},0)</f>
      </c>
      <c r="AK334" s="5"/>
      <c r="AL334" s="2" t="s">
        <v>233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233</v>
      </c>
      <c r="AW334" s="8" t="s">
        <v>233</v>
      </c>
      <c r="AX334" s="4" t="s">
        <v>233</v>
      </c>
      <c r="AY334" s="8" t="s">
        <v>233</v>
      </c>
      <c r="AZ334" s="7" t="s">
        <v>233</v>
      </c>
      <c r="BA334" s="7" t="s">
        <v>233</v>
      </c>
      <c r="BB334" s="7" t="s">
        <v>233</v>
      </c>
      <c r="BC334" s="4" t="s">
        <v>233</v>
      </c>
      <c r="BD334" s="8" t="s">
        <v>233</v>
      </c>
      <c r="BE334" s="4" t="s">
        <v>233</v>
      </c>
      <c r="BF334" s="8" t="s">
        <v>233</v>
      </c>
      <c r="BG334" s="7" t="s">
        <v>233</v>
      </c>
      <c r="BH334" s="7" t="s">
        <v>233</v>
      </c>
      <c r="BI334" s="7"/>
      <c r="BJ334" s="4"/>
      <c r="BK334" s="8"/>
      <c r="BL334" s="2" t="s">
        <v>233</v>
      </c>
      <c r="BM334" s="7"/>
      <c r="BN334" s="7"/>
      <c r="BO334" s="4"/>
      <c r="BP334" s="8"/>
      <c r="BQ334" s="4"/>
      <c r="BR334" s="8"/>
      <c r="BS334" s="7"/>
      <c r="BT334" s="7"/>
      <c r="BU334" s="2" t="s">
        <v>243</v>
      </c>
      <c r="BV334" s="2" t="s">
        <v>233</v>
      </c>
      <c r="BW334" s="2" t="s">
        <v>233</v>
      </c>
      <c r="BX334" s="2" t="s">
        <v>243</v>
      </c>
      <c r="BY334" s="2" t="s">
        <v>244</v>
      </c>
      <c r="BZ334" s="2" t="s">
        <v>245</v>
      </c>
      <c r="CA334" s="2" t="s">
        <v>233</v>
      </c>
      <c r="CB334" s="2" t="s">
        <v>233</v>
      </c>
      <c r="CC334" s="2" t="s">
        <v>246</v>
      </c>
      <c r="CD334" s="2" t="s">
        <v>233</v>
      </c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</row>
    <row r="335">
      <c r="A335" s="2" t="s">
        <v>2157</v>
      </c>
      <c r="B335" s="2" t="s">
        <v>1242</v>
      </c>
      <c r="C335" s="2" t="s">
        <v>2145</v>
      </c>
      <c r="D335" s="2" t="s">
        <v>969</v>
      </c>
      <c r="E335" s="2" t="s">
        <v>970</v>
      </c>
      <c r="F335" s="2" t="s">
        <v>2146</v>
      </c>
      <c r="G335" s="2" t="s">
        <v>2147</v>
      </c>
      <c r="H335" s="2" t="s">
        <v>2148</v>
      </c>
      <c r="I335" s="2" t="s">
        <v>2149</v>
      </c>
      <c r="J335" s="2" t="s">
        <v>918</v>
      </c>
      <c r="K335" s="2" t="s">
        <v>2158</v>
      </c>
      <c r="L335" s="3">
        <v>23.8</v>
      </c>
      <c r="M335" s="3">
        <v>24.99</v>
      </c>
      <c r="N335" s="3">
        <v>49.99</v>
      </c>
      <c r="O335" s="2" t="s">
        <v>237</v>
      </c>
      <c r="P335" s="2" t="s">
        <v>238</v>
      </c>
      <c r="Q335" s="2" t="s">
        <v>239</v>
      </c>
      <c r="R335" s="2" t="s">
        <v>233</v>
      </c>
      <c r="S335" s="2" t="s">
        <v>2159</v>
      </c>
      <c r="T335" s="2" t="s">
        <v>1481</v>
      </c>
      <c r="U335" s="2" t="s">
        <v>491</v>
      </c>
      <c r="V335" s="2" t="s">
        <v>241</v>
      </c>
      <c r="W335" s="2" t="s">
        <v>275</v>
      </c>
      <c r="X335" s="2" t="s">
        <v>705</v>
      </c>
      <c r="Y335" s="2" t="s">
        <v>233</v>
      </c>
      <c r="Z335" s="4"/>
      <c r="AA335" s="4">
        <f>=ROUNDDOWN({0},0)</f>
      </c>
      <c r="AB335" s="5"/>
      <c r="AC335" s="2" t="s">
        <v>233</v>
      </c>
      <c r="AD335" s="4"/>
      <c r="AE335" s="4"/>
      <c r="AF335" s="6">
        <v>63</v>
      </c>
      <c r="AG335" s="6">
        <v>46</v>
      </c>
      <c r="AH335" s="7">
        <v>0</v>
      </c>
      <c r="AI335" s="4"/>
      <c r="AJ335" s="4">
        <f>=ROUNDDOWN({0},0)</f>
      </c>
      <c r="AK335" s="5"/>
      <c r="AL335" s="2" t="s">
        <v>233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233</v>
      </c>
      <c r="AW335" s="8" t="s">
        <v>233</v>
      </c>
      <c r="AX335" s="4" t="s">
        <v>233</v>
      </c>
      <c r="AY335" s="8" t="s">
        <v>233</v>
      </c>
      <c r="AZ335" s="7" t="s">
        <v>233</v>
      </c>
      <c r="BA335" s="7" t="s">
        <v>233</v>
      </c>
      <c r="BB335" s="7" t="s">
        <v>233</v>
      </c>
      <c r="BC335" s="4" t="s">
        <v>233</v>
      </c>
      <c r="BD335" s="8" t="s">
        <v>233</v>
      </c>
      <c r="BE335" s="4" t="s">
        <v>233</v>
      </c>
      <c r="BF335" s="8" t="s">
        <v>233</v>
      </c>
      <c r="BG335" s="7" t="s">
        <v>233</v>
      </c>
      <c r="BH335" s="7" t="s">
        <v>233</v>
      </c>
      <c r="BI335" s="7"/>
      <c r="BJ335" s="4"/>
      <c r="BK335" s="8"/>
      <c r="BL335" s="2" t="s">
        <v>233</v>
      </c>
      <c r="BM335" s="7"/>
      <c r="BN335" s="7"/>
      <c r="BO335" s="4"/>
      <c r="BP335" s="8"/>
      <c r="BQ335" s="4"/>
      <c r="BR335" s="8"/>
      <c r="BS335" s="7"/>
      <c r="BT335" s="7"/>
      <c r="BU335" s="2" t="s">
        <v>243</v>
      </c>
      <c r="BV335" s="2" t="s">
        <v>233</v>
      </c>
      <c r="BW335" s="2" t="s">
        <v>233</v>
      </c>
      <c r="BX335" s="2" t="s">
        <v>243</v>
      </c>
      <c r="BY335" s="2" t="s">
        <v>244</v>
      </c>
      <c r="BZ335" s="2" t="s">
        <v>245</v>
      </c>
      <c r="CA335" s="2" t="s">
        <v>233</v>
      </c>
      <c r="CB335" s="2" t="s">
        <v>233</v>
      </c>
      <c r="CC335" s="2" t="s">
        <v>246</v>
      </c>
      <c r="CD335" s="2" t="s">
        <v>233</v>
      </c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</row>
    <row r="336">
      <c r="A336" s="2" t="s">
        <v>2160</v>
      </c>
      <c r="B336" s="2" t="s">
        <v>1242</v>
      </c>
      <c r="C336" s="2" t="s">
        <v>2145</v>
      </c>
      <c r="D336" s="2" t="s">
        <v>912</v>
      </c>
      <c r="E336" s="2" t="s">
        <v>1139</v>
      </c>
      <c r="F336" s="2" t="s">
        <v>2146</v>
      </c>
      <c r="G336" s="2" t="s">
        <v>2147</v>
      </c>
      <c r="H336" s="2" t="s">
        <v>2148</v>
      </c>
      <c r="I336" s="2" t="s">
        <v>2152</v>
      </c>
      <c r="J336" s="2" t="s">
        <v>918</v>
      </c>
      <c r="K336" s="2" t="s">
        <v>2158</v>
      </c>
      <c r="L336" s="3">
        <v>17.85</v>
      </c>
      <c r="M336" s="3">
        <v>18.74</v>
      </c>
      <c r="N336" s="3">
        <v>37.49</v>
      </c>
      <c r="O336" s="2" t="s">
        <v>237</v>
      </c>
      <c r="P336" s="2" t="s">
        <v>238</v>
      </c>
      <c r="Q336" s="2" t="s">
        <v>239</v>
      </c>
      <c r="R336" s="2" t="s">
        <v>233</v>
      </c>
      <c r="S336" s="2" t="s">
        <v>2159</v>
      </c>
      <c r="T336" s="2" t="s">
        <v>1481</v>
      </c>
      <c r="U336" s="2" t="s">
        <v>491</v>
      </c>
      <c r="V336" s="2" t="s">
        <v>241</v>
      </c>
      <c r="W336" s="2" t="s">
        <v>275</v>
      </c>
      <c r="X336" s="2" t="s">
        <v>705</v>
      </c>
      <c r="Y336" s="2" t="s">
        <v>233</v>
      </c>
      <c r="Z336" s="4"/>
      <c r="AA336" s="4">
        <f>=ROUNDDOWN({0},0)</f>
      </c>
      <c r="AB336" s="5"/>
      <c r="AC336" s="2" t="s">
        <v>233</v>
      </c>
      <c r="AD336" s="4"/>
      <c r="AE336" s="4"/>
      <c r="AF336" s="6">
        <v>63</v>
      </c>
      <c r="AG336" s="6">
        <v>46</v>
      </c>
      <c r="AH336" s="7">
        <v>0</v>
      </c>
      <c r="AI336" s="4"/>
      <c r="AJ336" s="4">
        <f>=ROUNDDOWN({0},0)</f>
      </c>
      <c r="AK336" s="5"/>
      <c r="AL336" s="2" t="s">
        <v>233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233</v>
      </c>
      <c r="AW336" s="8" t="s">
        <v>233</v>
      </c>
      <c r="AX336" s="4" t="s">
        <v>233</v>
      </c>
      <c r="AY336" s="8" t="s">
        <v>233</v>
      </c>
      <c r="AZ336" s="7" t="s">
        <v>233</v>
      </c>
      <c r="BA336" s="7" t="s">
        <v>233</v>
      </c>
      <c r="BB336" s="7" t="s">
        <v>233</v>
      </c>
      <c r="BC336" s="4" t="s">
        <v>233</v>
      </c>
      <c r="BD336" s="8" t="s">
        <v>233</v>
      </c>
      <c r="BE336" s="4" t="s">
        <v>233</v>
      </c>
      <c r="BF336" s="8" t="s">
        <v>233</v>
      </c>
      <c r="BG336" s="7" t="s">
        <v>233</v>
      </c>
      <c r="BH336" s="7" t="s">
        <v>233</v>
      </c>
      <c r="BI336" s="7"/>
      <c r="BJ336" s="4"/>
      <c r="BK336" s="8"/>
      <c r="BL336" s="2" t="s">
        <v>233</v>
      </c>
      <c r="BM336" s="7"/>
      <c r="BN336" s="7"/>
      <c r="BO336" s="4"/>
      <c r="BP336" s="8"/>
      <c r="BQ336" s="4"/>
      <c r="BR336" s="8"/>
      <c r="BS336" s="7"/>
      <c r="BT336" s="7"/>
      <c r="BU336" s="2" t="s">
        <v>243</v>
      </c>
      <c r="BV336" s="2" t="s">
        <v>233</v>
      </c>
      <c r="BW336" s="2" t="s">
        <v>233</v>
      </c>
      <c r="BX336" s="2" t="s">
        <v>243</v>
      </c>
      <c r="BY336" s="2" t="s">
        <v>244</v>
      </c>
      <c r="BZ336" s="2" t="s">
        <v>245</v>
      </c>
      <c r="CA336" s="2" t="s">
        <v>233</v>
      </c>
      <c r="CB336" s="2" t="s">
        <v>233</v>
      </c>
      <c r="CC336" s="2" t="s">
        <v>246</v>
      </c>
      <c r="CD336" s="2" t="s">
        <v>233</v>
      </c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</row>
    <row r="337">
      <c r="A337" s="2" t="s">
        <v>2161</v>
      </c>
      <c r="B337" s="2" t="s">
        <v>1242</v>
      </c>
      <c r="C337" s="2" t="s">
        <v>2145</v>
      </c>
      <c r="D337" s="2" t="s">
        <v>969</v>
      </c>
      <c r="E337" s="2" t="s">
        <v>970</v>
      </c>
      <c r="F337" s="2" t="s">
        <v>2146</v>
      </c>
      <c r="G337" s="2" t="s">
        <v>2147</v>
      </c>
      <c r="H337" s="2" t="s">
        <v>2148</v>
      </c>
      <c r="I337" s="2" t="s">
        <v>2149</v>
      </c>
      <c r="J337" s="2" t="s">
        <v>981</v>
      </c>
      <c r="K337" s="2" t="s">
        <v>2158</v>
      </c>
      <c r="L337" s="3">
        <v>28.57</v>
      </c>
      <c r="M337" s="3">
        <v>30</v>
      </c>
      <c r="N337" s="3">
        <v>59.99</v>
      </c>
      <c r="O337" s="2" t="s">
        <v>237</v>
      </c>
      <c r="P337" s="2" t="s">
        <v>238</v>
      </c>
      <c r="Q337" s="2" t="s">
        <v>239</v>
      </c>
      <c r="R337" s="2" t="s">
        <v>233</v>
      </c>
      <c r="S337" s="2" t="s">
        <v>2159</v>
      </c>
      <c r="T337" s="2" t="s">
        <v>1481</v>
      </c>
      <c r="U337" s="2" t="s">
        <v>475</v>
      </c>
      <c r="V337" s="2" t="s">
        <v>241</v>
      </c>
      <c r="W337" s="2" t="s">
        <v>275</v>
      </c>
      <c r="X337" s="2" t="s">
        <v>705</v>
      </c>
      <c r="Y337" s="2" t="s">
        <v>233</v>
      </c>
      <c r="Z337" s="4"/>
      <c r="AA337" s="4">
        <f>=ROUNDDOWN({0},0)</f>
      </c>
      <c r="AB337" s="5"/>
      <c r="AC337" s="2" t="s">
        <v>233</v>
      </c>
      <c r="AD337" s="4"/>
      <c r="AE337" s="4"/>
      <c r="AF337" s="6">
        <v>63</v>
      </c>
      <c r="AG337" s="6">
        <v>46</v>
      </c>
      <c r="AH337" s="7">
        <v>0</v>
      </c>
      <c r="AI337" s="4"/>
      <c r="AJ337" s="4">
        <f>=ROUNDDOWN({0},0)</f>
      </c>
      <c r="AK337" s="5"/>
      <c r="AL337" s="2" t="s">
        <v>233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233</v>
      </c>
      <c r="AW337" s="8" t="s">
        <v>233</v>
      </c>
      <c r="AX337" s="4" t="s">
        <v>233</v>
      </c>
      <c r="AY337" s="8" t="s">
        <v>233</v>
      </c>
      <c r="AZ337" s="7" t="s">
        <v>233</v>
      </c>
      <c r="BA337" s="7" t="s">
        <v>233</v>
      </c>
      <c r="BB337" s="7" t="s">
        <v>233</v>
      </c>
      <c r="BC337" s="4" t="s">
        <v>233</v>
      </c>
      <c r="BD337" s="8" t="s">
        <v>233</v>
      </c>
      <c r="BE337" s="4" t="s">
        <v>233</v>
      </c>
      <c r="BF337" s="8" t="s">
        <v>233</v>
      </c>
      <c r="BG337" s="7" t="s">
        <v>233</v>
      </c>
      <c r="BH337" s="7" t="s">
        <v>233</v>
      </c>
      <c r="BI337" s="7"/>
      <c r="BJ337" s="4"/>
      <c r="BK337" s="8"/>
      <c r="BL337" s="2" t="s">
        <v>233</v>
      </c>
      <c r="BM337" s="7"/>
      <c r="BN337" s="7"/>
      <c r="BO337" s="4"/>
      <c r="BP337" s="8"/>
      <c r="BQ337" s="4"/>
      <c r="BR337" s="8"/>
      <c r="BS337" s="7"/>
      <c r="BT337" s="7"/>
      <c r="BU337" s="2" t="s">
        <v>243</v>
      </c>
      <c r="BV337" s="2" t="s">
        <v>233</v>
      </c>
      <c r="BW337" s="2" t="s">
        <v>233</v>
      </c>
      <c r="BX337" s="2" t="s">
        <v>243</v>
      </c>
      <c r="BY337" s="2" t="s">
        <v>244</v>
      </c>
      <c r="BZ337" s="2" t="s">
        <v>245</v>
      </c>
      <c r="CA337" s="2" t="s">
        <v>233</v>
      </c>
      <c r="CB337" s="2" t="s">
        <v>233</v>
      </c>
      <c r="CC337" s="2" t="s">
        <v>246</v>
      </c>
      <c r="CD337" s="2" t="s">
        <v>233</v>
      </c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</row>
    <row r="338">
      <c r="A338" s="2" t="s">
        <v>2162</v>
      </c>
      <c r="B338" s="2" t="s">
        <v>1242</v>
      </c>
      <c r="C338" s="2" t="s">
        <v>2145</v>
      </c>
      <c r="D338" s="2" t="s">
        <v>912</v>
      </c>
      <c r="E338" s="2" t="s">
        <v>1139</v>
      </c>
      <c r="F338" s="2" t="s">
        <v>2146</v>
      </c>
      <c r="G338" s="2" t="s">
        <v>2147</v>
      </c>
      <c r="H338" s="2" t="s">
        <v>2148</v>
      </c>
      <c r="I338" s="2" t="s">
        <v>2152</v>
      </c>
      <c r="J338" s="2" t="s">
        <v>981</v>
      </c>
      <c r="K338" s="2" t="s">
        <v>2158</v>
      </c>
      <c r="L338" s="3">
        <v>22.61</v>
      </c>
      <c r="M338" s="3">
        <v>23.74</v>
      </c>
      <c r="N338" s="3">
        <v>47.49</v>
      </c>
      <c r="O338" s="2" t="s">
        <v>237</v>
      </c>
      <c r="P338" s="2" t="s">
        <v>238</v>
      </c>
      <c r="Q338" s="2" t="s">
        <v>239</v>
      </c>
      <c r="R338" s="2" t="s">
        <v>233</v>
      </c>
      <c r="S338" s="2" t="s">
        <v>2159</v>
      </c>
      <c r="T338" s="2" t="s">
        <v>1481</v>
      </c>
      <c r="U338" s="2" t="s">
        <v>475</v>
      </c>
      <c r="V338" s="2" t="s">
        <v>241</v>
      </c>
      <c r="W338" s="2" t="s">
        <v>275</v>
      </c>
      <c r="X338" s="2" t="s">
        <v>705</v>
      </c>
      <c r="Y338" s="2" t="s">
        <v>233</v>
      </c>
      <c r="Z338" s="4"/>
      <c r="AA338" s="4">
        <f>=ROUNDDOWN({0},0)</f>
      </c>
      <c r="AB338" s="5"/>
      <c r="AC338" s="2" t="s">
        <v>233</v>
      </c>
      <c r="AD338" s="4"/>
      <c r="AE338" s="4"/>
      <c r="AF338" s="6">
        <v>63</v>
      </c>
      <c r="AG338" s="6">
        <v>46</v>
      </c>
      <c r="AH338" s="7">
        <v>0</v>
      </c>
      <c r="AI338" s="4"/>
      <c r="AJ338" s="4">
        <f>=ROUNDDOWN({0},0)</f>
      </c>
      <c r="AK338" s="5"/>
      <c r="AL338" s="2" t="s">
        <v>233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233</v>
      </c>
      <c r="AW338" s="8" t="s">
        <v>233</v>
      </c>
      <c r="AX338" s="4" t="s">
        <v>233</v>
      </c>
      <c r="AY338" s="8" t="s">
        <v>233</v>
      </c>
      <c r="AZ338" s="7" t="s">
        <v>233</v>
      </c>
      <c r="BA338" s="7" t="s">
        <v>233</v>
      </c>
      <c r="BB338" s="7" t="s">
        <v>233</v>
      </c>
      <c r="BC338" s="4" t="s">
        <v>233</v>
      </c>
      <c r="BD338" s="8" t="s">
        <v>233</v>
      </c>
      <c r="BE338" s="4" t="s">
        <v>233</v>
      </c>
      <c r="BF338" s="8" t="s">
        <v>233</v>
      </c>
      <c r="BG338" s="7" t="s">
        <v>233</v>
      </c>
      <c r="BH338" s="7" t="s">
        <v>233</v>
      </c>
      <c r="BI338" s="7"/>
      <c r="BJ338" s="4"/>
      <c r="BK338" s="8"/>
      <c r="BL338" s="2" t="s">
        <v>233</v>
      </c>
      <c r="BM338" s="7"/>
      <c r="BN338" s="7"/>
      <c r="BO338" s="4"/>
      <c r="BP338" s="8"/>
      <c r="BQ338" s="4"/>
      <c r="BR338" s="8"/>
      <c r="BS338" s="7"/>
      <c r="BT338" s="7"/>
      <c r="BU338" s="2" t="s">
        <v>243</v>
      </c>
      <c r="BV338" s="2" t="s">
        <v>233</v>
      </c>
      <c r="BW338" s="2" t="s">
        <v>233</v>
      </c>
      <c r="BX338" s="2" t="s">
        <v>243</v>
      </c>
      <c r="BY338" s="2" t="s">
        <v>244</v>
      </c>
      <c r="BZ338" s="2" t="s">
        <v>245</v>
      </c>
      <c r="CA338" s="2" t="s">
        <v>233</v>
      </c>
      <c r="CB338" s="2" t="s">
        <v>233</v>
      </c>
      <c r="CC338" s="2" t="s">
        <v>246</v>
      </c>
      <c r="CD338" s="2" t="s">
        <v>233</v>
      </c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</row>
    <row r="339">
      <c r="A339" s="2" t="s">
        <v>2163</v>
      </c>
      <c r="B339" s="2" t="s">
        <v>1242</v>
      </c>
      <c r="C339" s="2" t="s">
        <v>2145</v>
      </c>
      <c r="D339" s="2" t="s">
        <v>969</v>
      </c>
      <c r="E339" s="2" t="s">
        <v>970</v>
      </c>
      <c r="F339" s="2" t="s">
        <v>2146</v>
      </c>
      <c r="G339" s="2" t="s">
        <v>2147</v>
      </c>
      <c r="H339" s="2" t="s">
        <v>2148</v>
      </c>
      <c r="I339" s="2" t="s">
        <v>2149</v>
      </c>
      <c r="J339" s="2" t="s">
        <v>1142</v>
      </c>
      <c r="K339" s="2" t="s">
        <v>2158</v>
      </c>
      <c r="L339" s="3">
        <v>33.33</v>
      </c>
      <c r="M339" s="3">
        <v>35</v>
      </c>
      <c r="N339" s="3">
        <v>69.99</v>
      </c>
      <c r="O339" s="2" t="s">
        <v>237</v>
      </c>
      <c r="P339" s="2" t="s">
        <v>238</v>
      </c>
      <c r="Q339" s="2" t="s">
        <v>239</v>
      </c>
      <c r="R339" s="2" t="s">
        <v>233</v>
      </c>
      <c r="S339" s="2" t="s">
        <v>2159</v>
      </c>
      <c r="T339" s="2" t="s">
        <v>1481</v>
      </c>
      <c r="U339" s="2" t="s">
        <v>475</v>
      </c>
      <c r="V339" s="2" t="s">
        <v>241</v>
      </c>
      <c r="W339" s="2" t="s">
        <v>275</v>
      </c>
      <c r="X339" s="2" t="s">
        <v>705</v>
      </c>
      <c r="Y339" s="2" t="s">
        <v>233</v>
      </c>
      <c r="Z339" s="4"/>
      <c r="AA339" s="4">
        <f>=ROUNDDOWN({0},0)</f>
      </c>
      <c r="AB339" s="5"/>
      <c r="AC339" s="2" t="s">
        <v>233</v>
      </c>
      <c r="AD339" s="4"/>
      <c r="AE339" s="4"/>
      <c r="AF339" s="6">
        <v>63</v>
      </c>
      <c r="AG339" s="6">
        <v>46</v>
      </c>
      <c r="AH339" s="7">
        <v>0</v>
      </c>
      <c r="AI339" s="4"/>
      <c r="AJ339" s="4">
        <f>=ROUNDDOWN({0},0)</f>
      </c>
      <c r="AK339" s="5"/>
      <c r="AL339" s="2" t="s">
        <v>233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233</v>
      </c>
      <c r="AW339" s="8" t="s">
        <v>233</v>
      </c>
      <c r="AX339" s="4" t="s">
        <v>233</v>
      </c>
      <c r="AY339" s="8" t="s">
        <v>233</v>
      </c>
      <c r="AZ339" s="7" t="s">
        <v>233</v>
      </c>
      <c r="BA339" s="7" t="s">
        <v>233</v>
      </c>
      <c r="BB339" s="7" t="s">
        <v>233</v>
      </c>
      <c r="BC339" s="4" t="s">
        <v>233</v>
      </c>
      <c r="BD339" s="8" t="s">
        <v>233</v>
      </c>
      <c r="BE339" s="4" t="s">
        <v>233</v>
      </c>
      <c r="BF339" s="8" t="s">
        <v>233</v>
      </c>
      <c r="BG339" s="7" t="s">
        <v>233</v>
      </c>
      <c r="BH339" s="7" t="s">
        <v>233</v>
      </c>
      <c r="BI339" s="7"/>
      <c r="BJ339" s="4"/>
      <c r="BK339" s="8"/>
      <c r="BL339" s="2" t="s">
        <v>233</v>
      </c>
      <c r="BM339" s="7"/>
      <c r="BN339" s="7"/>
      <c r="BO339" s="4"/>
      <c r="BP339" s="8"/>
      <c r="BQ339" s="4"/>
      <c r="BR339" s="8"/>
      <c r="BS339" s="7"/>
      <c r="BT339" s="7"/>
      <c r="BU339" s="2" t="s">
        <v>243</v>
      </c>
      <c r="BV339" s="2" t="s">
        <v>233</v>
      </c>
      <c r="BW339" s="2" t="s">
        <v>233</v>
      </c>
      <c r="BX339" s="2" t="s">
        <v>243</v>
      </c>
      <c r="BY339" s="2" t="s">
        <v>244</v>
      </c>
      <c r="BZ339" s="2" t="s">
        <v>245</v>
      </c>
      <c r="CA339" s="2" t="s">
        <v>233</v>
      </c>
      <c r="CB339" s="2" t="s">
        <v>233</v>
      </c>
      <c r="CC339" s="2" t="s">
        <v>246</v>
      </c>
      <c r="CD339" s="2" t="s">
        <v>233</v>
      </c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</row>
    <row r="340">
      <c r="A340" s="2" t="s">
        <v>2164</v>
      </c>
      <c r="B340" s="2" t="s">
        <v>1242</v>
      </c>
      <c r="C340" s="2" t="s">
        <v>2145</v>
      </c>
      <c r="D340" s="2" t="s">
        <v>912</v>
      </c>
      <c r="E340" s="2" t="s">
        <v>1139</v>
      </c>
      <c r="F340" s="2" t="s">
        <v>2146</v>
      </c>
      <c r="G340" s="2" t="s">
        <v>2147</v>
      </c>
      <c r="H340" s="2" t="s">
        <v>2148</v>
      </c>
      <c r="I340" s="2" t="s">
        <v>2152</v>
      </c>
      <c r="J340" s="2" t="s">
        <v>1142</v>
      </c>
      <c r="K340" s="2" t="s">
        <v>2158</v>
      </c>
      <c r="L340" s="3">
        <v>27.38</v>
      </c>
      <c r="M340" s="3">
        <v>28.75</v>
      </c>
      <c r="N340" s="3">
        <v>57.49</v>
      </c>
      <c r="O340" s="2" t="s">
        <v>237</v>
      </c>
      <c r="P340" s="2" t="s">
        <v>238</v>
      </c>
      <c r="Q340" s="2" t="s">
        <v>239</v>
      </c>
      <c r="R340" s="2" t="s">
        <v>233</v>
      </c>
      <c r="S340" s="2" t="s">
        <v>2159</v>
      </c>
      <c r="T340" s="2" t="s">
        <v>1481</v>
      </c>
      <c r="U340" s="2" t="s">
        <v>475</v>
      </c>
      <c r="V340" s="2" t="s">
        <v>241</v>
      </c>
      <c r="W340" s="2" t="s">
        <v>275</v>
      </c>
      <c r="X340" s="2" t="s">
        <v>705</v>
      </c>
      <c r="Y340" s="2" t="s">
        <v>233</v>
      </c>
      <c r="Z340" s="4"/>
      <c r="AA340" s="4">
        <f>=ROUNDDOWN({0},0)</f>
      </c>
      <c r="AB340" s="5"/>
      <c r="AC340" s="2" t="s">
        <v>233</v>
      </c>
      <c r="AD340" s="4"/>
      <c r="AE340" s="4"/>
      <c r="AF340" s="6">
        <v>63</v>
      </c>
      <c r="AG340" s="6">
        <v>46</v>
      </c>
      <c r="AH340" s="7">
        <v>0</v>
      </c>
      <c r="AI340" s="4"/>
      <c r="AJ340" s="4">
        <f>=ROUNDDOWN({0},0)</f>
      </c>
      <c r="AK340" s="5"/>
      <c r="AL340" s="2" t="s">
        <v>233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233</v>
      </c>
      <c r="AW340" s="8" t="s">
        <v>233</v>
      </c>
      <c r="AX340" s="4" t="s">
        <v>233</v>
      </c>
      <c r="AY340" s="8" t="s">
        <v>233</v>
      </c>
      <c r="AZ340" s="7" t="s">
        <v>233</v>
      </c>
      <c r="BA340" s="7" t="s">
        <v>233</v>
      </c>
      <c r="BB340" s="7" t="s">
        <v>233</v>
      </c>
      <c r="BC340" s="4" t="s">
        <v>233</v>
      </c>
      <c r="BD340" s="8" t="s">
        <v>233</v>
      </c>
      <c r="BE340" s="4" t="s">
        <v>233</v>
      </c>
      <c r="BF340" s="8" t="s">
        <v>233</v>
      </c>
      <c r="BG340" s="7" t="s">
        <v>233</v>
      </c>
      <c r="BH340" s="7" t="s">
        <v>233</v>
      </c>
      <c r="BI340" s="7"/>
      <c r="BJ340" s="4"/>
      <c r="BK340" s="8"/>
      <c r="BL340" s="2" t="s">
        <v>233</v>
      </c>
      <c r="BM340" s="7"/>
      <c r="BN340" s="7"/>
      <c r="BO340" s="4"/>
      <c r="BP340" s="8"/>
      <c r="BQ340" s="4"/>
      <c r="BR340" s="8"/>
      <c r="BS340" s="7"/>
      <c r="BT340" s="7"/>
      <c r="BU340" s="2" t="s">
        <v>243</v>
      </c>
      <c r="BV340" s="2" t="s">
        <v>233</v>
      </c>
      <c r="BW340" s="2" t="s">
        <v>233</v>
      </c>
      <c r="BX340" s="2" t="s">
        <v>243</v>
      </c>
      <c r="BY340" s="2" t="s">
        <v>244</v>
      </c>
      <c r="BZ340" s="2" t="s">
        <v>245</v>
      </c>
      <c r="CA340" s="2" t="s">
        <v>233</v>
      </c>
      <c r="CB340" s="2" t="s">
        <v>233</v>
      </c>
      <c r="CC340" s="2" t="s">
        <v>246</v>
      </c>
      <c r="CD340" s="2" t="s">
        <v>233</v>
      </c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</row>
    <row r="341">
      <c r="A341" s="2" t="s">
        <v>2165</v>
      </c>
      <c r="B341" s="2" t="s">
        <v>1242</v>
      </c>
      <c r="C341" s="2" t="s">
        <v>2145</v>
      </c>
      <c r="D341" s="2" t="s">
        <v>969</v>
      </c>
      <c r="E341" s="2" t="s">
        <v>970</v>
      </c>
      <c r="F341" s="2" t="s">
        <v>2146</v>
      </c>
      <c r="G341" s="2" t="s">
        <v>2147</v>
      </c>
      <c r="H341" s="2" t="s">
        <v>2148</v>
      </c>
      <c r="I341" s="2" t="s">
        <v>2149</v>
      </c>
      <c r="J341" s="2" t="s">
        <v>918</v>
      </c>
      <c r="K341" s="2" t="s">
        <v>297</v>
      </c>
      <c r="L341" s="3">
        <v>23.8</v>
      </c>
      <c r="M341" s="3">
        <v>24.99</v>
      </c>
      <c r="N341" s="3">
        <v>49.99</v>
      </c>
      <c r="O341" s="2" t="s">
        <v>237</v>
      </c>
      <c r="P341" s="2" t="s">
        <v>238</v>
      </c>
      <c r="Q341" s="2" t="s">
        <v>239</v>
      </c>
      <c r="R341" s="2" t="s">
        <v>233</v>
      </c>
      <c r="S341" s="2" t="s">
        <v>2166</v>
      </c>
      <c r="T341" s="2" t="s">
        <v>1481</v>
      </c>
      <c r="U341" s="2" t="s">
        <v>491</v>
      </c>
      <c r="V341" s="2" t="s">
        <v>241</v>
      </c>
      <c r="W341" s="2" t="s">
        <v>275</v>
      </c>
      <c r="X341" s="2" t="s">
        <v>705</v>
      </c>
      <c r="Y341" s="2" t="s">
        <v>233</v>
      </c>
      <c r="Z341" s="4"/>
      <c r="AA341" s="4">
        <f>=ROUNDDOWN({0},0)</f>
      </c>
      <c r="AB341" s="5"/>
      <c r="AC341" s="2" t="s">
        <v>233</v>
      </c>
      <c r="AD341" s="4"/>
      <c r="AE341" s="4"/>
      <c r="AF341" s="6">
        <v>63</v>
      </c>
      <c r="AG341" s="6">
        <v>46</v>
      </c>
      <c r="AH341" s="7">
        <v>0</v>
      </c>
      <c r="AI341" s="4"/>
      <c r="AJ341" s="4">
        <f>=ROUNDDOWN({0},0)</f>
      </c>
      <c r="AK341" s="5"/>
      <c r="AL341" s="2" t="s">
        <v>233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233</v>
      </c>
      <c r="AW341" s="8" t="s">
        <v>233</v>
      </c>
      <c r="AX341" s="4" t="s">
        <v>233</v>
      </c>
      <c r="AY341" s="8" t="s">
        <v>233</v>
      </c>
      <c r="AZ341" s="7" t="s">
        <v>233</v>
      </c>
      <c r="BA341" s="7" t="s">
        <v>233</v>
      </c>
      <c r="BB341" s="7" t="s">
        <v>233</v>
      </c>
      <c r="BC341" s="4" t="s">
        <v>233</v>
      </c>
      <c r="BD341" s="8" t="s">
        <v>233</v>
      </c>
      <c r="BE341" s="4" t="s">
        <v>233</v>
      </c>
      <c r="BF341" s="8" t="s">
        <v>233</v>
      </c>
      <c r="BG341" s="7" t="s">
        <v>233</v>
      </c>
      <c r="BH341" s="7" t="s">
        <v>233</v>
      </c>
      <c r="BI341" s="7"/>
      <c r="BJ341" s="4"/>
      <c r="BK341" s="8"/>
      <c r="BL341" s="2" t="s">
        <v>233</v>
      </c>
      <c r="BM341" s="7"/>
      <c r="BN341" s="7"/>
      <c r="BO341" s="4"/>
      <c r="BP341" s="8"/>
      <c r="BQ341" s="4"/>
      <c r="BR341" s="8"/>
      <c r="BS341" s="7"/>
      <c r="BT341" s="7"/>
      <c r="BU341" s="2" t="s">
        <v>243</v>
      </c>
      <c r="BV341" s="2" t="s">
        <v>233</v>
      </c>
      <c r="BW341" s="2" t="s">
        <v>233</v>
      </c>
      <c r="BX341" s="2" t="s">
        <v>243</v>
      </c>
      <c r="BY341" s="2" t="s">
        <v>244</v>
      </c>
      <c r="BZ341" s="2" t="s">
        <v>245</v>
      </c>
      <c r="CA341" s="2" t="s">
        <v>233</v>
      </c>
      <c r="CB341" s="2" t="s">
        <v>233</v>
      </c>
      <c r="CC341" s="2" t="s">
        <v>246</v>
      </c>
      <c r="CD341" s="2" t="s">
        <v>233</v>
      </c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</row>
    <row r="342">
      <c r="A342" s="2" t="s">
        <v>2167</v>
      </c>
      <c r="B342" s="2" t="s">
        <v>1242</v>
      </c>
      <c r="C342" s="2" t="s">
        <v>2145</v>
      </c>
      <c r="D342" s="2" t="s">
        <v>912</v>
      </c>
      <c r="E342" s="2" t="s">
        <v>1139</v>
      </c>
      <c r="F342" s="2" t="s">
        <v>2146</v>
      </c>
      <c r="G342" s="2" t="s">
        <v>2147</v>
      </c>
      <c r="H342" s="2" t="s">
        <v>2148</v>
      </c>
      <c r="I342" s="2" t="s">
        <v>2152</v>
      </c>
      <c r="J342" s="2" t="s">
        <v>918</v>
      </c>
      <c r="K342" s="2" t="s">
        <v>297</v>
      </c>
      <c r="L342" s="3">
        <v>17.85</v>
      </c>
      <c r="M342" s="3">
        <v>18.74</v>
      </c>
      <c r="N342" s="3">
        <v>37.49</v>
      </c>
      <c r="O342" s="2" t="s">
        <v>237</v>
      </c>
      <c r="P342" s="2" t="s">
        <v>238</v>
      </c>
      <c r="Q342" s="2" t="s">
        <v>239</v>
      </c>
      <c r="R342" s="2" t="s">
        <v>233</v>
      </c>
      <c r="S342" s="2" t="s">
        <v>2166</v>
      </c>
      <c r="T342" s="2" t="s">
        <v>1481</v>
      </c>
      <c r="U342" s="2" t="s">
        <v>491</v>
      </c>
      <c r="V342" s="2" t="s">
        <v>241</v>
      </c>
      <c r="W342" s="2" t="s">
        <v>275</v>
      </c>
      <c r="X342" s="2" t="s">
        <v>705</v>
      </c>
      <c r="Y342" s="2" t="s">
        <v>233</v>
      </c>
      <c r="Z342" s="4"/>
      <c r="AA342" s="4">
        <f>=ROUNDDOWN({0},0)</f>
      </c>
      <c r="AB342" s="5"/>
      <c r="AC342" s="2" t="s">
        <v>233</v>
      </c>
      <c r="AD342" s="4"/>
      <c r="AE342" s="4"/>
      <c r="AF342" s="6">
        <v>63</v>
      </c>
      <c r="AG342" s="6">
        <v>46</v>
      </c>
      <c r="AH342" s="7">
        <v>0</v>
      </c>
      <c r="AI342" s="4"/>
      <c r="AJ342" s="4">
        <f>=ROUNDDOWN({0},0)</f>
      </c>
      <c r="AK342" s="5"/>
      <c r="AL342" s="2" t="s">
        <v>233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233</v>
      </c>
      <c r="AW342" s="8" t="s">
        <v>233</v>
      </c>
      <c r="AX342" s="4" t="s">
        <v>233</v>
      </c>
      <c r="AY342" s="8" t="s">
        <v>233</v>
      </c>
      <c r="AZ342" s="7" t="s">
        <v>233</v>
      </c>
      <c r="BA342" s="7" t="s">
        <v>233</v>
      </c>
      <c r="BB342" s="7" t="s">
        <v>233</v>
      </c>
      <c r="BC342" s="4" t="s">
        <v>233</v>
      </c>
      <c r="BD342" s="8" t="s">
        <v>233</v>
      </c>
      <c r="BE342" s="4" t="s">
        <v>233</v>
      </c>
      <c r="BF342" s="8" t="s">
        <v>233</v>
      </c>
      <c r="BG342" s="7" t="s">
        <v>233</v>
      </c>
      <c r="BH342" s="7" t="s">
        <v>233</v>
      </c>
      <c r="BI342" s="7"/>
      <c r="BJ342" s="4"/>
      <c r="BK342" s="8"/>
      <c r="BL342" s="2" t="s">
        <v>233</v>
      </c>
      <c r="BM342" s="7"/>
      <c r="BN342" s="7"/>
      <c r="BO342" s="4"/>
      <c r="BP342" s="8"/>
      <c r="BQ342" s="4"/>
      <c r="BR342" s="8"/>
      <c r="BS342" s="7"/>
      <c r="BT342" s="7"/>
      <c r="BU342" s="2" t="s">
        <v>243</v>
      </c>
      <c r="BV342" s="2" t="s">
        <v>233</v>
      </c>
      <c r="BW342" s="2" t="s">
        <v>233</v>
      </c>
      <c r="BX342" s="2" t="s">
        <v>243</v>
      </c>
      <c r="BY342" s="2" t="s">
        <v>244</v>
      </c>
      <c r="BZ342" s="2" t="s">
        <v>245</v>
      </c>
      <c r="CA342" s="2" t="s">
        <v>233</v>
      </c>
      <c r="CB342" s="2" t="s">
        <v>233</v>
      </c>
      <c r="CC342" s="2" t="s">
        <v>246</v>
      </c>
      <c r="CD342" s="2" t="s">
        <v>233</v>
      </c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</row>
    <row r="343">
      <c r="A343" s="2" t="s">
        <v>2168</v>
      </c>
      <c r="B343" s="2" t="s">
        <v>1242</v>
      </c>
      <c r="C343" s="2" t="s">
        <v>2145</v>
      </c>
      <c r="D343" s="2" t="s">
        <v>969</v>
      </c>
      <c r="E343" s="2" t="s">
        <v>970</v>
      </c>
      <c r="F343" s="2" t="s">
        <v>2146</v>
      </c>
      <c r="G343" s="2" t="s">
        <v>2147</v>
      </c>
      <c r="H343" s="2" t="s">
        <v>2148</v>
      </c>
      <c r="I343" s="2" t="s">
        <v>2149</v>
      </c>
      <c r="J343" s="2" t="s">
        <v>981</v>
      </c>
      <c r="K343" s="2" t="s">
        <v>297</v>
      </c>
      <c r="L343" s="3">
        <v>28.57</v>
      </c>
      <c r="M343" s="3">
        <v>30</v>
      </c>
      <c r="N343" s="3">
        <v>59.99</v>
      </c>
      <c r="O343" s="2" t="s">
        <v>237</v>
      </c>
      <c r="P343" s="2" t="s">
        <v>238</v>
      </c>
      <c r="Q343" s="2" t="s">
        <v>239</v>
      </c>
      <c r="R343" s="2" t="s">
        <v>233</v>
      </c>
      <c r="S343" s="2" t="s">
        <v>2166</v>
      </c>
      <c r="T343" s="2" t="s">
        <v>1481</v>
      </c>
      <c r="U343" s="2" t="s">
        <v>475</v>
      </c>
      <c r="V343" s="2" t="s">
        <v>241</v>
      </c>
      <c r="W343" s="2" t="s">
        <v>275</v>
      </c>
      <c r="X343" s="2" t="s">
        <v>705</v>
      </c>
      <c r="Y343" s="2" t="s">
        <v>233</v>
      </c>
      <c r="Z343" s="4"/>
      <c r="AA343" s="4">
        <f>=ROUNDDOWN({0},0)</f>
      </c>
      <c r="AB343" s="5"/>
      <c r="AC343" s="2" t="s">
        <v>233</v>
      </c>
      <c r="AD343" s="4"/>
      <c r="AE343" s="4"/>
      <c r="AF343" s="6">
        <v>63</v>
      </c>
      <c r="AG343" s="6">
        <v>46</v>
      </c>
      <c r="AH343" s="7">
        <v>0</v>
      </c>
      <c r="AI343" s="4"/>
      <c r="AJ343" s="4">
        <f>=ROUNDDOWN({0},0)</f>
      </c>
      <c r="AK343" s="5"/>
      <c r="AL343" s="2" t="s">
        <v>233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233</v>
      </c>
      <c r="AW343" s="8" t="s">
        <v>233</v>
      </c>
      <c r="AX343" s="4" t="s">
        <v>233</v>
      </c>
      <c r="AY343" s="8" t="s">
        <v>233</v>
      </c>
      <c r="AZ343" s="7" t="s">
        <v>233</v>
      </c>
      <c r="BA343" s="7" t="s">
        <v>233</v>
      </c>
      <c r="BB343" s="7" t="s">
        <v>233</v>
      </c>
      <c r="BC343" s="4" t="s">
        <v>233</v>
      </c>
      <c r="BD343" s="8" t="s">
        <v>233</v>
      </c>
      <c r="BE343" s="4" t="s">
        <v>233</v>
      </c>
      <c r="BF343" s="8" t="s">
        <v>233</v>
      </c>
      <c r="BG343" s="7" t="s">
        <v>233</v>
      </c>
      <c r="BH343" s="7" t="s">
        <v>233</v>
      </c>
      <c r="BI343" s="7"/>
      <c r="BJ343" s="4"/>
      <c r="BK343" s="8"/>
      <c r="BL343" s="2" t="s">
        <v>233</v>
      </c>
      <c r="BM343" s="7"/>
      <c r="BN343" s="7"/>
      <c r="BO343" s="4"/>
      <c r="BP343" s="8"/>
      <c r="BQ343" s="4"/>
      <c r="BR343" s="8"/>
      <c r="BS343" s="7"/>
      <c r="BT343" s="7"/>
      <c r="BU343" s="2" t="s">
        <v>243</v>
      </c>
      <c r="BV343" s="2" t="s">
        <v>233</v>
      </c>
      <c r="BW343" s="2" t="s">
        <v>233</v>
      </c>
      <c r="BX343" s="2" t="s">
        <v>243</v>
      </c>
      <c r="BY343" s="2" t="s">
        <v>244</v>
      </c>
      <c r="BZ343" s="2" t="s">
        <v>245</v>
      </c>
      <c r="CA343" s="2" t="s">
        <v>233</v>
      </c>
      <c r="CB343" s="2" t="s">
        <v>233</v>
      </c>
      <c r="CC343" s="2" t="s">
        <v>246</v>
      </c>
      <c r="CD343" s="2" t="s">
        <v>233</v>
      </c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</row>
    <row r="344">
      <c r="A344" s="2" t="s">
        <v>2169</v>
      </c>
      <c r="B344" s="2" t="s">
        <v>1242</v>
      </c>
      <c r="C344" s="2" t="s">
        <v>2145</v>
      </c>
      <c r="D344" s="2" t="s">
        <v>912</v>
      </c>
      <c r="E344" s="2" t="s">
        <v>1139</v>
      </c>
      <c r="F344" s="2" t="s">
        <v>2146</v>
      </c>
      <c r="G344" s="2" t="s">
        <v>2147</v>
      </c>
      <c r="H344" s="2" t="s">
        <v>2148</v>
      </c>
      <c r="I344" s="2" t="s">
        <v>2152</v>
      </c>
      <c r="J344" s="2" t="s">
        <v>981</v>
      </c>
      <c r="K344" s="2" t="s">
        <v>297</v>
      </c>
      <c r="L344" s="3">
        <v>22.61</v>
      </c>
      <c r="M344" s="3">
        <v>23.74</v>
      </c>
      <c r="N344" s="3">
        <v>47.49</v>
      </c>
      <c r="O344" s="2" t="s">
        <v>237</v>
      </c>
      <c r="P344" s="2" t="s">
        <v>238</v>
      </c>
      <c r="Q344" s="2" t="s">
        <v>239</v>
      </c>
      <c r="R344" s="2" t="s">
        <v>233</v>
      </c>
      <c r="S344" s="2" t="s">
        <v>2166</v>
      </c>
      <c r="T344" s="2" t="s">
        <v>1481</v>
      </c>
      <c r="U344" s="2" t="s">
        <v>475</v>
      </c>
      <c r="V344" s="2" t="s">
        <v>241</v>
      </c>
      <c r="W344" s="2" t="s">
        <v>275</v>
      </c>
      <c r="X344" s="2" t="s">
        <v>705</v>
      </c>
      <c r="Y344" s="2" t="s">
        <v>233</v>
      </c>
      <c r="Z344" s="4"/>
      <c r="AA344" s="4">
        <f>=ROUNDDOWN({0},0)</f>
      </c>
      <c r="AB344" s="5"/>
      <c r="AC344" s="2" t="s">
        <v>233</v>
      </c>
      <c r="AD344" s="4"/>
      <c r="AE344" s="4"/>
      <c r="AF344" s="6">
        <v>63</v>
      </c>
      <c r="AG344" s="6">
        <v>46</v>
      </c>
      <c r="AH344" s="7">
        <v>0</v>
      </c>
      <c r="AI344" s="4"/>
      <c r="AJ344" s="4">
        <f>=ROUNDDOWN({0},0)</f>
      </c>
      <c r="AK344" s="5"/>
      <c r="AL344" s="2" t="s">
        <v>233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233</v>
      </c>
      <c r="AW344" s="8" t="s">
        <v>233</v>
      </c>
      <c r="AX344" s="4" t="s">
        <v>233</v>
      </c>
      <c r="AY344" s="8" t="s">
        <v>233</v>
      </c>
      <c r="AZ344" s="7" t="s">
        <v>233</v>
      </c>
      <c r="BA344" s="7" t="s">
        <v>233</v>
      </c>
      <c r="BB344" s="7" t="s">
        <v>233</v>
      </c>
      <c r="BC344" s="4" t="s">
        <v>233</v>
      </c>
      <c r="BD344" s="8" t="s">
        <v>233</v>
      </c>
      <c r="BE344" s="4" t="s">
        <v>233</v>
      </c>
      <c r="BF344" s="8" t="s">
        <v>233</v>
      </c>
      <c r="BG344" s="7" t="s">
        <v>233</v>
      </c>
      <c r="BH344" s="7" t="s">
        <v>233</v>
      </c>
      <c r="BI344" s="7"/>
      <c r="BJ344" s="4"/>
      <c r="BK344" s="8"/>
      <c r="BL344" s="2" t="s">
        <v>233</v>
      </c>
      <c r="BM344" s="7"/>
      <c r="BN344" s="7"/>
      <c r="BO344" s="4"/>
      <c r="BP344" s="8"/>
      <c r="BQ344" s="4"/>
      <c r="BR344" s="8"/>
      <c r="BS344" s="7"/>
      <c r="BT344" s="7"/>
      <c r="BU344" s="2" t="s">
        <v>243</v>
      </c>
      <c r="BV344" s="2" t="s">
        <v>233</v>
      </c>
      <c r="BW344" s="2" t="s">
        <v>233</v>
      </c>
      <c r="BX344" s="2" t="s">
        <v>243</v>
      </c>
      <c r="BY344" s="2" t="s">
        <v>244</v>
      </c>
      <c r="BZ344" s="2" t="s">
        <v>245</v>
      </c>
      <c r="CA344" s="2" t="s">
        <v>233</v>
      </c>
      <c r="CB344" s="2" t="s">
        <v>233</v>
      </c>
      <c r="CC344" s="2" t="s">
        <v>246</v>
      </c>
      <c r="CD344" s="2" t="s">
        <v>233</v>
      </c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</row>
    <row r="345">
      <c r="A345" s="2" t="s">
        <v>2170</v>
      </c>
      <c r="B345" s="2" t="s">
        <v>1242</v>
      </c>
      <c r="C345" s="2" t="s">
        <v>2145</v>
      </c>
      <c r="D345" s="2" t="s">
        <v>969</v>
      </c>
      <c r="E345" s="2" t="s">
        <v>970</v>
      </c>
      <c r="F345" s="2" t="s">
        <v>2146</v>
      </c>
      <c r="G345" s="2" t="s">
        <v>2147</v>
      </c>
      <c r="H345" s="2" t="s">
        <v>2148</v>
      </c>
      <c r="I345" s="2" t="s">
        <v>2149</v>
      </c>
      <c r="J345" s="2" t="s">
        <v>1142</v>
      </c>
      <c r="K345" s="2" t="s">
        <v>297</v>
      </c>
      <c r="L345" s="3">
        <v>33.33</v>
      </c>
      <c r="M345" s="3">
        <v>35</v>
      </c>
      <c r="N345" s="3">
        <v>69.99</v>
      </c>
      <c r="O345" s="2" t="s">
        <v>237</v>
      </c>
      <c r="P345" s="2" t="s">
        <v>238</v>
      </c>
      <c r="Q345" s="2" t="s">
        <v>239</v>
      </c>
      <c r="R345" s="2" t="s">
        <v>233</v>
      </c>
      <c r="S345" s="2" t="s">
        <v>2166</v>
      </c>
      <c r="T345" s="2" t="s">
        <v>1481</v>
      </c>
      <c r="U345" s="2" t="s">
        <v>475</v>
      </c>
      <c r="V345" s="2" t="s">
        <v>241</v>
      </c>
      <c r="W345" s="2" t="s">
        <v>275</v>
      </c>
      <c r="X345" s="2" t="s">
        <v>705</v>
      </c>
      <c r="Y345" s="2" t="s">
        <v>233</v>
      </c>
      <c r="Z345" s="4"/>
      <c r="AA345" s="4">
        <f>=ROUNDDOWN({0},0)</f>
      </c>
      <c r="AB345" s="5"/>
      <c r="AC345" s="2" t="s">
        <v>233</v>
      </c>
      <c r="AD345" s="4"/>
      <c r="AE345" s="4"/>
      <c r="AF345" s="6">
        <v>63</v>
      </c>
      <c r="AG345" s="6">
        <v>46</v>
      </c>
      <c r="AH345" s="7">
        <v>0</v>
      </c>
      <c r="AI345" s="4"/>
      <c r="AJ345" s="4">
        <f>=ROUNDDOWN({0},0)</f>
      </c>
      <c r="AK345" s="5"/>
      <c r="AL345" s="2" t="s">
        <v>233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233</v>
      </c>
      <c r="AW345" s="8" t="s">
        <v>233</v>
      </c>
      <c r="AX345" s="4" t="s">
        <v>233</v>
      </c>
      <c r="AY345" s="8" t="s">
        <v>233</v>
      </c>
      <c r="AZ345" s="7" t="s">
        <v>233</v>
      </c>
      <c r="BA345" s="7" t="s">
        <v>233</v>
      </c>
      <c r="BB345" s="7" t="s">
        <v>233</v>
      </c>
      <c r="BC345" s="4" t="s">
        <v>233</v>
      </c>
      <c r="BD345" s="8" t="s">
        <v>233</v>
      </c>
      <c r="BE345" s="4" t="s">
        <v>233</v>
      </c>
      <c r="BF345" s="8" t="s">
        <v>233</v>
      </c>
      <c r="BG345" s="7" t="s">
        <v>233</v>
      </c>
      <c r="BH345" s="7" t="s">
        <v>233</v>
      </c>
      <c r="BI345" s="7"/>
      <c r="BJ345" s="4"/>
      <c r="BK345" s="8"/>
      <c r="BL345" s="2" t="s">
        <v>233</v>
      </c>
      <c r="BM345" s="7"/>
      <c r="BN345" s="7"/>
      <c r="BO345" s="4"/>
      <c r="BP345" s="8"/>
      <c r="BQ345" s="4"/>
      <c r="BR345" s="8"/>
      <c r="BS345" s="7"/>
      <c r="BT345" s="7"/>
      <c r="BU345" s="2" t="s">
        <v>243</v>
      </c>
      <c r="BV345" s="2" t="s">
        <v>233</v>
      </c>
      <c r="BW345" s="2" t="s">
        <v>233</v>
      </c>
      <c r="BX345" s="2" t="s">
        <v>243</v>
      </c>
      <c r="BY345" s="2" t="s">
        <v>244</v>
      </c>
      <c r="BZ345" s="2" t="s">
        <v>245</v>
      </c>
      <c r="CA345" s="2" t="s">
        <v>233</v>
      </c>
      <c r="CB345" s="2" t="s">
        <v>233</v>
      </c>
      <c r="CC345" s="2" t="s">
        <v>246</v>
      </c>
      <c r="CD345" s="2" t="s">
        <v>233</v>
      </c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</row>
    <row r="346">
      <c r="A346" s="2" t="s">
        <v>2171</v>
      </c>
      <c r="B346" s="2" t="s">
        <v>1242</v>
      </c>
      <c r="C346" s="2" t="s">
        <v>2145</v>
      </c>
      <c r="D346" s="2" t="s">
        <v>912</v>
      </c>
      <c r="E346" s="2" t="s">
        <v>1139</v>
      </c>
      <c r="F346" s="2" t="s">
        <v>2146</v>
      </c>
      <c r="G346" s="2" t="s">
        <v>2147</v>
      </c>
      <c r="H346" s="2" t="s">
        <v>2148</v>
      </c>
      <c r="I346" s="2" t="s">
        <v>2152</v>
      </c>
      <c r="J346" s="2" t="s">
        <v>1142</v>
      </c>
      <c r="K346" s="2" t="s">
        <v>297</v>
      </c>
      <c r="L346" s="3">
        <v>27.38</v>
      </c>
      <c r="M346" s="3">
        <v>28.75</v>
      </c>
      <c r="N346" s="3">
        <v>57.49</v>
      </c>
      <c r="O346" s="2" t="s">
        <v>237</v>
      </c>
      <c r="P346" s="2" t="s">
        <v>238</v>
      </c>
      <c r="Q346" s="2" t="s">
        <v>239</v>
      </c>
      <c r="R346" s="2" t="s">
        <v>233</v>
      </c>
      <c r="S346" s="2" t="s">
        <v>2166</v>
      </c>
      <c r="T346" s="2" t="s">
        <v>1481</v>
      </c>
      <c r="U346" s="2" t="s">
        <v>475</v>
      </c>
      <c r="V346" s="2" t="s">
        <v>241</v>
      </c>
      <c r="W346" s="2" t="s">
        <v>275</v>
      </c>
      <c r="X346" s="2" t="s">
        <v>705</v>
      </c>
      <c r="Y346" s="2" t="s">
        <v>233</v>
      </c>
      <c r="Z346" s="4"/>
      <c r="AA346" s="4">
        <f>=ROUNDDOWN({0},0)</f>
      </c>
      <c r="AB346" s="5"/>
      <c r="AC346" s="2" t="s">
        <v>233</v>
      </c>
      <c r="AD346" s="4"/>
      <c r="AE346" s="4"/>
      <c r="AF346" s="6">
        <v>63</v>
      </c>
      <c r="AG346" s="6">
        <v>46</v>
      </c>
      <c r="AH346" s="7">
        <v>0</v>
      </c>
      <c r="AI346" s="4"/>
      <c r="AJ346" s="4">
        <f>=ROUNDDOWN({0},0)</f>
      </c>
      <c r="AK346" s="5"/>
      <c r="AL346" s="2" t="s">
        <v>233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233</v>
      </c>
      <c r="AW346" s="8" t="s">
        <v>233</v>
      </c>
      <c r="AX346" s="4" t="s">
        <v>233</v>
      </c>
      <c r="AY346" s="8" t="s">
        <v>233</v>
      </c>
      <c r="AZ346" s="7" t="s">
        <v>233</v>
      </c>
      <c r="BA346" s="7" t="s">
        <v>233</v>
      </c>
      <c r="BB346" s="7" t="s">
        <v>233</v>
      </c>
      <c r="BC346" s="4" t="s">
        <v>233</v>
      </c>
      <c r="BD346" s="8" t="s">
        <v>233</v>
      </c>
      <c r="BE346" s="4" t="s">
        <v>233</v>
      </c>
      <c r="BF346" s="8" t="s">
        <v>233</v>
      </c>
      <c r="BG346" s="7" t="s">
        <v>233</v>
      </c>
      <c r="BH346" s="7" t="s">
        <v>233</v>
      </c>
      <c r="BI346" s="7"/>
      <c r="BJ346" s="4"/>
      <c r="BK346" s="8"/>
      <c r="BL346" s="2" t="s">
        <v>233</v>
      </c>
      <c r="BM346" s="7"/>
      <c r="BN346" s="7"/>
      <c r="BO346" s="4"/>
      <c r="BP346" s="8"/>
      <c r="BQ346" s="4"/>
      <c r="BR346" s="8"/>
      <c r="BS346" s="7"/>
      <c r="BT346" s="7"/>
      <c r="BU346" s="2" t="s">
        <v>243</v>
      </c>
      <c r="BV346" s="2" t="s">
        <v>233</v>
      </c>
      <c r="BW346" s="2" t="s">
        <v>233</v>
      </c>
      <c r="BX346" s="2" t="s">
        <v>243</v>
      </c>
      <c r="BY346" s="2" t="s">
        <v>244</v>
      </c>
      <c r="BZ346" s="2" t="s">
        <v>245</v>
      </c>
      <c r="CA346" s="2" t="s">
        <v>233</v>
      </c>
      <c r="CB346" s="2" t="s">
        <v>233</v>
      </c>
      <c r="CC346" s="2" t="s">
        <v>246</v>
      </c>
      <c r="CD346" s="2" t="s">
        <v>233</v>
      </c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</row>
    <row r="347">
      <c r="A347" s="2" t="s">
        <v>2172</v>
      </c>
      <c r="B347" s="2" t="s">
        <v>1066</v>
      </c>
      <c r="C347" s="2" t="s">
        <v>530</v>
      </c>
      <c r="D347" s="2" t="s">
        <v>1067</v>
      </c>
      <c r="E347" s="2" t="s">
        <v>1068</v>
      </c>
      <c r="F347" s="2" t="s">
        <v>2173</v>
      </c>
      <c r="G347" s="2" t="s">
        <v>2174</v>
      </c>
      <c r="H347" s="2" t="s">
        <v>2175</v>
      </c>
      <c r="I347" s="2" t="s">
        <v>1072</v>
      </c>
      <c r="J347" s="2" t="s">
        <v>892</v>
      </c>
      <c r="K347" s="2" t="s">
        <v>271</v>
      </c>
      <c r="L347" s="3">
        <v>204.25</v>
      </c>
      <c r="M347" s="3">
        <v>214.46</v>
      </c>
      <c r="N347" s="3">
        <v>429</v>
      </c>
      <c r="O347" s="2" t="s">
        <v>245</v>
      </c>
      <c r="P347" s="2" t="s">
        <v>272</v>
      </c>
      <c r="Q347" s="2" t="s">
        <v>239</v>
      </c>
      <c r="R347" s="2" t="s">
        <v>233</v>
      </c>
      <c r="S347" s="2" t="s">
        <v>2176</v>
      </c>
      <c r="T347" s="2" t="s">
        <v>233</v>
      </c>
      <c r="U347" s="2" t="s">
        <v>233</v>
      </c>
      <c r="V347" s="2" t="s">
        <v>241</v>
      </c>
      <c r="W347" s="2" t="s">
        <v>397</v>
      </c>
      <c r="X347" s="2" t="s">
        <v>233</v>
      </c>
      <c r="Y347" s="2" t="s">
        <v>276</v>
      </c>
      <c r="Z347" s="4">
        <v>57</v>
      </c>
      <c r="AA347" s="4">
        <f>=ROUNDDOWN(17.2727272727273,0)</f>
      </c>
      <c r="AB347" s="5">
        <v>3.3</v>
      </c>
      <c r="AC347" s="2" t="s">
        <v>547</v>
      </c>
      <c r="AD347" s="4">
        <v>96</v>
      </c>
      <c r="AE347" s="4">
        <v>96</v>
      </c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233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233</v>
      </c>
      <c r="BD347" s="8" t="s">
        <v>233</v>
      </c>
      <c r="BE347" s="4" t="s">
        <v>233</v>
      </c>
      <c r="BF347" s="8" t="s">
        <v>233</v>
      </c>
      <c r="BG347" s="7" t="s">
        <v>233</v>
      </c>
      <c r="BH347" s="7" t="s">
        <v>233</v>
      </c>
      <c r="BI347" s="7"/>
      <c r="BJ347" s="4">
        <v>12</v>
      </c>
      <c r="BK347" s="8">
        <v>2326.08</v>
      </c>
      <c r="BL347" s="2" t="s">
        <v>2177</v>
      </c>
      <c r="BM347" s="7"/>
      <c r="BN347" s="7"/>
      <c r="BO347" s="4"/>
      <c r="BP347" s="8"/>
      <c r="BQ347" s="4"/>
      <c r="BR347" s="8"/>
      <c r="BS347" s="7"/>
      <c r="BT347" s="7"/>
      <c r="BU347" s="2" t="s">
        <v>2178</v>
      </c>
      <c r="BV347" s="2" t="s">
        <v>233</v>
      </c>
      <c r="BW347" s="2" t="s">
        <v>233</v>
      </c>
      <c r="BX347" s="2" t="s">
        <v>233</v>
      </c>
      <c r="BY347" s="2" t="s">
        <v>280</v>
      </c>
      <c r="BZ347" s="2" t="s">
        <v>245</v>
      </c>
      <c r="CA347" s="2" t="s">
        <v>281</v>
      </c>
      <c r="CB347" s="2" t="s">
        <v>2179</v>
      </c>
      <c r="CC347" s="2" t="s">
        <v>246</v>
      </c>
      <c r="CD347" s="2" t="s">
        <v>233</v>
      </c>
      <c r="CE347" s="4"/>
      <c r="CF347" s="4">
        <v>57</v>
      </c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>
        <v>96</v>
      </c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</row>
    <row r="348">
      <c r="A348" s="2" t="s">
        <v>2180</v>
      </c>
      <c r="B348" s="2" t="s">
        <v>1066</v>
      </c>
      <c r="C348" s="2" t="s">
        <v>530</v>
      </c>
      <c r="D348" s="2" t="s">
        <v>1067</v>
      </c>
      <c r="E348" s="2" t="s">
        <v>1068</v>
      </c>
      <c r="F348" s="2" t="s">
        <v>2173</v>
      </c>
      <c r="G348" s="2" t="s">
        <v>2174</v>
      </c>
      <c r="H348" s="2" t="s">
        <v>2175</v>
      </c>
      <c r="I348" s="2" t="s">
        <v>1072</v>
      </c>
      <c r="J348" s="2" t="s">
        <v>892</v>
      </c>
      <c r="K348" s="2" t="s">
        <v>2181</v>
      </c>
      <c r="L348" s="3">
        <v>204.25</v>
      </c>
      <c r="M348" s="3">
        <v>214.46</v>
      </c>
      <c r="N348" s="3">
        <v>429</v>
      </c>
      <c r="O348" s="2" t="s">
        <v>245</v>
      </c>
      <c r="P348" s="2" t="s">
        <v>272</v>
      </c>
      <c r="Q348" s="2" t="s">
        <v>239</v>
      </c>
      <c r="R348" s="2" t="s">
        <v>233</v>
      </c>
      <c r="S348" s="2" t="s">
        <v>2182</v>
      </c>
      <c r="T348" s="2" t="s">
        <v>233</v>
      </c>
      <c r="U348" s="2" t="s">
        <v>233</v>
      </c>
      <c r="V348" s="2" t="s">
        <v>241</v>
      </c>
      <c r="W348" s="2" t="s">
        <v>397</v>
      </c>
      <c r="X348" s="2" t="s">
        <v>233</v>
      </c>
      <c r="Y348" s="2" t="s">
        <v>276</v>
      </c>
      <c r="Z348" s="4">
        <v>94</v>
      </c>
      <c r="AA348" s="4">
        <f>=ROUNDDOWN(23.5,0)</f>
      </c>
      <c r="AB348" s="5">
        <v>4</v>
      </c>
      <c r="AC348" s="2" t="s">
        <v>2183</v>
      </c>
      <c r="AD348" s="4">
        <v>100</v>
      </c>
      <c r="AE348" s="4">
        <v>100</v>
      </c>
      <c r="AF348" s="6">
        <v>66</v>
      </c>
      <c r="AG348" s="6"/>
      <c r="AH348" s="7">
        <v>0.871</v>
      </c>
      <c r="AI348" s="4"/>
      <c r="AJ348" s="4">
        <f>=ROUNDDOWN({0},0)</f>
      </c>
      <c r="AK348" s="5"/>
      <c r="AL348" s="2" t="s">
        <v>233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233</v>
      </c>
      <c r="BD348" s="8" t="s">
        <v>233</v>
      </c>
      <c r="BE348" s="4" t="s">
        <v>233</v>
      </c>
      <c r="BF348" s="8" t="s">
        <v>233</v>
      </c>
      <c r="BG348" s="7" t="s">
        <v>233</v>
      </c>
      <c r="BH348" s="7" t="s">
        <v>233</v>
      </c>
      <c r="BI348" s="7"/>
      <c r="BJ348" s="4">
        <v>6</v>
      </c>
      <c r="BK348" s="8">
        <v>1215.8</v>
      </c>
      <c r="BL348" s="2" t="s">
        <v>2184</v>
      </c>
      <c r="BM348" s="7"/>
      <c r="BN348" s="7"/>
      <c r="BO348" s="4"/>
      <c r="BP348" s="8"/>
      <c r="BQ348" s="4"/>
      <c r="BR348" s="8"/>
      <c r="BS348" s="7"/>
      <c r="BT348" s="7"/>
      <c r="BU348" s="2" t="s">
        <v>2185</v>
      </c>
      <c r="BV348" s="2" t="s">
        <v>233</v>
      </c>
      <c r="BW348" s="2" t="s">
        <v>233</v>
      </c>
      <c r="BX348" s="2" t="s">
        <v>243</v>
      </c>
      <c r="BY348" s="2" t="s">
        <v>280</v>
      </c>
      <c r="BZ348" s="2" t="s">
        <v>245</v>
      </c>
      <c r="CA348" s="2" t="s">
        <v>281</v>
      </c>
      <c r="CB348" s="2" t="s">
        <v>2186</v>
      </c>
      <c r="CC348" s="2" t="s">
        <v>246</v>
      </c>
      <c r="CD348" s="2" t="s">
        <v>233</v>
      </c>
      <c r="CE348" s="4"/>
      <c r="CF348" s="4">
        <v>94</v>
      </c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>
        <v>100</v>
      </c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</row>
    <row r="349">
      <c r="A349" s="2" t="s">
        <v>2187</v>
      </c>
      <c r="B349" s="2" t="s">
        <v>1066</v>
      </c>
      <c r="C349" s="2" t="s">
        <v>530</v>
      </c>
      <c r="D349" s="2" t="s">
        <v>1067</v>
      </c>
      <c r="E349" s="2" t="s">
        <v>1068</v>
      </c>
      <c r="F349" s="2" t="s">
        <v>2173</v>
      </c>
      <c r="G349" s="2" t="s">
        <v>2174</v>
      </c>
      <c r="H349" s="2" t="s">
        <v>2175</v>
      </c>
      <c r="I349" s="2" t="s">
        <v>1072</v>
      </c>
      <c r="J349" s="2" t="s">
        <v>892</v>
      </c>
      <c r="K349" s="2" t="s">
        <v>2188</v>
      </c>
      <c r="L349" s="3">
        <v>204.25</v>
      </c>
      <c r="M349" s="3">
        <v>214.46</v>
      </c>
      <c r="N349" s="3">
        <v>429</v>
      </c>
      <c r="O349" s="2" t="s">
        <v>245</v>
      </c>
      <c r="P349" s="2" t="s">
        <v>272</v>
      </c>
      <c r="Q349" s="2" t="s">
        <v>239</v>
      </c>
      <c r="R349" s="2" t="s">
        <v>233</v>
      </c>
      <c r="S349" s="2" t="s">
        <v>2189</v>
      </c>
      <c r="T349" s="2" t="s">
        <v>233</v>
      </c>
      <c r="U349" s="2" t="s">
        <v>233</v>
      </c>
      <c r="V349" s="2" t="s">
        <v>241</v>
      </c>
      <c r="W349" s="2" t="s">
        <v>397</v>
      </c>
      <c r="X349" s="2" t="s">
        <v>233</v>
      </c>
      <c r="Y349" s="2" t="s">
        <v>276</v>
      </c>
      <c r="Z349" s="4">
        <v>109</v>
      </c>
      <c r="AA349" s="4">
        <f>=ROUNDDOWN(24.7727272727273,0)</f>
      </c>
      <c r="AB349" s="5">
        <v>4.4</v>
      </c>
      <c r="AC349" s="2" t="s">
        <v>319</v>
      </c>
      <c r="AD349" s="4">
        <v>50</v>
      </c>
      <c r="AE349" s="4">
        <v>119</v>
      </c>
      <c r="AF349" s="6">
        <v>66</v>
      </c>
      <c r="AG349" s="6"/>
      <c r="AH349" s="7">
        <v>1</v>
      </c>
      <c r="AI349" s="4"/>
      <c r="AJ349" s="4">
        <f>=ROUNDDOWN({0},0)</f>
      </c>
      <c r="AK349" s="5"/>
      <c r="AL349" s="2" t="s">
        <v>233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233</v>
      </c>
      <c r="BD349" s="8" t="s">
        <v>233</v>
      </c>
      <c r="BE349" s="4" t="s">
        <v>233</v>
      </c>
      <c r="BF349" s="8" t="s">
        <v>233</v>
      </c>
      <c r="BG349" s="7" t="s">
        <v>233</v>
      </c>
      <c r="BH349" s="7" t="s">
        <v>233</v>
      </c>
      <c r="BI349" s="7"/>
      <c r="BJ349" s="4">
        <v>15</v>
      </c>
      <c r="BK349" s="8">
        <v>2912.77</v>
      </c>
      <c r="BL349" s="2" t="s">
        <v>2190</v>
      </c>
      <c r="BM349" s="7"/>
      <c r="BN349" s="7"/>
      <c r="BO349" s="4"/>
      <c r="BP349" s="8"/>
      <c r="BQ349" s="4"/>
      <c r="BR349" s="8"/>
      <c r="BS349" s="7"/>
      <c r="BT349" s="7"/>
      <c r="BU349" s="2" t="s">
        <v>2191</v>
      </c>
      <c r="BV349" s="2" t="s">
        <v>233</v>
      </c>
      <c r="BW349" s="2" t="s">
        <v>233</v>
      </c>
      <c r="BX349" s="2" t="s">
        <v>233</v>
      </c>
      <c r="BY349" s="2" t="s">
        <v>280</v>
      </c>
      <c r="BZ349" s="2" t="s">
        <v>245</v>
      </c>
      <c r="CA349" s="2" t="s">
        <v>1730</v>
      </c>
      <c r="CB349" s="2" t="s">
        <v>2192</v>
      </c>
      <c r="CC349" s="2" t="s">
        <v>246</v>
      </c>
      <c r="CD349" s="2" t="s">
        <v>233</v>
      </c>
      <c r="CE349" s="4"/>
      <c r="CF349" s="4">
        <v>109</v>
      </c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>
        <v>50</v>
      </c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>
        <v>69</v>
      </c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</row>
    <row r="350">
      <c r="A350" s="2" t="s">
        <v>2193</v>
      </c>
      <c r="B350" s="2" t="s">
        <v>1066</v>
      </c>
      <c r="C350" s="2" t="s">
        <v>530</v>
      </c>
      <c r="D350" s="2" t="s">
        <v>1067</v>
      </c>
      <c r="E350" s="2" t="s">
        <v>1068</v>
      </c>
      <c r="F350" s="2" t="s">
        <v>2173</v>
      </c>
      <c r="G350" s="2" t="s">
        <v>2174</v>
      </c>
      <c r="H350" s="2" t="s">
        <v>2175</v>
      </c>
      <c r="I350" s="2" t="s">
        <v>1072</v>
      </c>
      <c r="J350" s="2" t="s">
        <v>892</v>
      </c>
      <c r="K350" s="2" t="s">
        <v>257</v>
      </c>
      <c r="L350" s="3">
        <v>204.25</v>
      </c>
      <c r="M350" s="3">
        <v>214.46</v>
      </c>
      <c r="N350" s="3">
        <v>429</v>
      </c>
      <c r="O350" s="2" t="s">
        <v>245</v>
      </c>
      <c r="P350" s="2" t="s">
        <v>311</v>
      </c>
      <c r="Q350" s="2" t="s">
        <v>239</v>
      </c>
      <c r="R350" s="2" t="s">
        <v>233</v>
      </c>
      <c r="S350" s="2" t="s">
        <v>2194</v>
      </c>
      <c r="T350" s="2" t="s">
        <v>233</v>
      </c>
      <c r="U350" s="2" t="s">
        <v>233</v>
      </c>
      <c r="V350" s="2" t="s">
        <v>1658</v>
      </c>
      <c r="W350" s="2" t="s">
        <v>397</v>
      </c>
      <c r="X350" s="2" t="s">
        <v>233</v>
      </c>
      <c r="Y350" s="2" t="s">
        <v>276</v>
      </c>
      <c r="Z350" s="4">
        <v>47</v>
      </c>
      <c r="AA350" s="4">
        <f>=ROUNDDOWN(24.7368421052632,0)</f>
      </c>
      <c r="AB350" s="5">
        <v>1.9</v>
      </c>
      <c r="AC350" s="2" t="s">
        <v>233</v>
      </c>
      <c r="AD350" s="4"/>
      <c r="AE350" s="4"/>
      <c r="AF350" s="6">
        <v>67</v>
      </c>
      <c r="AG350" s="6">
        <v>50</v>
      </c>
      <c r="AH350" s="7">
        <v>1</v>
      </c>
      <c r="AI350" s="4"/>
      <c r="AJ350" s="4">
        <f>=ROUNDDOWN({0},0)</f>
      </c>
      <c r="AK350" s="5"/>
      <c r="AL350" s="2" t="s">
        <v>233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233</v>
      </c>
      <c r="BD350" s="8" t="s">
        <v>233</v>
      </c>
      <c r="BE350" s="4" t="s">
        <v>233</v>
      </c>
      <c r="BF350" s="8" t="s">
        <v>233</v>
      </c>
      <c r="BG350" s="7" t="s">
        <v>233</v>
      </c>
      <c r="BH350" s="7" t="s">
        <v>233</v>
      </c>
      <c r="BI350" s="7"/>
      <c r="BJ350" s="4">
        <v>5</v>
      </c>
      <c r="BK350" s="8">
        <v>962.05</v>
      </c>
      <c r="BL350" s="2" t="s">
        <v>2177</v>
      </c>
      <c r="BM350" s="7"/>
      <c r="BN350" s="7"/>
      <c r="BO350" s="4"/>
      <c r="BP350" s="8"/>
      <c r="BQ350" s="4"/>
      <c r="BR350" s="8"/>
      <c r="BS350" s="7"/>
      <c r="BT350" s="7"/>
      <c r="BU350" s="2" t="s">
        <v>2195</v>
      </c>
      <c r="BV350" s="2" t="s">
        <v>233</v>
      </c>
      <c r="BW350" s="2" t="s">
        <v>233</v>
      </c>
      <c r="BX350" s="2" t="s">
        <v>233</v>
      </c>
      <c r="BY350" s="2" t="s">
        <v>280</v>
      </c>
      <c r="BZ350" s="2" t="s">
        <v>245</v>
      </c>
      <c r="CA350" s="2" t="s">
        <v>281</v>
      </c>
      <c r="CB350" s="2" t="s">
        <v>1540</v>
      </c>
      <c r="CC350" s="2" t="s">
        <v>246</v>
      </c>
      <c r="CD350" s="2" t="s">
        <v>233</v>
      </c>
      <c r="CE350" s="4"/>
      <c r="CF350" s="4">
        <v>21</v>
      </c>
      <c r="CG350" s="4"/>
      <c r="CH350" s="4"/>
      <c r="CI350" s="4">
        <v>26</v>
      </c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</row>
    <row r="351">
      <c r="A351" s="2" t="s">
        <v>2196</v>
      </c>
      <c r="B351" s="2" t="s">
        <v>1066</v>
      </c>
      <c r="C351" s="2" t="s">
        <v>530</v>
      </c>
      <c r="D351" s="2" t="s">
        <v>1067</v>
      </c>
      <c r="E351" s="2" t="s">
        <v>1068</v>
      </c>
      <c r="F351" s="2" t="s">
        <v>2173</v>
      </c>
      <c r="G351" s="2" t="s">
        <v>2174</v>
      </c>
      <c r="H351" s="2" t="s">
        <v>2175</v>
      </c>
      <c r="I351" s="2" t="s">
        <v>1072</v>
      </c>
      <c r="J351" s="2" t="s">
        <v>892</v>
      </c>
      <c r="K351" s="2" t="s">
        <v>2197</v>
      </c>
      <c r="L351" s="3">
        <v>204.25</v>
      </c>
      <c r="M351" s="3">
        <v>214.46</v>
      </c>
      <c r="N351" s="3">
        <v>429</v>
      </c>
      <c r="O351" s="2" t="s">
        <v>245</v>
      </c>
      <c r="P351" s="2" t="s">
        <v>272</v>
      </c>
      <c r="Q351" s="2" t="s">
        <v>239</v>
      </c>
      <c r="R351" s="2" t="s">
        <v>233</v>
      </c>
      <c r="S351" s="2" t="s">
        <v>2198</v>
      </c>
      <c r="T351" s="2" t="s">
        <v>233</v>
      </c>
      <c r="U351" s="2" t="s">
        <v>233</v>
      </c>
      <c r="V351" s="2" t="s">
        <v>241</v>
      </c>
      <c r="W351" s="2" t="s">
        <v>397</v>
      </c>
      <c r="X351" s="2" t="s">
        <v>233</v>
      </c>
      <c r="Y351" s="2" t="s">
        <v>276</v>
      </c>
      <c r="Z351" s="4">
        <v>38</v>
      </c>
      <c r="AA351" s="4">
        <f>=ROUNDDOWN(12.6666666666667,0)</f>
      </c>
      <c r="AB351" s="5">
        <v>3</v>
      </c>
      <c r="AC351" s="2" t="s">
        <v>1947</v>
      </c>
      <c r="AD351" s="4">
        <v>100</v>
      </c>
      <c r="AE351" s="4">
        <v>100</v>
      </c>
      <c r="AF351" s="6">
        <v>66</v>
      </c>
      <c r="AG351" s="6">
        <v>49</v>
      </c>
      <c r="AH351" s="7">
        <v>1</v>
      </c>
      <c r="AI351" s="4"/>
      <c r="AJ351" s="4">
        <f>=ROUNDDOWN({0},0)</f>
      </c>
      <c r="AK351" s="5"/>
      <c r="AL351" s="2" t="s">
        <v>233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233</v>
      </c>
      <c r="BD351" s="8" t="s">
        <v>233</v>
      </c>
      <c r="BE351" s="4" t="s">
        <v>233</v>
      </c>
      <c r="BF351" s="8" t="s">
        <v>233</v>
      </c>
      <c r="BG351" s="7" t="s">
        <v>233</v>
      </c>
      <c r="BH351" s="7" t="s">
        <v>233</v>
      </c>
      <c r="BI351" s="7"/>
      <c r="BJ351" s="4">
        <v>7</v>
      </c>
      <c r="BK351" s="8">
        <v>1457.65</v>
      </c>
      <c r="BL351" s="2" t="s">
        <v>2199</v>
      </c>
      <c r="BM351" s="7"/>
      <c r="BN351" s="7"/>
      <c r="BO351" s="4"/>
      <c r="BP351" s="8"/>
      <c r="BQ351" s="4"/>
      <c r="BR351" s="8"/>
      <c r="BS351" s="7"/>
      <c r="BT351" s="7"/>
      <c r="BU351" s="2" t="s">
        <v>2200</v>
      </c>
      <c r="BV351" s="2" t="s">
        <v>233</v>
      </c>
      <c r="BW351" s="2" t="s">
        <v>233</v>
      </c>
      <c r="BX351" s="2" t="s">
        <v>233</v>
      </c>
      <c r="BY351" s="2" t="s">
        <v>280</v>
      </c>
      <c r="BZ351" s="2" t="s">
        <v>245</v>
      </c>
      <c r="CA351" s="2" t="s">
        <v>281</v>
      </c>
      <c r="CB351" s="2" t="s">
        <v>2201</v>
      </c>
      <c r="CC351" s="2" t="s">
        <v>246</v>
      </c>
      <c r="CD351" s="2" t="s">
        <v>233</v>
      </c>
      <c r="CE351" s="4"/>
      <c r="CF351" s="4">
        <v>27</v>
      </c>
      <c r="CG351" s="4"/>
      <c r="CH351" s="4"/>
      <c r="CI351" s="4">
        <v>11</v>
      </c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>
        <v>100</v>
      </c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</row>
    <row r="352">
      <c r="A352" s="2" t="s">
        <v>2202</v>
      </c>
      <c r="B352" s="2" t="s">
        <v>886</v>
      </c>
      <c r="C352" s="2" t="s">
        <v>1157</v>
      </c>
      <c r="D352" s="2" t="s">
        <v>1167</v>
      </c>
      <c r="E352" s="2" t="s">
        <v>1168</v>
      </c>
      <c r="F352" s="2" t="s">
        <v>2203</v>
      </c>
      <c r="G352" s="2" t="s">
        <v>2203</v>
      </c>
      <c r="H352" s="2" t="s">
        <v>2203</v>
      </c>
      <c r="I352" s="2" t="s">
        <v>2204</v>
      </c>
      <c r="J352" s="2" t="s">
        <v>892</v>
      </c>
      <c r="K352" s="2" t="s">
        <v>255</v>
      </c>
      <c r="L352" s="3">
        <v>27.48</v>
      </c>
      <c r="M352" s="3">
        <v>28.85</v>
      </c>
      <c r="N352" s="3">
        <v>59.99</v>
      </c>
      <c r="O352" s="2" t="s">
        <v>245</v>
      </c>
      <c r="P352" s="2" t="s">
        <v>272</v>
      </c>
      <c r="Q352" s="2" t="s">
        <v>239</v>
      </c>
      <c r="R352" s="2" t="s">
        <v>233</v>
      </c>
      <c r="S352" s="2" t="s">
        <v>233</v>
      </c>
      <c r="T352" s="2" t="s">
        <v>233</v>
      </c>
      <c r="U352" s="2" t="s">
        <v>396</v>
      </c>
      <c r="V352" s="2" t="s">
        <v>893</v>
      </c>
      <c r="W352" s="2" t="s">
        <v>397</v>
      </c>
      <c r="X352" s="2" t="s">
        <v>233</v>
      </c>
      <c r="Y352" s="2" t="s">
        <v>2205</v>
      </c>
      <c r="Z352" s="4">
        <v>143</v>
      </c>
      <c r="AA352" s="4">
        <f>=ROUNDDOWN(47.6666666666667,0)</f>
      </c>
      <c r="AB352" s="5">
        <v>3</v>
      </c>
      <c r="AC352" s="2" t="s">
        <v>233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233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>
        <v>9</v>
      </c>
      <c r="BK352" s="8">
        <v>306.67</v>
      </c>
      <c r="BL352" s="2" t="s">
        <v>2206</v>
      </c>
      <c r="BM352" s="7"/>
      <c r="BN352" s="7"/>
      <c r="BO352" s="4"/>
      <c r="BP352" s="8"/>
      <c r="BQ352" s="4"/>
      <c r="BR352" s="8"/>
      <c r="BS352" s="7"/>
      <c r="BT352" s="7"/>
      <c r="BU352" s="2" t="s">
        <v>2207</v>
      </c>
      <c r="BV352" s="2" t="s">
        <v>233</v>
      </c>
      <c r="BW352" s="2" t="s">
        <v>233</v>
      </c>
      <c r="BX352" s="2" t="s">
        <v>233</v>
      </c>
      <c r="BY352" s="2" t="s">
        <v>280</v>
      </c>
      <c r="BZ352" s="2" t="s">
        <v>245</v>
      </c>
      <c r="CA352" s="2" t="s">
        <v>2208</v>
      </c>
      <c r="CB352" s="2" t="s">
        <v>2209</v>
      </c>
      <c r="CC352" s="2" t="s">
        <v>246</v>
      </c>
      <c r="CD352" s="2" t="s">
        <v>233</v>
      </c>
      <c r="CE352" s="4"/>
      <c r="CF352" s="4">
        <v>143</v>
      </c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</row>
    <row r="353">
      <c r="A353" s="2" t="s">
        <v>2210</v>
      </c>
      <c r="B353" s="2" t="s">
        <v>1242</v>
      </c>
      <c r="C353" s="2" t="s">
        <v>901</v>
      </c>
      <c r="D353" s="2" t="s">
        <v>1194</v>
      </c>
      <c r="E353" s="2" t="s">
        <v>1195</v>
      </c>
      <c r="F353" s="2" t="s">
        <v>2211</v>
      </c>
      <c r="G353" s="2" t="s">
        <v>2211</v>
      </c>
      <c r="H353" s="2" t="s">
        <v>2211</v>
      </c>
      <c r="I353" s="2" t="s">
        <v>2212</v>
      </c>
      <c r="J353" s="2" t="s">
        <v>2213</v>
      </c>
      <c r="K353" s="2" t="s">
        <v>255</v>
      </c>
      <c r="L353" s="3">
        <v>14.4</v>
      </c>
      <c r="M353" s="3">
        <v>15.12</v>
      </c>
      <c r="N353" s="3">
        <v>31.99</v>
      </c>
      <c r="O353" s="2" t="s">
        <v>252</v>
      </c>
      <c r="P353" s="2" t="s">
        <v>311</v>
      </c>
      <c r="Q353" s="2" t="s">
        <v>239</v>
      </c>
      <c r="R353" s="2" t="s">
        <v>233</v>
      </c>
      <c r="S353" s="2" t="s">
        <v>2214</v>
      </c>
      <c r="T353" s="2" t="s">
        <v>341</v>
      </c>
      <c r="U353" s="2" t="s">
        <v>396</v>
      </c>
      <c r="V353" s="2" t="s">
        <v>1085</v>
      </c>
      <c r="W353" s="2" t="s">
        <v>1763</v>
      </c>
      <c r="X353" s="2" t="s">
        <v>2215</v>
      </c>
      <c r="Y353" s="2" t="s">
        <v>2216</v>
      </c>
      <c r="Z353" s="4">
        <v>118</v>
      </c>
      <c r="AA353" s="4">
        <f>=ROUNDDOWN(11.3461538461538,0)</f>
      </c>
      <c r="AB353" s="5">
        <v>10.4</v>
      </c>
      <c r="AC353" s="2" t="s">
        <v>233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233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>
        <v>38</v>
      </c>
      <c r="BK353" s="8">
        <v>475.32</v>
      </c>
      <c r="BL353" s="2" t="s">
        <v>2217</v>
      </c>
      <c r="BM353" s="7"/>
      <c r="BN353" s="7"/>
      <c r="BO353" s="4"/>
      <c r="BP353" s="8"/>
      <c r="BQ353" s="4"/>
      <c r="BR353" s="8"/>
      <c r="BS353" s="7"/>
      <c r="BT353" s="7"/>
      <c r="BU353" s="2" t="s">
        <v>2218</v>
      </c>
      <c r="BV353" s="2" t="s">
        <v>233</v>
      </c>
      <c r="BW353" s="2" t="s">
        <v>233</v>
      </c>
      <c r="BX353" s="2" t="s">
        <v>233</v>
      </c>
      <c r="BY353" s="2" t="s">
        <v>280</v>
      </c>
      <c r="BZ353" s="2" t="s">
        <v>245</v>
      </c>
      <c r="CA353" s="2" t="s">
        <v>2219</v>
      </c>
      <c r="CB353" s="2" t="s">
        <v>2220</v>
      </c>
      <c r="CC353" s="2" t="s">
        <v>246</v>
      </c>
      <c r="CD353" s="2" t="s">
        <v>233</v>
      </c>
      <c r="CE353" s="4">
        <v>118</v>
      </c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</row>
    <row r="354">
      <c r="A354" s="2" t="s">
        <v>2221</v>
      </c>
      <c r="B354" s="2" t="s">
        <v>928</v>
      </c>
      <c r="C354" s="2" t="s">
        <v>530</v>
      </c>
      <c r="D354" s="2" t="s">
        <v>961</v>
      </c>
      <c r="E354" s="2" t="s">
        <v>2028</v>
      </c>
      <c r="F354" s="2" t="s">
        <v>2222</v>
      </c>
      <c r="G354" s="2" t="s">
        <v>2222</v>
      </c>
      <c r="H354" s="2" t="s">
        <v>2222</v>
      </c>
      <c r="I354" s="2" t="s">
        <v>2223</v>
      </c>
      <c r="J354" s="2" t="s">
        <v>892</v>
      </c>
      <c r="K354" s="2" t="s">
        <v>2224</v>
      </c>
      <c r="L354" s="3">
        <v>6.66</v>
      </c>
      <c r="M354" s="3">
        <v>6.99</v>
      </c>
      <c r="N354" s="3">
        <v>19.99</v>
      </c>
      <c r="O354" s="2" t="s">
        <v>245</v>
      </c>
      <c r="P354" s="2" t="s">
        <v>272</v>
      </c>
      <c r="Q354" s="2" t="s">
        <v>239</v>
      </c>
      <c r="R354" s="2" t="s">
        <v>233</v>
      </c>
      <c r="S354" s="2" t="s">
        <v>233</v>
      </c>
      <c r="T354" s="2" t="s">
        <v>233</v>
      </c>
      <c r="U354" s="2" t="s">
        <v>396</v>
      </c>
      <c r="V354" s="2" t="s">
        <v>2225</v>
      </c>
      <c r="W354" s="2" t="s">
        <v>2215</v>
      </c>
      <c r="X354" s="2" t="s">
        <v>1056</v>
      </c>
      <c r="Y354" s="2" t="s">
        <v>1718</v>
      </c>
      <c r="Z354" s="4">
        <v>170</v>
      </c>
      <c r="AA354" s="4">
        <f>=ROUNDDOWN(85,0)</f>
      </c>
      <c r="AB354" s="5">
        <v>2</v>
      </c>
      <c r="AC354" s="2" t="s">
        <v>233</v>
      </c>
      <c r="AD354" s="4"/>
      <c r="AE354" s="4"/>
      <c r="AF354" s="6">
        <v>63</v>
      </c>
      <c r="AG354" s="6"/>
      <c r="AH354" s="7">
        <v>1</v>
      </c>
      <c r="AI354" s="4"/>
      <c r="AJ354" s="4">
        <f>=ROUNDDOWN({0},0)</f>
      </c>
      <c r="AK354" s="5"/>
      <c r="AL354" s="2" t="s">
        <v>233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233</v>
      </c>
      <c r="BD354" s="8" t="s">
        <v>233</v>
      </c>
      <c r="BE354" s="4" t="s">
        <v>233</v>
      </c>
      <c r="BF354" s="8" t="s">
        <v>233</v>
      </c>
      <c r="BG354" s="7" t="s">
        <v>233</v>
      </c>
      <c r="BH354" s="7" t="s">
        <v>233</v>
      </c>
      <c r="BI354" s="7"/>
      <c r="BJ354" s="4">
        <v>1</v>
      </c>
      <c r="BK354" s="8">
        <v>10.37</v>
      </c>
      <c r="BL354" s="2" t="s">
        <v>744</v>
      </c>
      <c r="BM354" s="7"/>
      <c r="BN354" s="7"/>
      <c r="BO354" s="4"/>
      <c r="BP354" s="8"/>
      <c r="BQ354" s="4"/>
      <c r="BR354" s="8"/>
      <c r="BS354" s="7"/>
      <c r="BT354" s="7"/>
      <c r="BU354" s="2" t="s">
        <v>2226</v>
      </c>
      <c r="BV354" s="2" t="s">
        <v>233</v>
      </c>
      <c r="BW354" s="2" t="s">
        <v>233</v>
      </c>
      <c r="BX354" s="2" t="s">
        <v>243</v>
      </c>
      <c r="BY354" s="2" t="s">
        <v>280</v>
      </c>
      <c r="BZ354" s="2" t="s">
        <v>245</v>
      </c>
      <c r="CA354" s="2" t="s">
        <v>2227</v>
      </c>
      <c r="CB354" s="2" t="s">
        <v>233</v>
      </c>
      <c r="CC354" s="2" t="s">
        <v>246</v>
      </c>
      <c r="CD354" s="2" t="s">
        <v>233</v>
      </c>
      <c r="CE354" s="4"/>
      <c r="CF354" s="4">
        <v>170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</row>
    <row r="355">
      <c r="A355" s="2" t="s">
        <v>2228</v>
      </c>
      <c r="B355" s="2" t="s">
        <v>928</v>
      </c>
      <c r="C355" s="2" t="s">
        <v>530</v>
      </c>
      <c r="D355" s="2" t="s">
        <v>961</v>
      </c>
      <c r="E355" s="2" t="s">
        <v>2028</v>
      </c>
      <c r="F355" s="2" t="s">
        <v>2222</v>
      </c>
      <c r="G355" s="2" t="s">
        <v>2222</v>
      </c>
      <c r="H355" s="2" t="s">
        <v>2222</v>
      </c>
      <c r="I355" s="2" t="s">
        <v>2229</v>
      </c>
      <c r="J355" s="2" t="s">
        <v>892</v>
      </c>
      <c r="K355" s="2" t="s">
        <v>2230</v>
      </c>
      <c r="L355" s="3">
        <v>6.66</v>
      </c>
      <c r="M355" s="3">
        <v>6.99</v>
      </c>
      <c r="N355" s="3">
        <v>19.99</v>
      </c>
      <c r="O355" s="2" t="s">
        <v>245</v>
      </c>
      <c r="P355" s="2" t="s">
        <v>272</v>
      </c>
      <c r="Q355" s="2" t="s">
        <v>239</v>
      </c>
      <c r="R355" s="2" t="s">
        <v>233</v>
      </c>
      <c r="S355" s="2" t="s">
        <v>233</v>
      </c>
      <c r="T355" s="2" t="s">
        <v>233</v>
      </c>
      <c r="U355" s="2" t="s">
        <v>396</v>
      </c>
      <c r="V355" s="2" t="s">
        <v>2225</v>
      </c>
      <c r="W355" s="2" t="s">
        <v>2215</v>
      </c>
      <c r="X355" s="2" t="s">
        <v>1056</v>
      </c>
      <c r="Y355" s="2" t="s">
        <v>2231</v>
      </c>
      <c r="Z355" s="4">
        <v>133</v>
      </c>
      <c r="AA355" s="4">
        <f>=ROUNDDOWN(14.9438202247191,0)</f>
      </c>
      <c r="AB355" s="5">
        <v>8.9</v>
      </c>
      <c r="AC355" s="2" t="s">
        <v>955</v>
      </c>
      <c r="AD355" s="4">
        <v>100</v>
      </c>
      <c r="AE355" s="4">
        <v>100</v>
      </c>
      <c r="AF355" s="6">
        <v>63</v>
      </c>
      <c r="AG355" s="6"/>
      <c r="AH355" s="7">
        <v>1</v>
      </c>
      <c r="AI355" s="4"/>
      <c r="AJ355" s="4">
        <f>=ROUNDDOWN({0},0)</f>
      </c>
      <c r="AK355" s="5"/>
      <c r="AL355" s="2" t="s">
        <v>233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233</v>
      </c>
      <c r="BD355" s="8" t="s">
        <v>233</v>
      </c>
      <c r="BE355" s="4" t="s">
        <v>233</v>
      </c>
      <c r="BF355" s="8" t="s">
        <v>233</v>
      </c>
      <c r="BG355" s="7" t="s">
        <v>233</v>
      </c>
      <c r="BH355" s="7" t="s">
        <v>233</v>
      </c>
      <c r="BI355" s="7"/>
      <c r="BJ355" s="4">
        <v>8</v>
      </c>
      <c r="BK355" s="8">
        <v>68.39</v>
      </c>
      <c r="BL355" s="2" t="s">
        <v>2232</v>
      </c>
      <c r="BM355" s="7"/>
      <c r="BN355" s="7"/>
      <c r="BO355" s="4"/>
      <c r="BP355" s="8"/>
      <c r="BQ355" s="4"/>
      <c r="BR355" s="8"/>
      <c r="BS355" s="7"/>
      <c r="BT355" s="7"/>
      <c r="BU355" s="2" t="s">
        <v>2233</v>
      </c>
      <c r="BV355" s="2" t="s">
        <v>233</v>
      </c>
      <c r="BW355" s="2" t="s">
        <v>233</v>
      </c>
      <c r="BX355" s="2" t="s">
        <v>243</v>
      </c>
      <c r="BY355" s="2" t="s">
        <v>280</v>
      </c>
      <c r="BZ355" s="2" t="s">
        <v>245</v>
      </c>
      <c r="CA355" s="2" t="s">
        <v>2227</v>
      </c>
      <c r="CB355" s="2" t="s">
        <v>2234</v>
      </c>
      <c r="CC355" s="2" t="s">
        <v>246</v>
      </c>
      <c r="CD355" s="2" t="s">
        <v>233</v>
      </c>
      <c r="CE355" s="4"/>
      <c r="CF355" s="4">
        <v>133</v>
      </c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>
        <v>100</v>
      </c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</row>
    <row r="356">
      <c r="A356" s="2" t="s">
        <v>2235</v>
      </c>
      <c r="B356" s="2" t="s">
        <v>928</v>
      </c>
      <c r="C356" s="2" t="s">
        <v>530</v>
      </c>
      <c r="D356" s="2" t="s">
        <v>961</v>
      </c>
      <c r="E356" s="2" t="s">
        <v>2028</v>
      </c>
      <c r="F356" s="2" t="s">
        <v>2222</v>
      </c>
      <c r="G356" s="2" t="s">
        <v>2222</v>
      </c>
      <c r="H356" s="2" t="s">
        <v>2222</v>
      </c>
      <c r="I356" s="2" t="s">
        <v>2236</v>
      </c>
      <c r="J356" s="2" t="s">
        <v>892</v>
      </c>
      <c r="K356" s="2" t="s">
        <v>2237</v>
      </c>
      <c r="L356" s="3">
        <v>6.66</v>
      </c>
      <c r="M356" s="3">
        <v>6.99</v>
      </c>
      <c r="N356" s="3">
        <v>19.99</v>
      </c>
      <c r="O356" s="2" t="s">
        <v>245</v>
      </c>
      <c r="P356" s="2" t="s">
        <v>238</v>
      </c>
      <c r="Q356" s="2" t="s">
        <v>239</v>
      </c>
      <c r="R356" s="2" t="s">
        <v>233</v>
      </c>
      <c r="S356" s="2" t="s">
        <v>233</v>
      </c>
      <c r="T356" s="2" t="s">
        <v>233</v>
      </c>
      <c r="U356" s="2" t="s">
        <v>396</v>
      </c>
      <c r="V356" s="2" t="s">
        <v>2225</v>
      </c>
      <c r="W356" s="2" t="s">
        <v>2215</v>
      </c>
      <c r="X356" s="2" t="s">
        <v>1056</v>
      </c>
      <c r="Y356" s="2" t="s">
        <v>2231</v>
      </c>
      <c r="Z356" s="4">
        <v>141</v>
      </c>
      <c r="AA356" s="4">
        <f>=ROUNDDOWN(70.5,0)</f>
      </c>
      <c r="AB356" s="5">
        <v>2</v>
      </c>
      <c r="AC356" s="2" t="s">
        <v>233</v>
      </c>
      <c r="AD356" s="4"/>
      <c r="AE356" s="4"/>
      <c r="AF356" s="6">
        <v>63</v>
      </c>
      <c r="AG356" s="6"/>
      <c r="AH356" s="7">
        <v>1</v>
      </c>
      <c r="AI356" s="4"/>
      <c r="AJ356" s="4">
        <f>=ROUNDDOWN({0},0)</f>
      </c>
      <c r="AK356" s="5"/>
      <c r="AL356" s="2" t="s">
        <v>233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233</v>
      </c>
      <c r="BD356" s="8" t="s">
        <v>233</v>
      </c>
      <c r="BE356" s="4" t="s">
        <v>233</v>
      </c>
      <c r="BF356" s="8" t="s">
        <v>233</v>
      </c>
      <c r="BG356" s="7" t="s">
        <v>233</v>
      </c>
      <c r="BH356" s="7" t="s">
        <v>233</v>
      </c>
      <c r="BI356" s="7"/>
      <c r="BJ356" s="4">
        <v>3</v>
      </c>
      <c r="BK356" s="8">
        <v>25.05</v>
      </c>
      <c r="BL356" s="2" t="s">
        <v>744</v>
      </c>
      <c r="BM356" s="7"/>
      <c r="BN356" s="7"/>
      <c r="BO356" s="4"/>
      <c r="BP356" s="8"/>
      <c r="BQ356" s="4"/>
      <c r="BR356" s="8"/>
      <c r="BS356" s="7"/>
      <c r="BT356" s="7"/>
      <c r="BU356" s="2" t="s">
        <v>2238</v>
      </c>
      <c r="BV356" s="2" t="s">
        <v>233</v>
      </c>
      <c r="BW356" s="2" t="s">
        <v>233</v>
      </c>
      <c r="BX356" s="2" t="s">
        <v>233</v>
      </c>
      <c r="BY356" s="2" t="s">
        <v>280</v>
      </c>
      <c r="BZ356" s="2" t="s">
        <v>245</v>
      </c>
      <c r="CA356" s="2" t="s">
        <v>2227</v>
      </c>
      <c r="CB356" s="2" t="s">
        <v>233</v>
      </c>
      <c r="CC356" s="2" t="s">
        <v>246</v>
      </c>
      <c r="CD356" s="2" t="s">
        <v>233</v>
      </c>
      <c r="CE356" s="4"/>
      <c r="CF356" s="4">
        <v>141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</row>
    <row r="357">
      <c r="A357" s="2" t="s">
        <v>2239</v>
      </c>
      <c r="B357" s="2" t="s">
        <v>928</v>
      </c>
      <c r="C357" s="2" t="s">
        <v>530</v>
      </c>
      <c r="D357" s="2" t="s">
        <v>961</v>
      </c>
      <c r="E357" s="2" t="s">
        <v>2028</v>
      </c>
      <c r="F357" s="2" t="s">
        <v>2222</v>
      </c>
      <c r="G357" s="2" t="s">
        <v>2222</v>
      </c>
      <c r="H357" s="2" t="s">
        <v>2222</v>
      </c>
      <c r="I357" s="2" t="s">
        <v>2240</v>
      </c>
      <c r="J357" s="2" t="s">
        <v>892</v>
      </c>
      <c r="K357" s="2" t="s">
        <v>2241</v>
      </c>
      <c r="L357" s="3">
        <v>6.66</v>
      </c>
      <c r="M357" s="3">
        <v>6.99</v>
      </c>
      <c r="N357" s="3">
        <v>19.99</v>
      </c>
      <c r="O357" s="2" t="s">
        <v>245</v>
      </c>
      <c r="P357" s="2" t="s">
        <v>272</v>
      </c>
      <c r="Q357" s="2" t="s">
        <v>239</v>
      </c>
      <c r="R357" s="2" t="s">
        <v>233</v>
      </c>
      <c r="S357" s="2" t="s">
        <v>233</v>
      </c>
      <c r="T357" s="2" t="s">
        <v>233</v>
      </c>
      <c r="U357" s="2" t="s">
        <v>396</v>
      </c>
      <c r="V357" s="2" t="s">
        <v>2225</v>
      </c>
      <c r="W357" s="2" t="s">
        <v>2215</v>
      </c>
      <c r="X357" s="2" t="s">
        <v>1056</v>
      </c>
      <c r="Y357" s="2" t="s">
        <v>1718</v>
      </c>
      <c r="Z357" s="4">
        <v>388</v>
      </c>
      <c r="AA357" s="4">
        <f>=ROUNDDOWN(90.2325581395349,0)</f>
      </c>
      <c r="AB357" s="5">
        <v>4.3</v>
      </c>
      <c r="AC357" s="2" t="s">
        <v>233</v>
      </c>
      <c r="AD357" s="4"/>
      <c r="AE357" s="4"/>
      <c r="AF357" s="6">
        <v>63</v>
      </c>
      <c r="AG357" s="6"/>
      <c r="AH357" s="7">
        <v>1</v>
      </c>
      <c r="AI357" s="4"/>
      <c r="AJ357" s="4">
        <f>=ROUNDDOWN({0},0)</f>
      </c>
      <c r="AK357" s="5"/>
      <c r="AL357" s="2" t="s">
        <v>233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233</v>
      </c>
      <c r="BD357" s="8" t="s">
        <v>233</v>
      </c>
      <c r="BE357" s="4" t="s">
        <v>233</v>
      </c>
      <c r="BF357" s="8" t="s">
        <v>233</v>
      </c>
      <c r="BG357" s="7" t="s">
        <v>233</v>
      </c>
      <c r="BH357" s="7" t="s">
        <v>233</v>
      </c>
      <c r="BI357" s="7"/>
      <c r="BJ357" s="4">
        <v>3</v>
      </c>
      <c r="BK357" s="8">
        <v>28.43</v>
      </c>
      <c r="BL357" s="2" t="s">
        <v>744</v>
      </c>
      <c r="BM357" s="7"/>
      <c r="BN357" s="7"/>
      <c r="BO357" s="4"/>
      <c r="BP357" s="8"/>
      <c r="BQ357" s="4"/>
      <c r="BR357" s="8"/>
      <c r="BS357" s="7"/>
      <c r="BT357" s="7"/>
      <c r="BU357" s="2" t="s">
        <v>2242</v>
      </c>
      <c r="BV357" s="2" t="s">
        <v>233</v>
      </c>
      <c r="BW357" s="2" t="s">
        <v>233</v>
      </c>
      <c r="BX357" s="2" t="s">
        <v>243</v>
      </c>
      <c r="BY357" s="2" t="s">
        <v>280</v>
      </c>
      <c r="BZ357" s="2" t="s">
        <v>245</v>
      </c>
      <c r="CA357" s="2" t="s">
        <v>2227</v>
      </c>
      <c r="CB357" s="2" t="s">
        <v>233</v>
      </c>
      <c r="CC357" s="2" t="s">
        <v>246</v>
      </c>
      <c r="CD357" s="2" t="s">
        <v>233</v>
      </c>
      <c r="CE357" s="4"/>
      <c r="CF357" s="4">
        <v>388</v>
      </c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</row>
    <row r="358">
      <c r="A358" s="2" t="s">
        <v>2243</v>
      </c>
      <c r="B358" s="2" t="s">
        <v>928</v>
      </c>
      <c r="C358" s="2" t="s">
        <v>530</v>
      </c>
      <c r="D358" s="2" t="s">
        <v>961</v>
      </c>
      <c r="E358" s="2" t="s">
        <v>2028</v>
      </c>
      <c r="F358" s="2" t="s">
        <v>2222</v>
      </c>
      <c r="G358" s="2" t="s">
        <v>2222</v>
      </c>
      <c r="H358" s="2" t="s">
        <v>2222</v>
      </c>
      <c r="I358" s="2" t="s">
        <v>2244</v>
      </c>
      <c r="J358" s="2" t="s">
        <v>892</v>
      </c>
      <c r="K358" s="2" t="s">
        <v>2245</v>
      </c>
      <c r="L358" s="3">
        <v>6.66</v>
      </c>
      <c r="M358" s="3">
        <v>6.99</v>
      </c>
      <c r="N358" s="3">
        <v>19.99</v>
      </c>
      <c r="O358" s="2" t="s">
        <v>245</v>
      </c>
      <c r="P358" s="2" t="s">
        <v>238</v>
      </c>
      <c r="Q358" s="2" t="s">
        <v>239</v>
      </c>
      <c r="R358" s="2" t="s">
        <v>233</v>
      </c>
      <c r="S358" s="2" t="s">
        <v>233</v>
      </c>
      <c r="T358" s="2" t="s">
        <v>233</v>
      </c>
      <c r="U358" s="2" t="s">
        <v>396</v>
      </c>
      <c r="V358" s="2" t="s">
        <v>2225</v>
      </c>
      <c r="W358" s="2" t="s">
        <v>2215</v>
      </c>
      <c r="X358" s="2" t="s">
        <v>1056</v>
      </c>
      <c r="Y358" s="2" t="s">
        <v>1718</v>
      </c>
      <c r="Z358" s="4">
        <v>123</v>
      </c>
      <c r="AA358" s="4">
        <f>=ROUNDDOWN(64.7368421052632,0)</f>
      </c>
      <c r="AB358" s="5">
        <v>1.9</v>
      </c>
      <c r="AC358" s="2" t="s">
        <v>299</v>
      </c>
      <c r="AD358" s="4">
        <v>50</v>
      </c>
      <c r="AE358" s="4">
        <v>50</v>
      </c>
      <c r="AF358" s="6">
        <v>63</v>
      </c>
      <c r="AG358" s="6"/>
      <c r="AH358" s="7">
        <v>1</v>
      </c>
      <c r="AI358" s="4"/>
      <c r="AJ358" s="4">
        <f>=ROUNDDOWN({0},0)</f>
      </c>
      <c r="AK358" s="5"/>
      <c r="AL358" s="2" t="s">
        <v>233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233</v>
      </c>
      <c r="BD358" s="8" t="s">
        <v>233</v>
      </c>
      <c r="BE358" s="4" t="s">
        <v>233</v>
      </c>
      <c r="BF358" s="8" t="s">
        <v>233</v>
      </c>
      <c r="BG358" s="7" t="s">
        <v>233</v>
      </c>
      <c r="BH358" s="7" t="s">
        <v>233</v>
      </c>
      <c r="BI358" s="7"/>
      <c r="BJ358" s="4">
        <v>3</v>
      </c>
      <c r="BK358" s="8">
        <v>25.4</v>
      </c>
      <c r="BL358" s="2" t="s">
        <v>2246</v>
      </c>
      <c r="BM358" s="7"/>
      <c r="BN358" s="7"/>
      <c r="BO358" s="4"/>
      <c r="BP358" s="8"/>
      <c r="BQ358" s="4"/>
      <c r="BR358" s="8"/>
      <c r="BS358" s="7"/>
      <c r="BT358" s="7"/>
      <c r="BU358" s="2" t="s">
        <v>2247</v>
      </c>
      <c r="BV358" s="2" t="s">
        <v>233</v>
      </c>
      <c r="BW358" s="2" t="s">
        <v>233</v>
      </c>
      <c r="BX358" s="2" t="s">
        <v>233</v>
      </c>
      <c r="BY358" s="2" t="s">
        <v>280</v>
      </c>
      <c r="BZ358" s="2" t="s">
        <v>245</v>
      </c>
      <c r="CA358" s="2" t="s">
        <v>2227</v>
      </c>
      <c r="CB358" s="2" t="s">
        <v>233</v>
      </c>
      <c r="CC358" s="2" t="s">
        <v>246</v>
      </c>
      <c r="CD358" s="2" t="s">
        <v>233</v>
      </c>
      <c r="CE358" s="4"/>
      <c r="CF358" s="4">
        <v>123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>
        <v>50</v>
      </c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</row>
    <row r="359">
      <c r="A359" s="2" t="s">
        <v>2248</v>
      </c>
      <c r="B359" s="2" t="s">
        <v>928</v>
      </c>
      <c r="C359" s="2" t="s">
        <v>530</v>
      </c>
      <c r="D359" s="2" t="s">
        <v>961</v>
      </c>
      <c r="E359" s="2" t="s">
        <v>2028</v>
      </c>
      <c r="F359" s="2" t="s">
        <v>2222</v>
      </c>
      <c r="G359" s="2" t="s">
        <v>2222</v>
      </c>
      <c r="H359" s="2" t="s">
        <v>2222</v>
      </c>
      <c r="I359" s="2" t="s">
        <v>2249</v>
      </c>
      <c r="J359" s="2" t="s">
        <v>892</v>
      </c>
      <c r="K359" s="2" t="s">
        <v>2250</v>
      </c>
      <c r="L359" s="3">
        <v>6.66</v>
      </c>
      <c r="M359" s="3">
        <v>6.99</v>
      </c>
      <c r="N359" s="3">
        <v>19.99</v>
      </c>
      <c r="O359" s="2" t="s">
        <v>245</v>
      </c>
      <c r="P359" s="2" t="s">
        <v>238</v>
      </c>
      <c r="Q359" s="2" t="s">
        <v>239</v>
      </c>
      <c r="R359" s="2" t="s">
        <v>233</v>
      </c>
      <c r="S359" s="2" t="s">
        <v>233</v>
      </c>
      <c r="T359" s="2" t="s">
        <v>233</v>
      </c>
      <c r="U359" s="2" t="s">
        <v>396</v>
      </c>
      <c r="V359" s="2" t="s">
        <v>2225</v>
      </c>
      <c r="W359" s="2" t="s">
        <v>2215</v>
      </c>
      <c r="X359" s="2" t="s">
        <v>1056</v>
      </c>
      <c r="Y359" s="2" t="s">
        <v>1718</v>
      </c>
      <c r="Z359" s="4">
        <v>121</v>
      </c>
      <c r="AA359" s="4">
        <f>=ROUNDDOWN(60.5,0)</f>
      </c>
      <c r="AB359" s="5">
        <v>2</v>
      </c>
      <c r="AC359" s="2" t="s">
        <v>233</v>
      </c>
      <c r="AD359" s="4"/>
      <c r="AE359" s="4"/>
      <c r="AF359" s="6">
        <v>63</v>
      </c>
      <c r="AG359" s="6"/>
      <c r="AH359" s="7">
        <v>1</v>
      </c>
      <c r="AI359" s="4"/>
      <c r="AJ359" s="4">
        <f>=ROUNDDOWN({0},0)</f>
      </c>
      <c r="AK359" s="5"/>
      <c r="AL359" s="2" t="s">
        <v>233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233</v>
      </c>
      <c r="BD359" s="8" t="s">
        <v>233</v>
      </c>
      <c r="BE359" s="4" t="s">
        <v>233</v>
      </c>
      <c r="BF359" s="8" t="s">
        <v>233</v>
      </c>
      <c r="BG359" s="7" t="s">
        <v>233</v>
      </c>
      <c r="BH359" s="7" t="s">
        <v>233</v>
      </c>
      <c r="BI359" s="7"/>
      <c r="BJ359" s="4">
        <v>3</v>
      </c>
      <c r="BK359" s="8">
        <v>25.4</v>
      </c>
      <c r="BL359" s="2" t="s">
        <v>2246</v>
      </c>
      <c r="BM359" s="7"/>
      <c r="BN359" s="7"/>
      <c r="BO359" s="4"/>
      <c r="BP359" s="8"/>
      <c r="BQ359" s="4"/>
      <c r="BR359" s="8"/>
      <c r="BS359" s="7"/>
      <c r="BT359" s="7"/>
      <c r="BU359" s="2" t="s">
        <v>2251</v>
      </c>
      <c r="BV359" s="2" t="s">
        <v>233</v>
      </c>
      <c r="BW359" s="2" t="s">
        <v>233</v>
      </c>
      <c r="BX359" s="2" t="s">
        <v>243</v>
      </c>
      <c r="BY359" s="2" t="s">
        <v>280</v>
      </c>
      <c r="BZ359" s="2" t="s">
        <v>245</v>
      </c>
      <c r="CA359" s="2" t="s">
        <v>2227</v>
      </c>
      <c r="CB359" s="2" t="s">
        <v>233</v>
      </c>
      <c r="CC359" s="2" t="s">
        <v>246</v>
      </c>
      <c r="CD359" s="2" t="s">
        <v>233</v>
      </c>
      <c r="CE359" s="4"/>
      <c r="CF359" s="4">
        <v>121</v>
      </c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</row>
    <row r="360">
      <c r="A360" s="2" t="s">
        <v>2252</v>
      </c>
      <c r="B360" s="2" t="s">
        <v>886</v>
      </c>
      <c r="C360" s="2" t="s">
        <v>901</v>
      </c>
      <c r="D360" s="2" t="s">
        <v>1326</v>
      </c>
      <c r="E360" s="2" t="s">
        <v>1327</v>
      </c>
      <c r="F360" s="2" t="s">
        <v>2253</v>
      </c>
      <c r="G360" s="2" t="s">
        <v>2253</v>
      </c>
      <c r="H360" s="2" t="s">
        <v>2253</v>
      </c>
      <c r="I360" s="2" t="s">
        <v>2254</v>
      </c>
      <c r="J360" s="2" t="s">
        <v>892</v>
      </c>
      <c r="K360" s="2" t="s">
        <v>2255</v>
      </c>
      <c r="L360" s="3">
        <v>55.89</v>
      </c>
      <c r="M360" s="3">
        <v>58.68</v>
      </c>
      <c r="N360" s="3">
        <v>129.99</v>
      </c>
      <c r="O360" s="2" t="s">
        <v>245</v>
      </c>
      <c r="P360" s="2" t="s">
        <v>311</v>
      </c>
      <c r="Q360" s="2" t="s">
        <v>239</v>
      </c>
      <c r="R360" s="2" t="s">
        <v>233</v>
      </c>
      <c r="S360" s="2" t="s">
        <v>233</v>
      </c>
      <c r="T360" s="2" t="s">
        <v>233</v>
      </c>
      <c r="U360" s="2" t="s">
        <v>396</v>
      </c>
      <c r="V360" s="2" t="s">
        <v>893</v>
      </c>
      <c r="W360" s="2" t="s">
        <v>894</v>
      </c>
      <c r="X360" s="2" t="s">
        <v>233</v>
      </c>
      <c r="Y360" s="2" t="s">
        <v>2256</v>
      </c>
      <c r="Z360" s="4">
        <v>62</v>
      </c>
      <c r="AA360" s="4">
        <f>=ROUNDDOWN(20.6666666666667,0)</f>
      </c>
      <c r="AB360" s="5">
        <v>3</v>
      </c>
      <c r="AC360" s="2" t="s">
        <v>233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233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>
        <v>2</v>
      </c>
      <c r="BK360" s="8">
        <v>122.66</v>
      </c>
      <c r="BL360" s="2" t="s">
        <v>2257</v>
      </c>
      <c r="BM360" s="7"/>
      <c r="BN360" s="7"/>
      <c r="BO360" s="4"/>
      <c r="BP360" s="8"/>
      <c r="BQ360" s="4"/>
      <c r="BR360" s="8"/>
      <c r="BS360" s="7"/>
      <c r="BT360" s="7"/>
      <c r="BU360" s="2" t="s">
        <v>2258</v>
      </c>
      <c r="BV360" s="2" t="s">
        <v>233</v>
      </c>
      <c r="BW360" s="2" t="s">
        <v>233</v>
      </c>
      <c r="BX360" s="2" t="s">
        <v>233</v>
      </c>
      <c r="BY360" s="2" t="s">
        <v>280</v>
      </c>
      <c r="BZ360" s="2" t="s">
        <v>245</v>
      </c>
      <c r="CA360" s="2" t="s">
        <v>2259</v>
      </c>
      <c r="CB360" s="2" t="s">
        <v>2260</v>
      </c>
      <c r="CC360" s="2" t="s">
        <v>246</v>
      </c>
      <c r="CD360" s="2" t="s">
        <v>233</v>
      </c>
      <c r="CE360" s="4"/>
      <c r="CF360" s="4">
        <v>62</v>
      </c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</row>
    <row r="361">
      <c r="A361" s="2" t="s">
        <v>2261</v>
      </c>
      <c r="B361" s="2" t="s">
        <v>910</v>
      </c>
      <c r="C361" s="2" t="s">
        <v>1130</v>
      </c>
      <c r="D361" s="2" t="s">
        <v>912</v>
      </c>
      <c r="E361" s="2" t="s">
        <v>1139</v>
      </c>
      <c r="F361" s="2" t="s">
        <v>2262</v>
      </c>
      <c r="G361" s="2" t="s">
        <v>2263</v>
      </c>
      <c r="H361" s="2" t="s">
        <v>2264</v>
      </c>
      <c r="I361" s="2" t="s">
        <v>2265</v>
      </c>
      <c r="J361" s="2" t="s">
        <v>918</v>
      </c>
      <c r="K361" s="2" t="s">
        <v>255</v>
      </c>
      <c r="L361" s="3">
        <v>46.79</v>
      </c>
      <c r="M361" s="3">
        <v>49.13</v>
      </c>
      <c r="N361" s="3">
        <v>89.99</v>
      </c>
      <c r="O361" s="2" t="s">
        <v>252</v>
      </c>
      <c r="P361" s="2" t="s">
        <v>311</v>
      </c>
      <c r="Q361" s="2" t="s">
        <v>239</v>
      </c>
      <c r="R361" s="2" t="s">
        <v>233</v>
      </c>
      <c r="S361" s="2" t="s">
        <v>2266</v>
      </c>
      <c r="T361" s="2" t="s">
        <v>341</v>
      </c>
      <c r="U361" s="2" t="s">
        <v>491</v>
      </c>
      <c r="V361" s="2" t="s">
        <v>1085</v>
      </c>
      <c r="W361" s="2" t="s">
        <v>397</v>
      </c>
      <c r="X361" s="2" t="s">
        <v>275</v>
      </c>
      <c r="Y361" s="2" t="s">
        <v>2256</v>
      </c>
      <c r="Z361" s="4">
        <v>10</v>
      </c>
      <c r="AA361" s="4">
        <f>=ROUNDDOWN(10,0)</f>
      </c>
      <c r="AB361" s="5">
        <v>1</v>
      </c>
      <c r="AC361" s="2" t="s">
        <v>233</v>
      </c>
      <c r="AD361" s="4"/>
      <c r="AE361" s="4"/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233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233</v>
      </c>
      <c r="BD361" s="8" t="s">
        <v>233</v>
      </c>
      <c r="BE361" s="4" t="s">
        <v>233</v>
      </c>
      <c r="BF361" s="8" t="s">
        <v>233</v>
      </c>
      <c r="BG361" s="7" t="s">
        <v>233</v>
      </c>
      <c r="BH361" s="7" t="s">
        <v>233</v>
      </c>
      <c r="BI361" s="7"/>
      <c r="BJ361" s="4">
        <v>4</v>
      </c>
      <c r="BK361" s="8">
        <v>143.44</v>
      </c>
      <c r="BL361" s="2" t="s">
        <v>2246</v>
      </c>
      <c r="BM361" s="7"/>
      <c r="BN361" s="7"/>
      <c r="BO361" s="4"/>
      <c r="BP361" s="8"/>
      <c r="BQ361" s="4"/>
      <c r="BR361" s="8"/>
      <c r="BS361" s="7"/>
      <c r="BT361" s="7"/>
      <c r="BU361" s="2" t="s">
        <v>2267</v>
      </c>
      <c r="BV361" s="2" t="s">
        <v>233</v>
      </c>
      <c r="BW361" s="2" t="s">
        <v>233</v>
      </c>
      <c r="BX361" s="2" t="s">
        <v>233</v>
      </c>
      <c r="BY361" s="2" t="s">
        <v>280</v>
      </c>
      <c r="BZ361" s="2" t="s">
        <v>245</v>
      </c>
      <c r="CA361" s="2" t="s">
        <v>2268</v>
      </c>
      <c r="CB361" s="2" t="s">
        <v>233</v>
      </c>
      <c r="CC361" s="2" t="s">
        <v>246</v>
      </c>
      <c r="CD361" s="2" t="s">
        <v>233</v>
      </c>
      <c r="CE361" s="4">
        <v>10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</row>
    <row r="362">
      <c r="A362" s="2" t="s">
        <v>2269</v>
      </c>
      <c r="B362" s="2" t="s">
        <v>910</v>
      </c>
      <c r="C362" s="2" t="s">
        <v>1130</v>
      </c>
      <c r="D362" s="2" t="s">
        <v>912</v>
      </c>
      <c r="E362" s="2" t="s">
        <v>1139</v>
      </c>
      <c r="F362" s="2" t="s">
        <v>2262</v>
      </c>
      <c r="G362" s="2" t="s">
        <v>2263</v>
      </c>
      <c r="H362" s="2" t="s">
        <v>2264</v>
      </c>
      <c r="I362" s="2" t="s">
        <v>2265</v>
      </c>
      <c r="J362" s="2" t="s">
        <v>918</v>
      </c>
      <c r="K362" s="2" t="s">
        <v>569</v>
      </c>
      <c r="L362" s="3">
        <v>46.79</v>
      </c>
      <c r="M362" s="3">
        <v>49.13</v>
      </c>
      <c r="N362" s="3">
        <v>89.99</v>
      </c>
      <c r="O362" s="2" t="s">
        <v>252</v>
      </c>
      <c r="P362" s="2" t="s">
        <v>311</v>
      </c>
      <c r="Q362" s="2" t="s">
        <v>239</v>
      </c>
      <c r="R362" s="2" t="s">
        <v>233</v>
      </c>
      <c r="S362" s="2" t="s">
        <v>2270</v>
      </c>
      <c r="T362" s="2" t="s">
        <v>341</v>
      </c>
      <c r="U362" s="2" t="s">
        <v>491</v>
      </c>
      <c r="V362" s="2" t="s">
        <v>1085</v>
      </c>
      <c r="W362" s="2" t="s">
        <v>397</v>
      </c>
      <c r="X362" s="2" t="s">
        <v>275</v>
      </c>
      <c r="Y362" s="2" t="s">
        <v>2256</v>
      </c>
      <c r="Z362" s="4">
        <v>12</v>
      </c>
      <c r="AA362" s="4">
        <f>=ROUNDDOWN(12,0)</f>
      </c>
      <c r="AB362" s="5">
        <v>1</v>
      </c>
      <c r="AC362" s="2" t="s">
        <v>233</v>
      </c>
      <c r="AD362" s="4"/>
      <c r="AE362" s="4"/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233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233</v>
      </c>
      <c r="BD362" s="8" t="s">
        <v>233</v>
      </c>
      <c r="BE362" s="4" t="s">
        <v>233</v>
      </c>
      <c r="BF362" s="8" t="s">
        <v>233</v>
      </c>
      <c r="BG362" s="7" t="s">
        <v>233</v>
      </c>
      <c r="BH362" s="7" t="s">
        <v>233</v>
      </c>
      <c r="BI362" s="7"/>
      <c r="BJ362" s="4">
        <v>1</v>
      </c>
      <c r="BK362" s="8">
        <v>32.42</v>
      </c>
      <c r="BL362" s="2" t="s">
        <v>1687</v>
      </c>
      <c r="BM362" s="7"/>
      <c r="BN362" s="7"/>
      <c r="BO362" s="4"/>
      <c r="BP362" s="8"/>
      <c r="BQ362" s="4"/>
      <c r="BR362" s="8"/>
      <c r="BS362" s="7"/>
      <c r="BT362" s="7"/>
      <c r="BU362" s="2" t="s">
        <v>2271</v>
      </c>
      <c r="BV362" s="2" t="s">
        <v>233</v>
      </c>
      <c r="BW362" s="2" t="s">
        <v>233</v>
      </c>
      <c r="BX362" s="2" t="s">
        <v>233</v>
      </c>
      <c r="BY362" s="2" t="s">
        <v>280</v>
      </c>
      <c r="BZ362" s="2" t="s">
        <v>245</v>
      </c>
      <c r="CA362" s="2" t="s">
        <v>2268</v>
      </c>
      <c r="CB362" s="2" t="s">
        <v>2272</v>
      </c>
      <c r="CC362" s="2" t="s">
        <v>246</v>
      </c>
      <c r="CD362" s="2" t="s">
        <v>233</v>
      </c>
      <c r="CE362" s="4">
        <v>12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</row>
    <row r="363">
      <c r="A363" s="2" t="s">
        <v>2273</v>
      </c>
      <c r="B363" s="2" t="s">
        <v>1066</v>
      </c>
      <c r="C363" s="2" t="s">
        <v>1321</v>
      </c>
      <c r="D363" s="2" t="s">
        <v>1713</v>
      </c>
      <c r="E363" s="2" t="s">
        <v>1913</v>
      </c>
      <c r="F363" s="2" t="s">
        <v>2274</v>
      </c>
      <c r="G363" s="2" t="s">
        <v>2274</v>
      </c>
      <c r="H363" s="2" t="s">
        <v>2274</v>
      </c>
      <c r="I363" s="2" t="s">
        <v>2275</v>
      </c>
      <c r="J363" s="2" t="s">
        <v>892</v>
      </c>
      <c r="K363" s="2" t="s">
        <v>2276</v>
      </c>
      <c r="L363" s="3">
        <v>134.18</v>
      </c>
      <c r="M363" s="3">
        <v>140.89</v>
      </c>
      <c r="N363" s="3">
        <v>279</v>
      </c>
      <c r="O363" s="2" t="s">
        <v>245</v>
      </c>
      <c r="P363" s="2" t="s">
        <v>1916</v>
      </c>
      <c r="Q363" s="2" t="s">
        <v>239</v>
      </c>
      <c r="R363" s="2" t="s">
        <v>233</v>
      </c>
      <c r="S363" s="2" t="s">
        <v>233</v>
      </c>
      <c r="T363" s="2" t="s">
        <v>233</v>
      </c>
      <c r="U363" s="2" t="s">
        <v>396</v>
      </c>
      <c r="V363" s="2" t="s">
        <v>893</v>
      </c>
      <c r="W363" s="2" t="s">
        <v>776</v>
      </c>
      <c r="X363" s="2" t="s">
        <v>977</v>
      </c>
      <c r="Y363" s="2" t="s">
        <v>1838</v>
      </c>
      <c r="Z363" s="4"/>
      <c r="AA363" s="4">
        <f>=ROUNDDOWN({0},0)</f>
      </c>
      <c r="AB363" s="5">
        <v>7</v>
      </c>
      <c r="AC363" s="2" t="s">
        <v>2277</v>
      </c>
      <c r="AD363" s="4">
        <v>100</v>
      </c>
      <c r="AE363" s="4">
        <v>100</v>
      </c>
      <c r="AF363" s="6">
        <v>74</v>
      </c>
      <c r="AG363" s="6"/>
      <c r="AH363" s="7">
        <v>0</v>
      </c>
      <c r="AI363" s="4"/>
      <c r="AJ363" s="4">
        <f>=ROUNDDOWN({0},0)</f>
      </c>
      <c r="AK363" s="5"/>
      <c r="AL363" s="2" t="s">
        <v>233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233</v>
      </c>
      <c r="BD363" s="8" t="s">
        <v>233</v>
      </c>
      <c r="BE363" s="4" t="s">
        <v>233</v>
      </c>
      <c r="BF363" s="8" t="s">
        <v>233</v>
      </c>
      <c r="BG363" s="7" t="s">
        <v>233</v>
      </c>
      <c r="BH363" s="7" t="s">
        <v>233</v>
      </c>
      <c r="BI363" s="7"/>
      <c r="BJ363" s="4"/>
      <c r="BK363" s="8"/>
      <c r="BL363" s="2" t="s">
        <v>233</v>
      </c>
      <c r="BM363" s="7"/>
      <c r="BN363" s="7"/>
      <c r="BO363" s="4"/>
      <c r="BP363" s="8"/>
      <c r="BQ363" s="4"/>
      <c r="BR363" s="8"/>
      <c r="BS363" s="7"/>
      <c r="BT363" s="7"/>
      <c r="BU363" s="2" t="s">
        <v>243</v>
      </c>
      <c r="BV363" s="2" t="s">
        <v>233</v>
      </c>
      <c r="BW363" s="2" t="s">
        <v>233</v>
      </c>
      <c r="BX363" s="2" t="s">
        <v>243</v>
      </c>
      <c r="BY363" s="2" t="s">
        <v>244</v>
      </c>
      <c r="BZ363" s="2" t="s">
        <v>245</v>
      </c>
      <c r="CA363" s="2" t="s">
        <v>233</v>
      </c>
      <c r="CB363" s="2" t="s">
        <v>233</v>
      </c>
      <c r="CC363" s="2" t="s">
        <v>246</v>
      </c>
      <c r="CD363" s="2" t="s">
        <v>233</v>
      </c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>
        <v>100</v>
      </c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</row>
    <row r="364">
      <c r="A364" s="2" t="s">
        <v>2278</v>
      </c>
      <c r="B364" s="2" t="s">
        <v>1066</v>
      </c>
      <c r="C364" s="2" t="s">
        <v>1321</v>
      </c>
      <c r="D364" s="2" t="s">
        <v>1322</v>
      </c>
      <c r="E364" s="2" t="s">
        <v>2279</v>
      </c>
      <c r="F364" s="2" t="s">
        <v>2274</v>
      </c>
      <c r="G364" s="2" t="s">
        <v>2274</v>
      </c>
      <c r="H364" s="2" t="s">
        <v>2274</v>
      </c>
      <c r="I364" s="2" t="s">
        <v>2279</v>
      </c>
      <c r="J364" s="2" t="s">
        <v>348</v>
      </c>
      <c r="K364" s="2" t="s">
        <v>1537</v>
      </c>
      <c r="L364" s="3">
        <v>370</v>
      </c>
      <c r="M364" s="3">
        <v>388.5</v>
      </c>
      <c r="N364" s="3">
        <v>769</v>
      </c>
      <c r="O364" s="2" t="s">
        <v>245</v>
      </c>
      <c r="P364" s="2" t="s">
        <v>1916</v>
      </c>
      <c r="Q364" s="2" t="s">
        <v>239</v>
      </c>
      <c r="R364" s="2" t="s">
        <v>233</v>
      </c>
      <c r="S364" s="2" t="s">
        <v>233</v>
      </c>
      <c r="T364" s="2" t="s">
        <v>233</v>
      </c>
      <c r="U364" s="2" t="s">
        <v>396</v>
      </c>
      <c r="V364" s="2" t="s">
        <v>241</v>
      </c>
      <c r="W364" s="2" t="s">
        <v>776</v>
      </c>
      <c r="X364" s="2" t="s">
        <v>977</v>
      </c>
      <c r="Y364" s="2" t="s">
        <v>1838</v>
      </c>
      <c r="Z364" s="4"/>
      <c r="AA364" s="4">
        <f>=ROUNDDOWN({0},0)</f>
      </c>
      <c r="AB364" s="5">
        <v>7</v>
      </c>
      <c r="AC364" s="2" t="s">
        <v>1310</v>
      </c>
      <c r="AD364" s="4">
        <v>260</v>
      </c>
      <c r="AE364" s="4">
        <v>260</v>
      </c>
      <c r="AF364" s="6">
        <v>74</v>
      </c>
      <c r="AG364" s="6"/>
      <c r="AH364" s="7">
        <v>0</v>
      </c>
      <c r="AI364" s="4"/>
      <c r="AJ364" s="4">
        <f>=ROUNDDOWN({0},0)</f>
      </c>
      <c r="AK364" s="5"/>
      <c r="AL364" s="2" t="s">
        <v>233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233</v>
      </c>
      <c r="AW364" s="8" t="s">
        <v>233</v>
      </c>
      <c r="AX364" s="4" t="s">
        <v>233</v>
      </c>
      <c r="AY364" s="8" t="s">
        <v>233</v>
      </c>
      <c r="AZ364" s="7" t="s">
        <v>233</v>
      </c>
      <c r="BA364" s="7" t="s">
        <v>233</v>
      </c>
      <c r="BB364" s="7"/>
      <c r="BC364" s="4" t="s">
        <v>233</v>
      </c>
      <c r="BD364" s="8" t="s">
        <v>233</v>
      </c>
      <c r="BE364" s="4" t="s">
        <v>233</v>
      </c>
      <c r="BF364" s="8" t="s">
        <v>233</v>
      </c>
      <c r="BG364" s="7" t="s">
        <v>233</v>
      </c>
      <c r="BH364" s="7" t="s">
        <v>233</v>
      </c>
      <c r="BI364" s="7"/>
      <c r="BJ364" s="4"/>
      <c r="BK364" s="8"/>
      <c r="BL364" s="2" t="s">
        <v>233</v>
      </c>
      <c r="BM364" s="7"/>
      <c r="BN364" s="7"/>
      <c r="BO364" s="4"/>
      <c r="BP364" s="8"/>
      <c r="BQ364" s="4"/>
      <c r="BR364" s="8"/>
      <c r="BS364" s="7"/>
      <c r="BT364" s="7"/>
      <c r="BU364" s="2" t="s">
        <v>243</v>
      </c>
      <c r="BV364" s="2" t="s">
        <v>233</v>
      </c>
      <c r="BW364" s="2" t="s">
        <v>233</v>
      </c>
      <c r="BX364" s="2" t="s">
        <v>243</v>
      </c>
      <c r="BY364" s="2" t="s">
        <v>244</v>
      </c>
      <c r="BZ364" s="2" t="s">
        <v>245</v>
      </c>
      <c r="CA364" s="2" t="s">
        <v>233</v>
      </c>
      <c r="CB364" s="2" t="s">
        <v>233</v>
      </c>
      <c r="CC364" s="2" t="s">
        <v>246</v>
      </c>
      <c r="CD364" s="2" t="s">
        <v>233</v>
      </c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>
        <v>260</v>
      </c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</row>
    <row r="365">
      <c r="A365" s="2" t="s">
        <v>2280</v>
      </c>
      <c r="B365" s="2" t="s">
        <v>1066</v>
      </c>
      <c r="C365" s="2" t="s">
        <v>1321</v>
      </c>
      <c r="D365" s="2" t="s">
        <v>1322</v>
      </c>
      <c r="E365" s="2" t="s">
        <v>2279</v>
      </c>
      <c r="F365" s="2" t="s">
        <v>2274</v>
      </c>
      <c r="G365" s="2" t="s">
        <v>2274</v>
      </c>
      <c r="H365" s="2" t="s">
        <v>2274</v>
      </c>
      <c r="I365" s="2" t="s">
        <v>2279</v>
      </c>
      <c r="J365" s="2" t="s">
        <v>328</v>
      </c>
      <c r="K365" s="2" t="s">
        <v>1537</v>
      </c>
      <c r="L365" s="3">
        <v>430</v>
      </c>
      <c r="M365" s="3">
        <v>451.5</v>
      </c>
      <c r="N365" s="3">
        <v>899</v>
      </c>
      <c r="O365" s="2" t="s">
        <v>245</v>
      </c>
      <c r="P365" s="2" t="s">
        <v>1916</v>
      </c>
      <c r="Q365" s="2" t="s">
        <v>2281</v>
      </c>
      <c r="R365" s="2" t="s">
        <v>233</v>
      </c>
      <c r="S365" s="2" t="s">
        <v>233</v>
      </c>
      <c r="T365" s="2" t="s">
        <v>233</v>
      </c>
      <c r="U365" s="2" t="s">
        <v>396</v>
      </c>
      <c r="V365" s="2" t="s">
        <v>241</v>
      </c>
      <c r="W365" s="2" t="s">
        <v>776</v>
      </c>
      <c r="X365" s="2" t="s">
        <v>977</v>
      </c>
      <c r="Y365" s="2" t="s">
        <v>233</v>
      </c>
      <c r="Z365" s="4"/>
      <c r="AA365" s="4">
        <f>=ROUNDDOWN({0},0)</f>
      </c>
      <c r="AB365" s="5"/>
      <c r="AC365" s="2" t="s">
        <v>1310</v>
      </c>
      <c r="AD365" s="4">
        <v>200</v>
      </c>
      <c r="AE365" s="4">
        <v>200</v>
      </c>
      <c r="AF365" s="6">
        <v>74</v>
      </c>
      <c r="AG365" s="6"/>
      <c r="AH365" s="7">
        <v>0</v>
      </c>
      <c r="AI365" s="4"/>
      <c r="AJ365" s="4">
        <f>=ROUNDDOWN({0},0)</f>
      </c>
      <c r="AK365" s="5"/>
      <c r="AL365" s="2" t="s">
        <v>233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233</v>
      </c>
      <c r="AW365" s="8" t="s">
        <v>233</v>
      </c>
      <c r="AX365" s="4" t="s">
        <v>233</v>
      </c>
      <c r="AY365" s="8" t="s">
        <v>233</v>
      </c>
      <c r="AZ365" s="7" t="s">
        <v>233</v>
      </c>
      <c r="BA365" s="7" t="s">
        <v>233</v>
      </c>
      <c r="BB365" s="7"/>
      <c r="BC365" s="4" t="s">
        <v>233</v>
      </c>
      <c r="BD365" s="8" t="s">
        <v>233</v>
      </c>
      <c r="BE365" s="4" t="s">
        <v>233</v>
      </c>
      <c r="BF365" s="8" t="s">
        <v>233</v>
      </c>
      <c r="BG365" s="7" t="s">
        <v>233</v>
      </c>
      <c r="BH365" s="7" t="s">
        <v>233</v>
      </c>
      <c r="BI365" s="7"/>
      <c r="BJ365" s="4"/>
      <c r="BK365" s="8"/>
      <c r="BL365" s="2" t="s">
        <v>233</v>
      </c>
      <c r="BM365" s="7"/>
      <c r="BN365" s="7"/>
      <c r="BO365" s="4"/>
      <c r="BP365" s="8"/>
      <c r="BQ365" s="4"/>
      <c r="BR365" s="8"/>
      <c r="BS365" s="7"/>
      <c r="BT365" s="7"/>
      <c r="BU365" s="2" t="s">
        <v>243</v>
      </c>
      <c r="BV365" s="2" t="s">
        <v>233</v>
      </c>
      <c r="BW365" s="2" t="s">
        <v>233</v>
      </c>
      <c r="BX365" s="2" t="s">
        <v>243</v>
      </c>
      <c r="BY365" s="2" t="s">
        <v>244</v>
      </c>
      <c r="BZ365" s="2" t="s">
        <v>245</v>
      </c>
      <c r="CA365" s="2" t="s">
        <v>233</v>
      </c>
      <c r="CB365" s="2" t="s">
        <v>233</v>
      </c>
      <c r="CC365" s="2" t="s">
        <v>246</v>
      </c>
      <c r="CD365" s="2" t="s">
        <v>233</v>
      </c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>
        <v>200</v>
      </c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</row>
    <row r="366">
      <c r="A366" s="2" t="s">
        <v>2282</v>
      </c>
      <c r="B366" s="2" t="s">
        <v>1066</v>
      </c>
      <c r="C366" s="2" t="s">
        <v>1321</v>
      </c>
      <c r="D366" s="2" t="s">
        <v>2140</v>
      </c>
      <c r="E366" s="2" t="s">
        <v>2141</v>
      </c>
      <c r="F366" s="2" t="s">
        <v>2274</v>
      </c>
      <c r="G366" s="2" t="s">
        <v>2274</v>
      </c>
      <c r="H366" s="2" t="s">
        <v>2274</v>
      </c>
      <c r="I366" s="2" t="s">
        <v>2283</v>
      </c>
      <c r="J366" s="2" t="s">
        <v>892</v>
      </c>
      <c r="K366" s="2" t="s">
        <v>1537</v>
      </c>
      <c r="L366" s="3">
        <v>217.8</v>
      </c>
      <c r="M366" s="3">
        <v>228.69</v>
      </c>
      <c r="N366" s="3">
        <v>459</v>
      </c>
      <c r="O366" s="2" t="s">
        <v>245</v>
      </c>
      <c r="P366" s="2" t="s">
        <v>1916</v>
      </c>
      <c r="Q366" s="2" t="s">
        <v>239</v>
      </c>
      <c r="R366" s="2" t="s">
        <v>233</v>
      </c>
      <c r="S366" s="2" t="s">
        <v>233</v>
      </c>
      <c r="T366" s="2" t="s">
        <v>233</v>
      </c>
      <c r="U366" s="2" t="s">
        <v>396</v>
      </c>
      <c r="V366" s="2" t="s">
        <v>893</v>
      </c>
      <c r="W366" s="2" t="s">
        <v>776</v>
      </c>
      <c r="X366" s="2" t="s">
        <v>977</v>
      </c>
      <c r="Y366" s="2" t="s">
        <v>1838</v>
      </c>
      <c r="Z366" s="4"/>
      <c r="AA366" s="4">
        <f>=ROUNDDOWN({0},0)</f>
      </c>
      <c r="AB366" s="5">
        <v>7</v>
      </c>
      <c r="AC366" s="2" t="s">
        <v>2277</v>
      </c>
      <c r="AD366" s="4">
        <v>130</v>
      </c>
      <c r="AE366" s="4">
        <v>130</v>
      </c>
      <c r="AF366" s="6">
        <v>74</v>
      </c>
      <c r="AG366" s="6"/>
      <c r="AH366" s="7">
        <v>0</v>
      </c>
      <c r="AI366" s="4"/>
      <c r="AJ366" s="4">
        <f>=ROUNDDOWN({0},0)</f>
      </c>
      <c r="AK366" s="5"/>
      <c r="AL366" s="2" t="s">
        <v>233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233</v>
      </c>
      <c r="AW366" s="8" t="s">
        <v>233</v>
      </c>
      <c r="AX366" s="4" t="s">
        <v>233</v>
      </c>
      <c r="AY366" s="8" t="s">
        <v>233</v>
      </c>
      <c r="AZ366" s="7" t="s">
        <v>233</v>
      </c>
      <c r="BA366" s="7" t="s">
        <v>233</v>
      </c>
      <c r="BB366" s="7" t="s">
        <v>233</v>
      </c>
      <c r="BC366" s="4" t="s">
        <v>233</v>
      </c>
      <c r="BD366" s="8" t="s">
        <v>233</v>
      </c>
      <c r="BE366" s="4" t="s">
        <v>233</v>
      </c>
      <c r="BF366" s="8" t="s">
        <v>233</v>
      </c>
      <c r="BG366" s="7" t="s">
        <v>233</v>
      </c>
      <c r="BH366" s="7" t="s">
        <v>233</v>
      </c>
      <c r="BI366" s="7"/>
      <c r="BJ366" s="4"/>
      <c r="BK366" s="8"/>
      <c r="BL366" s="2" t="s">
        <v>233</v>
      </c>
      <c r="BM366" s="7"/>
      <c r="BN366" s="7"/>
      <c r="BO366" s="4"/>
      <c r="BP366" s="8"/>
      <c r="BQ366" s="4"/>
      <c r="BR366" s="8"/>
      <c r="BS366" s="7"/>
      <c r="BT366" s="7"/>
      <c r="BU366" s="2" t="s">
        <v>243</v>
      </c>
      <c r="BV366" s="2" t="s">
        <v>233</v>
      </c>
      <c r="BW366" s="2" t="s">
        <v>233</v>
      </c>
      <c r="BX366" s="2" t="s">
        <v>243</v>
      </c>
      <c r="BY366" s="2" t="s">
        <v>244</v>
      </c>
      <c r="BZ366" s="2" t="s">
        <v>245</v>
      </c>
      <c r="CA366" s="2" t="s">
        <v>233</v>
      </c>
      <c r="CB366" s="2" t="s">
        <v>233</v>
      </c>
      <c r="CC366" s="2" t="s">
        <v>246</v>
      </c>
      <c r="CD366" s="2" t="s">
        <v>233</v>
      </c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>
        <v>130</v>
      </c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</row>
    <row r="367">
      <c r="A367" s="2" t="s">
        <v>2284</v>
      </c>
      <c r="B367" s="2" t="s">
        <v>1066</v>
      </c>
      <c r="C367" s="2" t="s">
        <v>1321</v>
      </c>
      <c r="D367" s="2" t="s">
        <v>2285</v>
      </c>
      <c r="E367" s="2" t="s">
        <v>2286</v>
      </c>
      <c r="F367" s="2" t="s">
        <v>2274</v>
      </c>
      <c r="G367" s="2" t="s">
        <v>2274</v>
      </c>
      <c r="H367" s="2" t="s">
        <v>2274</v>
      </c>
      <c r="I367" s="2" t="s">
        <v>2286</v>
      </c>
      <c r="J367" s="2" t="s">
        <v>892</v>
      </c>
      <c r="K367" s="2" t="s">
        <v>1537</v>
      </c>
      <c r="L367" s="3">
        <v>109.25</v>
      </c>
      <c r="M367" s="3">
        <v>114.71</v>
      </c>
      <c r="N367" s="3">
        <v>229</v>
      </c>
      <c r="O367" s="2" t="s">
        <v>245</v>
      </c>
      <c r="P367" s="2" t="s">
        <v>1916</v>
      </c>
      <c r="Q367" s="2" t="s">
        <v>239</v>
      </c>
      <c r="R367" s="2" t="s">
        <v>233</v>
      </c>
      <c r="S367" s="2" t="s">
        <v>233</v>
      </c>
      <c r="T367" s="2" t="s">
        <v>233</v>
      </c>
      <c r="U367" s="2" t="s">
        <v>396</v>
      </c>
      <c r="V367" s="2" t="s">
        <v>241</v>
      </c>
      <c r="W367" s="2" t="s">
        <v>776</v>
      </c>
      <c r="X367" s="2" t="s">
        <v>977</v>
      </c>
      <c r="Y367" s="2" t="s">
        <v>1838</v>
      </c>
      <c r="Z367" s="4"/>
      <c r="AA367" s="4">
        <f>=ROUNDDOWN({0},0)</f>
      </c>
      <c r="AB367" s="5">
        <v>7</v>
      </c>
      <c r="AC367" s="2" t="s">
        <v>2277</v>
      </c>
      <c r="AD367" s="4">
        <v>900</v>
      </c>
      <c r="AE367" s="4">
        <v>900</v>
      </c>
      <c r="AF367" s="6">
        <v>74</v>
      </c>
      <c r="AG367" s="6"/>
      <c r="AH367" s="7">
        <v>0</v>
      </c>
      <c r="AI367" s="4"/>
      <c r="AJ367" s="4">
        <f>=ROUNDDOWN({0},0)</f>
      </c>
      <c r="AK367" s="5"/>
      <c r="AL367" s="2" t="s">
        <v>233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233</v>
      </c>
      <c r="AW367" s="8" t="s">
        <v>233</v>
      </c>
      <c r="AX367" s="4" t="s">
        <v>233</v>
      </c>
      <c r="AY367" s="8" t="s">
        <v>233</v>
      </c>
      <c r="AZ367" s="7" t="s">
        <v>233</v>
      </c>
      <c r="BA367" s="7" t="s">
        <v>233</v>
      </c>
      <c r="BB367" s="7" t="s">
        <v>233</v>
      </c>
      <c r="BC367" s="4" t="s">
        <v>233</v>
      </c>
      <c r="BD367" s="8" t="s">
        <v>233</v>
      </c>
      <c r="BE367" s="4" t="s">
        <v>233</v>
      </c>
      <c r="BF367" s="8" t="s">
        <v>233</v>
      </c>
      <c r="BG367" s="7" t="s">
        <v>233</v>
      </c>
      <c r="BH367" s="7" t="s">
        <v>233</v>
      </c>
      <c r="BI367" s="7"/>
      <c r="BJ367" s="4"/>
      <c r="BK367" s="8"/>
      <c r="BL367" s="2" t="s">
        <v>233</v>
      </c>
      <c r="BM367" s="7"/>
      <c r="BN367" s="7"/>
      <c r="BO367" s="4"/>
      <c r="BP367" s="8"/>
      <c r="BQ367" s="4"/>
      <c r="BR367" s="8"/>
      <c r="BS367" s="7"/>
      <c r="BT367" s="7"/>
      <c r="BU367" s="2" t="s">
        <v>243</v>
      </c>
      <c r="BV367" s="2" t="s">
        <v>233</v>
      </c>
      <c r="BW367" s="2" t="s">
        <v>233</v>
      </c>
      <c r="BX367" s="2" t="s">
        <v>243</v>
      </c>
      <c r="BY367" s="2" t="s">
        <v>244</v>
      </c>
      <c r="BZ367" s="2" t="s">
        <v>245</v>
      </c>
      <c r="CA367" s="2" t="s">
        <v>233</v>
      </c>
      <c r="CB367" s="2" t="s">
        <v>233</v>
      </c>
      <c r="CC367" s="2" t="s">
        <v>246</v>
      </c>
      <c r="CD367" s="2" t="s">
        <v>233</v>
      </c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>
        <v>900</v>
      </c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</row>
    <row r="368">
      <c r="A368" s="2" t="s">
        <v>2287</v>
      </c>
      <c r="B368" s="2" t="s">
        <v>264</v>
      </c>
      <c r="C368" s="2" t="s">
        <v>265</v>
      </c>
      <c r="D368" s="2" t="s">
        <v>266</v>
      </c>
      <c r="E368" s="2" t="s">
        <v>390</v>
      </c>
      <c r="F368" s="2" t="s">
        <v>2288</v>
      </c>
      <c r="G368" s="2" t="s">
        <v>2288</v>
      </c>
      <c r="H368" s="2" t="s">
        <v>2288</v>
      </c>
      <c r="I368" s="2" t="s">
        <v>2289</v>
      </c>
      <c r="J368" s="2" t="s">
        <v>270</v>
      </c>
      <c r="K368" s="2" t="s">
        <v>297</v>
      </c>
      <c r="L368" s="3">
        <v>13.34</v>
      </c>
      <c r="M368" s="3">
        <v>14.01</v>
      </c>
      <c r="N368" s="3">
        <v>28.99</v>
      </c>
      <c r="O368" s="2" t="s">
        <v>245</v>
      </c>
      <c r="P368" s="2" t="s">
        <v>311</v>
      </c>
      <c r="Q368" s="2" t="s">
        <v>239</v>
      </c>
      <c r="R368" s="2" t="s">
        <v>233</v>
      </c>
      <c r="S368" s="2" t="s">
        <v>2290</v>
      </c>
      <c r="T368" s="2" t="s">
        <v>395</v>
      </c>
      <c r="U368" s="2" t="s">
        <v>233</v>
      </c>
      <c r="V368" s="2" t="s">
        <v>241</v>
      </c>
      <c r="W368" s="2" t="s">
        <v>275</v>
      </c>
      <c r="X368" s="2" t="s">
        <v>233</v>
      </c>
      <c r="Y368" s="2" t="s">
        <v>276</v>
      </c>
      <c r="Z368" s="4">
        <v>83</v>
      </c>
      <c r="AA368" s="4">
        <f>=ROUNDDOWN(27.6666666666667,0)</f>
      </c>
      <c r="AB368" s="5">
        <v>3</v>
      </c>
      <c r="AC368" s="2" t="s">
        <v>233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233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233</v>
      </c>
      <c r="AW368" s="8" t="s">
        <v>233</v>
      </c>
      <c r="AX368" s="4" t="s">
        <v>233</v>
      </c>
      <c r="AY368" s="8" t="s">
        <v>233</v>
      </c>
      <c r="AZ368" s="7" t="s">
        <v>233</v>
      </c>
      <c r="BA368" s="7" t="s">
        <v>233</v>
      </c>
      <c r="BB368" s="7"/>
      <c r="BC368" s="4" t="s">
        <v>233</v>
      </c>
      <c r="BD368" s="8" t="s">
        <v>233</v>
      </c>
      <c r="BE368" s="4" t="s">
        <v>233</v>
      </c>
      <c r="BF368" s="8" t="s">
        <v>233</v>
      </c>
      <c r="BG368" s="7" t="s">
        <v>233</v>
      </c>
      <c r="BH368" s="7" t="s">
        <v>233</v>
      </c>
      <c r="BI368" s="7"/>
      <c r="BJ368" s="4">
        <v>14</v>
      </c>
      <c r="BK368" s="8">
        <v>189.28</v>
      </c>
      <c r="BL368" s="2" t="s">
        <v>2291</v>
      </c>
      <c r="BM368" s="7"/>
      <c r="BN368" s="7"/>
      <c r="BO368" s="4"/>
      <c r="BP368" s="8"/>
      <c r="BQ368" s="4"/>
      <c r="BR368" s="8"/>
      <c r="BS368" s="7"/>
      <c r="BT368" s="7"/>
      <c r="BU368" s="2" t="s">
        <v>2292</v>
      </c>
      <c r="BV368" s="2" t="s">
        <v>233</v>
      </c>
      <c r="BW368" s="2" t="s">
        <v>233</v>
      </c>
      <c r="BX368" s="2" t="s">
        <v>243</v>
      </c>
      <c r="BY368" s="2" t="s">
        <v>280</v>
      </c>
      <c r="BZ368" s="2" t="s">
        <v>245</v>
      </c>
      <c r="CA368" s="2" t="s">
        <v>281</v>
      </c>
      <c r="CB368" s="2" t="s">
        <v>2293</v>
      </c>
      <c r="CC368" s="2" t="s">
        <v>246</v>
      </c>
      <c r="CD368" s="2" t="s">
        <v>233</v>
      </c>
      <c r="CE368" s="4">
        <v>83</v>
      </c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</row>
    <row r="369">
      <c r="A369" s="2" t="s">
        <v>2294</v>
      </c>
      <c r="B369" s="2" t="s">
        <v>264</v>
      </c>
      <c r="C369" s="2" t="s">
        <v>265</v>
      </c>
      <c r="D369" s="2" t="s">
        <v>266</v>
      </c>
      <c r="E369" s="2" t="s">
        <v>2295</v>
      </c>
      <c r="F369" s="2" t="s">
        <v>2288</v>
      </c>
      <c r="G369" s="2" t="s">
        <v>2288</v>
      </c>
      <c r="H369" s="2" t="s">
        <v>2288</v>
      </c>
      <c r="I369" s="2" t="s">
        <v>2289</v>
      </c>
      <c r="J369" s="2" t="s">
        <v>290</v>
      </c>
      <c r="K369" s="2" t="s">
        <v>297</v>
      </c>
      <c r="L369" s="3">
        <v>16.32</v>
      </c>
      <c r="M369" s="3">
        <v>17.14</v>
      </c>
      <c r="N369" s="3">
        <v>33.99</v>
      </c>
      <c r="O369" s="2" t="s">
        <v>245</v>
      </c>
      <c r="P369" s="2" t="s">
        <v>311</v>
      </c>
      <c r="Q369" s="2" t="s">
        <v>239</v>
      </c>
      <c r="R369" s="2" t="s">
        <v>233</v>
      </c>
      <c r="S369" s="2" t="s">
        <v>2290</v>
      </c>
      <c r="T369" s="2" t="s">
        <v>395</v>
      </c>
      <c r="U369" s="2" t="s">
        <v>233</v>
      </c>
      <c r="V369" s="2" t="s">
        <v>241</v>
      </c>
      <c r="W369" s="2" t="s">
        <v>275</v>
      </c>
      <c r="X369" s="2" t="s">
        <v>233</v>
      </c>
      <c r="Y369" s="2" t="s">
        <v>276</v>
      </c>
      <c r="Z369" s="4">
        <v>90</v>
      </c>
      <c r="AA369" s="4">
        <f>=ROUNDDOWN(30,0)</f>
      </c>
      <c r="AB369" s="5">
        <v>3</v>
      </c>
      <c r="AC369" s="2" t="s">
        <v>233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233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233</v>
      </c>
      <c r="AW369" s="8" t="s">
        <v>233</v>
      </c>
      <c r="AX369" s="4" t="s">
        <v>233</v>
      </c>
      <c r="AY369" s="8" t="s">
        <v>233</v>
      </c>
      <c r="AZ369" s="7" t="s">
        <v>233</v>
      </c>
      <c r="BA369" s="7" t="s">
        <v>233</v>
      </c>
      <c r="BB369" s="7"/>
      <c r="BC369" s="4" t="s">
        <v>233</v>
      </c>
      <c r="BD369" s="8" t="s">
        <v>233</v>
      </c>
      <c r="BE369" s="4" t="s">
        <v>233</v>
      </c>
      <c r="BF369" s="8" t="s">
        <v>233</v>
      </c>
      <c r="BG369" s="7" t="s">
        <v>233</v>
      </c>
      <c r="BH369" s="7" t="s">
        <v>233</v>
      </c>
      <c r="BI369" s="7"/>
      <c r="BJ369" s="4">
        <v>6</v>
      </c>
      <c r="BK369" s="8">
        <v>102.73</v>
      </c>
      <c r="BL369" s="2" t="s">
        <v>1262</v>
      </c>
      <c r="BM369" s="7"/>
      <c r="BN369" s="7"/>
      <c r="BO369" s="4"/>
      <c r="BP369" s="8"/>
      <c r="BQ369" s="4"/>
      <c r="BR369" s="8"/>
      <c r="BS369" s="7"/>
      <c r="BT369" s="7"/>
      <c r="BU369" s="2" t="s">
        <v>2296</v>
      </c>
      <c r="BV369" s="2" t="s">
        <v>233</v>
      </c>
      <c r="BW369" s="2" t="s">
        <v>233</v>
      </c>
      <c r="BX369" s="2" t="s">
        <v>233</v>
      </c>
      <c r="BY369" s="2" t="s">
        <v>280</v>
      </c>
      <c r="BZ369" s="2" t="s">
        <v>245</v>
      </c>
      <c r="CA369" s="2" t="s">
        <v>281</v>
      </c>
      <c r="CB369" s="2" t="s">
        <v>2297</v>
      </c>
      <c r="CC369" s="2" t="s">
        <v>246</v>
      </c>
      <c r="CD369" s="2" t="s">
        <v>233</v>
      </c>
      <c r="CE369" s="4">
        <v>90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</row>
    <row r="370">
      <c r="A370" s="2" t="s">
        <v>2298</v>
      </c>
      <c r="B370" s="2" t="s">
        <v>264</v>
      </c>
      <c r="C370" s="2" t="s">
        <v>265</v>
      </c>
      <c r="D370" s="2" t="s">
        <v>266</v>
      </c>
      <c r="E370" s="2" t="s">
        <v>2295</v>
      </c>
      <c r="F370" s="2" t="s">
        <v>2288</v>
      </c>
      <c r="G370" s="2" t="s">
        <v>2288</v>
      </c>
      <c r="H370" s="2" t="s">
        <v>2288</v>
      </c>
      <c r="I370" s="2" t="s">
        <v>2289</v>
      </c>
      <c r="J370" s="2" t="s">
        <v>328</v>
      </c>
      <c r="K370" s="2" t="s">
        <v>297</v>
      </c>
      <c r="L370" s="3">
        <v>21.83</v>
      </c>
      <c r="M370" s="3">
        <v>22.92</v>
      </c>
      <c r="N370" s="3">
        <v>41.99</v>
      </c>
      <c r="O370" s="2" t="s">
        <v>245</v>
      </c>
      <c r="P370" s="2" t="s">
        <v>311</v>
      </c>
      <c r="Q370" s="2" t="s">
        <v>239</v>
      </c>
      <c r="R370" s="2" t="s">
        <v>233</v>
      </c>
      <c r="S370" s="2" t="s">
        <v>2290</v>
      </c>
      <c r="T370" s="2" t="s">
        <v>395</v>
      </c>
      <c r="U370" s="2" t="s">
        <v>233</v>
      </c>
      <c r="V370" s="2" t="s">
        <v>241</v>
      </c>
      <c r="W370" s="2" t="s">
        <v>275</v>
      </c>
      <c r="X370" s="2" t="s">
        <v>233</v>
      </c>
      <c r="Y370" s="2" t="s">
        <v>276</v>
      </c>
      <c r="Z370" s="4">
        <v>59</v>
      </c>
      <c r="AA370" s="4">
        <f>=ROUNDDOWN(14.75,0)</f>
      </c>
      <c r="AB370" s="5">
        <v>4</v>
      </c>
      <c r="AC370" s="2" t="s">
        <v>233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233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233</v>
      </c>
      <c r="AW370" s="8" t="s">
        <v>233</v>
      </c>
      <c r="AX370" s="4" t="s">
        <v>233</v>
      </c>
      <c r="AY370" s="8" t="s">
        <v>233</v>
      </c>
      <c r="AZ370" s="7" t="s">
        <v>233</v>
      </c>
      <c r="BA370" s="7" t="s">
        <v>233</v>
      </c>
      <c r="BB370" s="7"/>
      <c r="BC370" s="4" t="s">
        <v>233</v>
      </c>
      <c r="BD370" s="8" t="s">
        <v>233</v>
      </c>
      <c r="BE370" s="4" t="s">
        <v>233</v>
      </c>
      <c r="BF370" s="8" t="s">
        <v>233</v>
      </c>
      <c r="BG370" s="7" t="s">
        <v>233</v>
      </c>
      <c r="BH370" s="7" t="s">
        <v>233</v>
      </c>
      <c r="BI370" s="7"/>
      <c r="BJ370" s="4">
        <v>10</v>
      </c>
      <c r="BK370" s="8">
        <v>261.03</v>
      </c>
      <c r="BL370" s="2" t="s">
        <v>2299</v>
      </c>
      <c r="BM370" s="7"/>
      <c r="BN370" s="7"/>
      <c r="BO370" s="4"/>
      <c r="BP370" s="8"/>
      <c r="BQ370" s="4"/>
      <c r="BR370" s="8"/>
      <c r="BS370" s="7"/>
      <c r="BT370" s="7"/>
      <c r="BU370" s="2" t="s">
        <v>2300</v>
      </c>
      <c r="BV370" s="2" t="s">
        <v>233</v>
      </c>
      <c r="BW370" s="2" t="s">
        <v>233</v>
      </c>
      <c r="BX370" s="2" t="s">
        <v>233</v>
      </c>
      <c r="BY370" s="2" t="s">
        <v>280</v>
      </c>
      <c r="BZ370" s="2" t="s">
        <v>245</v>
      </c>
      <c r="CA370" s="2" t="s">
        <v>281</v>
      </c>
      <c r="CB370" s="2" t="s">
        <v>2301</v>
      </c>
      <c r="CC370" s="2" t="s">
        <v>246</v>
      </c>
      <c r="CD370" s="2" t="s">
        <v>233</v>
      </c>
      <c r="CE370" s="4">
        <v>59</v>
      </c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</row>
    <row r="371">
      <c r="A371" s="2" t="s">
        <v>2302</v>
      </c>
      <c r="B371" s="2" t="s">
        <v>264</v>
      </c>
      <c r="C371" s="2" t="s">
        <v>265</v>
      </c>
      <c r="D371" s="2" t="s">
        <v>487</v>
      </c>
      <c r="E371" s="2" t="s">
        <v>488</v>
      </c>
      <c r="F371" s="2" t="s">
        <v>2288</v>
      </c>
      <c r="G371" s="2" t="s">
        <v>2288</v>
      </c>
      <c r="H371" s="2" t="s">
        <v>2288</v>
      </c>
      <c r="I371" s="2" t="s">
        <v>2303</v>
      </c>
      <c r="J371" s="2" t="s">
        <v>2304</v>
      </c>
      <c r="K371" s="2" t="s">
        <v>297</v>
      </c>
      <c r="L371" s="3">
        <v>7.38</v>
      </c>
      <c r="M371" s="3">
        <v>7.75</v>
      </c>
      <c r="N371" s="3">
        <v>17.99</v>
      </c>
      <c r="O371" s="2" t="s">
        <v>245</v>
      </c>
      <c r="P371" s="2" t="s">
        <v>311</v>
      </c>
      <c r="Q371" s="2" t="s">
        <v>239</v>
      </c>
      <c r="R371" s="2" t="s">
        <v>233</v>
      </c>
      <c r="S371" s="2" t="s">
        <v>2290</v>
      </c>
      <c r="T371" s="2" t="s">
        <v>395</v>
      </c>
      <c r="U371" s="2" t="s">
        <v>233</v>
      </c>
      <c r="V371" s="2" t="s">
        <v>241</v>
      </c>
      <c r="W371" s="2" t="s">
        <v>275</v>
      </c>
      <c r="X371" s="2" t="s">
        <v>233</v>
      </c>
      <c r="Y371" s="2" t="s">
        <v>276</v>
      </c>
      <c r="Z371" s="4">
        <v>113</v>
      </c>
      <c r="AA371" s="4">
        <f>=ROUNDDOWN(9.41666666666667,0)</f>
      </c>
      <c r="AB371" s="5">
        <v>12</v>
      </c>
      <c r="AC371" s="2" t="s">
        <v>233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233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233</v>
      </c>
      <c r="AW371" s="8" t="s">
        <v>233</v>
      </c>
      <c r="AX371" s="4" t="s">
        <v>233</v>
      </c>
      <c r="AY371" s="8" t="s">
        <v>233</v>
      </c>
      <c r="AZ371" s="7" t="s">
        <v>233</v>
      </c>
      <c r="BA371" s="7" t="s">
        <v>233</v>
      </c>
      <c r="BB371" s="7"/>
      <c r="BC371" s="4" t="s">
        <v>233</v>
      </c>
      <c r="BD371" s="8" t="s">
        <v>233</v>
      </c>
      <c r="BE371" s="4" t="s">
        <v>233</v>
      </c>
      <c r="BF371" s="8" t="s">
        <v>233</v>
      </c>
      <c r="BG371" s="7" t="s">
        <v>233</v>
      </c>
      <c r="BH371" s="7" t="s">
        <v>233</v>
      </c>
      <c r="BI371" s="7"/>
      <c r="BJ371" s="4">
        <v>41</v>
      </c>
      <c r="BK371" s="8">
        <v>348.57</v>
      </c>
      <c r="BL371" s="2" t="s">
        <v>2305</v>
      </c>
      <c r="BM371" s="7"/>
      <c r="BN371" s="7"/>
      <c r="BO371" s="4"/>
      <c r="BP371" s="8"/>
      <c r="BQ371" s="4"/>
      <c r="BR371" s="8"/>
      <c r="BS371" s="7"/>
      <c r="BT371" s="7"/>
      <c r="BU371" s="2" t="s">
        <v>2306</v>
      </c>
      <c r="BV371" s="2" t="s">
        <v>233</v>
      </c>
      <c r="BW371" s="2" t="s">
        <v>233</v>
      </c>
      <c r="BX371" s="2" t="s">
        <v>243</v>
      </c>
      <c r="BY371" s="2" t="s">
        <v>280</v>
      </c>
      <c r="BZ371" s="2" t="s">
        <v>245</v>
      </c>
      <c r="CA371" s="2" t="s">
        <v>281</v>
      </c>
      <c r="CB371" s="2" t="s">
        <v>2307</v>
      </c>
      <c r="CC371" s="2" t="s">
        <v>246</v>
      </c>
      <c r="CD371" s="2" t="s">
        <v>233</v>
      </c>
      <c r="CE371" s="4">
        <v>113</v>
      </c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</row>
    <row r="372">
      <c r="A372" s="2" t="s">
        <v>2308</v>
      </c>
      <c r="B372" s="2" t="s">
        <v>1066</v>
      </c>
      <c r="C372" s="2" t="s">
        <v>530</v>
      </c>
      <c r="D372" s="2" t="s">
        <v>1782</v>
      </c>
      <c r="E372" s="2" t="s">
        <v>2309</v>
      </c>
      <c r="F372" s="2" t="s">
        <v>2310</v>
      </c>
      <c r="G372" s="2" t="s">
        <v>2311</v>
      </c>
      <c r="H372" s="2" t="s">
        <v>2312</v>
      </c>
      <c r="I372" s="2" t="s">
        <v>2313</v>
      </c>
      <c r="J372" s="2" t="s">
        <v>892</v>
      </c>
      <c r="K372" s="2" t="s">
        <v>2314</v>
      </c>
      <c r="L372" s="3">
        <v>205.2</v>
      </c>
      <c r="M372" s="3">
        <v>215.46</v>
      </c>
      <c r="N372" s="3">
        <v>429</v>
      </c>
      <c r="O372" s="2" t="s">
        <v>245</v>
      </c>
      <c r="P372" s="2" t="s">
        <v>393</v>
      </c>
      <c r="Q372" s="2" t="s">
        <v>239</v>
      </c>
      <c r="R372" s="2" t="s">
        <v>233</v>
      </c>
      <c r="S372" s="2" t="s">
        <v>233</v>
      </c>
      <c r="T372" s="2" t="s">
        <v>233</v>
      </c>
      <c r="U372" s="2" t="s">
        <v>396</v>
      </c>
      <c r="V372" s="2" t="s">
        <v>241</v>
      </c>
      <c r="W372" s="2" t="s">
        <v>451</v>
      </c>
      <c r="X372" s="2" t="s">
        <v>275</v>
      </c>
      <c r="Y372" s="2" t="s">
        <v>2315</v>
      </c>
      <c r="Z372" s="4">
        <v>91</v>
      </c>
      <c r="AA372" s="4">
        <f>=ROUNDDOWN({0},0)</f>
      </c>
      <c r="AB372" s="5"/>
      <c r="AC372" s="2" t="s">
        <v>233</v>
      </c>
      <c r="AD372" s="4"/>
      <c r="AE372" s="4"/>
      <c r="AF372" s="6">
        <v>74</v>
      </c>
      <c r="AG372" s="6"/>
      <c r="AH372" s="7">
        <v>1</v>
      </c>
      <c r="AI372" s="4"/>
      <c r="AJ372" s="4">
        <f>=ROUNDDOWN({0},0)</f>
      </c>
      <c r="AK372" s="5"/>
      <c r="AL372" s="2" t="s">
        <v>233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233</v>
      </c>
      <c r="BM372" s="7"/>
      <c r="BN372" s="7"/>
      <c r="BO372" s="4"/>
      <c r="BP372" s="8"/>
      <c r="BQ372" s="4"/>
      <c r="BR372" s="8"/>
      <c r="BS372" s="7"/>
      <c r="BT372" s="7"/>
      <c r="BU372" s="2" t="s">
        <v>2316</v>
      </c>
      <c r="BV372" s="2" t="s">
        <v>233</v>
      </c>
      <c r="BW372" s="2" t="s">
        <v>233</v>
      </c>
      <c r="BX372" s="2" t="s">
        <v>233</v>
      </c>
      <c r="BY372" s="2" t="s">
        <v>280</v>
      </c>
      <c r="BZ372" s="2" t="s">
        <v>245</v>
      </c>
      <c r="CA372" s="2" t="s">
        <v>2317</v>
      </c>
      <c r="CB372" s="2" t="s">
        <v>233</v>
      </c>
      <c r="CC372" s="2" t="s">
        <v>246</v>
      </c>
      <c r="CD372" s="2" t="s">
        <v>233</v>
      </c>
      <c r="CE372" s="4"/>
      <c r="CF372" s="4">
        <v>91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</row>
    <row r="373">
      <c r="A373" s="2" t="s">
        <v>2318</v>
      </c>
      <c r="B373" s="2" t="s">
        <v>1242</v>
      </c>
      <c r="C373" s="2" t="s">
        <v>530</v>
      </c>
      <c r="D373" s="2" t="s">
        <v>969</v>
      </c>
      <c r="E373" s="2" t="s">
        <v>1078</v>
      </c>
      <c r="F373" s="2" t="s">
        <v>2319</v>
      </c>
      <c r="G373" s="2" t="s">
        <v>1827</v>
      </c>
      <c r="H373" s="2" t="s">
        <v>2320</v>
      </c>
      <c r="I373" s="2" t="s">
        <v>2321</v>
      </c>
      <c r="J373" s="2" t="s">
        <v>981</v>
      </c>
      <c r="K373" s="2" t="s">
        <v>984</v>
      </c>
      <c r="L373" s="3">
        <v>41.14</v>
      </c>
      <c r="M373" s="3">
        <v>43.2</v>
      </c>
      <c r="N373" s="3">
        <v>89.99</v>
      </c>
      <c r="O373" s="2" t="s">
        <v>245</v>
      </c>
      <c r="P373" s="2" t="s">
        <v>238</v>
      </c>
      <c r="Q373" s="2" t="s">
        <v>239</v>
      </c>
      <c r="R373" s="2" t="s">
        <v>233</v>
      </c>
      <c r="S373" s="2" t="s">
        <v>2322</v>
      </c>
      <c r="T373" s="2" t="s">
        <v>1481</v>
      </c>
      <c r="U373" s="2" t="s">
        <v>871</v>
      </c>
      <c r="V373" s="2" t="s">
        <v>359</v>
      </c>
      <c r="W373" s="2" t="s">
        <v>776</v>
      </c>
      <c r="X373" s="2" t="s">
        <v>233</v>
      </c>
      <c r="Y373" s="2" t="s">
        <v>233</v>
      </c>
      <c r="Z373" s="4"/>
      <c r="AA373" s="4">
        <f>=ROUNDDOWN({0},0)</f>
      </c>
      <c r="AB373" s="5"/>
      <c r="AC373" s="2" t="s">
        <v>547</v>
      </c>
      <c r="AD373" s="4">
        <v>220</v>
      </c>
      <c r="AE373" s="4">
        <v>440</v>
      </c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233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233</v>
      </c>
      <c r="AW373" s="8" t="s">
        <v>233</v>
      </c>
      <c r="AX373" s="4" t="s">
        <v>233</v>
      </c>
      <c r="AY373" s="8" t="s">
        <v>233</v>
      </c>
      <c r="AZ373" s="7" t="s">
        <v>233</v>
      </c>
      <c r="BA373" s="7" t="s">
        <v>233</v>
      </c>
      <c r="BB373" s="7"/>
      <c r="BC373" s="4" t="s">
        <v>233</v>
      </c>
      <c r="BD373" s="8" t="s">
        <v>233</v>
      </c>
      <c r="BE373" s="4" t="s">
        <v>233</v>
      </c>
      <c r="BF373" s="8" t="s">
        <v>233</v>
      </c>
      <c r="BG373" s="7" t="s">
        <v>233</v>
      </c>
      <c r="BH373" s="7" t="s">
        <v>233</v>
      </c>
      <c r="BI373" s="7"/>
      <c r="BJ373" s="4"/>
      <c r="BK373" s="8"/>
      <c r="BL373" s="2" t="s">
        <v>233</v>
      </c>
      <c r="BM373" s="7"/>
      <c r="BN373" s="7"/>
      <c r="BO373" s="4"/>
      <c r="BP373" s="8"/>
      <c r="BQ373" s="4"/>
      <c r="BR373" s="8"/>
      <c r="BS373" s="7"/>
      <c r="BT373" s="7"/>
      <c r="BU373" s="2" t="s">
        <v>243</v>
      </c>
      <c r="BV373" s="2" t="s">
        <v>233</v>
      </c>
      <c r="BW373" s="2" t="s">
        <v>233</v>
      </c>
      <c r="BX373" s="2" t="s">
        <v>243</v>
      </c>
      <c r="BY373" s="2" t="s">
        <v>244</v>
      </c>
      <c r="BZ373" s="2" t="s">
        <v>245</v>
      </c>
      <c r="CA373" s="2" t="s">
        <v>233</v>
      </c>
      <c r="CB373" s="2" t="s">
        <v>233</v>
      </c>
      <c r="CC373" s="2" t="s">
        <v>246</v>
      </c>
      <c r="CD373" s="2" t="s">
        <v>233</v>
      </c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>
        <v>220</v>
      </c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>
        <v>220</v>
      </c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</row>
    <row r="374">
      <c r="A374" s="2" t="s">
        <v>2323</v>
      </c>
      <c r="B374" s="2" t="s">
        <v>1242</v>
      </c>
      <c r="C374" s="2" t="s">
        <v>530</v>
      </c>
      <c r="D374" s="2" t="s">
        <v>969</v>
      </c>
      <c r="E374" s="2" t="s">
        <v>1078</v>
      </c>
      <c r="F374" s="2" t="s">
        <v>2319</v>
      </c>
      <c r="G374" s="2" t="s">
        <v>1827</v>
      </c>
      <c r="H374" s="2" t="s">
        <v>2320</v>
      </c>
      <c r="I374" s="2" t="s">
        <v>2321</v>
      </c>
      <c r="J374" s="2" t="s">
        <v>1142</v>
      </c>
      <c r="K374" s="2" t="s">
        <v>984</v>
      </c>
      <c r="L374" s="3">
        <v>45.71</v>
      </c>
      <c r="M374" s="3">
        <v>48</v>
      </c>
      <c r="N374" s="3">
        <v>99.99</v>
      </c>
      <c r="O374" s="2" t="s">
        <v>245</v>
      </c>
      <c r="P374" s="2" t="s">
        <v>238</v>
      </c>
      <c r="Q374" s="2" t="s">
        <v>239</v>
      </c>
      <c r="R374" s="2" t="s">
        <v>233</v>
      </c>
      <c r="S374" s="2" t="s">
        <v>2322</v>
      </c>
      <c r="T374" s="2" t="s">
        <v>1481</v>
      </c>
      <c r="U374" s="2" t="s">
        <v>871</v>
      </c>
      <c r="V374" s="2" t="s">
        <v>359</v>
      </c>
      <c r="W374" s="2" t="s">
        <v>776</v>
      </c>
      <c r="X374" s="2" t="s">
        <v>233</v>
      </c>
      <c r="Y374" s="2" t="s">
        <v>233</v>
      </c>
      <c r="Z374" s="4"/>
      <c r="AA374" s="4">
        <f>=ROUNDDOWN({0},0)</f>
      </c>
      <c r="AB374" s="5"/>
      <c r="AC374" s="2" t="s">
        <v>547</v>
      </c>
      <c r="AD374" s="4">
        <v>180</v>
      </c>
      <c r="AE374" s="4">
        <v>360</v>
      </c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233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233</v>
      </c>
      <c r="AW374" s="8" t="s">
        <v>233</v>
      </c>
      <c r="AX374" s="4" t="s">
        <v>233</v>
      </c>
      <c r="AY374" s="8" t="s">
        <v>233</v>
      </c>
      <c r="AZ374" s="7" t="s">
        <v>233</v>
      </c>
      <c r="BA374" s="7" t="s">
        <v>233</v>
      </c>
      <c r="BB374" s="7"/>
      <c r="BC374" s="4" t="s">
        <v>233</v>
      </c>
      <c r="BD374" s="8" t="s">
        <v>233</v>
      </c>
      <c r="BE374" s="4" t="s">
        <v>233</v>
      </c>
      <c r="BF374" s="8" t="s">
        <v>233</v>
      </c>
      <c r="BG374" s="7" t="s">
        <v>233</v>
      </c>
      <c r="BH374" s="7" t="s">
        <v>233</v>
      </c>
      <c r="BI374" s="7"/>
      <c r="BJ374" s="4"/>
      <c r="BK374" s="8"/>
      <c r="BL374" s="2" t="s">
        <v>233</v>
      </c>
      <c r="BM374" s="7"/>
      <c r="BN374" s="7"/>
      <c r="BO374" s="4"/>
      <c r="BP374" s="8"/>
      <c r="BQ374" s="4"/>
      <c r="BR374" s="8"/>
      <c r="BS374" s="7"/>
      <c r="BT374" s="7"/>
      <c r="BU374" s="2" t="s">
        <v>243</v>
      </c>
      <c r="BV374" s="2" t="s">
        <v>233</v>
      </c>
      <c r="BW374" s="2" t="s">
        <v>233</v>
      </c>
      <c r="BX374" s="2" t="s">
        <v>243</v>
      </c>
      <c r="BY374" s="2" t="s">
        <v>244</v>
      </c>
      <c r="BZ374" s="2" t="s">
        <v>245</v>
      </c>
      <c r="CA374" s="2" t="s">
        <v>233</v>
      </c>
      <c r="CB374" s="2" t="s">
        <v>233</v>
      </c>
      <c r="CC374" s="2" t="s">
        <v>246</v>
      </c>
      <c r="CD374" s="2" t="s">
        <v>233</v>
      </c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>
        <v>180</v>
      </c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>
        <v>180</v>
      </c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</row>
    <row r="375">
      <c r="A375" s="2" t="s">
        <v>2324</v>
      </c>
      <c r="B375" s="2" t="s">
        <v>910</v>
      </c>
      <c r="C375" s="2" t="s">
        <v>1266</v>
      </c>
      <c r="D375" s="2" t="s">
        <v>969</v>
      </c>
      <c r="E375" s="2" t="s">
        <v>1078</v>
      </c>
      <c r="F375" s="2" t="s">
        <v>2319</v>
      </c>
      <c r="G375" s="2" t="s">
        <v>2325</v>
      </c>
      <c r="H375" s="2" t="s">
        <v>2326</v>
      </c>
      <c r="I375" s="2" t="s">
        <v>2327</v>
      </c>
      <c r="J375" s="2" t="s">
        <v>981</v>
      </c>
      <c r="K375" s="2" t="s">
        <v>255</v>
      </c>
      <c r="L375" s="3">
        <v>45</v>
      </c>
      <c r="M375" s="3">
        <v>47.25</v>
      </c>
      <c r="N375" s="3">
        <v>89.99</v>
      </c>
      <c r="O375" s="2" t="s">
        <v>237</v>
      </c>
      <c r="P375" s="2" t="s">
        <v>311</v>
      </c>
      <c r="Q375" s="2" t="s">
        <v>239</v>
      </c>
      <c r="R375" s="2" t="s">
        <v>233</v>
      </c>
      <c r="S375" s="2" t="s">
        <v>2328</v>
      </c>
      <c r="T375" s="2" t="s">
        <v>233</v>
      </c>
      <c r="U375" s="2" t="s">
        <v>342</v>
      </c>
      <c r="V375" s="2" t="s">
        <v>241</v>
      </c>
      <c r="W375" s="2" t="s">
        <v>705</v>
      </c>
      <c r="X375" s="2" t="s">
        <v>2082</v>
      </c>
      <c r="Y375" s="2" t="s">
        <v>2329</v>
      </c>
      <c r="Z375" s="4"/>
      <c r="AA375" s="4">
        <f>=ROUNDDOWN({0},0)</f>
      </c>
      <c r="AB375" s="5"/>
      <c r="AC375" s="2" t="s">
        <v>233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233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233</v>
      </c>
      <c r="BD375" s="8" t="s">
        <v>233</v>
      </c>
      <c r="BE375" s="4" t="s">
        <v>233</v>
      </c>
      <c r="BF375" s="8" t="s">
        <v>233</v>
      </c>
      <c r="BG375" s="7" t="s">
        <v>233</v>
      </c>
      <c r="BH375" s="7" t="s">
        <v>233</v>
      </c>
      <c r="BI375" s="7"/>
      <c r="BJ375" s="4"/>
      <c r="BK375" s="8"/>
      <c r="BL375" s="2" t="s">
        <v>233</v>
      </c>
      <c r="BM375" s="7"/>
      <c r="BN375" s="7"/>
      <c r="BO375" s="4"/>
      <c r="BP375" s="8"/>
      <c r="BQ375" s="4"/>
      <c r="BR375" s="8"/>
      <c r="BS375" s="7"/>
      <c r="BT375" s="7"/>
      <c r="BU375" s="2" t="s">
        <v>2330</v>
      </c>
      <c r="BV375" s="2" t="s">
        <v>233</v>
      </c>
      <c r="BW375" s="2" t="s">
        <v>233</v>
      </c>
      <c r="BX375" s="2" t="s">
        <v>233</v>
      </c>
      <c r="BY375" s="2" t="s">
        <v>280</v>
      </c>
      <c r="BZ375" s="2" t="s">
        <v>245</v>
      </c>
      <c r="CA375" s="2" t="s">
        <v>2331</v>
      </c>
      <c r="CB375" s="2" t="s">
        <v>1377</v>
      </c>
      <c r="CC375" s="2" t="s">
        <v>246</v>
      </c>
      <c r="CD375" s="2" t="s">
        <v>233</v>
      </c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</row>
    <row r="376">
      <c r="A376" s="2" t="s">
        <v>2332</v>
      </c>
      <c r="B376" s="2" t="s">
        <v>1066</v>
      </c>
      <c r="C376" s="2" t="s">
        <v>947</v>
      </c>
      <c r="D376" s="2" t="s">
        <v>2333</v>
      </c>
      <c r="E376" s="2" t="s">
        <v>2334</v>
      </c>
      <c r="F376" s="2" t="s">
        <v>2319</v>
      </c>
      <c r="G376" s="2" t="s">
        <v>2319</v>
      </c>
      <c r="H376" s="2" t="s">
        <v>2319</v>
      </c>
      <c r="I376" s="2" t="s">
        <v>2335</v>
      </c>
      <c r="J376" s="2" t="s">
        <v>892</v>
      </c>
      <c r="K376" s="2" t="s">
        <v>1537</v>
      </c>
      <c r="L376" s="3">
        <v>240</v>
      </c>
      <c r="M376" s="3">
        <v>252</v>
      </c>
      <c r="N376" s="3">
        <v>499</v>
      </c>
      <c r="O376" s="2" t="s">
        <v>245</v>
      </c>
      <c r="P376" s="2" t="s">
        <v>238</v>
      </c>
      <c r="Q376" s="2" t="s">
        <v>239</v>
      </c>
      <c r="R376" s="2" t="s">
        <v>233</v>
      </c>
      <c r="S376" s="2" t="s">
        <v>233</v>
      </c>
      <c r="T376" s="2" t="s">
        <v>233</v>
      </c>
      <c r="U376" s="2" t="s">
        <v>396</v>
      </c>
      <c r="V376" s="2" t="s">
        <v>893</v>
      </c>
      <c r="W376" s="2" t="s">
        <v>977</v>
      </c>
      <c r="X376" s="2" t="s">
        <v>953</v>
      </c>
      <c r="Y376" s="2" t="s">
        <v>2336</v>
      </c>
      <c r="Z376" s="4">
        <v>98</v>
      </c>
      <c r="AA376" s="4">
        <f>=ROUNDDOWN(490,0)</f>
      </c>
      <c r="AB376" s="5">
        <v>0.2</v>
      </c>
      <c r="AC376" s="2" t="s">
        <v>233</v>
      </c>
      <c r="AD376" s="4"/>
      <c r="AE376" s="4"/>
      <c r="AF376" s="6">
        <v>76</v>
      </c>
      <c r="AG376" s="6"/>
      <c r="AH376" s="7">
        <v>1</v>
      </c>
      <c r="AI376" s="4"/>
      <c r="AJ376" s="4">
        <f>=ROUNDDOWN({0},0)</f>
      </c>
      <c r="AK376" s="5"/>
      <c r="AL376" s="2" t="s">
        <v>233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 t="s">
        <v>233</v>
      </c>
      <c r="BD376" s="8" t="s">
        <v>233</v>
      </c>
      <c r="BE376" s="4" t="s">
        <v>233</v>
      </c>
      <c r="BF376" s="8" t="s">
        <v>233</v>
      </c>
      <c r="BG376" s="7" t="s">
        <v>233</v>
      </c>
      <c r="BH376" s="7" t="s">
        <v>233</v>
      </c>
      <c r="BI376" s="7"/>
      <c r="BJ376" s="4">
        <v>1</v>
      </c>
      <c r="BK376" s="8">
        <v>252</v>
      </c>
      <c r="BL376" s="2" t="s">
        <v>744</v>
      </c>
      <c r="BM376" s="7"/>
      <c r="BN376" s="7"/>
      <c r="BO376" s="4"/>
      <c r="BP376" s="8"/>
      <c r="BQ376" s="4"/>
      <c r="BR376" s="8"/>
      <c r="BS376" s="7"/>
      <c r="BT376" s="7"/>
      <c r="BU376" s="2" t="s">
        <v>2337</v>
      </c>
      <c r="BV376" s="2" t="s">
        <v>233</v>
      </c>
      <c r="BW376" s="2" t="s">
        <v>233</v>
      </c>
      <c r="BX376" s="2" t="s">
        <v>243</v>
      </c>
      <c r="BY376" s="2" t="s">
        <v>280</v>
      </c>
      <c r="BZ376" s="2" t="s">
        <v>245</v>
      </c>
      <c r="CA376" s="2" t="s">
        <v>2338</v>
      </c>
      <c r="CB376" s="2" t="s">
        <v>233</v>
      </c>
      <c r="CC376" s="2" t="s">
        <v>246</v>
      </c>
      <c r="CD376" s="2" t="s">
        <v>233</v>
      </c>
      <c r="CE376" s="4"/>
      <c r="CF376" s="4">
        <v>98</v>
      </c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</row>
    <row r="377">
      <c r="A377" s="2" t="s">
        <v>2339</v>
      </c>
      <c r="B377" s="2" t="s">
        <v>910</v>
      </c>
      <c r="C377" s="2" t="s">
        <v>1130</v>
      </c>
      <c r="D377" s="2" t="s">
        <v>969</v>
      </c>
      <c r="E377" s="2" t="s">
        <v>970</v>
      </c>
      <c r="F377" s="2" t="s">
        <v>2340</v>
      </c>
      <c r="G377" s="2" t="s">
        <v>2341</v>
      </c>
      <c r="H377" s="2" t="s">
        <v>2342</v>
      </c>
      <c r="I377" s="2" t="s">
        <v>2343</v>
      </c>
      <c r="J377" s="2" t="s">
        <v>981</v>
      </c>
      <c r="K377" s="2" t="s">
        <v>2344</v>
      </c>
      <c r="L377" s="3">
        <v>35.71</v>
      </c>
      <c r="M377" s="3">
        <v>37.5</v>
      </c>
      <c r="N377" s="3">
        <v>74.99</v>
      </c>
      <c r="O377" s="2" t="s">
        <v>245</v>
      </c>
      <c r="P377" s="2" t="s">
        <v>311</v>
      </c>
      <c r="Q377" s="2" t="s">
        <v>239</v>
      </c>
      <c r="R377" s="2" t="s">
        <v>233</v>
      </c>
      <c r="S377" s="2" t="s">
        <v>2345</v>
      </c>
      <c r="T377" s="2" t="s">
        <v>1481</v>
      </c>
      <c r="U377" s="2" t="s">
        <v>475</v>
      </c>
      <c r="V377" s="2" t="s">
        <v>921</v>
      </c>
      <c r="W377" s="2" t="s">
        <v>397</v>
      </c>
      <c r="X377" s="2" t="s">
        <v>233</v>
      </c>
      <c r="Y377" s="2" t="s">
        <v>2346</v>
      </c>
      <c r="Z377" s="4">
        <v>134</v>
      </c>
      <c r="AA377" s="4">
        <f>=ROUNDDOWN(60.9090909090909,0)</f>
      </c>
      <c r="AB377" s="5">
        <v>2.2</v>
      </c>
      <c r="AC377" s="2" t="s">
        <v>233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233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233</v>
      </c>
      <c r="AW377" s="8" t="s">
        <v>233</v>
      </c>
      <c r="AX377" s="4" t="s">
        <v>233</v>
      </c>
      <c r="AY377" s="8" t="s">
        <v>233</v>
      </c>
      <c r="AZ377" s="7" t="s">
        <v>233</v>
      </c>
      <c r="BA377" s="7" t="s">
        <v>233</v>
      </c>
      <c r="BB377" s="7"/>
      <c r="BC377" s="4" t="s">
        <v>233</v>
      </c>
      <c r="BD377" s="8" t="s">
        <v>233</v>
      </c>
      <c r="BE377" s="4" t="s">
        <v>233</v>
      </c>
      <c r="BF377" s="8" t="s">
        <v>233</v>
      </c>
      <c r="BG377" s="7" t="s">
        <v>233</v>
      </c>
      <c r="BH377" s="7" t="s">
        <v>233</v>
      </c>
      <c r="BI377" s="7"/>
      <c r="BJ377" s="4">
        <v>8</v>
      </c>
      <c r="BK377" s="8">
        <v>325.49</v>
      </c>
      <c r="BL377" s="2" t="s">
        <v>453</v>
      </c>
      <c r="BM377" s="7"/>
      <c r="BN377" s="7"/>
      <c r="BO377" s="4"/>
      <c r="BP377" s="8"/>
      <c r="BQ377" s="4"/>
      <c r="BR377" s="8"/>
      <c r="BS377" s="7"/>
      <c r="BT377" s="7"/>
      <c r="BU377" s="2" t="s">
        <v>2347</v>
      </c>
      <c r="BV377" s="2" t="s">
        <v>233</v>
      </c>
      <c r="BW377" s="2" t="s">
        <v>233</v>
      </c>
      <c r="BX377" s="2" t="s">
        <v>233</v>
      </c>
      <c r="BY377" s="2" t="s">
        <v>280</v>
      </c>
      <c r="BZ377" s="2" t="s">
        <v>245</v>
      </c>
      <c r="CA377" s="2" t="s">
        <v>2348</v>
      </c>
      <c r="CB377" s="2" t="s">
        <v>2349</v>
      </c>
      <c r="CC377" s="2" t="s">
        <v>246</v>
      </c>
      <c r="CD377" s="2" t="s">
        <v>233</v>
      </c>
      <c r="CE377" s="4">
        <v>134</v>
      </c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</row>
    <row r="378">
      <c r="A378" s="2" t="s">
        <v>2350</v>
      </c>
      <c r="B378" s="2" t="s">
        <v>910</v>
      </c>
      <c r="C378" s="2" t="s">
        <v>1130</v>
      </c>
      <c r="D378" s="2" t="s">
        <v>912</v>
      </c>
      <c r="E378" s="2" t="s">
        <v>1139</v>
      </c>
      <c r="F378" s="2" t="s">
        <v>2340</v>
      </c>
      <c r="G378" s="2" t="s">
        <v>2341</v>
      </c>
      <c r="H378" s="2" t="s">
        <v>2342</v>
      </c>
      <c r="I378" s="2" t="s">
        <v>2351</v>
      </c>
      <c r="J378" s="2" t="s">
        <v>1142</v>
      </c>
      <c r="K378" s="2" t="s">
        <v>2344</v>
      </c>
      <c r="L378" s="3">
        <v>30.95</v>
      </c>
      <c r="M378" s="3">
        <v>32.5</v>
      </c>
      <c r="N378" s="3">
        <v>64.99</v>
      </c>
      <c r="O378" s="2" t="s">
        <v>245</v>
      </c>
      <c r="P378" s="2" t="s">
        <v>311</v>
      </c>
      <c r="Q378" s="2" t="s">
        <v>239</v>
      </c>
      <c r="R378" s="2" t="s">
        <v>233</v>
      </c>
      <c r="S378" s="2" t="s">
        <v>2345</v>
      </c>
      <c r="T378" s="2" t="s">
        <v>1481</v>
      </c>
      <c r="U378" s="2" t="s">
        <v>475</v>
      </c>
      <c r="V378" s="2" t="s">
        <v>921</v>
      </c>
      <c r="W378" s="2" t="s">
        <v>397</v>
      </c>
      <c r="X378" s="2" t="s">
        <v>233</v>
      </c>
      <c r="Y378" s="2" t="s">
        <v>2346</v>
      </c>
      <c r="Z378" s="4">
        <v>91</v>
      </c>
      <c r="AA378" s="4">
        <f>=ROUNDDOWN(60.6666666666667,0)</f>
      </c>
      <c r="AB378" s="5">
        <v>1.5</v>
      </c>
      <c r="AC378" s="2" t="s">
        <v>233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233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233</v>
      </c>
      <c r="AW378" s="8" t="s">
        <v>233</v>
      </c>
      <c r="AX378" s="4" t="s">
        <v>233</v>
      </c>
      <c r="AY378" s="8" t="s">
        <v>233</v>
      </c>
      <c r="AZ378" s="7" t="s">
        <v>233</v>
      </c>
      <c r="BA378" s="7" t="s">
        <v>233</v>
      </c>
      <c r="BB378" s="7"/>
      <c r="BC378" s="4" t="s">
        <v>233</v>
      </c>
      <c r="BD378" s="8" t="s">
        <v>233</v>
      </c>
      <c r="BE378" s="4" t="s">
        <v>233</v>
      </c>
      <c r="BF378" s="8" t="s">
        <v>233</v>
      </c>
      <c r="BG378" s="7" t="s">
        <v>233</v>
      </c>
      <c r="BH378" s="7" t="s">
        <v>233</v>
      </c>
      <c r="BI378" s="7"/>
      <c r="BJ378" s="4">
        <v>5</v>
      </c>
      <c r="BK378" s="8">
        <v>174.84</v>
      </c>
      <c r="BL378" s="2" t="s">
        <v>2352</v>
      </c>
      <c r="BM378" s="7"/>
      <c r="BN378" s="7"/>
      <c r="BO378" s="4"/>
      <c r="BP378" s="8"/>
      <c r="BQ378" s="4"/>
      <c r="BR378" s="8"/>
      <c r="BS378" s="7"/>
      <c r="BT378" s="7"/>
      <c r="BU378" s="2" t="s">
        <v>2353</v>
      </c>
      <c r="BV378" s="2" t="s">
        <v>233</v>
      </c>
      <c r="BW378" s="2" t="s">
        <v>233</v>
      </c>
      <c r="BX378" s="2" t="s">
        <v>233</v>
      </c>
      <c r="BY378" s="2" t="s">
        <v>280</v>
      </c>
      <c r="BZ378" s="2" t="s">
        <v>245</v>
      </c>
      <c r="CA378" s="2" t="s">
        <v>2348</v>
      </c>
      <c r="CB378" s="2" t="s">
        <v>2354</v>
      </c>
      <c r="CC378" s="2" t="s">
        <v>246</v>
      </c>
      <c r="CD378" s="2" t="s">
        <v>233</v>
      </c>
      <c r="CE378" s="4">
        <v>91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</row>
    <row r="379">
      <c r="A379" s="2" t="s">
        <v>2355</v>
      </c>
      <c r="B379" s="2" t="s">
        <v>1066</v>
      </c>
      <c r="C379" s="2" t="s">
        <v>901</v>
      </c>
      <c r="D379" s="2" t="s">
        <v>1923</v>
      </c>
      <c r="E379" s="2" t="s">
        <v>1924</v>
      </c>
      <c r="F379" s="2" t="s">
        <v>2356</v>
      </c>
      <c r="G379" s="2" t="s">
        <v>2356</v>
      </c>
      <c r="H379" s="2" t="s">
        <v>2356</v>
      </c>
      <c r="I379" s="2" t="s">
        <v>2357</v>
      </c>
      <c r="J379" s="2" t="s">
        <v>892</v>
      </c>
      <c r="K379" s="2" t="s">
        <v>2358</v>
      </c>
      <c r="L379" s="3">
        <v>204.25</v>
      </c>
      <c r="M379" s="3">
        <v>214.46</v>
      </c>
      <c r="N379" s="3">
        <v>429</v>
      </c>
      <c r="O379" s="2" t="s">
        <v>245</v>
      </c>
      <c r="P379" s="2" t="s">
        <v>393</v>
      </c>
      <c r="Q379" s="2" t="s">
        <v>239</v>
      </c>
      <c r="R379" s="2" t="s">
        <v>233</v>
      </c>
      <c r="S379" s="2" t="s">
        <v>233</v>
      </c>
      <c r="T379" s="2" t="s">
        <v>233</v>
      </c>
      <c r="U379" s="2" t="s">
        <v>491</v>
      </c>
      <c r="V379" s="2" t="s">
        <v>893</v>
      </c>
      <c r="W379" s="2" t="s">
        <v>894</v>
      </c>
      <c r="X379" s="2" t="s">
        <v>397</v>
      </c>
      <c r="Y379" s="2" t="s">
        <v>2315</v>
      </c>
      <c r="Z379" s="4">
        <v>63</v>
      </c>
      <c r="AA379" s="4">
        <f>=ROUNDDOWN(15.75,0)</f>
      </c>
      <c r="AB379" s="5">
        <v>4</v>
      </c>
      <c r="AC379" s="2" t="s">
        <v>2359</v>
      </c>
      <c r="AD379" s="4">
        <v>150</v>
      </c>
      <c r="AE379" s="4">
        <v>150</v>
      </c>
      <c r="AF379" s="6">
        <v>74</v>
      </c>
      <c r="AG379" s="6"/>
      <c r="AH379" s="7">
        <v>1</v>
      </c>
      <c r="AI379" s="4"/>
      <c r="AJ379" s="4">
        <f>=ROUNDDOWN({0},0)</f>
      </c>
      <c r="AK379" s="5"/>
      <c r="AL379" s="2" t="s">
        <v>233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>
        <v>20</v>
      </c>
      <c r="BK379" s="8">
        <v>4096.8</v>
      </c>
      <c r="BL379" s="2" t="s">
        <v>2045</v>
      </c>
      <c r="BM379" s="7"/>
      <c r="BN379" s="7"/>
      <c r="BO379" s="4"/>
      <c r="BP379" s="8"/>
      <c r="BQ379" s="4"/>
      <c r="BR379" s="8"/>
      <c r="BS379" s="7"/>
      <c r="BT379" s="7"/>
      <c r="BU379" s="2" t="s">
        <v>2360</v>
      </c>
      <c r="BV379" s="2" t="s">
        <v>233</v>
      </c>
      <c r="BW379" s="2" t="s">
        <v>233</v>
      </c>
      <c r="BX379" s="2" t="s">
        <v>243</v>
      </c>
      <c r="BY379" s="2" t="s">
        <v>280</v>
      </c>
      <c r="BZ379" s="2" t="s">
        <v>245</v>
      </c>
      <c r="CA379" s="2" t="s">
        <v>2361</v>
      </c>
      <c r="CB379" s="2" t="s">
        <v>2362</v>
      </c>
      <c r="CC379" s="2" t="s">
        <v>246</v>
      </c>
      <c r="CD379" s="2" t="s">
        <v>233</v>
      </c>
      <c r="CE379" s="4"/>
      <c r="CF379" s="4">
        <v>63</v>
      </c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>
        <v>150</v>
      </c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</row>
    <row r="380">
      <c r="A380" s="2" t="s">
        <v>2363</v>
      </c>
      <c r="B380" s="2" t="s">
        <v>910</v>
      </c>
      <c r="C380" s="2" t="s">
        <v>1130</v>
      </c>
      <c r="D380" s="2" t="s">
        <v>969</v>
      </c>
      <c r="E380" s="2" t="s">
        <v>970</v>
      </c>
      <c r="F380" s="2" t="s">
        <v>2364</v>
      </c>
      <c r="G380" s="2" t="s">
        <v>2365</v>
      </c>
      <c r="H380" s="2" t="s">
        <v>2366</v>
      </c>
      <c r="I380" s="2" t="s">
        <v>2367</v>
      </c>
      <c r="J380" s="2" t="s">
        <v>981</v>
      </c>
      <c r="K380" s="2" t="s">
        <v>2368</v>
      </c>
      <c r="L380" s="3">
        <v>35.71</v>
      </c>
      <c r="M380" s="3">
        <v>37.5</v>
      </c>
      <c r="N380" s="3">
        <v>74.99</v>
      </c>
      <c r="O380" s="2" t="s">
        <v>245</v>
      </c>
      <c r="P380" s="2" t="s">
        <v>238</v>
      </c>
      <c r="Q380" s="2" t="s">
        <v>239</v>
      </c>
      <c r="R380" s="2" t="s">
        <v>233</v>
      </c>
      <c r="S380" s="2" t="s">
        <v>2369</v>
      </c>
      <c r="T380" s="2" t="s">
        <v>1481</v>
      </c>
      <c r="U380" s="2" t="s">
        <v>475</v>
      </c>
      <c r="V380" s="2" t="s">
        <v>1085</v>
      </c>
      <c r="W380" s="2" t="s">
        <v>397</v>
      </c>
      <c r="X380" s="2" t="s">
        <v>233</v>
      </c>
      <c r="Y380" s="2" t="s">
        <v>1026</v>
      </c>
      <c r="Z380" s="4">
        <v>162</v>
      </c>
      <c r="AA380" s="4">
        <f>=ROUNDDOWN(81,0)</f>
      </c>
      <c r="AB380" s="5">
        <v>2</v>
      </c>
      <c r="AC380" s="2" t="s">
        <v>233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233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233</v>
      </c>
      <c r="AW380" s="8" t="s">
        <v>233</v>
      </c>
      <c r="AX380" s="4" t="s">
        <v>233</v>
      </c>
      <c r="AY380" s="8" t="s">
        <v>233</v>
      </c>
      <c r="AZ380" s="7" t="s">
        <v>233</v>
      </c>
      <c r="BA380" s="7" t="s">
        <v>233</v>
      </c>
      <c r="BB380" s="7"/>
      <c r="BC380" s="4" t="s">
        <v>233</v>
      </c>
      <c r="BD380" s="8" t="s">
        <v>233</v>
      </c>
      <c r="BE380" s="4" t="s">
        <v>233</v>
      </c>
      <c r="BF380" s="8" t="s">
        <v>233</v>
      </c>
      <c r="BG380" s="7" t="s">
        <v>233</v>
      </c>
      <c r="BH380" s="7" t="s">
        <v>233</v>
      </c>
      <c r="BI380" s="7"/>
      <c r="BJ380" s="4"/>
      <c r="BK380" s="8"/>
      <c r="BL380" s="2" t="s">
        <v>233</v>
      </c>
      <c r="BM380" s="7"/>
      <c r="BN380" s="7"/>
      <c r="BO380" s="4"/>
      <c r="BP380" s="8"/>
      <c r="BQ380" s="4"/>
      <c r="BR380" s="8"/>
      <c r="BS380" s="7"/>
      <c r="BT380" s="7"/>
      <c r="BU380" s="2" t="s">
        <v>2370</v>
      </c>
      <c r="BV380" s="2" t="s">
        <v>233</v>
      </c>
      <c r="BW380" s="2" t="s">
        <v>233</v>
      </c>
      <c r="BX380" s="2" t="s">
        <v>243</v>
      </c>
      <c r="BY380" s="2" t="s">
        <v>280</v>
      </c>
      <c r="BZ380" s="2" t="s">
        <v>245</v>
      </c>
      <c r="CA380" s="2" t="s">
        <v>1582</v>
      </c>
      <c r="CB380" s="2" t="s">
        <v>2371</v>
      </c>
      <c r="CC380" s="2" t="s">
        <v>246</v>
      </c>
      <c r="CD380" s="2" t="s">
        <v>233</v>
      </c>
      <c r="CE380" s="4">
        <v>162</v>
      </c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</row>
    <row r="381">
      <c r="A381" s="2" t="s">
        <v>2372</v>
      </c>
      <c r="B381" s="2" t="s">
        <v>910</v>
      </c>
      <c r="C381" s="2" t="s">
        <v>1130</v>
      </c>
      <c r="D381" s="2" t="s">
        <v>969</v>
      </c>
      <c r="E381" s="2" t="s">
        <v>970</v>
      </c>
      <c r="F381" s="2" t="s">
        <v>2364</v>
      </c>
      <c r="G381" s="2" t="s">
        <v>2365</v>
      </c>
      <c r="H381" s="2" t="s">
        <v>2366</v>
      </c>
      <c r="I381" s="2" t="s">
        <v>2367</v>
      </c>
      <c r="J381" s="2" t="s">
        <v>1142</v>
      </c>
      <c r="K381" s="2" t="s">
        <v>2368</v>
      </c>
      <c r="L381" s="3">
        <v>40.47</v>
      </c>
      <c r="M381" s="3">
        <v>42.49</v>
      </c>
      <c r="N381" s="3">
        <v>84.99</v>
      </c>
      <c r="O381" s="2" t="s">
        <v>245</v>
      </c>
      <c r="P381" s="2" t="s">
        <v>238</v>
      </c>
      <c r="Q381" s="2" t="s">
        <v>239</v>
      </c>
      <c r="R381" s="2" t="s">
        <v>233</v>
      </c>
      <c r="S381" s="2" t="s">
        <v>2369</v>
      </c>
      <c r="T381" s="2" t="s">
        <v>1481</v>
      </c>
      <c r="U381" s="2" t="s">
        <v>475</v>
      </c>
      <c r="V381" s="2" t="s">
        <v>1085</v>
      </c>
      <c r="W381" s="2" t="s">
        <v>397</v>
      </c>
      <c r="X381" s="2" t="s">
        <v>233</v>
      </c>
      <c r="Y381" s="2" t="s">
        <v>2373</v>
      </c>
      <c r="Z381" s="4">
        <v>132</v>
      </c>
      <c r="AA381" s="4">
        <f>=ROUNDDOWN(44,0)</f>
      </c>
      <c r="AB381" s="5">
        <v>3</v>
      </c>
      <c r="AC381" s="2" t="s">
        <v>233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233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233</v>
      </c>
      <c r="AW381" s="8" t="s">
        <v>233</v>
      </c>
      <c r="AX381" s="4" t="s">
        <v>233</v>
      </c>
      <c r="AY381" s="8" t="s">
        <v>233</v>
      </c>
      <c r="AZ381" s="7" t="s">
        <v>233</v>
      </c>
      <c r="BA381" s="7" t="s">
        <v>233</v>
      </c>
      <c r="BB381" s="7"/>
      <c r="BC381" s="4" t="s">
        <v>233</v>
      </c>
      <c r="BD381" s="8" t="s">
        <v>233</v>
      </c>
      <c r="BE381" s="4" t="s">
        <v>233</v>
      </c>
      <c r="BF381" s="8" t="s">
        <v>233</v>
      </c>
      <c r="BG381" s="7" t="s">
        <v>233</v>
      </c>
      <c r="BH381" s="7" t="s">
        <v>233</v>
      </c>
      <c r="BI381" s="7"/>
      <c r="BJ381" s="4">
        <v>2</v>
      </c>
      <c r="BK381" s="8">
        <v>89.24</v>
      </c>
      <c r="BL381" s="2" t="s">
        <v>1592</v>
      </c>
      <c r="BM381" s="7"/>
      <c r="BN381" s="7"/>
      <c r="BO381" s="4"/>
      <c r="BP381" s="8"/>
      <c r="BQ381" s="4"/>
      <c r="BR381" s="8"/>
      <c r="BS381" s="7"/>
      <c r="BT381" s="7"/>
      <c r="BU381" s="2" t="s">
        <v>2374</v>
      </c>
      <c r="BV381" s="2" t="s">
        <v>233</v>
      </c>
      <c r="BW381" s="2" t="s">
        <v>233</v>
      </c>
      <c r="BX381" s="2" t="s">
        <v>243</v>
      </c>
      <c r="BY381" s="2" t="s">
        <v>280</v>
      </c>
      <c r="BZ381" s="2" t="s">
        <v>245</v>
      </c>
      <c r="CA381" s="2" t="s">
        <v>1582</v>
      </c>
      <c r="CB381" s="2" t="s">
        <v>1012</v>
      </c>
      <c r="CC381" s="2" t="s">
        <v>246</v>
      </c>
      <c r="CD381" s="2" t="s">
        <v>233</v>
      </c>
      <c r="CE381" s="4">
        <v>132</v>
      </c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</row>
    <row r="382">
      <c r="A382" s="2" t="s">
        <v>2375</v>
      </c>
      <c r="B382" s="2" t="s">
        <v>1174</v>
      </c>
      <c r="C382" s="2" t="s">
        <v>1447</v>
      </c>
      <c r="D382" s="2" t="s">
        <v>1175</v>
      </c>
      <c r="E382" s="2" t="s">
        <v>1448</v>
      </c>
      <c r="F382" s="2" t="s">
        <v>2364</v>
      </c>
      <c r="G382" s="2" t="s">
        <v>2376</v>
      </c>
      <c r="H382" s="2" t="s">
        <v>2377</v>
      </c>
      <c r="I382" s="2" t="s">
        <v>2378</v>
      </c>
      <c r="J382" s="2" t="s">
        <v>1453</v>
      </c>
      <c r="K382" s="2" t="s">
        <v>257</v>
      </c>
      <c r="L382" s="3">
        <v>21</v>
      </c>
      <c r="M382" s="3">
        <v>22.05</v>
      </c>
      <c r="N382" s="3">
        <v>49.99</v>
      </c>
      <c r="O382" s="2" t="s">
        <v>245</v>
      </c>
      <c r="P382" s="2" t="s">
        <v>311</v>
      </c>
      <c r="Q382" s="2" t="s">
        <v>239</v>
      </c>
      <c r="R382" s="2" t="s">
        <v>233</v>
      </c>
      <c r="S382" s="2" t="s">
        <v>2379</v>
      </c>
      <c r="T382" s="2" t="s">
        <v>395</v>
      </c>
      <c r="U382" s="2" t="s">
        <v>396</v>
      </c>
      <c r="V382" s="2" t="s">
        <v>1085</v>
      </c>
      <c r="W382" s="2" t="s">
        <v>397</v>
      </c>
      <c r="X382" s="2" t="s">
        <v>233</v>
      </c>
      <c r="Y382" s="2" t="s">
        <v>806</v>
      </c>
      <c r="Z382" s="4">
        <v>134</v>
      </c>
      <c r="AA382" s="4">
        <f>=ROUNDDOWN(83.75,0)</f>
      </c>
      <c r="AB382" s="5">
        <v>1.6</v>
      </c>
      <c r="AC382" s="2" t="s">
        <v>233</v>
      </c>
      <c r="AD382" s="4"/>
      <c r="AE382" s="4"/>
      <c r="AF382" s="6">
        <v>68</v>
      </c>
      <c r="AG382" s="6"/>
      <c r="AH382" s="7">
        <v>1</v>
      </c>
      <c r="AI382" s="4"/>
      <c r="AJ382" s="4">
        <f>=ROUNDDOWN({0},0)</f>
      </c>
      <c r="AK382" s="5"/>
      <c r="AL382" s="2" t="s">
        <v>233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233</v>
      </c>
      <c r="BD382" s="8" t="s">
        <v>233</v>
      </c>
      <c r="BE382" s="4" t="s">
        <v>233</v>
      </c>
      <c r="BF382" s="8" t="s">
        <v>233</v>
      </c>
      <c r="BG382" s="7" t="s">
        <v>233</v>
      </c>
      <c r="BH382" s="7" t="s">
        <v>233</v>
      </c>
      <c r="BI382" s="7"/>
      <c r="BJ382" s="4">
        <v>12</v>
      </c>
      <c r="BK382" s="8">
        <v>232.16</v>
      </c>
      <c r="BL382" s="2" t="s">
        <v>2380</v>
      </c>
      <c r="BM382" s="7"/>
      <c r="BN382" s="7"/>
      <c r="BO382" s="4"/>
      <c r="BP382" s="8"/>
      <c r="BQ382" s="4"/>
      <c r="BR382" s="8"/>
      <c r="BS382" s="7"/>
      <c r="BT382" s="7"/>
      <c r="BU382" s="2" t="s">
        <v>2381</v>
      </c>
      <c r="BV382" s="2" t="s">
        <v>233</v>
      </c>
      <c r="BW382" s="2" t="s">
        <v>233</v>
      </c>
      <c r="BX382" s="2" t="s">
        <v>233</v>
      </c>
      <c r="BY382" s="2" t="s">
        <v>280</v>
      </c>
      <c r="BZ382" s="2" t="s">
        <v>245</v>
      </c>
      <c r="CA382" s="2" t="s">
        <v>806</v>
      </c>
      <c r="CB382" s="2" t="s">
        <v>1386</v>
      </c>
      <c r="CC382" s="2" t="s">
        <v>246</v>
      </c>
      <c r="CD382" s="2" t="s">
        <v>233</v>
      </c>
      <c r="CE382" s="4">
        <v>134</v>
      </c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</row>
    <row r="383">
      <c r="A383" s="2" t="s">
        <v>2382</v>
      </c>
      <c r="B383" s="2" t="s">
        <v>264</v>
      </c>
      <c r="C383" s="2" t="s">
        <v>265</v>
      </c>
      <c r="D383" s="2" t="s">
        <v>969</v>
      </c>
      <c r="E383" s="2" t="s">
        <v>2383</v>
      </c>
      <c r="F383" s="2" t="s">
        <v>2384</v>
      </c>
      <c r="G383" s="2" t="s">
        <v>2385</v>
      </c>
      <c r="H383" s="2" t="s">
        <v>2385</v>
      </c>
      <c r="I383" s="2" t="s">
        <v>2386</v>
      </c>
      <c r="J383" s="2" t="s">
        <v>270</v>
      </c>
      <c r="K383" s="2" t="s">
        <v>297</v>
      </c>
      <c r="L383" s="3">
        <v>24</v>
      </c>
      <c r="M383" s="3">
        <v>25.2</v>
      </c>
      <c r="N383" s="3">
        <v>49.99</v>
      </c>
      <c r="O383" s="2" t="s">
        <v>245</v>
      </c>
      <c r="P383" s="2" t="s">
        <v>272</v>
      </c>
      <c r="Q383" s="2" t="s">
        <v>239</v>
      </c>
      <c r="R383" s="2" t="s">
        <v>233</v>
      </c>
      <c r="S383" s="2" t="s">
        <v>2387</v>
      </c>
      <c r="T383" s="2" t="s">
        <v>395</v>
      </c>
      <c r="U383" s="2" t="s">
        <v>233</v>
      </c>
      <c r="V383" s="2" t="s">
        <v>241</v>
      </c>
      <c r="W383" s="2" t="s">
        <v>275</v>
      </c>
      <c r="X383" s="2" t="s">
        <v>233</v>
      </c>
      <c r="Y383" s="2" t="s">
        <v>276</v>
      </c>
      <c r="Z383" s="4">
        <v>129</v>
      </c>
      <c r="AA383" s="4">
        <f>=ROUNDDOWN(43,0)</f>
      </c>
      <c r="AB383" s="5">
        <v>3</v>
      </c>
      <c r="AC383" s="2" t="s">
        <v>2388</v>
      </c>
      <c r="AD383" s="4">
        <v>60</v>
      </c>
      <c r="AE383" s="4">
        <v>60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233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>
        <v>6</v>
      </c>
      <c r="BK383" s="8">
        <v>165.32</v>
      </c>
      <c r="BL383" s="2" t="s">
        <v>2389</v>
      </c>
      <c r="BM383" s="7"/>
      <c r="BN383" s="7"/>
      <c r="BO383" s="4"/>
      <c r="BP383" s="8"/>
      <c r="BQ383" s="4"/>
      <c r="BR383" s="8"/>
      <c r="BS383" s="7"/>
      <c r="BT383" s="7"/>
      <c r="BU383" s="2" t="s">
        <v>2390</v>
      </c>
      <c r="BV383" s="2" t="s">
        <v>233</v>
      </c>
      <c r="BW383" s="2" t="s">
        <v>233</v>
      </c>
      <c r="BX383" s="2" t="s">
        <v>233</v>
      </c>
      <c r="BY383" s="2" t="s">
        <v>280</v>
      </c>
      <c r="BZ383" s="2" t="s">
        <v>245</v>
      </c>
      <c r="CA383" s="2" t="s">
        <v>281</v>
      </c>
      <c r="CB383" s="2" t="s">
        <v>2391</v>
      </c>
      <c r="CC383" s="2" t="s">
        <v>246</v>
      </c>
      <c r="CD383" s="2" t="s">
        <v>233</v>
      </c>
      <c r="CE383" s="4">
        <v>129</v>
      </c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>
        <v>60</v>
      </c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</row>
    <row r="384">
      <c r="A384" s="2" t="s">
        <v>2392</v>
      </c>
      <c r="B384" s="2" t="s">
        <v>228</v>
      </c>
      <c r="C384" s="2" t="s">
        <v>334</v>
      </c>
      <c r="D384" s="2" t="s">
        <v>969</v>
      </c>
      <c r="E384" s="2" t="s">
        <v>970</v>
      </c>
      <c r="F384" s="2" t="s">
        <v>2393</v>
      </c>
      <c r="G384" s="2" t="s">
        <v>2394</v>
      </c>
      <c r="H384" s="2" t="s">
        <v>2394</v>
      </c>
      <c r="I384" s="2" t="s">
        <v>2395</v>
      </c>
      <c r="J384" s="2" t="s">
        <v>1142</v>
      </c>
      <c r="K384" s="2" t="s">
        <v>1561</v>
      </c>
      <c r="L384" s="3">
        <v>28.59</v>
      </c>
      <c r="M384" s="3">
        <v>30.02</v>
      </c>
      <c r="N384" s="3">
        <v>54.99</v>
      </c>
      <c r="O384" s="2" t="s">
        <v>245</v>
      </c>
      <c r="P384" s="2" t="s">
        <v>311</v>
      </c>
      <c r="Q384" s="2" t="s">
        <v>239</v>
      </c>
      <c r="R384" s="2" t="s">
        <v>233</v>
      </c>
      <c r="S384" s="2" t="s">
        <v>2396</v>
      </c>
      <c r="T384" s="2" t="s">
        <v>395</v>
      </c>
      <c r="U384" s="2" t="s">
        <v>233</v>
      </c>
      <c r="V384" s="2" t="s">
        <v>1340</v>
      </c>
      <c r="W384" s="2" t="s">
        <v>978</v>
      </c>
      <c r="X384" s="2" t="s">
        <v>233</v>
      </c>
      <c r="Y384" s="2" t="s">
        <v>276</v>
      </c>
      <c r="Z384" s="4">
        <v>138</v>
      </c>
      <c r="AA384" s="4">
        <f>=ROUNDDOWN(17.25,0)</f>
      </c>
      <c r="AB384" s="5">
        <v>8</v>
      </c>
      <c r="AC384" s="2" t="s">
        <v>299</v>
      </c>
      <c r="AD384" s="4">
        <v>130</v>
      </c>
      <c r="AE384" s="4">
        <v>130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233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>
        <v>15</v>
      </c>
      <c r="BK384" s="8">
        <v>465.88</v>
      </c>
      <c r="BL384" s="2" t="s">
        <v>2397</v>
      </c>
      <c r="BM384" s="7"/>
      <c r="BN384" s="7"/>
      <c r="BO384" s="4"/>
      <c r="BP384" s="8"/>
      <c r="BQ384" s="4"/>
      <c r="BR384" s="8"/>
      <c r="BS384" s="7"/>
      <c r="BT384" s="7"/>
      <c r="BU384" s="2" t="s">
        <v>2398</v>
      </c>
      <c r="BV384" s="2" t="s">
        <v>233</v>
      </c>
      <c r="BW384" s="2" t="s">
        <v>233</v>
      </c>
      <c r="BX384" s="2" t="s">
        <v>595</v>
      </c>
      <c r="BY384" s="2" t="s">
        <v>280</v>
      </c>
      <c r="BZ384" s="2" t="s">
        <v>245</v>
      </c>
      <c r="CA384" s="2" t="s">
        <v>281</v>
      </c>
      <c r="CB384" s="2" t="s">
        <v>2297</v>
      </c>
      <c r="CC384" s="2" t="s">
        <v>246</v>
      </c>
      <c r="CD384" s="2" t="s">
        <v>233</v>
      </c>
      <c r="CE384" s="4">
        <v>138</v>
      </c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>
        <v>130</v>
      </c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</row>
    <row r="385">
      <c r="A385" s="2" t="s">
        <v>2399</v>
      </c>
      <c r="B385" s="2" t="s">
        <v>228</v>
      </c>
      <c r="C385" s="2" t="s">
        <v>1335</v>
      </c>
      <c r="D385" s="2" t="s">
        <v>969</v>
      </c>
      <c r="E385" s="2" t="s">
        <v>970</v>
      </c>
      <c r="F385" s="2" t="s">
        <v>2400</v>
      </c>
      <c r="G385" s="2" t="s">
        <v>2400</v>
      </c>
      <c r="H385" s="2" t="s">
        <v>2400</v>
      </c>
      <c r="I385" s="2" t="s">
        <v>2401</v>
      </c>
      <c r="J385" s="2" t="s">
        <v>918</v>
      </c>
      <c r="K385" s="2" t="s">
        <v>2402</v>
      </c>
      <c r="L385" s="3">
        <v>42.87</v>
      </c>
      <c r="M385" s="3">
        <v>45.02</v>
      </c>
      <c r="N385" s="3">
        <v>89.99</v>
      </c>
      <c r="O385" s="2" t="s">
        <v>245</v>
      </c>
      <c r="P385" s="2" t="s">
        <v>311</v>
      </c>
      <c r="Q385" s="2" t="s">
        <v>239</v>
      </c>
      <c r="R385" s="2" t="s">
        <v>233</v>
      </c>
      <c r="S385" s="2" t="s">
        <v>2403</v>
      </c>
      <c r="T385" s="2" t="s">
        <v>976</v>
      </c>
      <c r="U385" s="2" t="s">
        <v>491</v>
      </c>
      <c r="V385" s="2" t="s">
        <v>1340</v>
      </c>
      <c r="W385" s="2" t="s">
        <v>978</v>
      </c>
      <c r="X385" s="2" t="s">
        <v>275</v>
      </c>
      <c r="Y385" s="2" t="s">
        <v>816</v>
      </c>
      <c r="Z385" s="4">
        <v>96</v>
      </c>
      <c r="AA385" s="4">
        <f>=ROUNDDOWN(480,0)</f>
      </c>
      <c r="AB385" s="5">
        <v>0.2</v>
      </c>
      <c r="AC385" s="2" t="s">
        <v>233</v>
      </c>
      <c r="AD385" s="4"/>
      <c r="AE385" s="4"/>
      <c r="AF385" s="6"/>
      <c r="AG385" s="6"/>
      <c r="AH385" s="7">
        <v>1</v>
      </c>
      <c r="AI385" s="4"/>
      <c r="AJ385" s="4">
        <f>=ROUNDDOWN({0},0)</f>
      </c>
      <c r="AK385" s="5"/>
      <c r="AL385" s="2" t="s">
        <v>233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233</v>
      </c>
      <c r="AW385" s="8" t="s">
        <v>233</v>
      </c>
      <c r="AX385" s="4" t="s">
        <v>233</v>
      </c>
      <c r="AY385" s="8" t="s">
        <v>233</v>
      </c>
      <c r="AZ385" s="7" t="s">
        <v>233</v>
      </c>
      <c r="BA385" s="7" t="s">
        <v>233</v>
      </c>
      <c r="BB385" s="7"/>
      <c r="BC385" s="4" t="s">
        <v>233</v>
      </c>
      <c r="BD385" s="8" t="s">
        <v>233</v>
      </c>
      <c r="BE385" s="4" t="s">
        <v>233</v>
      </c>
      <c r="BF385" s="8" t="s">
        <v>233</v>
      </c>
      <c r="BG385" s="7" t="s">
        <v>233</v>
      </c>
      <c r="BH385" s="7" t="s">
        <v>233</v>
      </c>
      <c r="BI385" s="7"/>
      <c r="BJ385" s="4">
        <v>1</v>
      </c>
      <c r="BK385" s="8">
        <v>47.26</v>
      </c>
      <c r="BL385" s="2" t="s">
        <v>2404</v>
      </c>
      <c r="BM385" s="7"/>
      <c r="BN385" s="7"/>
      <c r="BO385" s="4"/>
      <c r="BP385" s="8"/>
      <c r="BQ385" s="4"/>
      <c r="BR385" s="8"/>
      <c r="BS385" s="7"/>
      <c r="BT385" s="7"/>
      <c r="BU385" s="2" t="s">
        <v>2405</v>
      </c>
      <c r="BV385" s="2" t="s">
        <v>233</v>
      </c>
      <c r="BW385" s="2" t="s">
        <v>233</v>
      </c>
      <c r="BX385" s="2" t="s">
        <v>233</v>
      </c>
      <c r="BY385" s="2" t="s">
        <v>280</v>
      </c>
      <c r="BZ385" s="2" t="s">
        <v>245</v>
      </c>
      <c r="CA385" s="2" t="s">
        <v>2406</v>
      </c>
      <c r="CB385" s="2" t="s">
        <v>2407</v>
      </c>
      <c r="CC385" s="2" t="s">
        <v>246</v>
      </c>
      <c r="CD385" s="2" t="s">
        <v>233</v>
      </c>
      <c r="CE385" s="4"/>
      <c r="CF385" s="4"/>
      <c r="CG385" s="4"/>
      <c r="CH385" s="4"/>
      <c r="CI385" s="4">
        <v>96</v>
      </c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</row>
    <row r="386">
      <c r="A386" s="2" t="s">
        <v>2408</v>
      </c>
      <c r="B386" s="2" t="s">
        <v>228</v>
      </c>
      <c r="C386" s="2" t="s">
        <v>1335</v>
      </c>
      <c r="D386" s="2" t="s">
        <v>969</v>
      </c>
      <c r="E386" s="2" t="s">
        <v>970</v>
      </c>
      <c r="F386" s="2" t="s">
        <v>2400</v>
      </c>
      <c r="G386" s="2" t="s">
        <v>2400</v>
      </c>
      <c r="H386" s="2" t="s">
        <v>2400</v>
      </c>
      <c r="I386" s="2" t="s">
        <v>2401</v>
      </c>
      <c r="J386" s="2" t="s">
        <v>981</v>
      </c>
      <c r="K386" s="2" t="s">
        <v>2402</v>
      </c>
      <c r="L386" s="3">
        <v>53.33</v>
      </c>
      <c r="M386" s="3">
        <v>56</v>
      </c>
      <c r="N386" s="3">
        <v>109.99</v>
      </c>
      <c r="O386" s="2" t="s">
        <v>245</v>
      </c>
      <c r="P386" s="2" t="s">
        <v>311</v>
      </c>
      <c r="Q386" s="2" t="s">
        <v>239</v>
      </c>
      <c r="R386" s="2" t="s">
        <v>233</v>
      </c>
      <c r="S386" s="2" t="s">
        <v>2403</v>
      </c>
      <c r="T386" s="2" t="s">
        <v>976</v>
      </c>
      <c r="U386" s="2" t="s">
        <v>475</v>
      </c>
      <c r="V386" s="2" t="s">
        <v>1340</v>
      </c>
      <c r="W386" s="2" t="s">
        <v>978</v>
      </c>
      <c r="X386" s="2" t="s">
        <v>275</v>
      </c>
      <c r="Y386" s="2" t="s">
        <v>816</v>
      </c>
      <c r="Z386" s="4">
        <v>372</v>
      </c>
      <c r="AA386" s="4">
        <f>=ROUNDDOWN(1240,0)</f>
      </c>
      <c r="AB386" s="5">
        <v>0.3</v>
      </c>
      <c r="AC386" s="2" t="s">
        <v>233</v>
      </c>
      <c r="AD386" s="4"/>
      <c r="AE386" s="4"/>
      <c r="AF386" s="6"/>
      <c r="AG386" s="6"/>
      <c r="AH386" s="7">
        <v>1</v>
      </c>
      <c r="AI386" s="4"/>
      <c r="AJ386" s="4">
        <f>=ROUNDDOWN({0},0)</f>
      </c>
      <c r="AK386" s="5"/>
      <c r="AL386" s="2" t="s">
        <v>233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233</v>
      </c>
      <c r="AW386" s="8" t="s">
        <v>233</v>
      </c>
      <c r="AX386" s="4" t="s">
        <v>233</v>
      </c>
      <c r="AY386" s="8" t="s">
        <v>233</v>
      </c>
      <c r="AZ386" s="7" t="s">
        <v>233</v>
      </c>
      <c r="BA386" s="7" t="s">
        <v>233</v>
      </c>
      <c r="BB386" s="7"/>
      <c r="BC386" s="4" t="s">
        <v>233</v>
      </c>
      <c r="BD386" s="8" t="s">
        <v>233</v>
      </c>
      <c r="BE386" s="4" t="s">
        <v>233</v>
      </c>
      <c r="BF386" s="8" t="s">
        <v>233</v>
      </c>
      <c r="BG386" s="7" t="s">
        <v>233</v>
      </c>
      <c r="BH386" s="7" t="s">
        <v>233</v>
      </c>
      <c r="BI386" s="7"/>
      <c r="BJ386" s="4">
        <v>1</v>
      </c>
      <c r="BK386" s="8">
        <v>58.8</v>
      </c>
      <c r="BL386" s="2" t="s">
        <v>2404</v>
      </c>
      <c r="BM386" s="7"/>
      <c r="BN386" s="7"/>
      <c r="BO386" s="4"/>
      <c r="BP386" s="8"/>
      <c r="BQ386" s="4"/>
      <c r="BR386" s="8"/>
      <c r="BS386" s="7"/>
      <c r="BT386" s="7"/>
      <c r="BU386" s="2" t="s">
        <v>2409</v>
      </c>
      <c r="BV386" s="2" t="s">
        <v>233</v>
      </c>
      <c r="BW386" s="2" t="s">
        <v>233</v>
      </c>
      <c r="BX386" s="2" t="s">
        <v>233</v>
      </c>
      <c r="BY386" s="2" t="s">
        <v>280</v>
      </c>
      <c r="BZ386" s="2" t="s">
        <v>245</v>
      </c>
      <c r="CA386" s="2" t="s">
        <v>2406</v>
      </c>
      <c r="CB386" s="2" t="s">
        <v>766</v>
      </c>
      <c r="CC386" s="2" t="s">
        <v>246</v>
      </c>
      <c r="CD386" s="2" t="s">
        <v>233</v>
      </c>
      <c r="CE386" s="4"/>
      <c r="CF386" s="4"/>
      <c r="CG386" s="4"/>
      <c r="CH386" s="4"/>
      <c r="CI386" s="4">
        <v>372</v>
      </c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</row>
    <row r="387">
      <c r="A387" s="2" t="s">
        <v>2410</v>
      </c>
      <c r="B387" s="2" t="s">
        <v>228</v>
      </c>
      <c r="C387" s="2" t="s">
        <v>1335</v>
      </c>
      <c r="D387" s="2" t="s">
        <v>969</v>
      </c>
      <c r="E387" s="2" t="s">
        <v>970</v>
      </c>
      <c r="F387" s="2" t="s">
        <v>2400</v>
      </c>
      <c r="G387" s="2" t="s">
        <v>2400</v>
      </c>
      <c r="H387" s="2" t="s">
        <v>2400</v>
      </c>
      <c r="I387" s="2" t="s">
        <v>2401</v>
      </c>
      <c r="J387" s="2" t="s">
        <v>1142</v>
      </c>
      <c r="K387" s="2" t="s">
        <v>2402</v>
      </c>
      <c r="L387" s="3">
        <v>62.2</v>
      </c>
      <c r="M387" s="3">
        <v>65.31</v>
      </c>
      <c r="N387" s="3">
        <v>129.99</v>
      </c>
      <c r="O387" s="2" t="s">
        <v>245</v>
      </c>
      <c r="P387" s="2" t="s">
        <v>311</v>
      </c>
      <c r="Q387" s="2" t="s">
        <v>239</v>
      </c>
      <c r="R387" s="2" t="s">
        <v>233</v>
      </c>
      <c r="S387" s="2" t="s">
        <v>2403</v>
      </c>
      <c r="T387" s="2" t="s">
        <v>976</v>
      </c>
      <c r="U387" s="2" t="s">
        <v>475</v>
      </c>
      <c r="V387" s="2" t="s">
        <v>1340</v>
      </c>
      <c r="W387" s="2" t="s">
        <v>978</v>
      </c>
      <c r="X387" s="2" t="s">
        <v>275</v>
      </c>
      <c r="Y387" s="2" t="s">
        <v>816</v>
      </c>
      <c r="Z387" s="4">
        <v>202</v>
      </c>
      <c r="AA387" s="4">
        <f>=ROUNDDOWN({0},0)</f>
      </c>
      <c r="AB387" s="5"/>
      <c r="AC387" s="2" t="s">
        <v>233</v>
      </c>
      <c r="AD387" s="4"/>
      <c r="AE387" s="4"/>
      <c r="AF387" s="6"/>
      <c r="AG387" s="6"/>
      <c r="AH387" s="7">
        <v>1</v>
      </c>
      <c r="AI387" s="4"/>
      <c r="AJ387" s="4">
        <f>=ROUNDDOWN({0},0)</f>
      </c>
      <c r="AK387" s="5"/>
      <c r="AL387" s="2" t="s">
        <v>233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233</v>
      </c>
      <c r="AW387" s="8" t="s">
        <v>233</v>
      </c>
      <c r="AX387" s="4" t="s">
        <v>233</v>
      </c>
      <c r="AY387" s="8" t="s">
        <v>233</v>
      </c>
      <c r="AZ387" s="7" t="s">
        <v>233</v>
      </c>
      <c r="BA387" s="7" t="s">
        <v>233</v>
      </c>
      <c r="BB387" s="7"/>
      <c r="BC387" s="4" t="s">
        <v>233</v>
      </c>
      <c r="BD387" s="8" t="s">
        <v>233</v>
      </c>
      <c r="BE387" s="4" t="s">
        <v>233</v>
      </c>
      <c r="BF387" s="8" t="s">
        <v>233</v>
      </c>
      <c r="BG387" s="7" t="s">
        <v>233</v>
      </c>
      <c r="BH387" s="7" t="s">
        <v>233</v>
      </c>
      <c r="BI387" s="7"/>
      <c r="BJ387" s="4"/>
      <c r="BK387" s="8"/>
      <c r="BL387" s="2" t="s">
        <v>2411</v>
      </c>
      <c r="BM387" s="7"/>
      <c r="BN387" s="7"/>
      <c r="BO387" s="4"/>
      <c r="BP387" s="8"/>
      <c r="BQ387" s="4"/>
      <c r="BR387" s="8"/>
      <c r="BS387" s="7"/>
      <c r="BT387" s="7"/>
      <c r="BU387" s="2" t="s">
        <v>2412</v>
      </c>
      <c r="BV387" s="2" t="s">
        <v>233</v>
      </c>
      <c r="BW387" s="2" t="s">
        <v>233</v>
      </c>
      <c r="BX387" s="2" t="s">
        <v>233</v>
      </c>
      <c r="BY387" s="2" t="s">
        <v>280</v>
      </c>
      <c r="BZ387" s="2" t="s">
        <v>245</v>
      </c>
      <c r="CA387" s="2" t="s">
        <v>2406</v>
      </c>
      <c r="CB387" s="2" t="s">
        <v>716</v>
      </c>
      <c r="CC387" s="2" t="s">
        <v>246</v>
      </c>
      <c r="CD387" s="2" t="s">
        <v>233</v>
      </c>
      <c r="CE387" s="4"/>
      <c r="CF387" s="4"/>
      <c r="CG387" s="4"/>
      <c r="CH387" s="4"/>
      <c r="CI387" s="4">
        <v>202</v>
      </c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</row>
    <row r="388">
      <c r="A388" s="2" t="s">
        <v>2413</v>
      </c>
      <c r="B388" s="2" t="s">
        <v>228</v>
      </c>
      <c r="C388" s="2" t="s">
        <v>1335</v>
      </c>
      <c r="D388" s="2" t="s">
        <v>969</v>
      </c>
      <c r="E388" s="2" t="s">
        <v>970</v>
      </c>
      <c r="F388" s="2" t="s">
        <v>2400</v>
      </c>
      <c r="G388" s="2" t="s">
        <v>2400</v>
      </c>
      <c r="H388" s="2" t="s">
        <v>2400</v>
      </c>
      <c r="I388" s="2" t="s">
        <v>2401</v>
      </c>
      <c r="J388" s="2" t="s">
        <v>918</v>
      </c>
      <c r="K388" s="2" t="s">
        <v>2414</v>
      </c>
      <c r="L388" s="3">
        <v>42.87</v>
      </c>
      <c r="M388" s="3">
        <v>45.02</v>
      </c>
      <c r="N388" s="3">
        <v>89.99</v>
      </c>
      <c r="O388" s="2" t="s">
        <v>245</v>
      </c>
      <c r="P388" s="2" t="s">
        <v>311</v>
      </c>
      <c r="Q388" s="2" t="s">
        <v>239</v>
      </c>
      <c r="R388" s="2" t="s">
        <v>233</v>
      </c>
      <c r="S388" s="2" t="s">
        <v>2415</v>
      </c>
      <c r="T388" s="2" t="s">
        <v>976</v>
      </c>
      <c r="U388" s="2" t="s">
        <v>491</v>
      </c>
      <c r="V388" s="2" t="s">
        <v>1340</v>
      </c>
      <c r="W388" s="2" t="s">
        <v>978</v>
      </c>
      <c r="X388" s="2" t="s">
        <v>275</v>
      </c>
      <c r="Y388" s="2" t="s">
        <v>816</v>
      </c>
      <c r="Z388" s="4">
        <v>85</v>
      </c>
      <c r="AA388" s="4">
        <f>=ROUNDDOWN({0},0)</f>
      </c>
      <c r="AB388" s="5"/>
      <c r="AC388" s="2" t="s">
        <v>233</v>
      </c>
      <c r="AD388" s="4"/>
      <c r="AE388" s="4"/>
      <c r="AF388" s="6"/>
      <c r="AG388" s="6"/>
      <c r="AH388" s="7">
        <v>1</v>
      </c>
      <c r="AI388" s="4"/>
      <c r="AJ388" s="4">
        <f>=ROUNDDOWN({0},0)</f>
      </c>
      <c r="AK388" s="5"/>
      <c r="AL388" s="2" t="s">
        <v>233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233</v>
      </c>
      <c r="AW388" s="8" t="s">
        <v>233</v>
      </c>
      <c r="AX388" s="4" t="s">
        <v>233</v>
      </c>
      <c r="AY388" s="8" t="s">
        <v>233</v>
      </c>
      <c r="AZ388" s="7" t="s">
        <v>233</v>
      </c>
      <c r="BA388" s="7" t="s">
        <v>233</v>
      </c>
      <c r="BB388" s="7"/>
      <c r="BC388" s="4" t="s">
        <v>233</v>
      </c>
      <c r="BD388" s="8" t="s">
        <v>233</v>
      </c>
      <c r="BE388" s="4" t="s">
        <v>233</v>
      </c>
      <c r="BF388" s="8" t="s">
        <v>233</v>
      </c>
      <c r="BG388" s="7" t="s">
        <v>233</v>
      </c>
      <c r="BH388" s="7" t="s">
        <v>233</v>
      </c>
      <c r="BI388" s="7"/>
      <c r="BJ388" s="4">
        <v>1</v>
      </c>
      <c r="BK388" s="8">
        <v>47.26</v>
      </c>
      <c r="BL388" s="2" t="s">
        <v>2404</v>
      </c>
      <c r="BM388" s="7"/>
      <c r="BN388" s="7"/>
      <c r="BO388" s="4"/>
      <c r="BP388" s="8"/>
      <c r="BQ388" s="4"/>
      <c r="BR388" s="8"/>
      <c r="BS388" s="7"/>
      <c r="BT388" s="7"/>
      <c r="BU388" s="2" t="s">
        <v>2416</v>
      </c>
      <c r="BV388" s="2" t="s">
        <v>233</v>
      </c>
      <c r="BW388" s="2" t="s">
        <v>233</v>
      </c>
      <c r="BX388" s="2" t="s">
        <v>233</v>
      </c>
      <c r="BY388" s="2" t="s">
        <v>280</v>
      </c>
      <c r="BZ388" s="2" t="s">
        <v>245</v>
      </c>
      <c r="CA388" s="2" t="s">
        <v>2406</v>
      </c>
      <c r="CB388" s="2" t="s">
        <v>2336</v>
      </c>
      <c r="CC388" s="2" t="s">
        <v>246</v>
      </c>
      <c r="CD388" s="2" t="s">
        <v>233</v>
      </c>
      <c r="CE388" s="4"/>
      <c r="CF388" s="4"/>
      <c r="CG388" s="4"/>
      <c r="CH388" s="4"/>
      <c r="CI388" s="4">
        <v>85</v>
      </c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</row>
    <row r="389">
      <c r="A389" s="2" t="s">
        <v>2417</v>
      </c>
      <c r="B389" s="2" t="s">
        <v>228</v>
      </c>
      <c r="C389" s="2" t="s">
        <v>1335</v>
      </c>
      <c r="D389" s="2" t="s">
        <v>969</v>
      </c>
      <c r="E389" s="2" t="s">
        <v>970</v>
      </c>
      <c r="F389" s="2" t="s">
        <v>2400</v>
      </c>
      <c r="G389" s="2" t="s">
        <v>2400</v>
      </c>
      <c r="H389" s="2" t="s">
        <v>2400</v>
      </c>
      <c r="I389" s="2" t="s">
        <v>2401</v>
      </c>
      <c r="J389" s="2" t="s">
        <v>981</v>
      </c>
      <c r="K389" s="2" t="s">
        <v>2414</v>
      </c>
      <c r="L389" s="3">
        <v>53.33</v>
      </c>
      <c r="M389" s="3">
        <v>56</v>
      </c>
      <c r="N389" s="3">
        <v>109.99</v>
      </c>
      <c r="O389" s="2" t="s">
        <v>245</v>
      </c>
      <c r="P389" s="2" t="s">
        <v>311</v>
      </c>
      <c r="Q389" s="2" t="s">
        <v>239</v>
      </c>
      <c r="R389" s="2" t="s">
        <v>233</v>
      </c>
      <c r="S389" s="2" t="s">
        <v>2415</v>
      </c>
      <c r="T389" s="2" t="s">
        <v>976</v>
      </c>
      <c r="U389" s="2" t="s">
        <v>475</v>
      </c>
      <c r="V389" s="2" t="s">
        <v>1340</v>
      </c>
      <c r="W389" s="2" t="s">
        <v>978</v>
      </c>
      <c r="X389" s="2" t="s">
        <v>275</v>
      </c>
      <c r="Y389" s="2" t="s">
        <v>2418</v>
      </c>
      <c r="Z389" s="4">
        <v>385</v>
      </c>
      <c r="AA389" s="4">
        <f>=ROUNDDOWN(962.5,0)</f>
      </c>
      <c r="AB389" s="5">
        <v>0.4</v>
      </c>
      <c r="AC389" s="2" t="s">
        <v>233</v>
      </c>
      <c r="AD389" s="4"/>
      <c r="AE389" s="4"/>
      <c r="AF389" s="6"/>
      <c r="AG389" s="6"/>
      <c r="AH389" s="7">
        <v>1</v>
      </c>
      <c r="AI389" s="4"/>
      <c r="AJ389" s="4">
        <f>=ROUNDDOWN({0},0)</f>
      </c>
      <c r="AK389" s="5"/>
      <c r="AL389" s="2" t="s">
        <v>233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233</v>
      </c>
      <c r="AW389" s="8" t="s">
        <v>233</v>
      </c>
      <c r="AX389" s="4" t="s">
        <v>233</v>
      </c>
      <c r="AY389" s="8" t="s">
        <v>233</v>
      </c>
      <c r="AZ389" s="7" t="s">
        <v>233</v>
      </c>
      <c r="BA389" s="7" t="s">
        <v>233</v>
      </c>
      <c r="BB389" s="7"/>
      <c r="BC389" s="4" t="s">
        <v>233</v>
      </c>
      <c r="BD389" s="8" t="s">
        <v>233</v>
      </c>
      <c r="BE389" s="4" t="s">
        <v>233</v>
      </c>
      <c r="BF389" s="8" t="s">
        <v>233</v>
      </c>
      <c r="BG389" s="7" t="s">
        <v>233</v>
      </c>
      <c r="BH389" s="7" t="s">
        <v>233</v>
      </c>
      <c r="BI389" s="7"/>
      <c r="BJ389" s="4">
        <v>3</v>
      </c>
      <c r="BK389" s="8">
        <v>175.28</v>
      </c>
      <c r="BL389" s="2" t="s">
        <v>2419</v>
      </c>
      <c r="BM389" s="7"/>
      <c r="BN389" s="7"/>
      <c r="BO389" s="4"/>
      <c r="BP389" s="8"/>
      <c r="BQ389" s="4"/>
      <c r="BR389" s="8"/>
      <c r="BS389" s="7"/>
      <c r="BT389" s="7"/>
      <c r="BU389" s="2" t="s">
        <v>2420</v>
      </c>
      <c r="BV389" s="2" t="s">
        <v>233</v>
      </c>
      <c r="BW389" s="2" t="s">
        <v>233</v>
      </c>
      <c r="BX389" s="2" t="s">
        <v>233</v>
      </c>
      <c r="BY389" s="2" t="s">
        <v>280</v>
      </c>
      <c r="BZ389" s="2" t="s">
        <v>245</v>
      </c>
      <c r="CA389" s="2" t="s">
        <v>2406</v>
      </c>
      <c r="CB389" s="2" t="s">
        <v>375</v>
      </c>
      <c r="CC389" s="2" t="s">
        <v>246</v>
      </c>
      <c r="CD389" s="2" t="s">
        <v>233</v>
      </c>
      <c r="CE389" s="4"/>
      <c r="CF389" s="4"/>
      <c r="CG389" s="4"/>
      <c r="CH389" s="4"/>
      <c r="CI389" s="4">
        <v>385</v>
      </c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</row>
    <row r="390">
      <c r="A390" s="2" t="s">
        <v>2421</v>
      </c>
      <c r="B390" s="2" t="s">
        <v>228</v>
      </c>
      <c r="C390" s="2" t="s">
        <v>1335</v>
      </c>
      <c r="D390" s="2" t="s">
        <v>969</v>
      </c>
      <c r="E390" s="2" t="s">
        <v>970</v>
      </c>
      <c r="F390" s="2" t="s">
        <v>2400</v>
      </c>
      <c r="G390" s="2" t="s">
        <v>2400</v>
      </c>
      <c r="H390" s="2" t="s">
        <v>2400</v>
      </c>
      <c r="I390" s="2" t="s">
        <v>2401</v>
      </c>
      <c r="J390" s="2" t="s">
        <v>1142</v>
      </c>
      <c r="K390" s="2" t="s">
        <v>2414</v>
      </c>
      <c r="L390" s="3">
        <v>62.2</v>
      </c>
      <c r="M390" s="3">
        <v>65.31</v>
      </c>
      <c r="N390" s="3">
        <v>129.99</v>
      </c>
      <c r="O390" s="2" t="s">
        <v>245</v>
      </c>
      <c r="P390" s="2" t="s">
        <v>311</v>
      </c>
      <c r="Q390" s="2" t="s">
        <v>239</v>
      </c>
      <c r="R390" s="2" t="s">
        <v>233</v>
      </c>
      <c r="S390" s="2" t="s">
        <v>2415</v>
      </c>
      <c r="T390" s="2" t="s">
        <v>976</v>
      </c>
      <c r="U390" s="2" t="s">
        <v>475</v>
      </c>
      <c r="V390" s="2" t="s">
        <v>1340</v>
      </c>
      <c r="W390" s="2" t="s">
        <v>978</v>
      </c>
      <c r="X390" s="2" t="s">
        <v>275</v>
      </c>
      <c r="Y390" s="2" t="s">
        <v>816</v>
      </c>
      <c r="Z390" s="4">
        <v>206</v>
      </c>
      <c r="AA390" s="4">
        <f>=ROUNDDOWN({0},0)</f>
      </c>
      <c r="AB390" s="5"/>
      <c r="AC390" s="2" t="s">
        <v>233</v>
      </c>
      <c r="AD390" s="4"/>
      <c r="AE390" s="4"/>
      <c r="AF390" s="6"/>
      <c r="AG390" s="6"/>
      <c r="AH390" s="7">
        <v>1</v>
      </c>
      <c r="AI390" s="4"/>
      <c r="AJ390" s="4">
        <f>=ROUNDDOWN({0},0)</f>
      </c>
      <c r="AK390" s="5"/>
      <c r="AL390" s="2" t="s">
        <v>233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233</v>
      </c>
      <c r="AW390" s="8" t="s">
        <v>233</v>
      </c>
      <c r="AX390" s="4" t="s">
        <v>233</v>
      </c>
      <c r="AY390" s="8" t="s">
        <v>233</v>
      </c>
      <c r="AZ390" s="7" t="s">
        <v>233</v>
      </c>
      <c r="BA390" s="7" t="s">
        <v>233</v>
      </c>
      <c r="BB390" s="7"/>
      <c r="BC390" s="4" t="s">
        <v>233</v>
      </c>
      <c r="BD390" s="8" t="s">
        <v>233</v>
      </c>
      <c r="BE390" s="4" t="s">
        <v>233</v>
      </c>
      <c r="BF390" s="8" t="s">
        <v>233</v>
      </c>
      <c r="BG390" s="7" t="s">
        <v>233</v>
      </c>
      <c r="BH390" s="7" t="s">
        <v>233</v>
      </c>
      <c r="BI390" s="7"/>
      <c r="BJ390" s="4"/>
      <c r="BK390" s="8"/>
      <c r="BL390" s="2" t="s">
        <v>233</v>
      </c>
      <c r="BM390" s="7"/>
      <c r="BN390" s="7"/>
      <c r="BO390" s="4"/>
      <c r="BP390" s="8"/>
      <c r="BQ390" s="4"/>
      <c r="BR390" s="8"/>
      <c r="BS390" s="7"/>
      <c r="BT390" s="7"/>
      <c r="BU390" s="2" t="s">
        <v>2422</v>
      </c>
      <c r="BV390" s="2" t="s">
        <v>233</v>
      </c>
      <c r="BW390" s="2" t="s">
        <v>233</v>
      </c>
      <c r="BX390" s="2" t="s">
        <v>233</v>
      </c>
      <c r="BY390" s="2" t="s">
        <v>280</v>
      </c>
      <c r="BZ390" s="2" t="s">
        <v>245</v>
      </c>
      <c r="CA390" s="2" t="s">
        <v>2406</v>
      </c>
      <c r="CB390" s="2" t="s">
        <v>2423</v>
      </c>
      <c r="CC390" s="2" t="s">
        <v>246</v>
      </c>
      <c r="CD390" s="2" t="s">
        <v>233</v>
      </c>
      <c r="CE390" s="4"/>
      <c r="CF390" s="4"/>
      <c r="CG390" s="4"/>
      <c r="CH390" s="4"/>
      <c r="CI390" s="4">
        <v>206</v>
      </c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</row>
    <row r="391">
      <c r="A391" s="2" t="s">
        <v>2424</v>
      </c>
      <c r="B391" s="2" t="s">
        <v>228</v>
      </c>
      <c r="C391" s="2" t="s">
        <v>1335</v>
      </c>
      <c r="D391" s="2" t="s">
        <v>969</v>
      </c>
      <c r="E391" s="2" t="s">
        <v>970</v>
      </c>
      <c r="F391" s="2" t="s">
        <v>2400</v>
      </c>
      <c r="G391" s="2" t="s">
        <v>2400</v>
      </c>
      <c r="H391" s="2" t="s">
        <v>2400</v>
      </c>
      <c r="I391" s="2" t="s">
        <v>2401</v>
      </c>
      <c r="J391" s="2" t="s">
        <v>918</v>
      </c>
      <c r="K391" s="2" t="s">
        <v>2425</v>
      </c>
      <c r="L391" s="3">
        <v>42.87</v>
      </c>
      <c r="M391" s="3">
        <v>45.02</v>
      </c>
      <c r="N391" s="3">
        <v>89.99</v>
      </c>
      <c r="O391" s="2" t="s">
        <v>245</v>
      </c>
      <c r="P391" s="2" t="s">
        <v>311</v>
      </c>
      <c r="Q391" s="2" t="s">
        <v>239</v>
      </c>
      <c r="R391" s="2" t="s">
        <v>233</v>
      </c>
      <c r="S391" s="2" t="s">
        <v>2426</v>
      </c>
      <c r="T391" s="2" t="s">
        <v>976</v>
      </c>
      <c r="U391" s="2" t="s">
        <v>491</v>
      </c>
      <c r="V391" s="2" t="s">
        <v>1340</v>
      </c>
      <c r="W391" s="2" t="s">
        <v>978</v>
      </c>
      <c r="X391" s="2" t="s">
        <v>275</v>
      </c>
      <c r="Y391" s="2" t="s">
        <v>816</v>
      </c>
      <c r="Z391" s="4">
        <v>80</v>
      </c>
      <c r="AA391" s="4">
        <f>=ROUNDDOWN(160,0)</f>
      </c>
      <c r="AB391" s="5">
        <v>0.5</v>
      </c>
      <c r="AC391" s="2" t="s">
        <v>233</v>
      </c>
      <c r="AD391" s="4"/>
      <c r="AE391" s="4"/>
      <c r="AF391" s="6"/>
      <c r="AG391" s="6"/>
      <c r="AH391" s="7">
        <v>1</v>
      </c>
      <c r="AI391" s="4"/>
      <c r="AJ391" s="4">
        <f>=ROUNDDOWN({0},0)</f>
      </c>
      <c r="AK391" s="5"/>
      <c r="AL391" s="2" t="s">
        <v>233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233</v>
      </c>
      <c r="AW391" s="8" t="s">
        <v>233</v>
      </c>
      <c r="AX391" s="4" t="s">
        <v>233</v>
      </c>
      <c r="AY391" s="8" t="s">
        <v>233</v>
      </c>
      <c r="AZ391" s="7" t="s">
        <v>233</v>
      </c>
      <c r="BA391" s="7" t="s">
        <v>233</v>
      </c>
      <c r="BB391" s="7"/>
      <c r="BC391" s="4" t="s">
        <v>233</v>
      </c>
      <c r="BD391" s="8" t="s">
        <v>233</v>
      </c>
      <c r="BE391" s="4" t="s">
        <v>233</v>
      </c>
      <c r="BF391" s="8" t="s">
        <v>233</v>
      </c>
      <c r="BG391" s="7" t="s">
        <v>233</v>
      </c>
      <c r="BH391" s="7" t="s">
        <v>233</v>
      </c>
      <c r="BI391" s="7"/>
      <c r="BJ391" s="4">
        <v>5</v>
      </c>
      <c r="BK391" s="8">
        <v>234.06</v>
      </c>
      <c r="BL391" s="2" t="s">
        <v>2427</v>
      </c>
      <c r="BM391" s="7"/>
      <c r="BN391" s="7"/>
      <c r="BO391" s="4"/>
      <c r="BP391" s="8"/>
      <c r="BQ391" s="4"/>
      <c r="BR391" s="8"/>
      <c r="BS391" s="7"/>
      <c r="BT391" s="7"/>
      <c r="BU391" s="2" t="s">
        <v>2428</v>
      </c>
      <c r="BV391" s="2" t="s">
        <v>233</v>
      </c>
      <c r="BW391" s="2" t="s">
        <v>233</v>
      </c>
      <c r="BX391" s="2" t="s">
        <v>233</v>
      </c>
      <c r="BY391" s="2" t="s">
        <v>280</v>
      </c>
      <c r="BZ391" s="2" t="s">
        <v>245</v>
      </c>
      <c r="CA391" s="2" t="s">
        <v>2406</v>
      </c>
      <c r="CB391" s="2" t="s">
        <v>2002</v>
      </c>
      <c r="CC391" s="2" t="s">
        <v>246</v>
      </c>
      <c r="CD391" s="2" t="s">
        <v>233</v>
      </c>
      <c r="CE391" s="4"/>
      <c r="CF391" s="4"/>
      <c r="CG391" s="4"/>
      <c r="CH391" s="4"/>
      <c r="CI391" s="4">
        <v>80</v>
      </c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</row>
    <row r="392">
      <c r="A392" s="2" t="s">
        <v>2429</v>
      </c>
      <c r="B392" s="2" t="s">
        <v>228</v>
      </c>
      <c r="C392" s="2" t="s">
        <v>1335</v>
      </c>
      <c r="D392" s="2" t="s">
        <v>969</v>
      </c>
      <c r="E392" s="2" t="s">
        <v>970</v>
      </c>
      <c r="F392" s="2" t="s">
        <v>2400</v>
      </c>
      <c r="G392" s="2" t="s">
        <v>2400</v>
      </c>
      <c r="H392" s="2" t="s">
        <v>2400</v>
      </c>
      <c r="I392" s="2" t="s">
        <v>2401</v>
      </c>
      <c r="J392" s="2" t="s">
        <v>981</v>
      </c>
      <c r="K392" s="2" t="s">
        <v>2425</v>
      </c>
      <c r="L392" s="3">
        <v>53.33</v>
      </c>
      <c r="M392" s="3">
        <v>56</v>
      </c>
      <c r="N392" s="3">
        <v>109.99</v>
      </c>
      <c r="O392" s="2" t="s">
        <v>245</v>
      </c>
      <c r="P392" s="2" t="s">
        <v>311</v>
      </c>
      <c r="Q392" s="2" t="s">
        <v>239</v>
      </c>
      <c r="R392" s="2" t="s">
        <v>233</v>
      </c>
      <c r="S392" s="2" t="s">
        <v>2426</v>
      </c>
      <c r="T392" s="2" t="s">
        <v>976</v>
      </c>
      <c r="U392" s="2" t="s">
        <v>475</v>
      </c>
      <c r="V392" s="2" t="s">
        <v>1340</v>
      </c>
      <c r="W392" s="2" t="s">
        <v>978</v>
      </c>
      <c r="X392" s="2" t="s">
        <v>275</v>
      </c>
      <c r="Y392" s="2" t="s">
        <v>816</v>
      </c>
      <c r="Z392" s="4">
        <v>370</v>
      </c>
      <c r="AA392" s="4">
        <f>=ROUNDDOWN(1850,0)</f>
      </c>
      <c r="AB392" s="5">
        <v>0.2</v>
      </c>
      <c r="AC392" s="2" t="s">
        <v>233</v>
      </c>
      <c r="AD392" s="4"/>
      <c r="AE392" s="4"/>
      <c r="AF392" s="6"/>
      <c r="AG392" s="6"/>
      <c r="AH392" s="7">
        <v>1</v>
      </c>
      <c r="AI392" s="4"/>
      <c r="AJ392" s="4">
        <f>=ROUNDDOWN({0},0)</f>
      </c>
      <c r="AK392" s="5"/>
      <c r="AL392" s="2" t="s">
        <v>233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233</v>
      </c>
      <c r="AW392" s="8" t="s">
        <v>233</v>
      </c>
      <c r="AX392" s="4" t="s">
        <v>233</v>
      </c>
      <c r="AY392" s="8" t="s">
        <v>233</v>
      </c>
      <c r="AZ392" s="7" t="s">
        <v>233</v>
      </c>
      <c r="BA392" s="7" t="s">
        <v>233</v>
      </c>
      <c r="BB392" s="7"/>
      <c r="BC392" s="4" t="s">
        <v>233</v>
      </c>
      <c r="BD392" s="8" t="s">
        <v>233</v>
      </c>
      <c r="BE392" s="4" t="s">
        <v>233</v>
      </c>
      <c r="BF392" s="8" t="s">
        <v>233</v>
      </c>
      <c r="BG392" s="7" t="s">
        <v>233</v>
      </c>
      <c r="BH392" s="7" t="s">
        <v>233</v>
      </c>
      <c r="BI392" s="7"/>
      <c r="BJ392" s="4">
        <v>1</v>
      </c>
      <c r="BK392" s="8">
        <v>58.8</v>
      </c>
      <c r="BL392" s="2" t="s">
        <v>2404</v>
      </c>
      <c r="BM392" s="7"/>
      <c r="BN392" s="7"/>
      <c r="BO392" s="4"/>
      <c r="BP392" s="8"/>
      <c r="BQ392" s="4"/>
      <c r="BR392" s="8"/>
      <c r="BS392" s="7"/>
      <c r="BT392" s="7"/>
      <c r="BU392" s="2" t="s">
        <v>2430</v>
      </c>
      <c r="BV392" s="2" t="s">
        <v>233</v>
      </c>
      <c r="BW392" s="2" t="s">
        <v>233</v>
      </c>
      <c r="BX392" s="2" t="s">
        <v>233</v>
      </c>
      <c r="BY392" s="2" t="s">
        <v>280</v>
      </c>
      <c r="BZ392" s="2" t="s">
        <v>245</v>
      </c>
      <c r="CA392" s="2" t="s">
        <v>2406</v>
      </c>
      <c r="CB392" s="2" t="s">
        <v>2431</v>
      </c>
      <c r="CC392" s="2" t="s">
        <v>246</v>
      </c>
      <c r="CD392" s="2" t="s">
        <v>233</v>
      </c>
      <c r="CE392" s="4"/>
      <c r="CF392" s="4"/>
      <c r="CG392" s="4"/>
      <c r="CH392" s="4"/>
      <c r="CI392" s="4">
        <v>370</v>
      </c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</row>
    <row r="393">
      <c r="A393" s="2" t="s">
        <v>2432</v>
      </c>
      <c r="B393" s="2" t="s">
        <v>228</v>
      </c>
      <c r="C393" s="2" t="s">
        <v>1335</v>
      </c>
      <c r="D393" s="2" t="s">
        <v>969</v>
      </c>
      <c r="E393" s="2" t="s">
        <v>970</v>
      </c>
      <c r="F393" s="2" t="s">
        <v>2400</v>
      </c>
      <c r="G393" s="2" t="s">
        <v>2400</v>
      </c>
      <c r="H393" s="2" t="s">
        <v>2400</v>
      </c>
      <c r="I393" s="2" t="s">
        <v>2401</v>
      </c>
      <c r="J393" s="2" t="s">
        <v>1142</v>
      </c>
      <c r="K393" s="2" t="s">
        <v>2425</v>
      </c>
      <c r="L393" s="3">
        <v>62.2</v>
      </c>
      <c r="M393" s="3">
        <v>65.31</v>
      </c>
      <c r="N393" s="3">
        <v>129.99</v>
      </c>
      <c r="O393" s="2" t="s">
        <v>245</v>
      </c>
      <c r="P393" s="2" t="s">
        <v>311</v>
      </c>
      <c r="Q393" s="2" t="s">
        <v>239</v>
      </c>
      <c r="R393" s="2" t="s">
        <v>233</v>
      </c>
      <c r="S393" s="2" t="s">
        <v>2426</v>
      </c>
      <c r="T393" s="2" t="s">
        <v>976</v>
      </c>
      <c r="U393" s="2" t="s">
        <v>475</v>
      </c>
      <c r="V393" s="2" t="s">
        <v>1340</v>
      </c>
      <c r="W393" s="2" t="s">
        <v>978</v>
      </c>
      <c r="X393" s="2" t="s">
        <v>275</v>
      </c>
      <c r="Y393" s="2" t="s">
        <v>816</v>
      </c>
      <c r="Z393" s="4">
        <v>185</v>
      </c>
      <c r="AA393" s="4">
        <f>=ROUNDDOWN(925,0)</f>
      </c>
      <c r="AB393" s="5">
        <v>0.2</v>
      </c>
      <c r="AC393" s="2" t="s">
        <v>233</v>
      </c>
      <c r="AD393" s="4"/>
      <c r="AE393" s="4"/>
      <c r="AF393" s="6"/>
      <c r="AG393" s="6"/>
      <c r="AH393" s="7">
        <v>1</v>
      </c>
      <c r="AI393" s="4"/>
      <c r="AJ393" s="4">
        <f>=ROUNDDOWN({0},0)</f>
      </c>
      <c r="AK393" s="5"/>
      <c r="AL393" s="2" t="s">
        <v>233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233</v>
      </c>
      <c r="AW393" s="8" t="s">
        <v>233</v>
      </c>
      <c r="AX393" s="4" t="s">
        <v>233</v>
      </c>
      <c r="AY393" s="8" t="s">
        <v>233</v>
      </c>
      <c r="AZ393" s="7" t="s">
        <v>233</v>
      </c>
      <c r="BA393" s="7" t="s">
        <v>233</v>
      </c>
      <c r="BB393" s="7"/>
      <c r="BC393" s="4" t="s">
        <v>233</v>
      </c>
      <c r="BD393" s="8" t="s">
        <v>233</v>
      </c>
      <c r="BE393" s="4" t="s">
        <v>233</v>
      </c>
      <c r="BF393" s="8" t="s">
        <v>233</v>
      </c>
      <c r="BG393" s="7" t="s">
        <v>233</v>
      </c>
      <c r="BH393" s="7" t="s">
        <v>233</v>
      </c>
      <c r="BI393" s="7"/>
      <c r="BJ393" s="4"/>
      <c r="BK393" s="8"/>
      <c r="BL393" s="2" t="s">
        <v>233</v>
      </c>
      <c r="BM393" s="7"/>
      <c r="BN393" s="7"/>
      <c r="BO393" s="4"/>
      <c r="BP393" s="8"/>
      <c r="BQ393" s="4"/>
      <c r="BR393" s="8"/>
      <c r="BS393" s="7"/>
      <c r="BT393" s="7"/>
      <c r="BU393" s="2" t="s">
        <v>2433</v>
      </c>
      <c r="BV393" s="2" t="s">
        <v>233</v>
      </c>
      <c r="BW393" s="2" t="s">
        <v>233</v>
      </c>
      <c r="BX393" s="2" t="s">
        <v>233</v>
      </c>
      <c r="BY393" s="2" t="s">
        <v>280</v>
      </c>
      <c r="BZ393" s="2" t="s">
        <v>245</v>
      </c>
      <c r="CA393" s="2" t="s">
        <v>2406</v>
      </c>
      <c r="CB393" s="2" t="s">
        <v>2434</v>
      </c>
      <c r="CC393" s="2" t="s">
        <v>246</v>
      </c>
      <c r="CD393" s="2" t="s">
        <v>233</v>
      </c>
      <c r="CE393" s="4"/>
      <c r="CF393" s="4"/>
      <c r="CG393" s="4"/>
      <c r="CH393" s="4"/>
      <c r="CI393" s="4">
        <v>185</v>
      </c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</row>
    <row r="394">
      <c r="A394" s="2" t="s">
        <v>2435</v>
      </c>
      <c r="B394" s="2" t="s">
        <v>1066</v>
      </c>
      <c r="C394" s="2" t="s">
        <v>901</v>
      </c>
      <c r="D394" s="2" t="s">
        <v>1851</v>
      </c>
      <c r="E394" s="2" t="s">
        <v>1852</v>
      </c>
      <c r="F394" s="2" t="s">
        <v>2436</v>
      </c>
      <c r="G394" s="2" t="s">
        <v>2436</v>
      </c>
      <c r="H394" s="2" t="s">
        <v>2436</v>
      </c>
      <c r="I394" s="2" t="s">
        <v>2437</v>
      </c>
      <c r="J394" s="2" t="s">
        <v>892</v>
      </c>
      <c r="K394" s="2" t="s">
        <v>2438</v>
      </c>
      <c r="L394" s="3">
        <v>61.84</v>
      </c>
      <c r="M394" s="3">
        <v>64.93</v>
      </c>
      <c r="N394" s="3">
        <v>129</v>
      </c>
      <c r="O394" s="2" t="s">
        <v>245</v>
      </c>
      <c r="P394" s="2" t="s">
        <v>393</v>
      </c>
      <c r="Q394" s="2" t="s">
        <v>239</v>
      </c>
      <c r="R394" s="2" t="s">
        <v>233</v>
      </c>
      <c r="S394" s="2" t="s">
        <v>233</v>
      </c>
      <c r="T394" s="2" t="s">
        <v>233</v>
      </c>
      <c r="U394" s="2" t="s">
        <v>233</v>
      </c>
      <c r="V394" s="2" t="s">
        <v>241</v>
      </c>
      <c r="W394" s="2" t="s">
        <v>894</v>
      </c>
      <c r="X394" s="2" t="s">
        <v>233</v>
      </c>
      <c r="Y394" s="2" t="s">
        <v>2439</v>
      </c>
      <c r="Z394" s="4">
        <v>62</v>
      </c>
      <c r="AA394" s="4">
        <f>=ROUNDDOWN(8.85714285714286,0)</f>
      </c>
      <c r="AB394" s="5">
        <v>7</v>
      </c>
      <c r="AC394" s="2" t="s">
        <v>825</v>
      </c>
      <c r="AD394" s="4">
        <v>80</v>
      </c>
      <c r="AE394" s="4">
        <v>80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233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>
        <v>18</v>
      </c>
      <c r="BK394" s="8">
        <v>1161.88</v>
      </c>
      <c r="BL394" s="2" t="s">
        <v>2440</v>
      </c>
      <c r="BM394" s="7"/>
      <c r="BN394" s="7"/>
      <c r="BO394" s="4"/>
      <c r="BP394" s="8"/>
      <c r="BQ394" s="4"/>
      <c r="BR394" s="8"/>
      <c r="BS394" s="7"/>
      <c r="BT394" s="7"/>
      <c r="BU394" s="2" t="s">
        <v>2441</v>
      </c>
      <c r="BV394" s="2" t="s">
        <v>233</v>
      </c>
      <c r="BW394" s="2" t="s">
        <v>233</v>
      </c>
      <c r="BX394" s="2" t="s">
        <v>243</v>
      </c>
      <c r="BY394" s="2" t="s">
        <v>280</v>
      </c>
      <c r="BZ394" s="2" t="s">
        <v>245</v>
      </c>
      <c r="CA394" s="2" t="s">
        <v>2442</v>
      </c>
      <c r="CB394" s="2" t="s">
        <v>2443</v>
      </c>
      <c r="CC394" s="2" t="s">
        <v>246</v>
      </c>
      <c r="CD394" s="2" t="s">
        <v>233</v>
      </c>
      <c r="CE394" s="4"/>
      <c r="CF394" s="4">
        <v>62</v>
      </c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>
        <v>80</v>
      </c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</row>
    <row r="395">
      <c r="A395" s="2" t="s">
        <v>2444</v>
      </c>
      <c r="B395" s="2" t="s">
        <v>1066</v>
      </c>
      <c r="C395" s="2" t="s">
        <v>530</v>
      </c>
      <c r="D395" s="2" t="s">
        <v>1923</v>
      </c>
      <c r="E395" s="2" t="s">
        <v>1924</v>
      </c>
      <c r="F395" s="2" t="s">
        <v>2445</v>
      </c>
      <c r="G395" s="2" t="s">
        <v>2446</v>
      </c>
      <c r="H395" s="2" t="s">
        <v>2447</v>
      </c>
      <c r="I395" s="2" t="s">
        <v>2448</v>
      </c>
      <c r="J395" s="2" t="s">
        <v>892</v>
      </c>
      <c r="K395" s="2" t="s">
        <v>1537</v>
      </c>
      <c r="L395" s="3">
        <v>125.4</v>
      </c>
      <c r="M395" s="3">
        <v>131.67</v>
      </c>
      <c r="N395" s="3">
        <v>259</v>
      </c>
      <c r="O395" s="2" t="s">
        <v>245</v>
      </c>
      <c r="P395" s="2" t="s">
        <v>272</v>
      </c>
      <c r="Q395" s="2" t="s">
        <v>239</v>
      </c>
      <c r="R395" s="2" t="s">
        <v>233</v>
      </c>
      <c r="S395" s="2" t="s">
        <v>2449</v>
      </c>
      <c r="T395" s="2" t="s">
        <v>233</v>
      </c>
      <c r="U395" s="2" t="s">
        <v>233</v>
      </c>
      <c r="V395" s="2" t="s">
        <v>241</v>
      </c>
      <c r="W395" s="2" t="s">
        <v>397</v>
      </c>
      <c r="X395" s="2" t="s">
        <v>233</v>
      </c>
      <c r="Y395" s="2" t="s">
        <v>276</v>
      </c>
      <c r="Z395" s="4">
        <v>222</v>
      </c>
      <c r="AA395" s="4">
        <f>=ROUNDDOWN(22.2,0)</f>
      </c>
      <c r="AB395" s="5">
        <v>10</v>
      </c>
      <c r="AC395" s="2" t="s">
        <v>1601</v>
      </c>
      <c r="AD395" s="4">
        <v>200</v>
      </c>
      <c r="AE395" s="4">
        <v>400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233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>
        <v>41</v>
      </c>
      <c r="BK395" s="8">
        <v>4454.54</v>
      </c>
      <c r="BL395" s="2" t="s">
        <v>2450</v>
      </c>
      <c r="BM395" s="7"/>
      <c r="BN395" s="7"/>
      <c r="BO395" s="4"/>
      <c r="BP395" s="8"/>
      <c r="BQ395" s="4"/>
      <c r="BR395" s="8"/>
      <c r="BS395" s="7"/>
      <c r="BT395" s="7"/>
      <c r="BU395" s="2" t="s">
        <v>2451</v>
      </c>
      <c r="BV395" s="2" t="s">
        <v>233</v>
      </c>
      <c r="BW395" s="2" t="s">
        <v>233</v>
      </c>
      <c r="BX395" s="2" t="s">
        <v>233</v>
      </c>
      <c r="BY395" s="2" t="s">
        <v>280</v>
      </c>
      <c r="BZ395" s="2" t="s">
        <v>245</v>
      </c>
      <c r="CA395" s="2" t="s">
        <v>2452</v>
      </c>
      <c r="CB395" s="2" t="s">
        <v>2453</v>
      </c>
      <c r="CC395" s="2" t="s">
        <v>246</v>
      </c>
      <c r="CD395" s="2" t="s">
        <v>233</v>
      </c>
      <c r="CE395" s="4"/>
      <c r="CF395" s="4">
        <v>222</v>
      </c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>
        <v>200</v>
      </c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>
        <v>100</v>
      </c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>
        <v>100</v>
      </c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</row>
    <row r="396">
      <c r="A396" s="2" t="s">
        <v>2454</v>
      </c>
      <c r="B396" s="2" t="s">
        <v>989</v>
      </c>
      <c r="C396" s="2" t="s">
        <v>1157</v>
      </c>
      <c r="D396" s="2" t="s">
        <v>991</v>
      </c>
      <c r="E396" s="2" t="s">
        <v>992</v>
      </c>
      <c r="F396" s="2" t="s">
        <v>2455</v>
      </c>
      <c r="G396" s="2" t="s">
        <v>2455</v>
      </c>
      <c r="H396" s="2" t="s">
        <v>2455</v>
      </c>
      <c r="I396" s="2" t="s">
        <v>2456</v>
      </c>
      <c r="J396" s="2" t="s">
        <v>892</v>
      </c>
      <c r="K396" s="2" t="s">
        <v>2358</v>
      </c>
      <c r="L396" s="3">
        <v>26.4</v>
      </c>
      <c r="M396" s="3">
        <v>27.72</v>
      </c>
      <c r="N396" s="3">
        <v>54.99</v>
      </c>
      <c r="O396" s="2" t="s">
        <v>245</v>
      </c>
      <c r="P396" s="2" t="s">
        <v>741</v>
      </c>
      <c r="Q396" s="2" t="s">
        <v>239</v>
      </c>
      <c r="R396" s="2" t="s">
        <v>233</v>
      </c>
      <c r="S396" s="2" t="s">
        <v>2457</v>
      </c>
      <c r="T396" s="2" t="s">
        <v>341</v>
      </c>
      <c r="U396" s="2" t="s">
        <v>2458</v>
      </c>
      <c r="V396" s="2" t="s">
        <v>241</v>
      </c>
      <c r="W396" s="2" t="s">
        <v>275</v>
      </c>
      <c r="X396" s="2" t="s">
        <v>233</v>
      </c>
      <c r="Y396" s="2" t="s">
        <v>2459</v>
      </c>
      <c r="Z396" s="4">
        <v>426</v>
      </c>
      <c r="AA396" s="4">
        <f>=ROUNDDOWN(15.2142857142857,0)</f>
      </c>
      <c r="AB396" s="5">
        <v>28</v>
      </c>
      <c r="AC396" s="2" t="s">
        <v>1821</v>
      </c>
      <c r="AD396" s="4">
        <v>400</v>
      </c>
      <c r="AE396" s="4">
        <v>800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233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233</v>
      </c>
      <c r="BD396" s="8" t="s">
        <v>233</v>
      </c>
      <c r="BE396" s="4" t="s">
        <v>233</v>
      </c>
      <c r="BF396" s="8" t="s">
        <v>233</v>
      </c>
      <c r="BG396" s="7" t="s">
        <v>233</v>
      </c>
      <c r="BH396" s="7" t="s">
        <v>233</v>
      </c>
      <c r="BI396" s="7"/>
      <c r="BJ396" s="4">
        <v>81</v>
      </c>
      <c r="BK396" s="8">
        <v>2317.98</v>
      </c>
      <c r="BL396" s="2" t="s">
        <v>2460</v>
      </c>
      <c r="BM396" s="7"/>
      <c r="BN396" s="7"/>
      <c r="BO396" s="4"/>
      <c r="BP396" s="8"/>
      <c r="BQ396" s="4"/>
      <c r="BR396" s="8"/>
      <c r="BS396" s="7"/>
      <c r="BT396" s="7"/>
      <c r="BU396" s="2" t="s">
        <v>2461</v>
      </c>
      <c r="BV396" s="2" t="s">
        <v>233</v>
      </c>
      <c r="BW396" s="2" t="s">
        <v>233</v>
      </c>
      <c r="BX396" s="2" t="s">
        <v>243</v>
      </c>
      <c r="BY396" s="2" t="s">
        <v>280</v>
      </c>
      <c r="BZ396" s="2" t="s">
        <v>245</v>
      </c>
      <c r="CA396" s="2" t="s">
        <v>1983</v>
      </c>
      <c r="CB396" s="2" t="s">
        <v>1958</v>
      </c>
      <c r="CC396" s="2" t="s">
        <v>246</v>
      </c>
      <c r="CD396" s="2" t="s">
        <v>233</v>
      </c>
      <c r="CE396" s="4">
        <v>426</v>
      </c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>
        <v>400</v>
      </c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>
        <v>400</v>
      </c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</row>
    <row r="397">
      <c r="A397" s="2" t="s">
        <v>2462</v>
      </c>
      <c r="B397" s="2" t="s">
        <v>989</v>
      </c>
      <c r="C397" s="2" t="s">
        <v>1157</v>
      </c>
      <c r="D397" s="2" t="s">
        <v>991</v>
      </c>
      <c r="E397" s="2" t="s">
        <v>992</v>
      </c>
      <c r="F397" s="2" t="s">
        <v>2455</v>
      </c>
      <c r="G397" s="2" t="s">
        <v>2455</v>
      </c>
      <c r="H397" s="2" t="s">
        <v>2455</v>
      </c>
      <c r="I397" s="2" t="s">
        <v>2456</v>
      </c>
      <c r="J397" s="2" t="s">
        <v>892</v>
      </c>
      <c r="K397" s="2" t="s">
        <v>645</v>
      </c>
      <c r="L397" s="3">
        <v>26.4</v>
      </c>
      <c r="M397" s="3">
        <v>27.72</v>
      </c>
      <c r="N397" s="3">
        <v>54.99</v>
      </c>
      <c r="O397" s="2" t="s">
        <v>245</v>
      </c>
      <c r="P397" s="2" t="s">
        <v>974</v>
      </c>
      <c r="Q397" s="2" t="s">
        <v>239</v>
      </c>
      <c r="R397" s="2" t="s">
        <v>233</v>
      </c>
      <c r="S397" s="2" t="s">
        <v>2463</v>
      </c>
      <c r="T397" s="2" t="s">
        <v>341</v>
      </c>
      <c r="U397" s="2" t="s">
        <v>2458</v>
      </c>
      <c r="V397" s="2" t="s">
        <v>241</v>
      </c>
      <c r="W397" s="2" t="s">
        <v>275</v>
      </c>
      <c r="X397" s="2" t="s">
        <v>233</v>
      </c>
      <c r="Y397" s="2" t="s">
        <v>2464</v>
      </c>
      <c r="Z397" s="4">
        <v>711</v>
      </c>
      <c r="AA397" s="4">
        <f>=ROUNDDOWN(15.1276595744681,0)</f>
      </c>
      <c r="AB397" s="5">
        <v>47</v>
      </c>
      <c r="AC397" s="2" t="s">
        <v>233</v>
      </c>
      <c r="AD397" s="4"/>
      <c r="AE397" s="4"/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233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233</v>
      </c>
      <c r="BD397" s="8" t="s">
        <v>233</v>
      </c>
      <c r="BE397" s="4" t="s">
        <v>233</v>
      </c>
      <c r="BF397" s="8" t="s">
        <v>233</v>
      </c>
      <c r="BG397" s="7" t="s">
        <v>233</v>
      </c>
      <c r="BH397" s="7" t="s">
        <v>233</v>
      </c>
      <c r="BI397" s="7"/>
      <c r="BJ397" s="4">
        <v>47</v>
      </c>
      <c r="BK397" s="8">
        <v>1307.26</v>
      </c>
      <c r="BL397" s="2" t="s">
        <v>2465</v>
      </c>
      <c r="BM397" s="7"/>
      <c r="BN397" s="7"/>
      <c r="BO397" s="4"/>
      <c r="BP397" s="8"/>
      <c r="BQ397" s="4"/>
      <c r="BR397" s="8"/>
      <c r="BS397" s="7"/>
      <c r="BT397" s="7"/>
      <c r="BU397" s="2" t="s">
        <v>2466</v>
      </c>
      <c r="BV397" s="2" t="s">
        <v>233</v>
      </c>
      <c r="BW397" s="2" t="s">
        <v>233</v>
      </c>
      <c r="BX397" s="2" t="s">
        <v>243</v>
      </c>
      <c r="BY397" s="2" t="s">
        <v>280</v>
      </c>
      <c r="BZ397" s="2" t="s">
        <v>245</v>
      </c>
      <c r="CA397" s="2" t="s">
        <v>2467</v>
      </c>
      <c r="CB397" s="2" t="s">
        <v>233</v>
      </c>
      <c r="CC397" s="2" t="s">
        <v>246</v>
      </c>
      <c r="CD397" s="2" t="s">
        <v>233</v>
      </c>
      <c r="CE397" s="4">
        <v>711</v>
      </c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</row>
    <row r="398">
      <c r="A398" s="2" t="s">
        <v>2468</v>
      </c>
      <c r="B398" s="2" t="s">
        <v>989</v>
      </c>
      <c r="C398" s="2" t="s">
        <v>1157</v>
      </c>
      <c r="D398" s="2" t="s">
        <v>991</v>
      </c>
      <c r="E398" s="2" t="s">
        <v>992</v>
      </c>
      <c r="F398" s="2" t="s">
        <v>2455</v>
      </c>
      <c r="G398" s="2" t="s">
        <v>2455</v>
      </c>
      <c r="H398" s="2" t="s">
        <v>2455</v>
      </c>
      <c r="I398" s="2" t="s">
        <v>2456</v>
      </c>
      <c r="J398" s="2" t="s">
        <v>892</v>
      </c>
      <c r="K398" s="2" t="s">
        <v>255</v>
      </c>
      <c r="L398" s="3">
        <v>26.4</v>
      </c>
      <c r="M398" s="3">
        <v>27.72</v>
      </c>
      <c r="N398" s="3">
        <v>54.99</v>
      </c>
      <c r="O398" s="2" t="s">
        <v>245</v>
      </c>
      <c r="P398" s="2" t="s">
        <v>763</v>
      </c>
      <c r="Q398" s="2" t="s">
        <v>239</v>
      </c>
      <c r="R398" s="2" t="s">
        <v>233</v>
      </c>
      <c r="S398" s="2" t="s">
        <v>2469</v>
      </c>
      <c r="T398" s="2" t="s">
        <v>341</v>
      </c>
      <c r="U398" s="2" t="s">
        <v>2458</v>
      </c>
      <c r="V398" s="2" t="s">
        <v>241</v>
      </c>
      <c r="W398" s="2" t="s">
        <v>275</v>
      </c>
      <c r="X398" s="2" t="s">
        <v>233</v>
      </c>
      <c r="Y398" s="2" t="s">
        <v>1555</v>
      </c>
      <c r="Z398" s="4">
        <v>1102</v>
      </c>
      <c r="AA398" s="4">
        <f>=ROUNDDOWN(24.4888888888889,0)</f>
      </c>
      <c r="AB398" s="5">
        <v>45</v>
      </c>
      <c r="AC398" s="2" t="s">
        <v>1821</v>
      </c>
      <c r="AD398" s="4">
        <v>650</v>
      </c>
      <c r="AE398" s="4">
        <v>1450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233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233</v>
      </c>
      <c r="BD398" s="8" t="s">
        <v>233</v>
      </c>
      <c r="BE398" s="4" t="s">
        <v>233</v>
      </c>
      <c r="BF398" s="8" t="s">
        <v>233</v>
      </c>
      <c r="BG398" s="7" t="s">
        <v>233</v>
      </c>
      <c r="BH398" s="7" t="s">
        <v>233</v>
      </c>
      <c r="BI398" s="7"/>
      <c r="BJ398" s="4">
        <v>194</v>
      </c>
      <c r="BK398" s="8">
        <v>5478.02</v>
      </c>
      <c r="BL398" s="2" t="s">
        <v>2470</v>
      </c>
      <c r="BM398" s="7"/>
      <c r="BN398" s="7"/>
      <c r="BO398" s="4"/>
      <c r="BP398" s="8"/>
      <c r="BQ398" s="4"/>
      <c r="BR398" s="8"/>
      <c r="BS398" s="7"/>
      <c r="BT398" s="7"/>
      <c r="BU398" s="2" t="s">
        <v>2471</v>
      </c>
      <c r="BV398" s="2" t="s">
        <v>233</v>
      </c>
      <c r="BW398" s="2" t="s">
        <v>233</v>
      </c>
      <c r="BX398" s="2" t="s">
        <v>243</v>
      </c>
      <c r="BY398" s="2" t="s">
        <v>280</v>
      </c>
      <c r="BZ398" s="2" t="s">
        <v>245</v>
      </c>
      <c r="CA398" s="2" t="s">
        <v>2472</v>
      </c>
      <c r="CB398" s="2" t="s">
        <v>2473</v>
      </c>
      <c r="CC398" s="2" t="s">
        <v>246</v>
      </c>
      <c r="CD398" s="2" t="s">
        <v>233</v>
      </c>
      <c r="CE398" s="4">
        <v>1102</v>
      </c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>
        <v>650</v>
      </c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>
        <v>400</v>
      </c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>
        <v>400</v>
      </c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</row>
    <row r="399">
      <c r="A399" s="2" t="s">
        <v>2474</v>
      </c>
      <c r="B399" s="2" t="s">
        <v>989</v>
      </c>
      <c r="C399" s="2" t="s">
        <v>1157</v>
      </c>
      <c r="D399" s="2" t="s">
        <v>991</v>
      </c>
      <c r="E399" s="2" t="s">
        <v>992</v>
      </c>
      <c r="F399" s="2" t="s">
        <v>2455</v>
      </c>
      <c r="G399" s="2" t="s">
        <v>2455</v>
      </c>
      <c r="H399" s="2" t="s">
        <v>2455</v>
      </c>
      <c r="I399" s="2" t="s">
        <v>2456</v>
      </c>
      <c r="J399" s="2" t="s">
        <v>892</v>
      </c>
      <c r="K399" s="2" t="s">
        <v>2475</v>
      </c>
      <c r="L399" s="3">
        <v>26.4</v>
      </c>
      <c r="M399" s="3">
        <v>27.72</v>
      </c>
      <c r="N399" s="3">
        <v>54.99</v>
      </c>
      <c r="O399" s="2" t="s">
        <v>245</v>
      </c>
      <c r="P399" s="2" t="s">
        <v>763</v>
      </c>
      <c r="Q399" s="2" t="s">
        <v>239</v>
      </c>
      <c r="R399" s="2" t="s">
        <v>233</v>
      </c>
      <c r="S399" s="2" t="s">
        <v>2476</v>
      </c>
      <c r="T399" s="2" t="s">
        <v>341</v>
      </c>
      <c r="U399" s="2" t="s">
        <v>2458</v>
      </c>
      <c r="V399" s="2" t="s">
        <v>241</v>
      </c>
      <c r="W399" s="2" t="s">
        <v>275</v>
      </c>
      <c r="X399" s="2" t="s">
        <v>233</v>
      </c>
      <c r="Y399" s="2" t="s">
        <v>1555</v>
      </c>
      <c r="Z399" s="4">
        <v>329</v>
      </c>
      <c r="AA399" s="4">
        <f>=ROUNDDOWN(6.09259259259259,0)</f>
      </c>
      <c r="AB399" s="5">
        <v>54</v>
      </c>
      <c r="AC399" s="2" t="s">
        <v>1821</v>
      </c>
      <c r="AD399" s="4">
        <v>650</v>
      </c>
      <c r="AE399" s="4">
        <v>1850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233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233</v>
      </c>
      <c r="BD399" s="8" t="s">
        <v>233</v>
      </c>
      <c r="BE399" s="4" t="s">
        <v>233</v>
      </c>
      <c r="BF399" s="8" t="s">
        <v>233</v>
      </c>
      <c r="BG399" s="7" t="s">
        <v>233</v>
      </c>
      <c r="BH399" s="7" t="s">
        <v>233</v>
      </c>
      <c r="BI399" s="7"/>
      <c r="BJ399" s="4">
        <v>206</v>
      </c>
      <c r="BK399" s="8">
        <v>5762.18</v>
      </c>
      <c r="BL399" s="2" t="s">
        <v>2477</v>
      </c>
      <c r="BM399" s="7"/>
      <c r="BN399" s="7"/>
      <c r="BO399" s="4"/>
      <c r="BP399" s="8"/>
      <c r="BQ399" s="4"/>
      <c r="BR399" s="8"/>
      <c r="BS399" s="7"/>
      <c r="BT399" s="7"/>
      <c r="BU399" s="2" t="s">
        <v>2478</v>
      </c>
      <c r="BV399" s="2" t="s">
        <v>233</v>
      </c>
      <c r="BW399" s="2" t="s">
        <v>233</v>
      </c>
      <c r="BX399" s="2" t="s">
        <v>243</v>
      </c>
      <c r="BY399" s="2" t="s">
        <v>280</v>
      </c>
      <c r="BZ399" s="2" t="s">
        <v>245</v>
      </c>
      <c r="CA399" s="2" t="s">
        <v>2472</v>
      </c>
      <c r="CB399" s="2" t="s">
        <v>2479</v>
      </c>
      <c r="CC399" s="2" t="s">
        <v>246</v>
      </c>
      <c r="CD399" s="2" t="s">
        <v>233</v>
      </c>
      <c r="CE399" s="4">
        <v>329</v>
      </c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>
        <v>650</v>
      </c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>
        <v>400</v>
      </c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>
        <v>400</v>
      </c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>
        <v>400</v>
      </c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</row>
    <row r="400">
      <c r="A400" s="2" t="s">
        <v>2480</v>
      </c>
      <c r="B400" s="2" t="s">
        <v>989</v>
      </c>
      <c r="C400" s="2" t="s">
        <v>1157</v>
      </c>
      <c r="D400" s="2" t="s">
        <v>991</v>
      </c>
      <c r="E400" s="2" t="s">
        <v>992</v>
      </c>
      <c r="F400" s="2" t="s">
        <v>2455</v>
      </c>
      <c r="G400" s="2" t="s">
        <v>2455</v>
      </c>
      <c r="H400" s="2" t="s">
        <v>2455</v>
      </c>
      <c r="I400" s="2" t="s">
        <v>2456</v>
      </c>
      <c r="J400" s="2" t="s">
        <v>892</v>
      </c>
      <c r="K400" s="2" t="s">
        <v>525</v>
      </c>
      <c r="L400" s="3">
        <v>26.4</v>
      </c>
      <c r="M400" s="3">
        <v>27.72</v>
      </c>
      <c r="N400" s="3">
        <v>54.99</v>
      </c>
      <c r="O400" s="2" t="s">
        <v>245</v>
      </c>
      <c r="P400" s="2" t="s">
        <v>272</v>
      </c>
      <c r="Q400" s="2" t="s">
        <v>239</v>
      </c>
      <c r="R400" s="2" t="s">
        <v>233</v>
      </c>
      <c r="S400" s="2" t="s">
        <v>2481</v>
      </c>
      <c r="T400" s="2" t="s">
        <v>341</v>
      </c>
      <c r="U400" s="2" t="s">
        <v>2458</v>
      </c>
      <c r="V400" s="2" t="s">
        <v>241</v>
      </c>
      <c r="W400" s="2" t="s">
        <v>275</v>
      </c>
      <c r="X400" s="2" t="s">
        <v>233</v>
      </c>
      <c r="Y400" s="2" t="s">
        <v>2482</v>
      </c>
      <c r="Z400" s="4">
        <v>603</v>
      </c>
      <c r="AA400" s="4">
        <f>=ROUNDDOWN(22.3333333333333,0)</f>
      </c>
      <c r="AB400" s="5">
        <v>27</v>
      </c>
      <c r="AC400" s="2" t="s">
        <v>1821</v>
      </c>
      <c r="AD400" s="4">
        <v>400</v>
      </c>
      <c r="AE400" s="4">
        <v>800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233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233</v>
      </c>
      <c r="BD400" s="8" t="s">
        <v>233</v>
      </c>
      <c r="BE400" s="4" t="s">
        <v>233</v>
      </c>
      <c r="BF400" s="8" t="s">
        <v>233</v>
      </c>
      <c r="BG400" s="7" t="s">
        <v>233</v>
      </c>
      <c r="BH400" s="7" t="s">
        <v>233</v>
      </c>
      <c r="BI400" s="7"/>
      <c r="BJ400" s="4">
        <v>48</v>
      </c>
      <c r="BK400" s="8">
        <v>1367.82</v>
      </c>
      <c r="BL400" s="2" t="s">
        <v>2483</v>
      </c>
      <c r="BM400" s="7"/>
      <c r="BN400" s="7"/>
      <c r="BO400" s="4"/>
      <c r="BP400" s="8"/>
      <c r="BQ400" s="4"/>
      <c r="BR400" s="8"/>
      <c r="BS400" s="7"/>
      <c r="BT400" s="7"/>
      <c r="BU400" s="2" t="s">
        <v>2484</v>
      </c>
      <c r="BV400" s="2" t="s">
        <v>233</v>
      </c>
      <c r="BW400" s="2" t="s">
        <v>233</v>
      </c>
      <c r="BX400" s="2" t="s">
        <v>243</v>
      </c>
      <c r="BY400" s="2" t="s">
        <v>280</v>
      </c>
      <c r="BZ400" s="2" t="s">
        <v>245</v>
      </c>
      <c r="CA400" s="2" t="s">
        <v>1683</v>
      </c>
      <c r="CB400" s="2" t="s">
        <v>2485</v>
      </c>
      <c r="CC400" s="2" t="s">
        <v>246</v>
      </c>
      <c r="CD400" s="2" t="s">
        <v>233</v>
      </c>
      <c r="CE400" s="4">
        <v>603</v>
      </c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>
        <v>400</v>
      </c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>
        <v>400</v>
      </c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</row>
    <row r="401">
      <c r="A401" s="2" t="s">
        <v>2486</v>
      </c>
      <c r="B401" s="2" t="s">
        <v>1242</v>
      </c>
      <c r="C401" s="2" t="s">
        <v>530</v>
      </c>
      <c r="D401" s="2" t="s">
        <v>969</v>
      </c>
      <c r="E401" s="2" t="s">
        <v>1078</v>
      </c>
      <c r="F401" s="2" t="s">
        <v>2487</v>
      </c>
      <c r="G401" s="2" t="s">
        <v>2488</v>
      </c>
      <c r="H401" s="2" t="s">
        <v>2489</v>
      </c>
      <c r="I401" s="2" t="s">
        <v>1505</v>
      </c>
      <c r="J401" s="2" t="s">
        <v>328</v>
      </c>
      <c r="K401" s="2" t="s">
        <v>257</v>
      </c>
      <c r="L401" s="3">
        <v>76.8</v>
      </c>
      <c r="M401" s="3">
        <v>80.63</v>
      </c>
      <c r="N401" s="3">
        <v>159.99</v>
      </c>
      <c r="O401" s="2" t="s">
        <v>245</v>
      </c>
      <c r="P401" s="2" t="s">
        <v>272</v>
      </c>
      <c r="Q401" s="2" t="s">
        <v>239</v>
      </c>
      <c r="R401" s="2" t="s">
        <v>233</v>
      </c>
      <c r="S401" s="2" t="s">
        <v>2490</v>
      </c>
      <c r="T401" s="2" t="s">
        <v>233</v>
      </c>
      <c r="U401" s="2" t="s">
        <v>1507</v>
      </c>
      <c r="V401" s="2" t="s">
        <v>1085</v>
      </c>
      <c r="W401" s="2" t="s">
        <v>451</v>
      </c>
      <c r="X401" s="2" t="s">
        <v>2491</v>
      </c>
      <c r="Y401" s="2" t="s">
        <v>276</v>
      </c>
      <c r="Z401" s="4"/>
      <c r="AA401" s="4">
        <f>=ROUNDDOWN({0},0)</f>
      </c>
      <c r="AB401" s="5">
        <v>8</v>
      </c>
      <c r="AC401" s="2" t="s">
        <v>344</v>
      </c>
      <c r="AD401" s="4">
        <v>130</v>
      </c>
      <c r="AE401" s="4">
        <v>200</v>
      </c>
      <c r="AF401" s="6">
        <v>64</v>
      </c>
      <c r="AG401" s="6">
        <v>47</v>
      </c>
      <c r="AH401" s="7">
        <v>0</v>
      </c>
      <c r="AI401" s="4"/>
      <c r="AJ401" s="4">
        <f>=ROUNDDOWN({0},0)</f>
      </c>
      <c r="AK401" s="5"/>
      <c r="AL401" s="2" t="s">
        <v>233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2492</v>
      </c>
      <c r="BM401" s="7"/>
      <c r="BN401" s="7"/>
      <c r="BO401" s="4"/>
      <c r="BP401" s="8"/>
      <c r="BQ401" s="4"/>
      <c r="BR401" s="8"/>
      <c r="BS401" s="7"/>
      <c r="BT401" s="7"/>
      <c r="BU401" s="2" t="s">
        <v>2493</v>
      </c>
      <c r="BV401" s="2" t="s">
        <v>233</v>
      </c>
      <c r="BW401" s="2" t="s">
        <v>233</v>
      </c>
      <c r="BX401" s="2" t="s">
        <v>233</v>
      </c>
      <c r="BY401" s="2" t="s">
        <v>280</v>
      </c>
      <c r="BZ401" s="2" t="s">
        <v>245</v>
      </c>
      <c r="CA401" s="2" t="s">
        <v>1318</v>
      </c>
      <c r="CB401" s="2" t="s">
        <v>2494</v>
      </c>
      <c r="CC401" s="2" t="s">
        <v>246</v>
      </c>
      <c r="CD401" s="2" t="s">
        <v>233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>
        <v>130</v>
      </c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>
        <v>70</v>
      </c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</row>
    <row r="402">
      <c r="A402" s="2" t="s">
        <v>2495</v>
      </c>
      <c r="B402" s="2" t="s">
        <v>1242</v>
      </c>
      <c r="C402" s="2" t="s">
        <v>1986</v>
      </c>
      <c r="D402" s="2" t="s">
        <v>1194</v>
      </c>
      <c r="E402" s="2" t="s">
        <v>1987</v>
      </c>
      <c r="F402" s="2" t="s">
        <v>2496</v>
      </c>
      <c r="G402" s="2" t="s">
        <v>2496</v>
      </c>
      <c r="H402" s="2" t="s">
        <v>2496</v>
      </c>
      <c r="I402" s="2" t="s">
        <v>2497</v>
      </c>
      <c r="J402" s="2" t="s">
        <v>2498</v>
      </c>
      <c r="K402" s="2" t="s">
        <v>984</v>
      </c>
      <c r="L402" s="3">
        <v>24.76</v>
      </c>
      <c r="M402" s="3">
        <v>26</v>
      </c>
      <c r="N402" s="3">
        <v>79.99</v>
      </c>
      <c r="O402" s="2" t="s">
        <v>245</v>
      </c>
      <c r="P402" s="2" t="s">
        <v>393</v>
      </c>
      <c r="Q402" s="2" t="s">
        <v>239</v>
      </c>
      <c r="R402" s="2" t="s">
        <v>233</v>
      </c>
      <c r="S402" s="2" t="s">
        <v>233</v>
      </c>
      <c r="T402" s="2" t="s">
        <v>233</v>
      </c>
      <c r="U402" s="2" t="s">
        <v>396</v>
      </c>
      <c r="V402" s="2" t="s">
        <v>1869</v>
      </c>
      <c r="W402" s="2" t="s">
        <v>776</v>
      </c>
      <c r="X402" s="2" t="s">
        <v>233</v>
      </c>
      <c r="Y402" s="2" t="s">
        <v>1669</v>
      </c>
      <c r="Z402" s="4">
        <v>110</v>
      </c>
      <c r="AA402" s="4">
        <f>=ROUNDDOWN(55,0)</f>
      </c>
      <c r="AB402" s="5">
        <v>2</v>
      </c>
      <c r="AC402" s="2" t="s">
        <v>233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233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233</v>
      </c>
      <c r="BD402" s="8" t="s">
        <v>233</v>
      </c>
      <c r="BE402" s="4" t="s">
        <v>233</v>
      </c>
      <c r="BF402" s="8" t="s">
        <v>233</v>
      </c>
      <c r="BG402" s="7" t="s">
        <v>233</v>
      </c>
      <c r="BH402" s="7" t="s">
        <v>233</v>
      </c>
      <c r="BI402" s="7"/>
      <c r="BJ402" s="4">
        <v>5</v>
      </c>
      <c r="BK402" s="8">
        <v>133.7</v>
      </c>
      <c r="BL402" s="2" t="s">
        <v>1611</v>
      </c>
      <c r="BM402" s="7"/>
      <c r="BN402" s="7"/>
      <c r="BO402" s="4"/>
      <c r="BP402" s="8"/>
      <c r="BQ402" s="4"/>
      <c r="BR402" s="8"/>
      <c r="BS402" s="7"/>
      <c r="BT402" s="7"/>
      <c r="BU402" s="2" t="s">
        <v>2499</v>
      </c>
      <c r="BV402" s="2" t="s">
        <v>233</v>
      </c>
      <c r="BW402" s="2" t="s">
        <v>233</v>
      </c>
      <c r="BX402" s="2" t="s">
        <v>233</v>
      </c>
      <c r="BY402" s="2" t="s">
        <v>280</v>
      </c>
      <c r="BZ402" s="2" t="s">
        <v>245</v>
      </c>
      <c r="CA402" s="2" t="s">
        <v>1613</v>
      </c>
      <c r="CB402" s="2" t="s">
        <v>1992</v>
      </c>
      <c r="CC402" s="2" t="s">
        <v>246</v>
      </c>
      <c r="CD402" s="2" t="s">
        <v>233</v>
      </c>
      <c r="CE402" s="4">
        <v>110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</row>
    <row r="403">
      <c r="A403" s="2" t="s">
        <v>2500</v>
      </c>
      <c r="B403" s="2" t="s">
        <v>1242</v>
      </c>
      <c r="C403" s="2" t="s">
        <v>1986</v>
      </c>
      <c r="D403" s="2" t="s">
        <v>1194</v>
      </c>
      <c r="E403" s="2" t="s">
        <v>1987</v>
      </c>
      <c r="F403" s="2" t="s">
        <v>2496</v>
      </c>
      <c r="G403" s="2" t="s">
        <v>2496</v>
      </c>
      <c r="H403" s="2" t="s">
        <v>2496</v>
      </c>
      <c r="I403" s="2" t="s">
        <v>2497</v>
      </c>
      <c r="J403" s="2" t="s">
        <v>2498</v>
      </c>
      <c r="K403" s="2" t="s">
        <v>1994</v>
      </c>
      <c r="L403" s="3">
        <v>24.76</v>
      </c>
      <c r="M403" s="3">
        <v>26</v>
      </c>
      <c r="N403" s="3">
        <v>79.99</v>
      </c>
      <c r="O403" s="2" t="s">
        <v>245</v>
      </c>
      <c r="P403" s="2" t="s">
        <v>272</v>
      </c>
      <c r="Q403" s="2" t="s">
        <v>239</v>
      </c>
      <c r="R403" s="2" t="s">
        <v>233</v>
      </c>
      <c r="S403" s="2" t="s">
        <v>233</v>
      </c>
      <c r="T403" s="2" t="s">
        <v>233</v>
      </c>
      <c r="U403" s="2" t="s">
        <v>396</v>
      </c>
      <c r="V403" s="2" t="s">
        <v>1869</v>
      </c>
      <c r="W403" s="2" t="s">
        <v>776</v>
      </c>
      <c r="X403" s="2" t="s">
        <v>233</v>
      </c>
      <c r="Y403" s="2" t="s">
        <v>1669</v>
      </c>
      <c r="Z403" s="4">
        <v>39</v>
      </c>
      <c r="AA403" s="4">
        <f>=ROUNDDOWN(19.5,0)</f>
      </c>
      <c r="AB403" s="5">
        <v>2</v>
      </c>
      <c r="AC403" s="2" t="s">
        <v>233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233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233</v>
      </c>
      <c r="BD403" s="8" t="s">
        <v>233</v>
      </c>
      <c r="BE403" s="4" t="s">
        <v>233</v>
      </c>
      <c r="BF403" s="8" t="s">
        <v>233</v>
      </c>
      <c r="BG403" s="7" t="s">
        <v>233</v>
      </c>
      <c r="BH403" s="7" t="s">
        <v>233</v>
      </c>
      <c r="BI403" s="7"/>
      <c r="BJ403" s="4">
        <v>4</v>
      </c>
      <c r="BK403" s="8">
        <v>233.97</v>
      </c>
      <c r="BL403" s="2" t="s">
        <v>2501</v>
      </c>
      <c r="BM403" s="7"/>
      <c r="BN403" s="7"/>
      <c r="BO403" s="4"/>
      <c r="BP403" s="8"/>
      <c r="BQ403" s="4"/>
      <c r="BR403" s="8"/>
      <c r="BS403" s="7"/>
      <c r="BT403" s="7"/>
      <c r="BU403" s="2" t="s">
        <v>2502</v>
      </c>
      <c r="BV403" s="2" t="s">
        <v>233</v>
      </c>
      <c r="BW403" s="2" t="s">
        <v>233</v>
      </c>
      <c r="BX403" s="2" t="s">
        <v>233</v>
      </c>
      <c r="BY403" s="2" t="s">
        <v>280</v>
      </c>
      <c r="BZ403" s="2" t="s">
        <v>245</v>
      </c>
      <c r="CA403" s="2" t="s">
        <v>1613</v>
      </c>
      <c r="CB403" s="2" t="s">
        <v>2503</v>
      </c>
      <c r="CC403" s="2" t="s">
        <v>246</v>
      </c>
      <c r="CD403" s="2" t="s">
        <v>233</v>
      </c>
      <c r="CE403" s="4">
        <v>39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</row>
    <row r="404">
      <c r="A404" s="2" t="s">
        <v>2504</v>
      </c>
      <c r="B404" s="2" t="s">
        <v>886</v>
      </c>
      <c r="C404" s="2" t="s">
        <v>901</v>
      </c>
      <c r="D404" s="2" t="s">
        <v>888</v>
      </c>
      <c r="E404" s="2" t="s">
        <v>889</v>
      </c>
      <c r="F404" s="2" t="s">
        <v>1132</v>
      </c>
      <c r="G404" s="2" t="s">
        <v>1132</v>
      </c>
      <c r="H404" s="2" t="s">
        <v>1132</v>
      </c>
      <c r="I404" s="2" t="s">
        <v>2505</v>
      </c>
      <c r="J404" s="2" t="s">
        <v>892</v>
      </c>
      <c r="K404" s="2" t="s">
        <v>2506</v>
      </c>
      <c r="L404" s="3">
        <v>103.68</v>
      </c>
      <c r="M404" s="3">
        <v>108.86</v>
      </c>
      <c r="N404" s="3">
        <v>239.99</v>
      </c>
      <c r="O404" s="2" t="s">
        <v>245</v>
      </c>
      <c r="P404" s="2" t="s">
        <v>311</v>
      </c>
      <c r="Q404" s="2" t="s">
        <v>239</v>
      </c>
      <c r="R404" s="2" t="s">
        <v>233</v>
      </c>
      <c r="S404" s="2" t="s">
        <v>233</v>
      </c>
      <c r="T404" s="2" t="s">
        <v>233</v>
      </c>
      <c r="U404" s="2" t="s">
        <v>396</v>
      </c>
      <c r="V404" s="2" t="s">
        <v>893</v>
      </c>
      <c r="W404" s="2" t="s">
        <v>397</v>
      </c>
      <c r="X404" s="2" t="s">
        <v>233</v>
      </c>
      <c r="Y404" s="2" t="s">
        <v>2256</v>
      </c>
      <c r="Z404" s="4">
        <v>61</v>
      </c>
      <c r="AA404" s="4">
        <f>=ROUNDDOWN(20.3333333333333,0)</f>
      </c>
      <c r="AB404" s="5">
        <v>3</v>
      </c>
      <c r="AC404" s="2" t="s">
        <v>233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233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233</v>
      </c>
      <c r="BD404" s="8" t="s">
        <v>233</v>
      </c>
      <c r="BE404" s="4" t="s">
        <v>233</v>
      </c>
      <c r="BF404" s="8" t="s">
        <v>233</v>
      </c>
      <c r="BG404" s="7" t="s">
        <v>233</v>
      </c>
      <c r="BH404" s="7" t="s">
        <v>233</v>
      </c>
      <c r="BI404" s="7"/>
      <c r="BJ404" s="4">
        <v>1</v>
      </c>
      <c r="BK404" s="8">
        <v>108.86</v>
      </c>
      <c r="BL404" s="2" t="s">
        <v>2507</v>
      </c>
      <c r="BM404" s="7"/>
      <c r="BN404" s="7"/>
      <c r="BO404" s="4"/>
      <c r="BP404" s="8"/>
      <c r="BQ404" s="4"/>
      <c r="BR404" s="8"/>
      <c r="BS404" s="7"/>
      <c r="BT404" s="7"/>
      <c r="BU404" s="2" t="s">
        <v>2508</v>
      </c>
      <c r="BV404" s="2" t="s">
        <v>233</v>
      </c>
      <c r="BW404" s="2" t="s">
        <v>233</v>
      </c>
      <c r="BX404" s="2" t="s">
        <v>233</v>
      </c>
      <c r="BY404" s="2" t="s">
        <v>280</v>
      </c>
      <c r="BZ404" s="2" t="s">
        <v>245</v>
      </c>
      <c r="CA404" s="2" t="s">
        <v>2509</v>
      </c>
      <c r="CB404" s="2" t="s">
        <v>2014</v>
      </c>
      <c r="CC404" s="2" t="s">
        <v>246</v>
      </c>
      <c r="CD404" s="2" t="s">
        <v>233</v>
      </c>
      <c r="CE404" s="4"/>
      <c r="CF404" s="4">
        <v>61</v>
      </c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</row>
    <row r="405">
      <c r="A405" s="2" t="s">
        <v>2510</v>
      </c>
      <c r="B405" s="2" t="s">
        <v>1066</v>
      </c>
      <c r="C405" s="2" t="s">
        <v>1157</v>
      </c>
      <c r="D405" s="2" t="s">
        <v>1713</v>
      </c>
      <c r="E405" s="2" t="s">
        <v>1714</v>
      </c>
      <c r="F405" s="2" t="s">
        <v>1132</v>
      </c>
      <c r="G405" s="2" t="s">
        <v>1132</v>
      </c>
      <c r="H405" s="2" t="s">
        <v>1132</v>
      </c>
      <c r="I405" s="2" t="s">
        <v>2511</v>
      </c>
      <c r="J405" s="2" t="s">
        <v>892</v>
      </c>
      <c r="K405" s="2" t="s">
        <v>853</v>
      </c>
      <c r="L405" s="3">
        <v>83.6</v>
      </c>
      <c r="M405" s="3">
        <v>87.78</v>
      </c>
      <c r="N405" s="3">
        <v>179</v>
      </c>
      <c r="O405" s="2" t="s">
        <v>245</v>
      </c>
      <c r="P405" s="2" t="s">
        <v>238</v>
      </c>
      <c r="Q405" s="2" t="s">
        <v>239</v>
      </c>
      <c r="R405" s="2" t="s">
        <v>233</v>
      </c>
      <c r="S405" s="2" t="s">
        <v>233</v>
      </c>
      <c r="T405" s="2" t="s">
        <v>233</v>
      </c>
      <c r="U405" s="2" t="s">
        <v>396</v>
      </c>
      <c r="V405" s="2" t="s">
        <v>893</v>
      </c>
      <c r="W405" s="2" t="s">
        <v>451</v>
      </c>
      <c r="X405" s="2" t="s">
        <v>397</v>
      </c>
      <c r="Y405" s="2" t="s">
        <v>2512</v>
      </c>
      <c r="Z405" s="4">
        <v>159</v>
      </c>
      <c r="AA405" s="4">
        <f>=ROUNDDOWN(6.625,0)</f>
      </c>
      <c r="AB405" s="5">
        <v>24</v>
      </c>
      <c r="AC405" s="2" t="s">
        <v>233</v>
      </c>
      <c r="AD405" s="4"/>
      <c r="AE405" s="4"/>
      <c r="AF405" s="6">
        <v>74</v>
      </c>
      <c r="AG405" s="6"/>
      <c r="AH405" s="7">
        <v>1</v>
      </c>
      <c r="AI405" s="4"/>
      <c r="AJ405" s="4">
        <f>=ROUNDDOWN({0},0)</f>
      </c>
      <c r="AK405" s="5"/>
      <c r="AL405" s="2" t="s">
        <v>233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233</v>
      </c>
      <c r="BD405" s="8" t="s">
        <v>233</v>
      </c>
      <c r="BE405" s="4" t="s">
        <v>233</v>
      </c>
      <c r="BF405" s="8" t="s">
        <v>233</v>
      </c>
      <c r="BG405" s="7" t="s">
        <v>233</v>
      </c>
      <c r="BH405" s="7" t="s">
        <v>233</v>
      </c>
      <c r="BI405" s="7"/>
      <c r="BJ405" s="4">
        <v>1</v>
      </c>
      <c r="BK405" s="8">
        <v>94.8</v>
      </c>
      <c r="BL405" s="2" t="s">
        <v>2513</v>
      </c>
      <c r="BM405" s="7"/>
      <c r="BN405" s="7"/>
      <c r="BO405" s="4"/>
      <c r="BP405" s="8"/>
      <c r="BQ405" s="4"/>
      <c r="BR405" s="8"/>
      <c r="BS405" s="7"/>
      <c r="BT405" s="7"/>
      <c r="BU405" s="2" t="s">
        <v>243</v>
      </c>
      <c r="BV405" s="2" t="s">
        <v>233</v>
      </c>
      <c r="BW405" s="2" t="s">
        <v>233</v>
      </c>
      <c r="BX405" s="2" t="s">
        <v>243</v>
      </c>
      <c r="BY405" s="2" t="s">
        <v>2514</v>
      </c>
      <c r="BZ405" s="2" t="s">
        <v>245</v>
      </c>
      <c r="CA405" s="2" t="s">
        <v>233</v>
      </c>
      <c r="CB405" s="2" t="s">
        <v>233</v>
      </c>
      <c r="CC405" s="2" t="s">
        <v>246</v>
      </c>
      <c r="CD405" s="2" t="s">
        <v>233</v>
      </c>
      <c r="CE405" s="4"/>
      <c r="CF405" s="4">
        <v>159</v>
      </c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</row>
    <row r="406">
      <c r="A406" s="2" t="s">
        <v>2515</v>
      </c>
      <c r="B406" s="2" t="s">
        <v>1066</v>
      </c>
      <c r="C406" s="2" t="s">
        <v>1157</v>
      </c>
      <c r="D406" s="2" t="s">
        <v>1713</v>
      </c>
      <c r="E406" s="2" t="s">
        <v>1714</v>
      </c>
      <c r="F406" s="2" t="s">
        <v>1132</v>
      </c>
      <c r="G406" s="2" t="s">
        <v>1132</v>
      </c>
      <c r="H406" s="2" t="s">
        <v>1132</v>
      </c>
      <c r="I406" s="2" t="s">
        <v>2511</v>
      </c>
      <c r="J406" s="2" t="s">
        <v>892</v>
      </c>
      <c r="K406" s="2" t="s">
        <v>2516</v>
      </c>
      <c r="L406" s="3">
        <v>83.6</v>
      </c>
      <c r="M406" s="3">
        <v>87.78</v>
      </c>
      <c r="N406" s="3">
        <v>179</v>
      </c>
      <c r="O406" s="2" t="s">
        <v>245</v>
      </c>
      <c r="P406" s="2" t="s">
        <v>238</v>
      </c>
      <c r="Q406" s="2" t="s">
        <v>239</v>
      </c>
      <c r="R406" s="2" t="s">
        <v>233</v>
      </c>
      <c r="S406" s="2" t="s">
        <v>233</v>
      </c>
      <c r="T406" s="2" t="s">
        <v>233</v>
      </c>
      <c r="U406" s="2" t="s">
        <v>396</v>
      </c>
      <c r="V406" s="2" t="s">
        <v>893</v>
      </c>
      <c r="W406" s="2" t="s">
        <v>451</v>
      </c>
      <c r="X406" s="2" t="s">
        <v>397</v>
      </c>
      <c r="Y406" s="2" t="s">
        <v>233</v>
      </c>
      <c r="Z406" s="4"/>
      <c r="AA406" s="4">
        <f>=ROUNDDOWN({0},0)</f>
      </c>
      <c r="AB406" s="5">
        <v>8</v>
      </c>
      <c r="AC406" s="2" t="s">
        <v>979</v>
      </c>
      <c r="AD406" s="4">
        <v>100</v>
      </c>
      <c r="AE406" s="4">
        <v>100</v>
      </c>
      <c r="AF406" s="6">
        <v>74</v>
      </c>
      <c r="AG406" s="6"/>
      <c r="AH406" s="7">
        <v>0</v>
      </c>
      <c r="AI406" s="4"/>
      <c r="AJ406" s="4">
        <f>=ROUNDDOWN({0},0)</f>
      </c>
      <c r="AK406" s="5"/>
      <c r="AL406" s="2" t="s">
        <v>233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233</v>
      </c>
      <c r="BD406" s="8" t="s">
        <v>233</v>
      </c>
      <c r="BE406" s="4" t="s">
        <v>233</v>
      </c>
      <c r="BF406" s="8" t="s">
        <v>233</v>
      </c>
      <c r="BG406" s="7" t="s">
        <v>233</v>
      </c>
      <c r="BH406" s="7" t="s">
        <v>233</v>
      </c>
      <c r="BI406" s="7"/>
      <c r="BJ406" s="4"/>
      <c r="BK406" s="8"/>
      <c r="BL406" s="2" t="s">
        <v>233</v>
      </c>
      <c r="BM406" s="7"/>
      <c r="BN406" s="7"/>
      <c r="BO406" s="4"/>
      <c r="BP406" s="8"/>
      <c r="BQ406" s="4"/>
      <c r="BR406" s="8"/>
      <c r="BS406" s="7"/>
      <c r="BT406" s="7"/>
      <c r="BU406" s="2" t="s">
        <v>243</v>
      </c>
      <c r="BV406" s="2" t="s">
        <v>233</v>
      </c>
      <c r="BW406" s="2" t="s">
        <v>233</v>
      </c>
      <c r="BX406" s="2" t="s">
        <v>243</v>
      </c>
      <c r="BY406" s="2" t="s">
        <v>2514</v>
      </c>
      <c r="BZ406" s="2" t="s">
        <v>245</v>
      </c>
      <c r="CA406" s="2" t="s">
        <v>233</v>
      </c>
      <c r="CB406" s="2" t="s">
        <v>233</v>
      </c>
      <c r="CC406" s="2" t="s">
        <v>246</v>
      </c>
      <c r="CD406" s="2" t="s">
        <v>233</v>
      </c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>
        <v>100</v>
      </c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</row>
    <row r="407">
      <c r="A407" s="2" t="s">
        <v>2517</v>
      </c>
      <c r="B407" s="2" t="s">
        <v>1066</v>
      </c>
      <c r="C407" s="2" t="s">
        <v>1157</v>
      </c>
      <c r="D407" s="2" t="s">
        <v>1713</v>
      </c>
      <c r="E407" s="2" t="s">
        <v>1714</v>
      </c>
      <c r="F407" s="2" t="s">
        <v>1132</v>
      </c>
      <c r="G407" s="2" t="s">
        <v>1132</v>
      </c>
      <c r="H407" s="2" t="s">
        <v>1132</v>
      </c>
      <c r="I407" s="2" t="s">
        <v>2511</v>
      </c>
      <c r="J407" s="2" t="s">
        <v>892</v>
      </c>
      <c r="K407" s="2" t="s">
        <v>2518</v>
      </c>
      <c r="L407" s="3">
        <v>83.6</v>
      </c>
      <c r="M407" s="3">
        <v>87.78</v>
      </c>
      <c r="N407" s="3">
        <v>179</v>
      </c>
      <c r="O407" s="2" t="s">
        <v>245</v>
      </c>
      <c r="P407" s="2" t="s">
        <v>238</v>
      </c>
      <c r="Q407" s="2" t="s">
        <v>239</v>
      </c>
      <c r="R407" s="2" t="s">
        <v>233</v>
      </c>
      <c r="S407" s="2" t="s">
        <v>233</v>
      </c>
      <c r="T407" s="2" t="s">
        <v>233</v>
      </c>
      <c r="U407" s="2" t="s">
        <v>396</v>
      </c>
      <c r="V407" s="2" t="s">
        <v>893</v>
      </c>
      <c r="W407" s="2" t="s">
        <v>451</v>
      </c>
      <c r="X407" s="2" t="s">
        <v>397</v>
      </c>
      <c r="Y407" s="2" t="s">
        <v>233</v>
      </c>
      <c r="Z407" s="4"/>
      <c r="AA407" s="4">
        <f>=ROUNDDOWN({0},0)</f>
      </c>
      <c r="AB407" s="5">
        <v>5</v>
      </c>
      <c r="AC407" s="2" t="s">
        <v>2519</v>
      </c>
      <c r="AD407" s="4">
        <v>100</v>
      </c>
      <c r="AE407" s="4">
        <v>100</v>
      </c>
      <c r="AF407" s="6">
        <v>74</v>
      </c>
      <c r="AG407" s="6"/>
      <c r="AH407" s="7">
        <v>0</v>
      </c>
      <c r="AI407" s="4"/>
      <c r="AJ407" s="4">
        <f>=ROUNDDOWN({0},0)</f>
      </c>
      <c r="AK407" s="5"/>
      <c r="AL407" s="2" t="s">
        <v>233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233</v>
      </c>
      <c r="BD407" s="8" t="s">
        <v>233</v>
      </c>
      <c r="BE407" s="4" t="s">
        <v>233</v>
      </c>
      <c r="BF407" s="8" t="s">
        <v>233</v>
      </c>
      <c r="BG407" s="7" t="s">
        <v>233</v>
      </c>
      <c r="BH407" s="7" t="s">
        <v>233</v>
      </c>
      <c r="BI407" s="7"/>
      <c r="BJ407" s="4"/>
      <c r="BK407" s="8"/>
      <c r="BL407" s="2" t="s">
        <v>233</v>
      </c>
      <c r="BM407" s="7"/>
      <c r="BN407" s="7"/>
      <c r="BO407" s="4"/>
      <c r="BP407" s="8"/>
      <c r="BQ407" s="4"/>
      <c r="BR407" s="8"/>
      <c r="BS407" s="7"/>
      <c r="BT407" s="7"/>
      <c r="BU407" s="2" t="s">
        <v>243</v>
      </c>
      <c r="BV407" s="2" t="s">
        <v>233</v>
      </c>
      <c r="BW407" s="2" t="s">
        <v>233</v>
      </c>
      <c r="BX407" s="2" t="s">
        <v>243</v>
      </c>
      <c r="BY407" s="2" t="s">
        <v>244</v>
      </c>
      <c r="BZ407" s="2" t="s">
        <v>245</v>
      </c>
      <c r="CA407" s="2" t="s">
        <v>233</v>
      </c>
      <c r="CB407" s="2" t="s">
        <v>233</v>
      </c>
      <c r="CC407" s="2" t="s">
        <v>246</v>
      </c>
      <c r="CD407" s="2" t="s">
        <v>233</v>
      </c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>
        <v>100</v>
      </c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</row>
    <row r="408">
      <c r="A408" s="2" t="s">
        <v>2520</v>
      </c>
      <c r="B408" s="2" t="s">
        <v>1066</v>
      </c>
      <c r="C408" s="2" t="s">
        <v>1157</v>
      </c>
      <c r="D408" s="2" t="s">
        <v>1713</v>
      </c>
      <c r="E408" s="2" t="s">
        <v>1714</v>
      </c>
      <c r="F408" s="2" t="s">
        <v>1132</v>
      </c>
      <c r="G408" s="2" t="s">
        <v>1132</v>
      </c>
      <c r="H408" s="2" t="s">
        <v>1132</v>
      </c>
      <c r="I408" s="2" t="s">
        <v>2511</v>
      </c>
      <c r="J408" s="2" t="s">
        <v>892</v>
      </c>
      <c r="K408" s="2" t="s">
        <v>2197</v>
      </c>
      <c r="L408" s="3">
        <v>83.6</v>
      </c>
      <c r="M408" s="3">
        <v>87.78</v>
      </c>
      <c r="N408" s="3">
        <v>179</v>
      </c>
      <c r="O408" s="2" t="s">
        <v>245</v>
      </c>
      <c r="P408" s="2" t="s">
        <v>272</v>
      </c>
      <c r="Q408" s="2" t="s">
        <v>239</v>
      </c>
      <c r="R408" s="2" t="s">
        <v>233</v>
      </c>
      <c r="S408" s="2" t="s">
        <v>233</v>
      </c>
      <c r="T408" s="2" t="s">
        <v>233</v>
      </c>
      <c r="U408" s="2" t="s">
        <v>396</v>
      </c>
      <c r="V408" s="2" t="s">
        <v>893</v>
      </c>
      <c r="W408" s="2" t="s">
        <v>451</v>
      </c>
      <c r="X408" s="2" t="s">
        <v>397</v>
      </c>
      <c r="Y408" s="2" t="s">
        <v>2521</v>
      </c>
      <c r="Z408" s="4">
        <v>71</v>
      </c>
      <c r="AA408" s="4">
        <f>=ROUNDDOWN(14.2,0)</f>
      </c>
      <c r="AB408" s="5">
        <v>5</v>
      </c>
      <c r="AC408" s="2" t="s">
        <v>233</v>
      </c>
      <c r="AD408" s="4"/>
      <c r="AE408" s="4"/>
      <c r="AF408" s="6">
        <v>74</v>
      </c>
      <c r="AG408" s="6"/>
      <c r="AH408" s="7">
        <v>1</v>
      </c>
      <c r="AI408" s="4"/>
      <c r="AJ408" s="4">
        <f>=ROUNDDOWN({0},0)</f>
      </c>
      <c r="AK408" s="5"/>
      <c r="AL408" s="2" t="s">
        <v>233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233</v>
      </c>
      <c r="BD408" s="8" t="s">
        <v>233</v>
      </c>
      <c r="BE408" s="4" t="s">
        <v>233</v>
      </c>
      <c r="BF408" s="8" t="s">
        <v>233</v>
      </c>
      <c r="BG408" s="7" t="s">
        <v>233</v>
      </c>
      <c r="BH408" s="7" t="s">
        <v>233</v>
      </c>
      <c r="BI408" s="7"/>
      <c r="BJ408" s="4">
        <v>13</v>
      </c>
      <c r="BK408" s="8">
        <v>1154.03</v>
      </c>
      <c r="BL408" s="2" t="s">
        <v>2522</v>
      </c>
      <c r="BM408" s="7"/>
      <c r="BN408" s="7"/>
      <c r="BO408" s="4"/>
      <c r="BP408" s="8"/>
      <c r="BQ408" s="4"/>
      <c r="BR408" s="8"/>
      <c r="BS408" s="7"/>
      <c r="BT408" s="7"/>
      <c r="BU408" s="2" t="s">
        <v>2523</v>
      </c>
      <c r="BV408" s="2" t="s">
        <v>233</v>
      </c>
      <c r="BW408" s="2" t="s">
        <v>233</v>
      </c>
      <c r="BX408" s="2" t="s">
        <v>243</v>
      </c>
      <c r="BY408" s="2" t="s">
        <v>280</v>
      </c>
      <c r="BZ408" s="2" t="s">
        <v>245</v>
      </c>
      <c r="CA408" s="2" t="s">
        <v>2524</v>
      </c>
      <c r="CB408" s="2" t="s">
        <v>716</v>
      </c>
      <c r="CC408" s="2" t="s">
        <v>246</v>
      </c>
      <c r="CD408" s="2" t="s">
        <v>233</v>
      </c>
      <c r="CE408" s="4"/>
      <c r="CF408" s="4">
        <v>71</v>
      </c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</row>
    <row r="409">
      <c r="A409" s="2" t="s">
        <v>2525</v>
      </c>
      <c r="B409" s="2" t="s">
        <v>1242</v>
      </c>
      <c r="C409" s="2" t="s">
        <v>2145</v>
      </c>
      <c r="D409" s="2" t="s">
        <v>969</v>
      </c>
      <c r="E409" s="2" t="s">
        <v>970</v>
      </c>
      <c r="F409" s="2" t="s">
        <v>2526</v>
      </c>
      <c r="G409" s="2" t="s">
        <v>2527</v>
      </c>
      <c r="H409" s="2" t="s">
        <v>2528</v>
      </c>
      <c r="I409" s="2" t="s">
        <v>2529</v>
      </c>
      <c r="J409" s="2" t="s">
        <v>918</v>
      </c>
      <c r="K409" s="2" t="s">
        <v>2530</v>
      </c>
      <c r="L409" s="3">
        <v>19.04</v>
      </c>
      <c r="M409" s="3">
        <v>19.99</v>
      </c>
      <c r="N409" s="3">
        <v>39.99</v>
      </c>
      <c r="O409" s="2" t="s">
        <v>245</v>
      </c>
      <c r="P409" s="2" t="s">
        <v>238</v>
      </c>
      <c r="Q409" s="2" t="s">
        <v>239</v>
      </c>
      <c r="R409" s="2" t="s">
        <v>233</v>
      </c>
      <c r="S409" s="2" t="s">
        <v>2531</v>
      </c>
      <c r="T409" s="2" t="s">
        <v>395</v>
      </c>
      <c r="U409" s="2" t="s">
        <v>491</v>
      </c>
      <c r="V409" s="2" t="s">
        <v>359</v>
      </c>
      <c r="W409" s="2" t="s">
        <v>397</v>
      </c>
      <c r="X409" s="2" t="s">
        <v>275</v>
      </c>
      <c r="Y409" s="2" t="s">
        <v>2532</v>
      </c>
      <c r="Z409" s="4">
        <v>223</v>
      </c>
      <c r="AA409" s="4">
        <f>=ROUNDDOWN(446,0)</f>
      </c>
      <c r="AB409" s="5">
        <v>0.5</v>
      </c>
      <c r="AC409" s="2" t="s">
        <v>2533</v>
      </c>
      <c r="AD409" s="4">
        <v>201</v>
      </c>
      <c r="AE409" s="4">
        <v>321</v>
      </c>
      <c r="AF409" s="6">
        <v>63</v>
      </c>
      <c r="AG409" s="6">
        <v>46</v>
      </c>
      <c r="AH409" s="7">
        <v>0.7419</v>
      </c>
      <c r="AI409" s="4"/>
      <c r="AJ409" s="4">
        <f>=ROUNDDOWN({0},0)</f>
      </c>
      <c r="AK409" s="5"/>
      <c r="AL409" s="2" t="s">
        <v>233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233</v>
      </c>
      <c r="AW409" s="8" t="s">
        <v>233</v>
      </c>
      <c r="AX409" s="4" t="s">
        <v>233</v>
      </c>
      <c r="AY409" s="8" t="s">
        <v>233</v>
      </c>
      <c r="AZ409" s="7" t="s">
        <v>233</v>
      </c>
      <c r="BA409" s="7" t="s">
        <v>233</v>
      </c>
      <c r="BB409" s="7"/>
      <c r="BC409" s="4" t="s">
        <v>233</v>
      </c>
      <c r="BD409" s="8" t="s">
        <v>233</v>
      </c>
      <c r="BE409" s="4" t="s">
        <v>233</v>
      </c>
      <c r="BF409" s="8" t="s">
        <v>233</v>
      </c>
      <c r="BG409" s="7" t="s">
        <v>233</v>
      </c>
      <c r="BH409" s="7" t="s">
        <v>233</v>
      </c>
      <c r="BI409" s="7"/>
      <c r="BJ409" s="4">
        <v>2</v>
      </c>
      <c r="BK409" s="8">
        <v>38.93</v>
      </c>
      <c r="BL409" s="2" t="s">
        <v>492</v>
      </c>
      <c r="BM409" s="7"/>
      <c r="BN409" s="7"/>
      <c r="BO409" s="4"/>
      <c r="BP409" s="8"/>
      <c r="BQ409" s="4"/>
      <c r="BR409" s="8"/>
      <c r="BS409" s="7"/>
      <c r="BT409" s="7"/>
      <c r="BU409" s="2" t="s">
        <v>2534</v>
      </c>
      <c r="BV409" s="2" t="s">
        <v>233</v>
      </c>
      <c r="BW409" s="2" t="s">
        <v>233</v>
      </c>
      <c r="BX409" s="2" t="s">
        <v>243</v>
      </c>
      <c r="BY409" s="2" t="s">
        <v>280</v>
      </c>
      <c r="BZ409" s="2" t="s">
        <v>245</v>
      </c>
      <c r="CA409" s="2" t="s">
        <v>2535</v>
      </c>
      <c r="CB409" s="2" t="s">
        <v>233</v>
      </c>
      <c r="CC409" s="2" t="s">
        <v>246</v>
      </c>
      <c r="CD409" s="2" t="s">
        <v>233</v>
      </c>
      <c r="CE409" s="4"/>
      <c r="CF409" s="4"/>
      <c r="CG409" s="4"/>
      <c r="CH409" s="4"/>
      <c r="CI409" s="4">
        <v>223</v>
      </c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>
        <v>201</v>
      </c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>
        <v>120</v>
      </c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</row>
    <row r="410">
      <c r="A410" s="2" t="s">
        <v>2536</v>
      </c>
      <c r="B410" s="2" t="s">
        <v>1242</v>
      </c>
      <c r="C410" s="2" t="s">
        <v>2145</v>
      </c>
      <c r="D410" s="2" t="s">
        <v>969</v>
      </c>
      <c r="E410" s="2" t="s">
        <v>970</v>
      </c>
      <c r="F410" s="2" t="s">
        <v>2526</v>
      </c>
      <c r="G410" s="2" t="s">
        <v>2527</v>
      </c>
      <c r="H410" s="2" t="s">
        <v>2528</v>
      </c>
      <c r="I410" s="2" t="s">
        <v>2529</v>
      </c>
      <c r="J410" s="2" t="s">
        <v>981</v>
      </c>
      <c r="K410" s="2" t="s">
        <v>2530</v>
      </c>
      <c r="L410" s="3">
        <v>23.8</v>
      </c>
      <c r="M410" s="3">
        <v>24.99</v>
      </c>
      <c r="N410" s="3">
        <v>49.99</v>
      </c>
      <c r="O410" s="2" t="s">
        <v>245</v>
      </c>
      <c r="P410" s="2" t="s">
        <v>238</v>
      </c>
      <c r="Q410" s="2" t="s">
        <v>239</v>
      </c>
      <c r="R410" s="2" t="s">
        <v>233</v>
      </c>
      <c r="S410" s="2" t="s">
        <v>2531</v>
      </c>
      <c r="T410" s="2" t="s">
        <v>395</v>
      </c>
      <c r="U410" s="2" t="s">
        <v>475</v>
      </c>
      <c r="V410" s="2" t="s">
        <v>359</v>
      </c>
      <c r="W410" s="2" t="s">
        <v>397</v>
      </c>
      <c r="X410" s="2" t="s">
        <v>275</v>
      </c>
      <c r="Y410" s="2" t="s">
        <v>2532</v>
      </c>
      <c r="Z410" s="4">
        <v>521</v>
      </c>
      <c r="AA410" s="4">
        <f>=ROUNDDOWN(651.25,0)</f>
      </c>
      <c r="AB410" s="5">
        <v>0.8</v>
      </c>
      <c r="AC410" s="2" t="s">
        <v>2533</v>
      </c>
      <c r="AD410" s="4">
        <v>510</v>
      </c>
      <c r="AE410" s="4">
        <v>786</v>
      </c>
      <c r="AF410" s="6">
        <v>63</v>
      </c>
      <c r="AG410" s="6">
        <v>46</v>
      </c>
      <c r="AH410" s="7">
        <v>0.7419</v>
      </c>
      <c r="AI410" s="4"/>
      <c r="AJ410" s="4">
        <f>=ROUNDDOWN({0},0)</f>
      </c>
      <c r="AK410" s="5"/>
      <c r="AL410" s="2" t="s">
        <v>233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233</v>
      </c>
      <c r="AW410" s="8" t="s">
        <v>233</v>
      </c>
      <c r="AX410" s="4" t="s">
        <v>233</v>
      </c>
      <c r="AY410" s="8" t="s">
        <v>233</v>
      </c>
      <c r="AZ410" s="7" t="s">
        <v>233</v>
      </c>
      <c r="BA410" s="7" t="s">
        <v>233</v>
      </c>
      <c r="BB410" s="7"/>
      <c r="BC410" s="4" t="s">
        <v>233</v>
      </c>
      <c r="BD410" s="8" t="s">
        <v>233</v>
      </c>
      <c r="BE410" s="4" t="s">
        <v>233</v>
      </c>
      <c r="BF410" s="8" t="s">
        <v>233</v>
      </c>
      <c r="BG410" s="7" t="s">
        <v>233</v>
      </c>
      <c r="BH410" s="7" t="s">
        <v>233</v>
      </c>
      <c r="BI410" s="7"/>
      <c r="BJ410" s="4">
        <v>2</v>
      </c>
      <c r="BK410" s="8">
        <v>67.66</v>
      </c>
      <c r="BL410" s="2" t="s">
        <v>2537</v>
      </c>
      <c r="BM410" s="7"/>
      <c r="BN410" s="7"/>
      <c r="BO410" s="4"/>
      <c r="BP410" s="8"/>
      <c r="BQ410" s="4"/>
      <c r="BR410" s="8"/>
      <c r="BS410" s="7"/>
      <c r="BT410" s="7"/>
      <c r="BU410" s="2" t="s">
        <v>2538</v>
      </c>
      <c r="BV410" s="2" t="s">
        <v>233</v>
      </c>
      <c r="BW410" s="2" t="s">
        <v>233</v>
      </c>
      <c r="BX410" s="2" t="s">
        <v>243</v>
      </c>
      <c r="BY410" s="2" t="s">
        <v>280</v>
      </c>
      <c r="BZ410" s="2" t="s">
        <v>245</v>
      </c>
      <c r="CA410" s="2" t="s">
        <v>2535</v>
      </c>
      <c r="CB410" s="2" t="s">
        <v>233</v>
      </c>
      <c r="CC410" s="2" t="s">
        <v>246</v>
      </c>
      <c r="CD410" s="2" t="s">
        <v>233</v>
      </c>
      <c r="CE410" s="4"/>
      <c r="CF410" s="4"/>
      <c r="CG410" s="4"/>
      <c r="CH410" s="4"/>
      <c r="CI410" s="4">
        <v>521</v>
      </c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>
        <v>510</v>
      </c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>
        <v>276</v>
      </c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</row>
    <row r="411">
      <c r="A411" s="2" t="s">
        <v>2539</v>
      </c>
      <c r="B411" s="2" t="s">
        <v>1242</v>
      </c>
      <c r="C411" s="2" t="s">
        <v>2145</v>
      </c>
      <c r="D411" s="2" t="s">
        <v>969</v>
      </c>
      <c r="E411" s="2" t="s">
        <v>970</v>
      </c>
      <c r="F411" s="2" t="s">
        <v>2526</v>
      </c>
      <c r="G411" s="2" t="s">
        <v>2527</v>
      </c>
      <c r="H411" s="2" t="s">
        <v>2528</v>
      </c>
      <c r="I411" s="2" t="s">
        <v>2529</v>
      </c>
      <c r="J411" s="2" t="s">
        <v>1142</v>
      </c>
      <c r="K411" s="2" t="s">
        <v>2530</v>
      </c>
      <c r="L411" s="3">
        <v>26.19</v>
      </c>
      <c r="M411" s="3">
        <v>27.5</v>
      </c>
      <c r="N411" s="3">
        <v>54.99</v>
      </c>
      <c r="O411" s="2" t="s">
        <v>245</v>
      </c>
      <c r="P411" s="2" t="s">
        <v>238</v>
      </c>
      <c r="Q411" s="2" t="s">
        <v>239</v>
      </c>
      <c r="R411" s="2" t="s">
        <v>233</v>
      </c>
      <c r="S411" s="2" t="s">
        <v>2531</v>
      </c>
      <c r="T411" s="2" t="s">
        <v>395</v>
      </c>
      <c r="U411" s="2" t="s">
        <v>475</v>
      </c>
      <c r="V411" s="2" t="s">
        <v>359</v>
      </c>
      <c r="W411" s="2" t="s">
        <v>397</v>
      </c>
      <c r="X411" s="2" t="s">
        <v>275</v>
      </c>
      <c r="Y411" s="2" t="s">
        <v>2540</v>
      </c>
      <c r="Z411" s="4">
        <v>282</v>
      </c>
      <c r="AA411" s="4">
        <f>=ROUNDDOWN(940,0)</f>
      </c>
      <c r="AB411" s="5">
        <v>0.3</v>
      </c>
      <c r="AC411" s="2" t="s">
        <v>2533</v>
      </c>
      <c r="AD411" s="4">
        <v>234</v>
      </c>
      <c r="AE411" s="4">
        <v>399</v>
      </c>
      <c r="AF411" s="6">
        <v>63</v>
      </c>
      <c r="AG411" s="6">
        <v>46</v>
      </c>
      <c r="AH411" s="7">
        <v>1</v>
      </c>
      <c r="AI411" s="4"/>
      <c r="AJ411" s="4">
        <f>=ROUNDDOWN({0},0)</f>
      </c>
      <c r="AK411" s="5"/>
      <c r="AL411" s="2" t="s">
        <v>233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233</v>
      </c>
      <c r="AW411" s="8" t="s">
        <v>233</v>
      </c>
      <c r="AX411" s="4" t="s">
        <v>233</v>
      </c>
      <c r="AY411" s="8" t="s">
        <v>233</v>
      </c>
      <c r="AZ411" s="7" t="s">
        <v>233</v>
      </c>
      <c r="BA411" s="7" t="s">
        <v>233</v>
      </c>
      <c r="BB411" s="7"/>
      <c r="BC411" s="4" t="s">
        <v>233</v>
      </c>
      <c r="BD411" s="8" t="s">
        <v>233</v>
      </c>
      <c r="BE411" s="4" t="s">
        <v>233</v>
      </c>
      <c r="BF411" s="8" t="s">
        <v>233</v>
      </c>
      <c r="BG411" s="7" t="s">
        <v>233</v>
      </c>
      <c r="BH411" s="7" t="s">
        <v>233</v>
      </c>
      <c r="BI411" s="7"/>
      <c r="BJ411" s="4">
        <v>1</v>
      </c>
      <c r="BK411" s="8">
        <v>25.19</v>
      </c>
      <c r="BL411" s="2" t="s">
        <v>469</v>
      </c>
      <c r="BM411" s="7"/>
      <c r="BN411" s="7"/>
      <c r="BO411" s="4"/>
      <c r="BP411" s="8"/>
      <c r="BQ411" s="4"/>
      <c r="BR411" s="8"/>
      <c r="BS411" s="7"/>
      <c r="BT411" s="7"/>
      <c r="BU411" s="2" t="s">
        <v>2541</v>
      </c>
      <c r="BV411" s="2" t="s">
        <v>233</v>
      </c>
      <c r="BW411" s="2" t="s">
        <v>233</v>
      </c>
      <c r="BX411" s="2" t="s">
        <v>243</v>
      </c>
      <c r="BY411" s="2" t="s">
        <v>280</v>
      </c>
      <c r="BZ411" s="2" t="s">
        <v>245</v>
      </c>
      <c r="CA411" s="2" t="s">
        <v>2535</v>
      </c>
      <c r="CB411" s="2" t="s">
        <v>233</v>
      </c>
      <c r="CC411" s="2" t="s">
        <v>246</v>
      </c>
      <c r="CD411" s="2" t="s">
        <v>233</v>
      </c>
      <c r="CE411" s="4"/>
      <c r="CF411" s="4"/>
      <c r="CG411" s="4"/>
      <c r="CH411" s="4"/>
      <c r="CI411" s="4">
        <v>282</v>
      </c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>
        <v>234</v>
      </c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>
        <v>165</v>
      </c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</row>
    <row r="412">
      <c r="A412" s="2" t="s">
        <v>2542</v>
      </c>
      <c r="B412" s="2" t="s">
        <v>1066</v>
      </c>
      <c r="C412" s="2" t="s">
        <v>901</v>
      </c>
      <c r="D412" s="2" t="s">
        <v>1067</v>
      </c>
      <c r="E412" s="2" t="s">
        <v>2543</v>
      </c>
      <c r="F412" s="2" t="s">
        <v>2526</v>
      </c>
      <c r="G412" s="2" t="s">
        <v>2526</v>
      </c>
      <c r="H412" s="2" t="s">
        <v>2526</v>
      </c>
      <c r="I412" s="2" t="s">
        <v>2544</v>
      </c>
      <c r="J412" s="2" t="s">
        <v>892</v>
      </c>
      <c r="K412" s="2" t="s">
        <v>1537</v>
      </c>
      <c r="L412" s="3">
        <v>262.38</v>
      </c>
      <c r="M412" s="3">
        <v>275.5</v>
      </c>
      <c r="N412" s="3">
        <v>549</v>
      </c>
      <c r="O412" s="2" t="s">
        <v>245</v>
      </c>
      <c r="P412" s="2" t="s">
        <v>393</v>
      </c>
      <c r="Q412" s="2" t="s">
        <v>239</v>
      </c>
      <c r="R412" s="2" t="s">
        <v>233</v>
      </c>
      <c r="S412" s="2" t="s">
        <v>233</v>
      </c>
      <c r="T412" s="2" t="s">
        <v>233</v>
      </c>
      <c r="U412" s="2" t="s">
        <v>396</v>
      </c>
      <c r="V412" s="2" t="s">
        <v>241</v>
      </c>
      <c r="W412" s="2" t="s">
        <v>397</v>
      </c>
      <c r="X412" s="2" t="s">
        <v>1763</v>
      </c>
      <c r="Y412" s="2" t="s">
        <v>2545</v>
      </c>
      <c r="Z412" s="4">
        <v>123</v>
      </c>
      <c r="AA412" s="4">
        <f>=ROUNDDOWN(123,0)</f>
      </c>
      <c r="AB412" s="5">
        <v>1</v>
      </c>
      <c r="AC412" s="2" t="s">
        <v>233</v>
      </c>
      <c r="AD412" s="4"/>
      <c r="AE412" s="4"/>
      <c r="AF412" s="6">
        <v>76</v>
      </c>
      <c r="AG412" s="6"/>
      <c r="AH412" s="7">
        <v>1</v>
      </c>
      <c r="AI412" s="4"/>
      <c r="AJ412" s="4">
        <f>=ROUNDDOWN({0},0)</f>
      </c>
      <c r="AK412" s="5"/>
      <c r="AL412" s="2" t="s">
        <v>233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233</v>
      </c>
      <c r="BD412" s="8" t="s">
        <v>233</v>
      </c>
      <c r="BE412" s="4" t="s">
        <v>233</v>
      </c>
      <c r="BF412" s="8" t="s">
        <v>233</v>
      </c>
      <c r="BG412" s="7" t="s">
        <v>233</v>
      </c>
      <c r="BH412" s="7" t="s">
        <v>233</v>
      </c>
      <c r="BI412" s="7"/>
      <c r="BJ412" s="4">
        <v>2</v>
      </c>
      <c r="BK412" s="8">
        <v>551</v>
      </c>
      <c r="BL412" s="2" t="s">
        <v>744</v>
      </c>
      <c r="BM412" s="7"/>
      <c r="BN412" s="7"/>
      <c r="BO412" s="4"/>
      <c r="BP412" s="8"/>
      <c r="BQ412" s="4"/>
      <c r="BR412" s="8"/>
      <c r="BS412" s="7"/>
      <c r="BT412" s="7"/>
      <c r="BU412" s="2" t="s">
        <v>2546</v>
      </c>
      <c r="BV412" s="2" t="s">
        <v>233</v>
      </c>
      <c r="BW412" s="2" t="s">
        <v>233</v>
      </c>
      <c r="BX412" s="2" t="s">
        <v>243</v>
      </c>
      <c r="BY412" s="2" t="s">
        <v>280</v>
      </c>
      <c r="BZ412" s="2" t="s">
        <v>245</v>
      </c>
      <c r="CA412" s="2" t="s">
        <v>2547</v>
      </c>
      <c r="CB412" s="2" t="s">
        <v>2002</v>
      </c>
      <c r="CC412" s="2" t="s">
        <v>246</v>
      </c>
      <c r="CD412" s="2" t="s">
        <v>233</v>
      </c>
      <c r="CE412" s="4"/>
      <c r="CF412" s="4">
        <v>123</v>
      </c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</row>
    <row r="413">
      <c r="A413" s="2" t="s">
        <v>2548</v>
      </c>
      <c r="B413" s="2" t="s">
        <v>1242</v>
      </c>
      <c r="C413" s="2" t="s">
        <v>2145</v>
      </c>
      <c r="D413" s="2" t="s">
        <v>969</v>
      </c>
      <c r="E413" s="2" t="s">
        <v>970</v>
      </c>
      <c r="F413" s="2" t="s">
        <v>2526</v>
      </c>
      <c r="G413" s="2" t="s">
        <v>2527</v>
      </c>
      <c r="H413" s="2" t="s">
        <v>2528</v>
      </c>
      <c r="I413" s="2" t="s">
        <v>2529</v>
      </c>
      <c r="J413" s="2" t="s">
        <v>918</v>
      </c>
      <c r="K413" s="2" t="s">
        <v>2549</v>
      </c>
      <c r="L413" s="3">
        <v>19.04</v>
      </c>
      <c r="M413" s="3">
        <v>19.99</v>
      </c>
      <c r="N413" s="3">
        <v>39.99</v>
      </c>
      <c r="O413" s="2" t="s">
        <v>245</v>
      </c>
      <c r="P413" s="2" t="s">
        <v>238</v>
      </c>
      <c r="Q413" s="2" t="s">
        <v>239</v>
      </c>
      <c r="R413" s="2" t="s">
        <v>233</v>
      </c>
      <c r="S413" s="2" t="s">
        <v>2550</v>
      </c>
      <c r="T413" s="2" t="s">
        <v>395</v>
      </c>
      <c r="U413" s="2" t="s">
        <v>491</v>
      </c>
      <c r="V413" s="2" t="s">
        <v>359</v>
      </c>
      <c r="W413" s="2" t="s">
        <v>397</v>
      </c>
      <c r="X413" s="2" t="s">
        <v>275</v>
      </c>
      <c r="Y413" s="2" t="s">
        <v>2532</v>
      </c>
      <c r="Z413" s="4">
        <v>265</v>
      </c>
      <c r="AA413" s="4">
        <f>=ROUNDDOWN(165.625,0)</f>
      </c>
      <c r="AB413" s="5">
        <v>1.6</v>
      </c>
      <c r="AC413" s="2" t="s">
        <v>2533</v>
      </c>
      <c r="AD413" s="4">
        <v>288</v>
      </c>
      <c r="AE413" s="4">
        <v>426</v>
      </c>
      <c r="AF413" s="6">
        <v>63</v>
      </c>
      <c r="AG413" s="6">
        <v>46</v>
      </c>
      <c r="AH413" s="7">
        <v>0.7419</v>
      </c>
      <c r="AI413" s="4"/>
      <c r="AJ413" s="4">
        <f>=ROUNDDOWN({0},0)</f>
      </c>
      <c r="AK413" s="5"/>
      <c r="AL413" s="2" t="s">
        <v>233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233</v>
      </c>
      <c r="AW413" s="8" t="s">
        <v>233</v>
      </c>
      <c r="AX413" s="4" t="s">
        <v>233</v>
      </c>
      <c r="AY413" s="8" t="s">
        <v>233</v>
      </c>
      <c r="AZ413" s="7" t="s">
        <v>233</v>
      </c>
      <c r="BA413" s="7" t="s">
        <v>233</v>
      </c>
      <c r="BB413" s="7"/>
      <c r="BC413" s="4" t="s">
        <v>233</v>
      </c>
      <c r="BD413" s="8" t="s">
        <v>233</v>
      </c>
      <c r="BE413" s="4" t="s">
        <v>233</v>
      </c>
      <c r="BF413" s="8" t="s">
        <v>233</v>
      </c>
      <c r="BG413" s="7" t="s">
        <v>233</v>
      </c>
      <c r="BH413" s="7" t="s">
        <v>233</v>
      </c>
      <c r="BI413" s="7"/>
      <c r="BJ413" s="4">
        <v>8</v>
      </c>
      <c r="BK413" s="8">
        <v>201.12</v>
      </c>
      <c r="BL413" s="2" t="s">
        <v>2551</v>
      </c>
      <c r="BM413" s="7"/>
      <c r="BN413" s="7"/>
      <c r="BO413" s="4"/>
      <c r="BP413" s="8"/>
      <c r="BQ413" s="4"/>
      <c r="BR413" s="8"/>
      <c r="BS413" s="7"/>
      <c r="BT413" s="7"/>
      <c r="BU413" s="2" t="s">
        <v>2552</v>
      </c>
      <c r="BV413" s="2" t="s">
        <v>233</v>
      </c>
      <c r="BW413" s="2" t="s">
        <v>233</v>
      </c>
      <c r="BX413" s="2" t="s">
        <v>243</v>
      </c>
      <c r="BY413" s="2" t="s">
        <v>280</v>
      </c>
      <c r="BZ413" s="2" t="s">
        <v>245</v>
      </c>
      <c r="CA413" s="2" t="s">
        <v>2535</v>
      </c>
      <c r="CB413" s="2" t="s">
        <v>521</v>
      </c>
      <c r="CC413" s="2" t="s">
        <v>246</v>
      </c>
      <c r="CD413" s="2" t="s">
        <v>233</v>
      </c>
      <c r="CE413" s="4"/>
      <c r="CF413" s="4"/>
      <c r="CG413" s="4"/>
      <c r="CH413" s="4"/>
      <c r="CI413" s="4">
        <v>265</v>
      </c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>
        <v>288</v>
      </c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>
        <v>138</v>
      </c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</row>
    <row r="414">
      <c r="A414" s="2" t="s">
        <v>2553</v>
      </c>
      <c r="B414" s="2" t="s">
        <v>1242</v>
      </c>
      <c r="C414" s="2" t="s">
        <v>2145</v>
      </c>
      <c r="D414" s="2" t="s">
        <v>969</v>
      </c>
      <c r="E414" s="2" t="s">
        <v>970</v>
      </c>
      <c r="F414" s="2" t="s">
        <v>2526</v>
      </c>
      <c r="G414" s="2" t="s">
        <v>2527</v>
      </c>
      <c r="H414" s="2" t="s">
        <v>2528</v>
      </c>
      <c r="I414" s="2" t="s">
        <v>2529</v>
      </c>
      <c r="J414" s="2" t="s">
        <v>1142</v>
      </c>
      <c r="K414" s="2" t="s">
        <v>2549</v>
      </c>
      <c r="L414" s="3">
        <v>26.19</v>
      </c>
      <c r="M414" s="3">
        <v>27.5</v>
      </c>
      <c r="N414" s="3">
        <v>54.99</v>
      </c>
      <c r="O414" s="2" t="s">
        <v>245</v>
      </c>
      <c r="P414" s="2" t="s">
        <v>238</v>
      </c>
      <c r="Q414" s="2" t="s">
        <v>239</v>
      </c>
      <c r="R414" s="2" t="s">
        <v>233</v>
      </c>
      <c r="S414" s="2" t="s">
        <v>2550</v>
      </c>
      <c r="T414" s="2" t="s">
        <v>395</v>
      </c>
      <c r="U414" s="2" t="s">
        <v>475</v>
      </c>
      <c r="V414" s="2" t="s">
        <v>359</v>
      </c>
      <c r="W414" s="2" t="s">
        <v>397</v>
      </c>
      <c r="X414" s="2" t="s">
        <v>275</v>
      </c>
      <c r="Y414" s="2" t="s">
        <v>2540</v>
      </c>
      <c r="Z414" s="4">
        <v>323</v>
      </c>
      <c r="AA414" s="4">
        <f>=ROUNDDOWN(403.75,0)</f>
      </c>
      <c r="AB414" s="5">
        <v>0.8</v>
      </c>
      <c r="AC414" s="2" t="s">
        <v>2533</v>
      </c>
      <c r="AD414" s="4">
        <v>300</v>
      </c>
      <c r="AE414" s="4">
        <v>486</v>
      </c>
      <c r="AF414" s="6">
        <v>63</v>
      </c>
      <c r="AG414" s="6">
        <v>46</v>
      </c>
      <c r="AH414" s="7">
        <v>1</v>
      </c>
      <c r="AI414" s="4"/>
      <c r="AJ414" s="4">
        <f>=ROUNDDOWN({0},0)</f>
      </c>
      <c r="AK414" s="5"/>
      <c r="AL414" s="2" t="s">
        <v>233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233</v>
      </c>
      <c r="AW414" s="8" t="s">
        <v>233</v>
      </c>
      <c r="AX414" s="4" t="s">
        <v>233</v>
      </c>
      <c r="AY414" s="8" t="s">
        <v>233</v>
      </c>
      <c r="AZ414" s="7" t="s">
        <v>233</v>
      </c>
      <c r="BA414" s="7" t="s">
        <v>233</v>
      </c>
      <c r="BB414" s="7"/>
      <c r="BC414" s="4" t="s">
        <v>233</v>
      </c>
      <c r="BD414" s="8" t="s">
        <v>233</v>
      </c>
      <c r="BE414" s="4" t="s">
        <v>233</v>
      </c>
      <c r="BF414" s="8" t="s">
        <v>233</v>
      </c>
      <c r="BG414" s="7" t="s">
        <v>233</v>
      </c>
      <c r="BH414" s="7" t="s">
        <v>233</v>
      </c>
      <c r="BI414" s="7"/>
      <c r="BJ414" s="4">
        <v>2</v>
      </c>
      <c r="BK414" s="8">
        <v>57.98</v>
      </c>
      <c r="BL414" s="2" t="s">
        <v>2554</v>
      </c>
      <c r="BM414" s="7"/>
      <c r="BN414" s="7"/>
      <c r="BO414" s="4"/>
      <c r="BP414" s="8"/>
      <c r="BQ414" s="4"/>
      <c r="BR414" s="8"/>
      <c r="BS414" s="7"/>
      <c r="BT414" s="7"/>
      <c r="BU414" s="2" t="s">
        <v>2555</v>
      </c>
      <c r="BV414" s="2" t="s">
        <v>233</v>
      </c>
      <c r="BW414" s="2" t="s">
        <v>233</v>
      </c>
      <c r="BX414" s="2" t="s">
        <v>243</v>
      </c>
      <c r="BY414" s="2" t="s">
        <v>280</v>
      </c>
      <c r="BZ414" s="2" t="s">
        <v>245</v>
      </c>
      <c r="CA414" s="2" t="s">
        <v>2535</v>
      </c>
      <c r="CB414" s="2" t="s">
        <v>233</v>
      </c>
      <c r="CC414" s="2" t="s">
        <v>246</v>
      </c>
      <c r="CD414" s="2" t="s">
        <v>233</v>
      </c>
      <c r="CE414" s="4"/>
      <c r="CF414" s="4"/>
      <c r="CG414" s="4"/>
      <c r="CH414" s="4"/>
      <c r="CI414" s="4">
        <v>323</v>
      </c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>
        <v>300</v>
      </c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>
        <v>186</v>
      </c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</row>
    <row r="415">
      <c r="A415" s="2" t="s">
        <v>2556</v>
      </c>
      <c r="B415" s="2" t="s">
        <v>910</v>
      </c>
      <c r="C415" s="2" t="s">
        <v>911</v>
      </c>
      <c r="D415" s="2" t="s">
        <v>969</v>
      </c>
      <c r="E415" s="2" t="s">
        <v>1078</v>
      </c>
      <c r="F415" s="2" t="s">
        <v>2526</v>
      </c>
      <c r="G415" s="2" t="s">
        <v>2557</v>
      </c>
      <c r="H415" s="2" t="s">
        <v>2558</v>
      </c>
      <c r="I415" s="2" t="s">
        <v>2559</v>
      </c>
      <c r="J415" s="2" t="s">
        <v>918</v>
      </c>
      <c r="K415" s="2" t="s">
        <v>2560</v>
      </c>
      <c r="L415" s="3">
        <v>23.8</v>
      </c>
      <c r="M415" s="3">
        <v>24.99</v>
      </c>
      <c r="N415" s="3">
        <v>49.99</v>
      </c>
      <c r="O415" s="2" t="s">
        <v>245</v>
      </c>
      <c r="P415" s="2" t="s">
        <v>238</v>
      </c>
      <c r="Q415" s="2" t="s">
        <v>239</v>
      </c>
      <c r="R415" s="2" t="s">
        <v>233</v>
      </c>
      <c r="S415" s="2" t="s">
        <v>2561</v>
      </c>
      <c r="T415" s="2" t="s">
        <v>395</v>
      </c>
      <c r="U415" s="2" t="s">
        <v>342</v>
      </c>
      <c r="V415" s="2" t="s">
        <v>1340</v>
      </c>
      <c r="W415" s="2" t="s">
        <v>275</v>
      </c>
      <c r="X415" s="2" t="s">
        <v>978</v>
      </c>
      <c r="Y415" s="2" t="s">
        <v>2562</v>
      </c>
      <c r="Z415" s="4">
        <v>130</v>
      </c>
      <c r="AA415" s="4">
        <f>=ROUNDDOWN({0},0)</f>
      </c>
      <c r="AB415" s="5"/>
      <c r="AC415" s="2" t="s">
        <v>361</v>
      </c>
      <c r="AD415" s="4">
        <v>120</v>
      </c>
      <c r="AE415" s="4">
        <v>120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233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233</v>
      </c>
      <c r="AW415" s="8" t="s">
        <v>233</v>
      </c>
      <c r="AX415" s="4" t="s">
        <v>233</v>
      </c>
      <c r="AY415" s="8" t="s">
        <v>233</v>
      </c>
      <c r="AZ415" s="7" t="s">
        <v>233</v>
      </c>
      <c r="BA415" s="7" t="s">
        <v>233</v>
      </c>
      <c r="BB415" s="7" t="s">
        <v>233</v>
      </c>
      <c r="BC415" s="4" t="s">
        <v>233</v>
      </c>
      <c r="BD415" s="8" t="s">
        <v>233</v>
      </c>
      <c r="BE415" s="4" t="s">
        <v>233</v>
      </c>
      <c r="BF415" s="8" t="s">
        <v>233</v>
      </c>
      <c r="BG415" s="7" t="s">
        <v>233</v>
      </c>
      <c r="BH415" s="7" t="s">
        <v>233</v>
      </c>
      <c r="BI415" s="7"/>
      <c r="BJ415" s="4"/>
      <c r="BK415" s="8"/>
      <c r="BL415" s="2" t="s">
        <v>233</v>
      </c>
      <c r="BM415" s="7"/>
      <c r="BN415" s="7"/>
      <c r="BO415" s="4"/>
      <c r="BP415" s="8"/>
      <c r="BQ415" s="4"/>
      <c r="BR415" s="8"/>
      <c r="BS415" s="7"/>
      <c r="BT415" s="7"/>
      <c r="BU415" s="2" t="s">
        <v>2563</v>
      </c>
      <c r="BV415" s="2" t="s">
        <v>233</v>
      </c>
      <c r="BW415" s="2" t="s">
        <v>233</v>
      </c>
      <c r="BX415" s="2" t="s">
        <v>243</v>
      </c>
      <c r="BY415" s="2" t="s">
        <v>280</v>
      </c>
      <c r="BZ415" s="2" t="s">
        <v>245</v>
      </c>
      <c r="CA415" s="2" t="s">
        <v>2564</v>
      </c>
      <c r="CB415" s="2" t="s">
        <v>233</v>
      </c>
      <c r="CC415" s="2" t="s">
        <v>246</v>
      </c>
      <c r="CD415" s="2" t="s">
        <v>233</v>
      </c>
      <c r="CE415" s="4">
        <v>130</v>
      </c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>
        <v>120</v>
      </c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</row>
    <row r="416">
      <c r="A416" s="2" t="s">
        <v>2565</v>
      </c>
      <c r="B416" s="2" t="s">
        <v>910</v>
      </c>
      <c r="C416" s="2" t="s">
        <v>911</v>
      </c>
      <c r="D416" s="2" t="s">
        <v>912</v>
      </c>
      <c r="E416" s="2" t="s">
        <v>1139</v>
      </c>
      <c r="F416" s="2" t="s">
        <v>2526</v>
      </c>
      <c r="G416" s="2" t="s">
        <v>2557</v>
      </c>
      <c r="H416" s="2" t="s">
        <v>2558</v>
      </c>
      <c r="I416" s="2" t="s">
        <v>2566</v>
      </c>
      <c r="J416" s="2" t="s">
        <v>918</v>
      </c>
      <c r="K416" s="2" t="s">
        <v>2560</v>
      </c>
      <c r="L416" s="3">
        <v>14.28</v>
      </c>
      <c r="M416" s="3">
        <v>14.99</v>
      </c>
      <c r="N416" s="3">
        <v>29.99</v>
      </c>
      <c r="O416" s="2" t="s">
        <v>245</v>
      </c>
      <c r="P416" s="2" t="s">
        <v>238</v>
      </c>
      <c r="Q416" s="2" t="s">
        <v>239</v>
      </c>
      <c r="R416" s="2" t="s">
        <v>233</v>
      </c>
      <c r="S416" s="2" t="s">
        <v>2561</v>
      </c>
      <c r="T416" s="2" t="s">
        <v>395</v>
      </c>
      <c r="U416" s="2" t="s">
        <v>491</v>
      </c>
      <c r="V416" s="2" t="s">
        <v>1340</v>
      </c>
      <c r="W416" s="2" t="s">
        <v>275</v>
      </c>
      <c r="X416" s="2" t="s">
        <v>978</v>
      </c>
      <c r="Y416" s="2" t="s">
        <v>2562</v>
      </c>
      <c r="Z416" s="4">
        <v>60</v>
      </c>
      <c r="AA416" s="4">
        <f>=ROUNDDOWN({0},0)</f>
      </c>
      <c r="AB416" s="5"/>
      <c r="AC416" s="2" t="s">
        <v>361</v>
      </c>
      <c r="AD416" s="4">
        <v>50</v>
      </c>
      <c r="AE416" s="4">
        <v>50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233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233</v>
      </c>
      <c r="AW416" s="8" t="s">
        <v>233</v>
      </c>
      <c r="AX416" s="4" t="s">
        <v>233</v>
      </c>
      <c r="AY416" s="8" t="s">
        <v>233</v>
      </c>
      <c r="AZ416" s="7" t="s">
        <v>233</v>
      </c>
      <c r="BA416" s="7" t="s">
        <v>233</v>
      </c>
      <c r="BB416" s="7" t="s">
        <v>233</v>
      </c>
      <c r="BC416" s="4" t="s">
        <v>233</v>
      </c>
      <c r="BD416" s="8" t="s">
        <v>233</v>
      </c>
      <c r="BE416" s="4" t="s">
        <v>233</v>
      </c>
      <c r="BF416" s="8" t="s">
        <v>233</v>
      </c>
      <c r="BG416" s="7" t="s">
        <v>233</v>
      </c>
      <c r="BH416" s="7" t="s">
        <v>233</v>
      </c>
      <c r="BI416" s="7"/>
      <c r="BJ416" s="4"/>
      <c r="BK416" s="8"/>
      <c r="BL416" s="2" t="s">
        <v>233</v>
      </c>
      <c r="BM416" s="7"/>
      <c r="BN416" s="7"/>
      <c r="BO416" s="4"/>
      <c r="BP416" s="8"/>
      <c r="BQ416" s="4"/>
      <c r="BR416" s="8"/>
      <c r="BS416" s="7"/>
      <c r="BT416" s="7"/>
      <c r="BU416" s="2" t="s">
        <v>2567</v>
      </c>
      <c r="BV416" s="2" t="s">
        <v>233</v>
      </c>
      <c r="BW416" s="2" t="s">
        <v>233</v>
      </c>
      <c r="BX416" s="2" t="s">
        <v>243</v>
      </c>
      <c r="BY416" s="2" t="s">
        <v>280</v>
      </c>
      <c r="BZ416" s="2" t="s">
        <v>245</v>
      </c>
      <c r="CA416" s="2" t="s">
        <v>2568</v>
      </c>
      <c r="CB416" s="2" t="s">
        <v>233</v>
      </c>
      <c r="CC416" s="2" t="s">
        <v>246</v>
      </c>
      <c r="CD416" s="2" t="s">
        <v>233</v>
      </c>
      <c r="CE416" s="4">
        <v>60</v>
      </c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>
        <v>50</v>
      </c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</row>
    <row r="417">
      <c r="A417" s="2" t="s">
        <v>2569</v>
      </c>
      <c r="B417" s="2" t="s">
        <v>910</v>
      </c>
      <c r="C417" s="2" t="s">
        <v>911</v>
      </c>
      <c r="D417" s="2" t="s">
        <v>969</v>
      </c>
      <c r="E417" s="2" t="s">
        <v>1078</v>
      </c>
      <c r="F417" s="2" t="s">
        <v>2526</v>
      </c>
      <c r="G417" s="2" t="s">
        <v>2557</v>
      </c>
      <c r="H417" s="2" t="s">
        <v>2558</v>
      </c>
      <c r="I417" s="2" t="s">
        <v>2559</v>
      </c>
      <c r="J417" s="2" t="s">
        <v>981</v>
      </c>
      <c r="K417" s="2" t="s">
        <v>2560</v>
      </c>
      <c r="L417" s="3">
        <v>28.57</v>
      </c>
      <c r="M417" s="3">
        <v>30</v>
      </c>
      <c r="N417" s="3">
        <v>59.99</v>
      </c>
      <c r="O417" s="2" t="s">
        <v>245</v>
      </c>
      <c r="P417" s="2" t="s">
        <v>238</v>
      </c>
      <c r="Q417" s="2" t="s">
        <v>239</v>
      </c>
      <c r="R417" s="2" t="s">
        <v>233</v>
      </c>
      <c r="S417" s="2" t="s">
        <v>2561</v>
      </c>
      <c r="T417" s="2" t="s">
        <v>395</v>
      </c>
      <c r="U417" s="2" t="s">
        <v>1482</v>
      </c>
      <c r="V417" s="2" t="s">
        <v>1340</v>
      </c>
      <c r="W417" s="2" t="s">
        <v>275</v>
      </c>
      <c r="X417" s="2" t="s">
        <v>978</v>
      </c>
      <c r="Y417" s="2" t="s">
        <v>2562</v>
      </c>
      <c r="Z417" s="4">
        <v>148</v>
      </c>
      <c r="AA417" s="4">
        <f>=ROUNDDOWN(740,0)</f>
      </c>
      <c r="AB417" s="5">
        <v>0.2</v>
      </c>
      <c r="AC417" s="2" t="s">
        <v>361</v>
      </c>
      <c r="AD417" s="4">
        <v>150</v>
      </c>
      <c r="AE417" s="4">
        <v>150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233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233</v>
      </c>
      <c r="AW417" s="8" t="s">
        <v>233</v>
      </c>
      <c r="AX417" s="4" t="s">
        <v>233</v>
      </c>
      <c r="AY417" s="8" t="s">
        <v>233</v>
      </c>
      <c r="AZ417" s="7" t="s">
        <v>233</v>
      </c>
      <c r="BA417" s="7" t="s">
        <v>233</v>
      </c>
      <c r="BB417" s="7" t="s">
        <v>233</v>
      </c>
      <c r="BC417" s="4" t="s">
        <v>233</v>
      </c>
      <c r="BD417" s="8" t="s">
        <v>233</v>
      </c>
      <c r="BE417" s="4" t="s">
        <v>233</v>
      </c>
      <c r="BF417" s="8" t="s">
        <v>233</v>
      </c>
      <c r="BG417" s="7" t="s">
        <v>233</v>
      </c>
      <c r="BH417" s="7" t="s">
        <v>233</v>
      </c>
      <c r="BI417" s="7"/>
      <c r="BJ417" s="4">
        <v>2</v>
      </c>
      <c r="BK417" s="8">
        <v>80</v>
      </c>
      <c r="BL417" s="2" t="s">
        <v>744</v>
      </c>
      <c r="BM417" s="7"/>
      <c r="BN417" s="7"/>
      <c r="BO417" s="4"/>
      <c r="BP417" s="8"/>
      <c r="BQ417" s="4"/>
      <c r="BR417" s="8"/>
      <c r="BS417" s="7"/>
      <c r="BT417" s="7"/>
      <c r="BU417" s="2" t="s">
        <v>2570</v>
      </c>
      <c r="BV417" s="2" t="s">
        <v>233</v>
      </c>
      <c r="BW417" s="2" t="s">
        <v>233</v>
      </c>
      <c r="BX417" s="2" t="s">
        <v>243</v>
      </c>
      <c r="BY417" s="2" t="s">
        <v>280</v>
      </c>
      <c r="BZ417" s="2" t="s">
        <v>245</v>
      </c>
      <c r="CA417" s="2" t="s">
        <v>2564</v>
      </c>
      <c r="CB417" s="2" t="s">
        <v>233</v>
      </c>
      <c r="CC417" s="2" t="s">
        <v>246</v>
      </c>
      <c r="CD417" s="2" t="s">
        <v>233</v>
      </c>
      <c r="CE417" s="4">
        <v>148</v>
      </c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>
        <v>150</v>
      </c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</row>
    <row r="418">
      <c r="A418" s="2" t="s">
        <v>2571</v>
      </c>
      <c r="B418" s="2" t="s">
        <v>910</v>
      </c>
      <c r="C418" s="2" t="s">
        <v>911</v>
      </c>
      <c r="D418" s="2" t="s">
        <v>912</v>
      </c>
      <c r="E418" s="2" t="s">
        <v>1139</v>
      </c>
      <c r="F418" s="2" t="s">
        <v>2526</v>
      </c>
      <c r="G418" s="2" t="s">
        <v>2557</v>
      </c>
      <c r="H418" s="2" t="s">
        <v>2558</v>
      </c>
      <c r="I418" s="2" t="s">
        <v>2566</v>
      </c>
      <c r="J418" s="2" t="s">
        <v>981</v>
      </c>
      <c r="K418" s="2" t="s">
        <v>2560</v>
      </c>
      <c r="L418" s="3">
        <v>19.04</v>
      </c>
      <c r="M418" s="3">
        <v>19.99</v>
      </c>
      <c r="N418" s="3">
        <v>39.99</v>
      </c>
      <c r="O418" s="2" t="s">
        <v>245</v>
      </c>
      <c r="P418" s="2" t="s">
        <v>238</v>
      </c>
      <c r="Q418" s="2" t="s">
        <v>239</v>
      </c>
      <c r="R418" s="2" t="s">
        <v>233</v>
      </c>
      <c r="S418" s="2" t="s">
        <v>2561</v>
      </c>
      <c r="T418" s="2" t="s">
        <v>395</v>
      </c>
      <c r="U418" s="2" t="s">
        <v>475</v>
      </c>
      <c r="V418" s="2" t="s">
        <v>1340</v>
      </c>
      <c r="W418" s="2" t="s">
        <v>275</v>
      </c>
      <c r="X418" s="2" t="s">
        <v>978</v>
      </c>
      <c r="Y418" s="2" t="s">
        <v>2562</v>
      </c>
      <c r="Z418" s="4">
        <v>70</v>
      </c>
      <c r="AA418" s="4">
        <f>=ROUNDDOWN({0},0)</f>
      </c>
      <c r="AB418" s="5"/>
      <c r="AC418" s="2" t="s">
        <v>361</v>
      </c>
      <c r="AD418" s="4">
        <v>70</v>
      </c>
      <c r="AE418" s="4">
        <v>70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233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233</v>
      </c>
      <c r="AW418" s="8" t="s">
        <v>233</v>
      </c>
      <c r="AX418" s="4" t="s">
        <v>233</v>
      </c>
      <c r="AY418" s="8" t="s">
        <v>233</v>
      </c>
      <c r="AZ418" s="7" t="s">
        <v>233</v>
      </c>
      <c r="BA418" s="7" t="s">
        <v>233</v>
      </c>
      <c r="BB418" s="7" t="s">
        <v>233</v>
      </c>
      <c r="BC418" s="4" t="s">
        <v>233</v>
      </c>
      <c r="BD418" s="8" t="s">
        <v>233</v>
      </c>
      <c r="BE418" s="4" t="s">
        <v>233</v>
      </c>
      <c r="BF418" s="8" t="s">
        <v>233</v>
      </c>
      <c r="BG418" s="7" t="s">
        <v>233</v>
      </c>
      <c r="BH418" s="7" t="s">
        <v>233</v>
      </c>
      <c r="BI418" s="7"/>
      <c r="BJ418" s="4"/>
      <c r="BK418" s="8"/>
      <c r="BL418" s="2" t="s">
        <v>233</v>
      </c>
      <c r="BM418" s="7"/>
      <c r="BN418" s="7"/>
      <c r="BO418" s="4"/>
      <c r="BP418" s="8"/>
      <c r="BQ418" s="4"/>
      <c r="BR418" s="8"/>
      <c r="BS418" s="7"/>
      <c r="BT418" s="7"/>
      <c r="BU418" s="2" t="s">
        <v>2572</v>
      </c>
      <c r="BV418" s="2" t="s">
        <v>233</v>
      </c>
      <c r="BW418" s="2" t="s">
        <v>233</v>
      </c>
      <c r="BX418" s="2" t="s">
        <v>243</v>
      </c>
      <c r="BY418" s="2" t="s">
        <v>280</v>
      </c>
      <c r="BZ418" s="2" t="s">
        <v>245</v>
      </c>
      <c r="CA418" s="2" t="s">
        <v>2568</v>
      </c>
      <c r="CB418" s="2" t="s">
        <v>233</v>
      </c>
      <c r="CC418" s="2" t="s">
        <v>246</v>
      </c>
      <c r="CD418" s="2" t="s">
        <v>233</v>
      </c>
      <c r="CE418" s="4">
        <v>70</v>
      </c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>
        <v>70</v>
      </c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</row>
    <row r="419">
      <c r="A419" s="2" t="s">
        <v>2573</v>
      </c>
      <c r="B419" s="2" t="s">
        <v>1242</v>
      </c>
      <c r="C419" s="2" t="s">
        <v>530</v>
      </c>
      <c r="D419" s="2" t="s">
        <v>1862</v>
      </c>
      <c r="E419" s="2" t="s">
        <v>1863</v>
      </c>
      <c r="F419" s="2" t="s">
        <v>2526</v>
      </c>
      <c r="G419" s="2" t="s">
        <v>2574</v>
      </c>
      <c r="H419" s="2" t="s">
        <v>2575</v>
      </c>
      <c r="I419" s="2" t="s">
        <v>2576</v>
      </c>
      <c r="J419" s="2" t="s">
        <v>1142</v>
      </c>
      <c r="K419" s="2" t="s">
        <v>2577</v>
      </c>
      <c r="L419" s="3">
        <v>42.85</v>
      </c>
      <c r="M419" s="3">
        <v>44.99</v>
      </c>
      <c r="N419" s="3">
        <v>89.99</v>
      </c>
      <c r="O419" s="2" t="s">
        <v>237</v>
      </c>
      <c r="P419" s="2" t="s">
        <v>311</v>
      </c>
      <c r="Q419" s="2" t="s">
        <v>239</v>
      </c>
      <c r="R419" s="2" t="s">
        <v>233</v>
      </c>
      <c r="S419" s="2" t="s">
        <v>2578</v>
      </c>
      <c r="T419" s="2" t="s">
        <v>395</v>
      </c>
      <c r="U419" s="2" t="s">
        <v>475</v>
      </c>
      <c r="V419" s="2" t="s">
        <v>1508</v>
      </c>
      <c r="W419" s="2" t="s">
        <v>275</v>
      </c>
      <c r="X419" s="2" t="s">
        <v>977</v>
      </c>
      <c r="Y419" s="2" t="s">
        <v>2579</v>
      </c>
      <c r="Z419" s="4">
        <v>220</v>
      </c>
      <c r="AA419" s="4">
        <f>=ROUNDDOWN(157.142857142857,0)</f>
      </c>
      <c r="AB419" s="5">
        <v>1.4</v>
      </c>
      <c r="AC419" s="2" t="s">
        <v>233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233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233</v>
      </c>
      <c r="BD419" s="8" t="s">
        <v>233</v>
      </c>
      <c r="BE419" s="4" t="s">
        <v>233</v>
      </c>
      <c r="BF419" s="8" t="s">
        <v>233</v>
      </c>
      <c r="BG419" s="7" t="s">
        <v>233</v>
      </c>
      <c r="BH419" s="7" t="s">
        <v>233</v>
      </c>
      <c r="BI419" s="7"/>
      <c r="BJ419" s="4">
        <v>4</v>
      </c>
      <c r="BK419" s="8">
        <v>174.92</v>
      </c>
      <c r="BL419" s="2" t="s">
        <v>2580</v>
      </c>
      <c r="BM419" s="7"/>
      <c r="BN419" s="7"/>
      <c r="BO419" s="4"/>
      <c r="BP419" s="8"/>
      <c r="BQ419" s="4"/>
      <c r="BR419" s="8"/>
      <c r="BS419" s="7"/>
      <c r="BT419" s="7"/>
      <c r="BU419" s="2" t="s">
        <v>2581</v>
      </c>
      <c r="BV419" s="2" t="s">
        <v>233</v>
      </c>
      <c r="BW419" s="2" t="s">
        <v>233</v>
      </c>
      <c r="BX419" s="2" t="s">
        <v>233</v>
      </c>
      <c r="BY419" s="2" t="s">
        <v>280</v>
      </c>
      <c r="BZ419" s="2" t="s">
        <v>245</v>
      </c>
      <c r="CA419" s="2" t="s">
        <v>2090</v>
      </c>
      <c r="CB419" s="2" t="s">
        <v>2582</v>
      </c>
      <c r="CC419" s="2" t="s">
        <v>246</v>
      </c>
      <c r="CD419" s="2" t="s">
        <v>233</v>
      </c>
      <c r="CE419" s="4">
        <v>220</v>
      </c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</row>
    <row r="420">
      <c r="A420" s="2" t="s">
        <v>2583</v>
      </c>
      <c r="B420" s="2" t="s">
        <v>1174</v>
      </c>
      <c r="C420" s="2" t="s">
        <v>1447</v>
      </c>
      <c r="D420" s="2" t="s">
        <v>1175</v>
      </c>
      <c r="E420" s="2" t="s">
        <v>1448</v>
      </c>
      <c r="F420" s="2" t="s">
        <v>2584</v>
      </c>
      <c r="G420" s="2" t="s">
        <v>2585</v>
      </c>
      <c r="H420" s="2" t="s">
        <v>2586</v>
      </c>
      <c r="I420" s="2" t="s">
        <v>2587</v>
      </c>
      <c r="J420" s="2" t="s">
        <v>1490</v>
      </c>
      <c r="K420" s="2" t="s">
        <v>1083</v>
      </c>
      <c r="L420" s="3">
        <v>18</v>
      </c>
      <c r="M420" s="3">
        <v>18.9</v>
      </c>
      <c r="N420" s="3">
        <v>39.99</v>
      </c>
      <c r="O420" s="2" t="s">
        <v>245</v>
      </c>
      <c r="P420" s="2" t="s">
        <v>272</v>
      </c>
      <c r="Q420" s="2" t="s">
        <v>239</v>
      </c>
      <c r="R420" s="2" t="s">
        <v>233</v>
      </c>
      <c r="S420" s="2" t="s">
        <v>2588</v>
      </c>
      <c r="T420" s="2" t="s">
        <v>233</v>
      </c>
      <c r="U420" s="2" t="s">
        <v>233</v>
      </c>
      <c r="V420" s="2" t="s">
        <v>1658</v>
      </c>
      <c r="W420" s="2" t="s">
        <v>397</v>
      </c>
      <c r="X420" s="2" t="s">
        <v>2589</v>
      </c>
      <c r="Y420" s="2" t="s">
        <v>1150</v>
      </c>
      <c r="Z420" s="4">
        <v>177</v>
      </c>
      <c r="AA420" s="4">
        <f>=ROUNDDOWN(17.3529411764706,0)</f>
      </c>
      <c r="AB420" s="5">
        <v>10.2</v>
      </c>
      <c r="AC420" s="2" t="s">
        <v>1739</v>
      </c>
      <c r="AD420" s="4">
        <v>80</v>
      </c>
      <c r="AE420" s="4">
        <v>80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233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233</v>
      </c>
      <c r="BD420" s="8" t="s">
        <v>233</v>
      </c>
      <c r="BE420" s="4" t="s">
        <v>233</v>
      </c>
      <c r="BF420" s="8" t="s">
        <v>233</v>
      </c>
      <c r="BG420" s="7" t="s">
        <v>233</v>
      </c>
      <c r="BH420" s="7" t="s">
        <v>233</v>
      </c>
      <c r="BI420" s="7"/>
      <c r="BJ420" s="4">
        <v>22</v>
      </c>
      <c r="BK420" s="8">
        <v>377.71</v>
      </c>
      <c r="BL420" s="2" t="s">
        <v>2590</v>
      </c>
      <c r="BM420" s="7"/>
      <c r="BN420" s="7"/>
      <c r="BO420" s="4"/>
      <c r="BP420" s="8"/>
      <c r="BQ420" s="4"/>
      <c r="BR420" s="8"/>
      <c r="BS420" s="7"/>
      <c r="BT420" s="7"/>
      <c r="BU420" s="2" t="s">
        <v>2591</v>
      </c>
      <c r="BV420" s="2" t="s">
        <v>233</v>
      </c>
      <c r="BW420" s="2" t="s">
        <v>233</v>
      </c>
      <c r="BX420" s="2" t="s">
        <v>233</v>
      </c>
      <c r="BY420" s="2" t="s">
        <v>280</v>
      </c>
      <c r="BZ420" s="2" t="s">
        <v>245</v>
      </c>
      <c r="CA420" s="2" t="s">
        <v>1306</v>
      </c>
      <c r="CB420" s="2" t="s">
        <v>2592</v>
      </c>
      <c r="CC420" s="2" t="s">
        <v>246</v>
      </c>
      <c r="CD420" s="2" t="s">
        <v>233</v>
      </c>
      <c r="CE420" s="4">
        <v>177</v>
      </c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>
        <v>80</v>
      </c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</row>
    <row r="421">
      <c r="A421" s="2" t="s">
        <v>2593</v>
      </c>
      <c r="B421" s="2" t="s">
        <v>1174</v>
      </c>
      <c r="C421" s="2" t="s">
        <v>1447</v>
      </c>
      <c r="D421" s="2" t="s">
        <v>1175</v>
      </c>
      <c r="E421" s="2" t="s">
        <v>1448</v>
      </c>
      <c r="F421" s="2" t="s">
        <v>2584</v>
      </c>
      <c r="G421" s="2" t="s">
        <v>2585</v>
      </c>
      <c r="H421" s="2" t="s">
        <v>2586</v>
      </c>
      <c r="I421" s="2" t="s">
        <v>2587</v>
      </c>
      <c r="J421" s="2" t="s">
        <v>1490</v>
      </c>
      <c r="K421" s="2" t="s">
        <v>1218</v>
      </c>
      <c r="L421" s="3">
        <v>18</v>
      </c>
      <c r="M421" s="3">
        <v>18.9</v>
      </c>
      <c r="N421" s="3">
        <v>39.99</v>
      </c>
      <c r="O421" s="2" t="s">
        <v>252</v>
      </c>
      <c r="P421" s="2" t="s">
        <v>311</v>
      </c>
      <c r="Q421" s="2" t="s">
        <v>239</v>
      </c>
      <c r="R421" s="2" t="s">
        <v>233</v>
      </c>
      <c r="S421" s="2" t="s">
        <v>2594</v>
      </c>
      <c r="T421" s="2" t="s">
        <v>395</v>
      </c>
      <c r="U421" s="2" t="s">
        <v>396</v>
      </c>
      <c r="V421" s="2" t="s">
        <v>1658</v>
      </c>
      <c r="W421" s="2" t="s">
        <v>397</v>
      </c>
      <c r="X421" s="2" t="s">
        <v>233</v>
      </c>
      <c r="Y421" s="2" t="s">
        <v>2595</v>
      </c>
      <c r="Z421" s="4">
        <v>53</v>
      </c>
      <c r="AA421" s="4">
        <f>=ROUNDDOWN(29.4444444444444,0)</f>
      </c>
      <c r="AB421" s="5">
        <v>1.8</v>
      </c>
      <c r="AC421" s="2" t="s">
        <v>233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233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233</v>
      </c>
      <c r="BD421" s="8" t="s">
        <v>233</v>
      </c>
      <c r="BE421" s="4" t="s">
        <v>233</v>
      </c>
      <c r="BF421" s="8" t="s">
        <v>233</v>
      </c>
      <c r="BG421" s="7" t="s">
        <v>233</v>
      </c>
      <c r="BH421" s="7" t="s">
        <v>233</v>
      </c>
      <c r="BI421" s="7"/>
      <c r="BJ421" s="4">
        <v>5</v>
      </c>
      <c r="BK421" s="8">
        <v>45.7</v>
      </c>
      <c r="BL421" s="2" t="s">
        <v>1028</v>
      </c>
      <c r="BM421" s="7"/>
      <c r="BN421" s="7"/>
      <c r="BO421" s="4"/>
      <c r="BP421" s="8"/>
      <c r="BQ421" s="4"/>
      <c r="BR421" s="8"/>
      <c r="BS421" s="7"/>
      <c r="BT421" s="7"/>
      <c r="BU421" s="2" t="s">
        <v>2596</v>
      </c>
      <c r="BV421" s="2" t="s">
        <v>233</v>
      </c>
      <c r="BW421" s="2" t="s">
        <v>233</v>
      </c>
      <c r="BX421" s="2" t="s">
        <v>233</v>
      </c>
      <c r="BY421" s="2" t="s">
        <v>280</v>
      </c>
      <c r="BZ421" s="2" t="s">
        <v>245</v>
      </c>
      <c r="CA421" s="2" t="s">
        <v>2597</v>
      </c>
      <c r="CB421" s="2" t="s">
        <v>1458</v>
      </c>
      <c r="CC421" s="2" t="s">
        <v>246</v>
      </c>
      <c r="CD421" s="2" t="s">
        <v>233</v>
      </c>
      <c r="CE421" s="4">
        <v>53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</row>
    <row r="422">
      <c r="A422" s="2" t="s">
        <v>2598</v>
      </c>
      <c r="B422" s="2" t="s">
        <v>228</v>
      </c>
      <c r="C422" s="2" t="s">
        <v>1335</v>
      </c>
      <c r="D422" s="2" t="s">
        <v>1616</v>
      </c>
      <c r="E422" s="2" t="s">
        <v>2599</v>
      </c>
      <c r="F422" s="2" t="s">
        <v>2600</v>
      </c>
      <c r="G422" s="2" t="s">
        <v>2600</v>
      </c>
      <c r="H422" s="2" t="s">
        <v>2600</v>
      </c>
      <c r="I422" s="2" t="s">
        <v>2601</v>
      </c>
      <c r="J422" s="2" t="s">
        <v>1736</v>
      </c>
      <c r="K422" s="2" t="s">
        <v>1561</v>
      </c>
      <c r="L422" s="3">
        <v>20.14</v>
      </c>
      <c r="M422" s="3">
        <v>21.15</v>
      </c>
      <c r="N422" s="3">
        <v>44.99</v>
      </c>
      <c r="O422" s="2" t="s">
        <v>245</v>
      </c>
      <c r="P422" s="2" t="s">
        <v>272</v>
      </c>
      <c r="Q422" s="2" t="s">
        <v>239</v>
      </c>
      <c r="R422" s="2" t="s">
        <v>233</v>
      </c>
      <c r="S422" s="2" t="s">
        <v>2602</v>
      </c>
      <c r="T422" s="2" t="s">
        <v>1055</v>
      </c>
      <c r="U422" s="2" t="s">
        <v>396</v>
      </c>
      <c r="V422" s="2" t="s">
        <v>1340</v>
      </c>
      <c r="W422" s="2" t="s">
        <v>978</v>
      </c>
      <c r="X422" s="2" t="s">
        <v>776</v>
      </c>
      <c r="Y422" s="2" t="s">
        <v>2603</v>
      </c>
      <c r="Z422" s="4">
        <v>546</v>
      </c>
      <c r="AA422" s="4">
        <f>=ROUNDDOWN(68.25,0)</f>
      </c>
      <c r="AB422" s="5">
        <v>8</v>
      </c>
      <c r="AC422" s="2" t="s">
        <v>233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233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>
        <v>3</v>
      </c>
      <c r="BK422" s="8">
        <v>67.56</v>
      </c>
      <c r="BL422" s="2" t="s">
        <v>2604</v>
      </c>
      <c r="BM422" s="7"/>
      <c r="BN422" s="7"/>
      <c r="BO422" s="4"/>
      <c r="BP422" s="8"/>
      <c r="BQ422" s="4"/>
      <c r="BR422" s="8"/>
      <c r="BS422" s="7"/>
      <c r="BT422" s="7"/>
      <c r="BU422" s="2" t="s">
        <v>2605</v>
      </c>
      <c r="BV422" s="2" t="s">
        <v>233</v>
      </c>
      <c r="BW422" s="2" t="s">
        <v>233</v>
      </c>
      <c r="BX422" s="2" t="s">
        <v>233</v>
      </c>
      <c r="BY422" s="2" t="s">
        <v>280</v>
      </c>
      <c r="BZ422" s="2" t="s">
        <v>245</v>
      </c>
      <c r="CA422" s="2" t="s">
        <v>746</v>
      </c>
      <c r="CB422" s="2" t="s">
        <v>754</v>
      </c>
      <c r="CC422" s="2" t="s">
        <v>246</v>
      </c>
      <c r="CD422" s="2" t="s">
        <v>233</v>
      </c>
      <c r="CE422" s="4">
        <v>546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</row>
    <row r="423">
      <c r="A423" s="2" t="s">
        <v>2606</v>
      </c>
      <c r="B423" s="2" t="s">
        <v>928</v>
      </c>
      <c r="C423" s="2" t="s">
        <v>530</v>
      </c>
      <c r="D423" s="2" t="s">
        <v>961</v>
      </c>
      <c r="E423" s="2" t="s">
        <v>2028</v>
      </c>
      <c r="F423" s="2" t="s">
        <v>2607</v>
      </c>
      <c r="G423" s="2" t="s">
        <v>2607</v>
      </c>
      <c r="H423" s="2" t="s">
        <v>2607</v>
      </c>
      <c r="I423" s="2" t="s">
        <v>2608</v>
      </c>
      <c r="J423" s="2" t="s">
        <v>892</v>
      </c>
      <c r="K423" s="2" t="s">
        <v>2609</v>
      </c>
      <c r="L423" s="3">
        <v>63.9</v>
      </c>
      <c r="M423" s="3">
        <v>67.1</v>
      </c>
      <c r="N423" s="3">
        <v>127.49</v>
      </c>
      <c r="O423" s="2" t="s">
        <v>245</v>
      </c>
      <c r="P423" s="2" t="s">
        <v>311</v>
      </c>
      <c r="Q423" s="2" t="s">
        <v>239</v>
      </c>
      <c r="R423" s="2" t="s">
        <v>233</v>
      </c>
      <c r="S423" s="2" t="s">
        <v>2610</v>
      </c>
      <c r="T423" s="2" t="s">
        <v>233</v>
      </c>
      <c r="U423" s="2" t="s">
        <v>475</v>
      </c>
      <c r="V423" s="2" t="s">
        <v>921</v>
      </c>
      <c r="W423" s="2" t="s">
        <v>397</v>
      </c>
      <c r="X423" s="2" t="s">
        <v>397</v>
      </c>
      <c r="Y423" s="2" t="s">
        <v>2611</v>
      </c>
      <c r="Z423" s="4">
        <v>6</v>
      </c>
      <c r="AA423" s="4">
        <f>=ROUNDDOWN(1.5,0)</f>
      </c>
      <c r="AB423" s="5">
        <v>4</v>
      </c>
      <c r="AC423" s="2" t="s">
        <v>233</v>
      </c>
      <c r="AD423" s="4"/>
      <c r="AE423" s="4"/>
      <c r="AF423" s="6">
        <v>63</v>
      </c>
      <c r="AG423" s="6"/>
      <c r="AH423" s="7">
        <v>1</v>
      </c>
      <c r="AI423" s="4"/>
      <c r="AJ423" s="4">
        <f>=ROUNDDOWN({0},0)</f>
      </c>
      <c r="AK423" s="5"/>
      <c r="AL423" s="2" t="s">
        <v>233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>
        <v>3</v>
      </c>
      <c r="BK423" s="8">
        <v>211.03</v>
      </c>
      <c r="BL423" s="2" t="s">
        <v>2612</v>
      </c>
      <c r="BM423" s="7"/>
      <c r="BN423" s="7"/>
      <c r="BO423" s="4"/>
      <c r="BP423" s="8"/>
      <c r="BQ423" s="4"/>
      <c r="BR423" s="8"/>
      <c r="BS423" s="7"/>
      <c r="BT423" s="7"/>
      <c r="BU423" s="2" t="s">
        <v>2613</v>
      </c>
      <c r="BV423" s="2" t="s">
        <v>233</v>
      </c>
      <c r="BW423" s="2" t="s">
        <v>233</v>
      </c>
      <c r="BX423" s="2" t="s">
        <v>243</v>
      </c>
      <c r="BY423" s="2" t="s">
        <v>280</v>
      </c>
      <c r="BZ423" s="2" t="s">
        <v>245</v>
      </c>
      <c r="CA423" s="2" t="s">
        <v>2614</v>
      </c>
      <c r="CB423" s="2" t="s">
        <v>2615</v>
      </c>
      <c r="CC423" s="2" t="s">
        <v>246</v>
      </c>
      <c r="CD423" s="2" t="s">
        <v>233</v>
      </c>
      <c r="CE423" s="4"/>
      <c r="CF423" s="4">
        <v>6</v>
      </c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</row>
    <row r="424">
      <c r="A424" s="2" t="s">
        <v>2616</v>
      </c>
      <c r="B424" s="2" t="s">
        <v>928</v>
      </c>
      <c r="C424" s="2" t="s">
        <v>530</v>
      </c>
      <c r="D424" s="2" t="s">
        <v>961</v>
      </c>
      <c r="E424" s="2" t="s">
        <v>939</v>
      </c>
      <c r="F424" s="2" t="s">
        <v>2617</v>
      </c>
      <c r="G424" s="2" t="s">
        <v>2617</v>
      </c>
      <c r="H424" s="2" t="s">
        <v>2617</v>
      </c>
      <c r="I424" s="2" t="s">
        <v>2618</v>
      </c>
      <c r="J424" s="2" t="s">
        <v>892</v>
      </c>
      <c r="K424" s="2" t="s">
        <v>271</v>
      </c>
      <c r="L424" s="3">
        <v>46.22</v>
      </c>
      <c r="M424" s="3">
        <v>48.53</v>
      </c>
      <c r="N424" s="3">
        <v>89.24</v>
      </c>
      <c r="O424" s="2" t="s">
        <v>245</v>
      </c>
      <c r="P424" s="2" t="s">
        <v>272</v>
      </c>
      <c r="Q424" s="2" t="s">
        <v>239</v>
      </c>
      <c r="R424" s="2" t="s">
        <v>233</v>
      </c>
      <c r="S424" s="2" t="s">
        <v>2619</v>
      </c>
      <c r="T424" s="2" t="s">
        <v>233</v>
      </c>
      <c r="U424" s="2" t="s">
        <v>491</v>
      </c>
      <c r="V424" s="2" t="s">
        <v>921</v>
      </c>
      <c r="W424" s="2" t="s">
        <v>397</v>
      </c>
      <c r="X424" s="2" t="s">
        <v>233</v>
      </c>
      <c r="Y424" s="2" t="s">
        <v>2620</v>
      </c>
      <c r="Z424" s="4">
        <v>46</v>
      </c>
      <c r="AA424" s="4">
        <f>=ROUNDDOWN(9.2,0)</f>
      </c>
      <c r="AB424" s="5">
        <v>5</v>
      </c>
      <c r="AC424" s="2" t="s">
        <v>299</v>
      </c>
      <c r="AD424" s="4">
        <v>100</v>
      </c>
      <c r="AE424" s="4">
        <v>100</v>
      </c>
      <c r="AF424" s="6">
        <v>63</v>
      </c>
      <c r="AG424" s="6"/>
      <c r="AH424" s="7">
        <v>1</v>
      </c>
      <c r="AI424" s="4"/>
      <c r="AJ424" s="4">
        <f>=ROUNDDOWN({0},0)</f>
      </c>
      <c r="AK424" s="5"/>
      <c r="AL424" s="2" t="s">
        <v>233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>
        <v>21</v>
      </c>
      <c r="BK424" s="8">
        <v>1161.98</v>
      </c>
      <c r="BL424" s="2" t="s">
        <v>2621</v>
      </c>
      <c r="BM424" s="7"/>
      <c r="BN424" s="7"/>
      <c r="BO424" s="4"/>
      <c r="BP424" s="8"/>
      <c r="BQ424" s="4"/>
      <c r="BR424" s="8"/>
      <c r="BS424" s="7"/>
      <c r="BT424" s="7"/>
      <c r="BU424" s="2" t="s">
        <v>2622</v>
      </c>
      <c r="BV424" s="2" t="s">
        <v>233</v>
      </c>
      <c r="BW424" s="2" t="s">
        <v>233</v>
      </c>
      <c r="BX424" s="2" t="s">
        <v>233</v>
      </c>
      <c r="BY424" s="2" t="s">
        <v>280</v>
      </c>
      <c r="BZ424" s="2" t="s">
        <v>245</v>
      </c>
      <c r="CA424" s="2" t="s">
        <v>2623</v>
      </c>
      <c r="CB424" s="2" t="s">
        <v>2624</v>
      </c>
      <c r="CC424" s="2" t="s">
        <v>246</v>
      </c>
      <c r="CD424" s="2" t="s">
        <v>233</v>
      </c>
      <c r="CE424" s="4"/>
      <c r="CF424" s="4">
        <v>46</v>
      </c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>
        <v>100</v>
      </c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</row>
    <row r="425">
      <c r="A425" s="2" t="s">
        <v>2625</v>
      </c>
      <c r="B425" s="2" t="s">
        <v>928</v>
      </c>
      <c r="C425" s="2" t="s">
        <v>530</v>
      </c>
      <c r="D425" s="2" t="s">
        <v>961</v>
      </c>
      <c r="E425" s="2" t="s">
        <v>939</v>
      </c>
      <c r="F425" s="2" t="s">
        <v>2626</v>
      </c>
      <c r="G425" s="2" t="s">
        <v>233</v>
      </c>
      <c r="H425" s="2" t="s">
        <v>233</v>
      </c>
      <c r="I425" s="2" t="s">
        <v>2627</v>
      </c>
      <c r="J425" s="2" t="s">
        <v>892</v>
      </c>
      <c r="K425" s="2" t="s">
        <v>271</v>
      </c>
      <c r="L425" s="3">
        <v>21.58</v>
      </c>
      <c r="M425" s="3">
        <v>22.66</v>
      </c>
      <c r="N425" s="3">
        <v>49.99</v>
      </c>
      <c r="O425" s="2" t="s">
        <v>237</v>
      </c>
      <c r="P425" s="2" t="s">
        <v>311</v>
      </c>
      <c r="Q425" s="2" t="s">
        <v>239</v>
      </c>
      <c r="R425" s="2" t="s">
        <v>233</v>
      </c>
      <c r="S425" s="2" t="s">
        <v>2628</v>
      </c>
      <c r="T425" s="2" t="s">
        <v>233</v>
      </c>
      <c r="U425" s="2" t="s">
        <v>475</v>
      </c>
      <c r="V425" s="2" t="s">
        <v>1272</v>
      </c>
      <c r="W425" s="2" t="s">
        <v>451</v>
      </c>
      <c r="X425" s="2" t="s">
        <v>233</v>
      </c>
      <c r="Y425" s="2" t="s">
        <v>2629</v>
      </c>
      <c r="Z425" s="4">
        <v>83</v>
      </c>
      <c r="AA425" s="4">
        <f>=ROUNDDOWN(25.9375,0)</f>
      </c>
      <c r="AB425" s="5">
        <v>3.2</v>
      </c>
      <c r="AC425" s="2" t="s">
        <v>233</v>
      </c>
      <c r="AD425" s="4"/>
      <c r="AE425" s="4"/>
      <c r="AF425" s="6">
        <v>63</v>
      </c>
      <c r="AG425" s="6"/>
      <c r="AH425" s="7">
        <v>1</v>
      </c>
      <c r="AI425" s="4"/>
      <c r="AJ425" s="4">
        <f>=ROUNDDOWN({0},0)</f>
      </c>
      <c r="AK425" s="5"/>
      <c r="AL425" s="2" t="s">
        <v>233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>
        <v>11</v>
      </c>
      <c r="BK425" s="8">
        <v>259.09</v>
      </c>
      <c r="BL425" s="2" t="s">
        <v>2630</v>
      </c>
      <c r="BM425" s="7"/>
      <c r="BN425" s="7"/>
      <c r="BO425" s="4"/>
      <c r="BP425" s="8"/>
      <c r="BQ425" s="4"/>
      <c r="BR425" s="8"/>
      <c r="BS425" s="7"/>
      <c r="BT425" s="7"/>
      <c r="BU425" s="2" t="s">
        <v>2631</v>
      </c>
      <c r="BV425" s="2" t="s">
        <v>233</v>
      </c>
      <c r="BW425" s="2" t="s">
        <v>233</v>
      </c>
      <c r="BX425" s="2" t="s">
        <v>233</v>
      </c>
      <c r="BY425" s="2" t="s">
        <v>280</v>
      </c>
      <c r="BZ425" s="2" t="s">
        <v>245</v>
      </c>
      <c r="CA425" s="2" t="s">
        <v>287</v>
      </c>
      <c r="CB425" s="2" t="s">
        <v>2632</v>
      </c>
      <c r="CC425" s="2" t="s">
        <v>246</v>
      </c>
      <c r="CD425" s="2" t="s">
        <v>233</v>
      </c>
      <c r="CE425" s="4"/>
      <c r="CF425" s="4">
        <v>83</v>
      </c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</row>
    <row r="426">
      <c r="A426" s="2" t="s">
        <v>2633</v>
      </c>
      <c r="B426" s="2" t="s">
        <v>928</v>
      </c>
      <c r="C426" s="2" t="s">
        <v>1321</v>
      </c>
      <c r="D426" s="2" t="s">
        <v>961</v>
      </c>
      <c r="E426" s="2" t="s">
        <v>939</v>
      </c>
      <c r="F426" s="2" t="s">
        <v>2634</v>
      </c>
      <c r="G426" s="2" t="s">
        <v>2634</v>
      </c>
      <c r="H426" s="2" t="s">
        <v>2634</v>
      </c>
      <c r="I426" s="2" t="s">
        <v>2635</v>
      </c>
      <c r="J426" s="2" t="s">
        <v>892</v>
      </c>
      <c r="K426" s="2" t="s">
        <v>271</v>
      </c>
      <c r="L426" s="3">
        <v>41.7</v>
      </c>
      <c r="M426" s="3">
        <v>43.78</v>
      </c>
      <c r="N426" s="3">
        <v>84.99</v>
      </c>
      <c r="O426" s="2" t="s">
        <v>245</v>
      </c>
      <c r="P426" s="2" t="s">
        <v>311</v>
      </c>
      <c r="Q426" s="2" t="s">
        <v>239</v>
      </c>
      <c r="R426" s="2" t="s">
        <v>233</v>
      </c>
      <c r="S426" s="2" t="s">
        <v>2636</v>
      </c>
      <c r="T426" s="2" t="s">
        <v>233</v>
      </c>
      <c r="U426" s="2" t="s">
        <v>396</v>
      </c>
      <c r="V426" s="2" t="s">
        <v>921</v>
      </c>
      <c r="W426" s="2" t="s">
        <v>397</v>
      </c>
      <c r="X426" s="2" t="s">
        <v>233</v>
      </c>
      <c r="Y426" s="2" t="s">
        <v>2637</v>
      </c>
      <c r="Z426" s="4">
        <v>47</v>
      </c>
      <c r="AA426" s="4">
        <f>=ROUNDDOWN(23.5,0)</f>
      </c>
      <c r="AB426" s="5">
        <v>2</v>
      </c>
      <c r="AC426" s="2" t="s">
        <v>233</v>
      </c>
      <c r="AD426" s="4"/>
      <c r="AE426" s="4"/>
      <c r="AF426" s="6">
        <v>63</v>
      </c>
      <c r="AG426" s="6"/>
      <c r="AH426" s="7">
        <v>1</v>
      </c>
      <c r="AI426" s="4"/>
      <c r="AJ426" s="4">
        <f>=ROUNDDOWN({0},0)</f>
      </c>
      <c r="AK426" s="5"/>
      <c r="AL426" s="2" t="s">
        <v>233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>
        <v>4</v>
      </c>
      <c r="BK426" s="8">
        <v>179.5</v>
      </c>
      <c r="BL426" s="2" t="s">
        <v>2638</v>
      </c>
      <c r="BM426" s="7"/>
      <c r="BN426" s="7"/>
      <c r="BO426" s="4"/>
      <c r="BP426" s="8"/>
      <c r="BQ426" s="4"/>
      <c r="BR426" s="8"/>
      <c r="BS426" s="7"/>
      <c r="BT426" s="7"/>
      <c r="BU426" s="2" t="s">
        <v>2639</v>
      </c>
      <c r="BV426" s="2" t="s">
        <v>233</v>
      </c>
      <c r="BW426" s="2" t="s">
        <v>233</v>
      </c>
      <c r="BX426" s="2" t="s">
        <v>233</v>
      </c>
      <c r="BY426" s="2" t="s">
        <v>280</v>
      </c>
      <c r="BZ426" s="2" t="s">
        <v>245</v>
      </c>
      <c r="CA426" s="2" t="s">
        <v>2640</v>
      </c>
      <c r="CB426" s="2" t="s">
        <v>2641</v>
      </c>
      <c r="CC426" s="2" t="s">
        <v>246</v>
      </c>
      <c r="CD426" s="2" t="s">
        <v>233</v>
      </c>
      <c r="CE426" s="4"/>
      <c r="CF426" s="4">
        <v>47</v>
      </c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</row>
    <row r="427">
      <c r="A427" s="2" t="s">
        <v>2642</v>
      </c>
      <c r="B427" s="2" t="s">
        <v>1066</v>
      </c>
      <c r="C427" s="2" t="s">
        <v>901</v>
      </c>
      <c r="D427" s="2" t="s">
        <v>1111</v>
      </c>
      <c r="E427" s="2" t="s">
        <v>1112</v>
      </c>
      <c r="F427" s="2" t="s">
        <v>2643</v>
      </c>
      <c r="G427" s="2" t="s">
        <v>2643</v>
      </c>
      <c r="H427" s="2" t="s">
        <v>2643</v>
      </c>
      <c r="I427" s="2" t="s">
        <v>2644</v>
      </c>
      <c r="J427" s="2" t="s">
        <v>892</v>
      </c>
      <c r="K427" s="2" t="s">
        <v>1631</v>
      </c>
      <c r="L427" s="3">
        <v>213.75</v>
      </c>
      <c r="M427" s="3">
        <v>224.44</v>
      </c>
      <c r="N427" s="3">
        <v>449</v>
      </c>
      <c r="O427" s="2" t="s">
        <v>245</v>
      </c>
      <c r="P427" s="2" t="s">
        <v>238</v>
      </c>
      <c r="Q427" s="2" t="s">
        <v>239</v>
      </c>
      <c r="R427" s="2" t="s">
        <v>233</v>
      </c>
      <c r="S427" s="2" t="s">
        <v>233</v>
      </c>
      <c r="T427" s="2" t="s">
        <v>233</v>
      </c>
      <c r="U427" s="2" t="s">
        <v>396</v>
      </c>
      <c r="V427" s="2" t="s">
        <v>893</v>
      </c>
      <c r="W427" s="2" t="s">
        <v>451</v>
      </c>
      <c r="X427" s="2" t="s">
        <v>275</v>
      </c>
      <c r="Y427" s="2" t="s">
        <v>2136</v>
      </c>
      <c r="Z427" s="4">
        <v>120</v>
      </c>
      <c r="AA427" s="4">
        <f>=ROUNDDOWN(240,0)</f>
      </c>
      <c r="AB427" s="5">
        <v>0.5</v>
      </c>
      <c r="AC427" s="2" t="s">
        <v>233</v>
      </c>
      <c r="AD427" s="4"/>
      <c r="AE427" s="4"/>
      <c r="AF427" s="6">
        <v>74</v>
      </c>
      <c r="AG427" s="6"/>
      <c r="AH427" s="7">
        <v>0.3548</v>
      </c>
      <c r="AI427" s="4"/>
      <c r="AJ427" s="4">
        <f>=ROUNDDOWN({0},0)</f>
      </c>
      <c r="AK427" s="5"/>
      <c r="AL427" s="2" t="s">
        <v>233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233</v>
      </c>
      <c r="BD427" s="8" t="s">
        <v>233</v>
      </c>
      <c r="BE427" s="4" t="s">
        <v>233</v>
      </c>
      <c r="BF427" s="8" t="s">
        <v>233</v>
      </c>
      <c r="BG427" s="7" t="s">
        <v>233</v>
      </c>
      <c r="BH427" s="7" t="s">
        <v>233</v>
      </c>
      <c r="BI427" s="7"/>
      <c r="BJ427" s="4"/>
      <c r="BK427" s="8"/>
      <c r="BL427" s="2" t="s">
        <v>233</v>
      </c>
      <c r="BM427" s="7"/>
      <c r="BN427" s="7"/>
      <c r="BO427" s="4"/>
      <c r="BP427" s="8"/>
      <c r="BQ427" s="4"/>
      <c r="BR427" s="8"/>
      <c r="BS427" s="7"/>
      <c r="BT427" s="7"/>
      <c r="BU427" s="2" t="s">
        <v>2645</v>
      </c>
      <c r="BV427" s="2" t="s">
        <v>233</v>
      </c>
      <c r="BW427" s="2" t="s">
        <v>233</v>
      </c>
      <c r="BX427" s="2" t="s">
        <v>243</v>
      </c>
      <c r="BY427" s="2" t="s">
        <v>280</v>
      </c>
      <c r="BZ427" s="2" t="s">
        <v>245</v>
      </c>
      <c r="CA427" s="2" t="s">
        <v>1580</v>
      </c>
      <c r="CB427" s="2" t="s">
        <v>233</v>
      </c>
      <c r="CC427" s="2" t="s">
        <v>246</v>
      </c>
      <c r="CD427" s="2" t="s">
        <v>233</v>
      </c>
      <c r="CE427" s="4"/>
      <c r="CF427" s="4">
        <v>120</v>
      </c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</row>
    <row r="428">
      <c r="A428" s="2" t="s">
        <v>2646</v>
      </c>
      <c r="B428" s="2" t="s">
        <v>1066</v>
      </c>
      <c r="C428" s="2" t="s">
        <v>901</v>
      </c>
      <c r="D428" s="2" t="s">
        <v>1111</v>
      </c>
      <c r="E428" s="2" t="s">
        <v>1112</v>
      </c>
      <c r="F428" s="2" t="s">
        <v>2643</v>
      </c>
      <c r="G428" s="2" t="s">
        <v>2643</v>
      </c>
      <c r="H428" s="2" t="s">
        <v>2643</v>
      </c>
      <c r="I428" s="2" t="s">
        <v>2644</v>
      </c>
      <c r="J428" s="2" t="s">
        <v>892</v>
      </c>
      <c r="K428" s="2" t="s">
        <v>1191</v>
      </c>
      <c r="L428" s="3">
        <v>213.75</v>
      </c>
      <c r="M428" s="3">
        <v>224.44</v>
      </c>
      <c r="N428" s="3">
        <v>449</v>
      </c>
      <c r="O428" s="2" t="s">
        <v>245</v>
      </c>
      <c r="P428" s="2" t="s">
        <v>238</v>
      </c>
      <c r="Q428" s="2" t="s">
        <v>239</v>
      </c>
      <c r="R428" s="2" t="s">
        <v>233</v>
      </c>
      <c r="S428" s="2" t="s">
        <v>233</v>
      </c>
      <c r="T428" s="2" t="s">
        <v>233</v>
      </c>
      <c r="U428" s="2" t="s">
        <v>396</v>
      </c>
      <c r="V428" s="2" t="s">
        <v>893</v>
      </c>
      <c r="W428" s="2" t="s">
        <v>451</v>
      </c>
      <c r="X428" s="2" t="s">
        <v>275</v>
      </c>
      <c r="Y428" s="2" t="s">
        <v>1838</v>
      </c>
      <c r="Z428" s="4">
        <v>119</v>
      </c>
      <c r="AA428" s="4">
        <f>=ROUNDDOWN(198.333333333333,0)</f>
      </c>
      <c r="AB428" s="5">
        <v>0.6</v>
      </c>
      <c r="AC428" s="2" t="s">
        <v>233</v>
      </c>
      <c r="AD428" s="4"/>
      <c r="AE428" s="4"/>
      <c r="AF428" s="6">
        <v>74</v>
      </c>
      <c r="AG428" s="6"/>
      <c r="AH428" s="7">
        <v>0.5789</v>
      </c>
      <c r="AI428" s="4"/>
      <c r="AJ428" s="4">
        <f>=ROUNDDOWN({0},0)</f>
      </c>
      <c r="AK428" s="5"/>
      <c r="AL428" s="2" t="s">
        <v>233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233</v>
      </c>
      <c r="BD428" s="8" t="s">
        <v>233</v>
      </c>
      <c r="BE428" s="4" t="s">
        <v>233</v>
      </c>
      <c r="BF428" s="8" t="s">
        <v>233</v>
      </c>
      <c r="BG428" s="7" t="s">
        <v>233</v>
      </c>
      <c r="BH428" s="7" t="s">
        <v>233</v>
      </c>
      <c r="BI428" s="7"/>
      <c r="BJ428" s="4"/>
      <c r="BK428" s="8"/>
      <c r="BL428" s="2" t="s">
        <v>233</v>
      </c>
      <c r="BM428" s="7"/>
      <c r="BN428" s="7"/>
      <c r="BO428" s="4"/>
      <c r="BP428" s="8"/>
      <c r="BQ428" s="4"/>
      <c r="BR428" s="8"/>
      <c r="BS428" s="7"/>
      <c r="BT428" s="7"/>
      <c r="BU428" s="2" t="s">
        <v>2647</v>
      </c>
      <c r="BV428" s="2" t="s">
        <v>233</v>
      </c>
      <c r="BW428" s="2" t="s">
        <v>233</v>
      </c>
      <c r="BX428" s="2" t="s">
        <v>243</v>
      </c>
      <c r="BY428" s="2" t="s">
        <v>280</v>
      </c>
      <c r="BZ428" s="2" t="s">
        <v>245</v>
      </c>
      <c r="CA428" s="2" t="s">
        <v>1580</v>
      </c>
      <c r="CB428" s="2" t="s">
        <v>233</v>
      </c>
      <c r="CC428" s="2" t="s">
        <v>246</v>
      </c>
      <c r="CD428" s="2" t="s">
        <v>233</v>
      </c>
      <c r="CE428" s="4"/>
      <c r="CF428" s="4">
        <v>119</v>
      </c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</row>
    <row r="429">
      <c r="A429" s="2" t="s">
        <v>2648</v>
      </c>
      <c r="B429" s="2" t="s">
        <v>1066</v>
      </c>
      <c r="C429" s="2" t="s">
        <v>901</v>
      </c>
      <c r="D429" s="2" t="s">
        <v>1067</v>
      </c>
      <c r="E429" s="2" t="s">
        <v>1068</v>
      </c>
      <c r="F429" s="2" t="s">
        <v>2649</v>
      </c>
      <c r="G429" s="2" t="s">
        <v>2649</v>
      </c>
      <c r="H429" s="2" t="s">
        <v>2649</v>
      </c>
      <c r="I429" s="2" t="s">
        <v>2650</v>
      </c>
      <c r="J429" s="2" t="s">
        <v>892</v>
      </c>
      <c r="K429" s="2" t="s">
        <v>984</v>
      </c>
      <c r="L429" s="3">
        <v>225</v>
      </c>
      <c r="M429" s="3">
        <v>236.25</v>
      </c>
      <c r="N429" s="3">
        <v>479</v>
      </c>
      <c r="O429" s="2" t="s">
        <v>245</v>
      </c>
      <c r="P429" s="2" t="s">
        <v>393</v>
      </c>
      <c r="Q429" s="2" t="s">
        <v>239</v>
      </c>
      <c r="R429" s="2" t="s">
        <v>233</v>
      </c>
      <c r="S429" s="2" t="s">
        <v>2651</v>
      </c>
      <c r="T429" s="2" t="s">
        <v>233</v>
      </c>
      <c r="U429" s="2" t="s">
        <v>233</v>
      </c>
      <c r="V429" s="2" t="s">
        <v>241</v>
      </c>
      <c r="W429" s="2" t="s">
        <v>2652</v>
      </c>
      <c r="X429" s="2" t="s">
        <v>233</v>
      </c>
      <c r="Y429" s="2" t="s">
        <v>2653</v>
      </c>
      <c r="Z429" s="4">
        <v>155</v>
      </c>
      <c r="AA429" s="4">
        <f>=ROUNDDOWN(51.6666666666667,0)</f>
      </c>
      <c r="AB429" s="5">
        <v>3</v>
      </c>
      <c r="AC429" s="2" t="s">
        <v>233</v>
      </c>
      <c r="AD429" s="4"/>
      <c r="AE429" s="4"/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233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233</v>
      </c>
      <c r="BD429" s="8" t="s">
        <v>233</v>
      </c>
      <c r="BE429" s="4" t="s">
        <v>233</v>
      </c>
      <c r="BF429" s="8" t="s">
        <v>233</v>
      </c>
      <c r="BG429" s="7" t="s">
        <v>233</v>
      </c>
      <c r="BH429" s="7" t="s">
        <v>233</v>
      </c>
      <c r="BI429" s="7"/>
      <c r="BJ429" s="4">
        <v>10</v>
      </c>
      <c r="BK429" s="8">
        <v>2228.1</v>
      </c>
      <c r="BL429" s="2" t="s">
        <v>2654</v>
      </c>
      <c r="BM429" s="7"/>
      <c r="BN429" s="7"/>
      <c r="BO429" s="4"/>
      <c r="BP429" s="8"/>
      <c r="BQ429" s="4"/>
      <c r="BR429" s="8"/>
      <c r="BS429" s="7"/>
      <c r="BT429" s="7"/>
      <c r="BU429" s="2" t="s">
        <v>2655</v>
      </c>
      <c r="BV429" s="2" t="s">
        <v>233</v>
      </c>
      <c r="BW429" s="2" t="s">
        <v>233</v>
      </c>
      <c r="BX429" s="2" t="s">
        <v>233</v>
      </c>
      <c r="BY429" s="2" t="s">
        <v>280</v>
      </c>
      <c r="BZ429" s="2" t="s">
        <v>245</v>
      </c>
      <c r="CA429" s="2" t="s">
        <v>2656</v>
      </c>
      <c r="CB429" s="2" t="s">
        <v>2657</v>
      </c>
      <c r="CC429" s="2" t="s">
        <v>246</v>
      </c>
      <c r="CD429" s="2" t="s">
        <v>233</v>
      </c>
      <c r="CE429" s="4"/>
      <c r="CF429" s="4">
        <v>116</v>
      </c>
      <c r="CG429" s="4"/>
      <c r="CH429" s="4"/>
      <c r="CI429" s="4">
        <v>39</v>
      </c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</row>
    <row r="430">
      <c r="A430" s="2" t="s">
        <v>2658</v>
      </c>
      <c r="B430" s="2" t="s">
        <v>1066</v>
      </c>
      <c r="C430" s="2" t="s">
        <v>901</v>
      </c>
      <c r="D430" s="2" t="s">
        <v>1067</v>
      </c>
      <c r="E430" s="2" t="s">
        <v>1068</v>
      </c>
      <c r="F430" s="2" t="s">
        <v>2649</v>
      </c>
      <c r="G430" s="2" t="s">
        <v>2649</v>
      </c>
      <c r="H430" s="2" t="s">
        <v>233</v>
      </c>
      <c r="I430" s="2" t="s">
        <v>2650</v>
      </c>
      <c r="J430" s="2" t="s">
        <v>892</v>
      </c>
      <c r="K430" s="2" t="s">
        <v>2659</v>
      </c>
      <c r="L430" s="3">
        <v>225</v>
      </c>
      <c r="M430" s="3">
        <v>236.25</v>
      </c>
      <c r="N430" s="3">
        <v>479</v>
      </c>
      <c r="O430" s="2" t="s">
        <v>245</v>
      </c>
      <c r="P430" s="2" t="s">
        <v>393</v>
      </c>
      <c r="Q430" s="2" t="s">
        <v>239</v>
      </c>
      <c r="R430" s="2" t="s">
        <v>233</v>
      </c>
      <c r="S430" s="2" t="s">
        <v>2660</v>
      </c>
      <c r="T430" s="2" t="s">
        <v>233</v>
      </c>
      <c r="U430" s="2" t="s">
        <v>233</v>
      </c>
      <c r="V430" s="2" t="s">
        <v>241</v>
      </c>
      <c r="W430" s="2" t="s">
        <v>894</v>
      </c>
      <c r="X430" s="2" t="s">
        <v>233</v>
      </c>
      <c r="Y430" s="2" t="s">
        <v>276</v>
      </c>
      <c r="Z430" s="4">
        <v>42</v>
      </c>
      <c r="AA430" s="4">
        <f>=ROUNDDOWN(14,0)</f>
      </c>
      <c r="AB430" s="5">
        <v>3</v>
      </c>
      <c r="AC430" s="2" t="s">
        <v>1701</v>
      </c>
      <c r="AD430" s="4">
        <v>41</v>
      </c>
      <c r="AE430" s="4">
        <v>100</v>
      </c>
      <c r="AF430" s="6">
        <v>65</v>
      </c>
      <c r="AG430" s="6">
        <v>48</v>
      </c>
      <c r="AH430" s="7">
        <v>1</v>
      </c>
      <c r="AI430" s="4"/>
      <c r="AJ430" s="4">
        <f>=ROUNDDOWN({0},0)</f>
      </c>
      <c r="AK430" s="5"/>
      <c r="AL430" s="2" t="s">
        <v>233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233</v>
      </c>
      <c r="BD430" s="8" t="s">
        <v>233</v>
      </c>
      <c r="BE430" s="4" t="s">
        <v>233</v>
      </c>
      <c r="BF430" s="8" t="s">
        <v>233</v>
      </c>
      <c r="BG430" s="7" t="s">
        <v>233</v>
      </c>
      <c r="BH430" s="7" t="s">
        <v>233</v>
      </c>
      <c r="BI430" s="7"/>
      <c r="BJ430" s="4">
        <v>9</v>
      </c>
      <c r="BK430" s="8">
        <v>1940.09</v>
      </c>
      <c r="BL430" s="2" t="s">
        <v>2661</v>
      </c>
      <c r="BM430" s="7"/>
      <c r="BN430" s="7"/>
      <c r="BO430" s="4"/>
      <c r="BP430" s="8"/>
      <c r="BQ430" s="4"/>
      <c r="BR430" s="8"/>
      <c r="BS430" s="7"/>
      <c r="BT430" s="7"/>
      <c r="BU430" s="2" t="s">
        <v>2662</v>
      </c>
      <c r="BV430" s="2" t="s">
        <v>233</v>
      </c>
      <c r="BW430" s="2" t="s">
        <v>233</v>
      </c>
      <c r="BX430" s="2" t="s">
        <v>233</v>
      </c>
      <c r="BY430" s="2" t="s">
        <v>280</v>
      </c>
      <c r="BZ430" s="2" t="s">
        <v>245</v>
      </c>
      <c r="CA430" s="2" t="s">
        <v>2663</v>
      </c>
      <c r="CB430" s="2" t="s">
        <v>2664</v>
      </c>
      <c r="CC430" s="2" t="s">
        <v>246</v>
      </c>
      <c r="CD430" s="2" t="s">
        <v>233</v>
      </c>
      <c r="CE430" s="4"/>
      <c r="CF430" s="4">
        <v>42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>
        <v>41</v>
      </c>
      <c r="DW430" s="4"/>
      <c r="DX430" s="4"/>
      <c r="DY430" s="4"/>
      <c r="DZ430" s="4"/>
      <c r="EA430" s="4"/>
      <c r="EB430" s="4"/>
      <c r="EC430" s="4"/>
      <c r="ED430" s="4"/>
      <c r="EE430" s="4">
        <v>59</v>
      </c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</row>
    <row r="431">
      <c r="A431" s="2" t="s">
        <v>2665</v>
      </c>
      <c r="B431" s="2" t="s">
        <v>886</v>
      </c>
      <c r="C431" s="2" t="s">
        <v>1130</v>
      </c>
      <c r="D431" s="2" t="s">
        <v>1167</v>
      </c>
      <c r="E431" s="2" t="s">
        <v>1168</v>
      </c>
      <c r="F431" s="2" t="s">
        <v>2666</v>
      </c>
      <c r="G431" s="2" t="s">
        <v>2666</v>
      </c>
      <c r="H431" s="2" t="s">
        <v>2666</v>
      </c>
      <c r="I431" s="2" t="s">
        <v>2667</v>
      </c>
      <c r="J431" s="2" t="s">
        <v>892</v>
      </c>
      <c r="K431" s="2" t="s">
        <v>271</v>
      </c>
      <c r="L431" s="3">
        <v>54.94</v>
      </c>
      <c r="M431" s="3">
        <v>57.69</v>
      </c>
      <c r="N431" s="3">
        <v>119.99</v>
      </c>
      <c r="O431" s="2" t="s">
        <v>245</v>
      </c>
      <c r="P431" s="2" t="s">
        <v>763</v>
      </c>
      <c r="Q431" s="2" t="s">
        <v>239</v>
      </c>
      <c r="R431" s="2" t="s">
        <v>233</v>
      </c>
      <c r="S431" s="2" t="s">
        <v>233</v>
      </c>
      <c r="T431" s="2" t="s">
        <v>233</v>
      </c>
      <c r="U431" s="2" t="s">
        <v>233</v>
      </c>
      <c r="V431" s="2" t="s">
        <v>241</v>
      </c>
      <c r="W431" s="2" t="s">
        <v>233</v>
      </c>
      <c r="X431" s="2" t="s">
        <v>233</v>
      </c>
      <c r="Y431" s="2" t="s">
        <v>2668</v>
      </c>
      <c r="Z431" s="4">
        <v>212</v>
      </c>
      <c r="AA431" s="4">
        <f>=ROUNDDOWN(42.4,0)</f>
      </c>
      <c r="AB431" s="5">
        <v>5</v>
      </c>
      <c r="AC431" s="2" t="s">
        <v>233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233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>
        <v>20</v>
      </c>
      <c r="BK431" s="8">
        <v>1228.43</v>
      </c>
      <c r="BL431" s="2" t="s">
        <v>2669</v>
      </c>
      <c r="BM431" s="7"/>
      <c r="BN431" s="7"/>
      <c r="BO431" s="4"/>
      <c r="BP431" s="8"/>
      <c r="BQ431" s="4"/>
      <c r="BR431" s="8"/>
      <c r="BS431" s="7"/>
      <c r="BT431" s="7"/>
      <c r="BU431" s="2" t="s">
        <v>2670</v>
      </c>
      <c r="BV431" s="2" t="s">
        <v>233</v>
      </c>
      <c r="BW431" s="2" t="s">
        <v>233</v>
      </c>
      <c r="BX431" s="2" t="s">
        <v>233</v>
      </c>
      <c r="BY431" s="2" t="s">
        <v>280</v>
      </c>
      <c r="BZ431" s="2" t="s">
        <v>245</v>
      </c>
      <c r="CA431" s="2" t="s">
        <v>1332</v>
      </c>
      <c r="CB431" s="2" t="s">
        <v>2671</v>
      </c>
      <c r="CC431" s="2" t="s">
        <v>246</v>
      </c>
      <c r="CD431" s="2" t="s">
        <v>233</v>
      </c>
      <c r="CE431" s="4"/>
      <c r="CF431" s="4">
        <v>212</v>
      </c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</row>
    <row r="432">
      <c r="A432" s="2" t="s">
        <v>2672</v>
      </c>
      <c r="B432" s="2" t="s">
        <v>1242</v>
      </c>
      <c r="C432" s="2" t="s">
        <v>2145</v>
      </c>
      <c r="D432" s="2" t="s">
        <v>969</v>
      </c>
      <c r="E432" s="2" t="s">
        <v>970</v>
      </c>
      <c r="F432" s="2" t="s">
        <v>2673</v>
      </c>
      <c r="G432" s="2" t="s">
        <v>2674</v>
      </c>
      <c r="H432" s="2" t="s">
        <v>2675</v>
      </c>
      <c r="I432" s="2" t="s">
        <v>2676</v>
      </c>
      <c r="J432" s="2" t="s">
        <v>918</v>
      </c>
      <c r="K432" s="2" t="s">
        <v>2677</v>
      </c>
      <c r="L432" s="3">
        <v>23.8</v>
      </c>
      <c r="M432" s="3">
        <v>24.99</v>
      </c>
      <c r="N432" s="3">
        <v>49.99</v>
      </c>
      <c r="O432" s="2" t="s">
        <v>245</v>
      </c>
      <c r="P432" s="2" t="s">
        <v>974</v>
      </c>
      <c r="Q432" s="2" t="s">
        <v>239</v>
      </c>
      <c r="R432" s="2" t="s">
        <v>233</v>
      </c>
      <c r="S432" s="2" t="s">
        <v>2678</v>
      </c>
      <c r="T432" s="2" t="s">
        <v>395</v>
      </c>
      <c r="U432" s="2" t="s">
        <v>491</v>
      </c>
      <c r="V432" s="2" t="s">
        <v>359</v>
      </c>
      <c r="W432" s="2" t="s">
        <v>397</v>
      </c>
      <c r="X432" s="2" t="s">
        <v>275</v>
      </c>
      <c r="Y432" s="2" t="s">
        <v>233</v>
      </c>
      <c r="Z432" s="4"/>
      <c r="AA432" s="4">
        <f>=ROUNDDOWN({0},0)</f>
      </c>
      <c r="AB432" s="5"/>
      <c r="AC432" s="2" t="s">
        <v>2679</v>
      </c>
      <c r="AD432" s="4">
        <v>134</v>
      </c>
      <c r="AE432" s="4">
        <v>172</v>
      </c>
      <c r="AF432" s="6"/>
      <c r="AG432" s="6"/>
      <c r="AH432" s="7">
        <v>0</v>
      </c>
      <c r="AI432" s="4"/>
      <c r="AJ432" s="4">
        <f>=ROUNDDOWN({0},0)</f>
      </c>
      <c r="AK432" s="5"/>
      <c r="AL432" s="2" t="s">
        <v>233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233</v>
      </c>
      <c r="AW432" s="8" t="s">
        <v>233</v>
      </c>
      <c r="AX432" s="4" t="s">
        <v>233</v>
      </c>
      <c r="AY432" s="8" t="s">
        <v>233</v>
      </c>
      <c r="AZ432" s="7" t="s">
        <v>233</v>
      </c>
      <c r="BA432" s="7" t="s">
        <v>233</v>
      </c>
      <c r="BB432" s="7"/>
      <c r="BC432" s="4" t="s">
        <v>233</v>
      </c>
      <c r="BD432" s="8" t="s">
        <v>233</v>
      </c>
      <c r="BE432" s="4" t="s">
        <v>233</v>
      </c>
      <c r="BF432" s="8" t="s">
        <v>233</v>
      </c>
      <c r="BG432" s="7" t="s">
        <v>233</v>
      </c>
      <c r="BH432" s="7" t="s">
        <v>233</v>
      </c>
      <c r="BI432" s="7"/>
      <c r="BJ432" s="4"/>
      <c r="BK432" s="8"/>
      <c r="BL432" s="2" t="s">
        <v>233</v>
      </c>
      <c r="BM432" s="7"/>
      <c r="BN432" s="7"/>
      <c r="BO432" s="4"/>
      <c r="BP432" s="8"/>
      <c r="BQ432" s="4"/>
      <c r="BR432" s="8"/>
      <c r="BS432" s="7"/>
      <c r="BT432" s="7"/>
      <c r="BU432" s="2" t="s">
        <v>243</v>
      </c>
      <c r="BV432" s="2" t="s">
        <v>233</v>
      </c>
      <c r="BW432" s="2" t="s">
        <v>233</v>
      </c>
      <c r="BX432" s="2" t="s">
        <v>243</v>
      </c>
      <c r="BY432" s="2" t="s">
        <v>244</v>
      </c>
      <c r="BZ432" s="2" t="s">
        <v>245</v>
      </c>
      <c r="CA432" s="2" t="s">
        <v>233</v>
      </c>
      <c r="CB432" s="2" t="s">
        <v>233</v>
      </c>
      <c r="CC432" s="2" t="s">
        <v>246</v>
      </c>
      <c r="CD432" s="2" t="s">
        <v>233</v>
      </c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>
        <v>134</v>
      </c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>
        <v>38</v>
      </c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</row>
    <row r="433">
      <c r="A433" s="2" t="s">
        <v>2680</v>
      </c>
      <c r="B433" s="2" t="s">
        <v>1242</v>
      </c>
      <c r="C433" s="2" t="s">
        <v>2145</v>
      </c>
      <c r="D433" s="2" t="s">
        <v>969</v>
      </c>
      <c r="E433" s="2" t="s">
        <v>970</v>
      </c>
      <c r="F433" s="2" t="s">
        <v>2673</v>
      </c>
      <c r="G433" s="2" t="s">
        <v>2674</v>
      </c>
      <c r="H433" s="2" t="s">
        <v>2675</v>
      </c>
      <c r="I433" s="2" t="s">
        <v>2676</v>
      </c>
      <c r="J433" s="2" t="s">
        <v>981</v>
      </c>
      <c r="K433" s="2" t="s">
        <v>2677</v>
      </c>
      <c r="L433" s="3">
        <v>30.95</v>
      </c>
      <c r="M433" s="3">
        <v>32.5</v>
      </c>
      <c r="N433" s="3">
        <v>64.99</v>
      </c>
      <c r="O433" s="2" t="s">
        <v>245</v>
      </c>
      <c r="P433" s="2" t="s">
        <v>974</v>
      </c>
      <c r="Q433" s="2" t="s">
        <v>239</v>
      </c>
      <c r="R433" s="2" t="s">
        <v>233</v>
      </c>
      <c r="S433" s="2" t="s">
        <v>2678</v>
      </c>
      <c r="T433" s="2" t="s">
        <v>395</v>
      </c>
      <c r="U433" s="2" t="s">
        <v>475</v>
      </c>
      <c r="V433" s="2" t="s">
        <v>359</v>
      </c>
      <c r="W433" s="2" t="s">
        <v>397</v>
      </c>
      <c r="X433" s="2" t="s">
        <v>275</v>
      </c>
      <c r="Y433" s="2" t="s">
        <v>233</v>
      </c>
      <c r="Z433" s="4"/>
      <c r="AA433" s="4">
        <f>=ROUNDDOWN({0},0)</f>
      </c>
      <c r="AB433" s="5"/>
      <c r="AC433" s="2" t="s">
        <v>2679</v>
      </c>
      <c r="AD433" s="4">
        <v>666</v>
      </c>
      <c r="AE433" s="4">
        <v>870</v>
      </c>
      <c r="AF433" s="6"/>
      <c r="AG433" s="6"/>
      <c r="AH433" s="7">
        <v>0</v>
      </c>
      <c r="AI433" s="4"/>
      <c r="AJ433" s="4">
        <f>=ROUNDDOWN({0},0)</f>
      </c>
      <c r="AK433" s="5"/>
      <c r="AL433" s="2" t="s">
        <v>233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233</v>
      </c>
      <c r="AW433" s="8" t="s">
        <v>233</v>
      </c>
      <c r="AX433" s="4" t="s">
        <v>233</v>
      </c>
      <c r="AY433" s="8" t="s">
        <v>233</v>
      </c>
      <c r="AZ433" s="7" t="s">
        <v>233</v>
      </c>
      <c r="BA433" s="7" t="s">
        <v>233</v>
      </c>
      <c r="BB433" s="7"/>
      <c r="BC433" s="4" t="s">
        <v>233</v>
      </c>
      <c r="BD433" s="8" t="s">
        <v>233</v>
      </c>
      <c r="BE433" s="4" t="s">
        <v>233</v>
      </c>
      <c r="BF433" s="8" t="s">
        <v>233</v>
      </c>
      <c r="BG433" s="7" t="s">
        <v>233</v>
      </c>
      <c r="BH433" s="7" t="s">
        <v>233</v>
      </c>
      <c r="BI433" s="7"/>
      <c r="BJ433" s="4"/>
      <c r="BK433" s="8"/>
      <c r="BL433" s="2" t="s">
        <v>233</v>
      </c>
      <c r="BM433" s="7"/>
      <c r="BN433" s="7"/>
      <c r="BO433" s="4"/>
      <c r="BP433" s="8"/>
      <c r="BQ433" s="4"/>
      <c r="BR433" s="8"/>
      <c r="BS433" s="7"/>
      <c r="BT433" s="7"/>
      <c r="BU433" s="2" t="s">
        <v>243</v>
      </c>
      <c r="BV433" s="2" t="s">
        <v>233</v>
      </c>
      <c r="BW433" s="2" t="s">
        <v>233</v>
      </c>
      <c r="BX433" s="2" t="s">
        <v>243</v>
      </c>
      <c r="BY433" s="2" t="s">
        <v>244</v>
      </c>
      <c r="BZ433" s="2" t="s">
        <v>245</v>
      </c>
      <c r="CA433" s="2" t="s">
        <v>233</v>
      </c>
      <c r="CB433" s="2" t="s">
        <v>233</v>
      </c>
      <c r="CC433" s="2" t="s">
        <v>246</v>
      </c>
      <c r="CD433" s="2" t="s">
        <v>233</v>
      </c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>
        <v>666</v>
      </c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>
        <v>204</v>
      </c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</row>
    <row r="434">
      <c r="A434" s="2" t="s">
        <v>2681</v>
      </c>
      <c r="B434" s="2" t="s">
        <v>1242</v>
      </c>
      <c r="C434" s="2" t="s">
        <v>2145</v>
      </c>
      <c r="D434" s="2" t="s">
        <v>969</v>
      </c>
      <c r="E434" s="2" t="s">
        <v>970</v>
      </c>
      <c r="F434" s="2" t="s">
        <v>2673</v>
      </c>
      <c r="G434" s="2" t="s">
        <v>2674</v>
      </c>
      <c r="H434" s="2" t="s">
        <v>2675</v>
      </c>
      <c r="I434" s="2" t="s">
        <v>2676</v>
      </c>
      <c r="J434" s="2" t="s">
        <v>1142</v>
      </c>
      <c r="K434" s="2" t="s">
        <v>2677</v>
      </c>
      <c r="L434" s="3">
        <v>33.33</v>
      </c>
      <c r="M434" s="3">
        <v>35</v>
      </c>
      <c r="N434" s="3">
        <v>69.99</v>
      </c>
      <c r="O434" s="2" t="s">
        <v>245</v>
      </c>
      <c r="P434" s="2" t="s">
        <v>974</v>
      </c>
      <c r="Q434" s="2" t="s">
        <v>239</v>
      </c>
      <c r="R434" s="2" t="s">
        <v>233</v>
      </c>
      <c r="S434" s="2" t="s">
        <v>2678</v>
      </c>
      <c r="T434" s="2" t="s">
        <v>395</v>
      </c>
      <c r="U434" s="2" t="s">
        <v>475</v>
      </c>
      <c r="V434" s="2" t="s">
        <v>359</v>
      </c>
      <c r="W434" s="2" t="s">
        <v>397</v>
      </c>
      <c r="X434" s="2" t="s">
        <v>275</v>
      </c>
      <c r="Y434" s="2" t="s">
        <v>233</v>
      </c>
      <c r="Z434" s="4"/>
      <c r="AA434" s="4">
        <f>=ROUNDDOWN({0},0)</f>
      </c>
      <c r="AB434" s="5"/>
      <c r="AC434" s="2" t="s">
        <v>2679</v>
      </c>
      <c r="AD434" s="4">
        <v>516</v>
      </c>
      <c r="AE434" s="4">
        <v>676</v>
      </c>
      <c r="AF434" s="6"/>
      <c r="AG434" s="6"/>
      <c r="AH434" s="7">
        <v>0</v>
      </c>
      <c r="AI434" s="4"/>
      <c r="AJ434" s="4">
        <f>=ROUNDDOWN({0},0)</f>
      </c>
      <c r="AK434" s="5"/>
      <c r="AL434" s="2" t="s">
        <v>233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233</v>
      </c>
      <c r="AW434" s="8" t="s">
        <v>233</v>
      </c>
      <c r="AX434" s="4" t="s">
        <v>233</v>
      </c>
      <c r="AY434" s="8" t="s">
        <v>233</v>
      </c>
      <c r="AZ434" s="7" t="s">
        <v>233</v>
      </c>
      <c r="BA434" s="7" t="s">
        <v>233</v>
      </c>
      <c r="BB434" s="7"/>
      <c r="BC434" s="4" t="s">
        <v>233</v>
      </c>
      <c r="BD434" s="8" t="s">
        <v>233</v>
      </c>
      <c r="BE434" s="4" t="s">
        <v>233</v>
      </c>
      <c r="BF434" s="8" t="s">
        <v>233</v>
      </c>
      <c r="BG434" s="7" t="s">
        <v>233</v>
      </c>
      <c r="BH434" s="7" t="s">
        <v>233</v>
      </c>
      <c r="BI434" s="7"/>
      <c r="BJ434" s="4"/>
      <c r="BK434" s="8"/>
      <c r="BL434" s="2" t="s">
        <v>233</v>
      </c>
      <c r="BM434" s="7"/>
      <c r="BN434" s="7"/>
      <c r="BO434" s="4"/>
      <c r="BP434" s="8"/>
      <c r="BQ434" s="4"/>
      <c r="BR434" s="8"/>
      <c r="BS434" s="7"/>
      <c r="BT434" s="7"/>
      <c r="BU434" s="2" t="s">
        <v>243</v>
      </c>
      <c r="BV434" s="2" t="s">
        <v>233</v>
      </c>
      <c r="BW434" s="2" t="s">
        <v>233</v>
      </c>
      <c r="BX434" s="2" t="s">
        <v>243</v>
      </c>
      <c r="BY434" s="2" t="s">
        <v>244</v>
      </c>
      <c r="BZ434" s="2" t="s">
        <v>245</v>
      </c>
      <c r="CA434" s="2" t="s">
        <v>233</v>
      </c>
      <c r="CB434" s="2" t="s">
        <v>233</v>
      </c>
      <c r="CC434" s="2" t="s">
        <v>246</v>
      </c>
      <c r="CD434" s="2" t="s">
        <v>233</v>
      </c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>
        <v>516</v>
      </c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>
        <v>160</v>
      </c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</row>
    <row r="435">
      <c r="A435" s="2" t="s">
        <v>2682</v>
      </c>
      <c r="B435" s="2" t="s">
        <v>1242</v>
      </c>
      <c r="C435" s="2" t="s">
        <v>2145</v>
      </c>
      <c r="D435" s="2" t="s">
        <v>969</v>
      </c>
      <c r="E435" s="2" t="s">
        <v>970</v>
      </c>
      <c r="F435" s="2" t="s">
        <v>2673</v>
      </c>
      <c r="G435" s="2" t="s">
        <v>2674</v>
      </c>
      <c r="H435" s="2" t="s">
        <v>2675</v>
      </c>
      <c r="I435" s="2" t="s">
        <v>2676</v>
      </c>
      <c r="J435" s="2" t="s">
        <v>918</v>
      </c>
      <c r="K435" s="2" t="s">
        <v>449</v>
      </c>
      <c r="L435" s="3">
        <v>23.8</v>
      </c>
      <c r="M435" s="3">
        <v>24.99</v>
      </c>
      <c r="N435" s="3">
        <v>49.99</v>
      </c>
      <c r="O435" s="2" t="s">
        <v>245</v>
      </c>
      <c r="P435" s="2" t="s">
        <v>974</v>
      </c>
      <c r="Q435" s="2" t="s">
        <v>239</v>
      </c>
      <c r="R435" s="2" t="s">
        <v>233</v>
      </c>
      <c r="S435" s="2" t="s">
        <v>2683</v>
      </c>
      <c r="T435" s="2" t="s">
        <v>395</v>
      </c>
      <c r="U435" s="2" t="s">
        <v>491</v>
      </c>
      <c r="V435" s="2" t="s">
        <v>359</v>
      </c>
      <c r="W435" s="2" t="s">
        <v>397</v>
      </c>
      <c r="X435" s="2" t="s">
        <v>275</v>
      </c>
      <c r="Y435" s="2" t="s">
        <v>233</v>
      </c>
      <c r="Z435" s="4"/>
      <c r="AA435" s="4">
        <f>=ROUNDDOWN({0},0)</f>
      </c>
      <c r="AB435" s="5"/>
      <c r="AC435" s="2" t="s">
        <v>2679</v>
      </c>
      <c r="AD435" s="4">
        <v>272</v>
      </c>
      <c r="AE435" s="4">
        <v>338</v>
      </c>
      <c r="AF435" s="6"/>
      <c r="AG435" s="6"/>
      <c r="AH435" s="7">
        <v>0</v>
      </c>
      <c r="AI435" s="4"/>
      <c r="AJ435" s="4">
        <f>=ROUNDDOWN({0},0)</f>
      </c>
      <c r="AK435" s="5"/>
      <c r="AL435" s="2" t="s">
        <v>233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233</v>
      </c>
      <c r="AW435" s="8" t="s">
        <v>233</v>
      </c>
      <c r="AX435" s="4" t="s">
        <v>233</v>
      </c>
      <c r="AY435" s="8" t="s">
        <v>233</v>
      </c>
      <c r="AZ435" s="7" t="s">
        <v>233</v>
      </c>
      <c r="BA435" s="7" t="s">
        <v>233</v>
      </c>
      <c r="BB435" s="7"/>
      <c r="BC435" s="4" t="s">
        <v>233</v>
      </c>
      <c r="BD435" s="8" t="s">
        <v>233</v>
      </c>
      <c r="BE435" s="4" t="s">
        <v>233</v>
      </c>
      <c r="BF435" s="8" t="s">
        <v>233</v>
      </c>
      <c r="BG435" s="7" t="s">
        <v>233</v>
      </c>
      <c r="BH435" s="7" t="s">
        <v>233</v>
      </c>
      <c r="BI435" s="7"/>
      <c r="BJ435" s="4"/>
      <c r="BK435" s="8"/>
      <c r="BL435" s="2" t="s">
        <v>233</v>
      </c>
      <c r="BM435" s="7"/>
      <c r="BN435" s="7"/>
      <c r="BO435" s="4"/>
      <c r="BP435" s="8"/>
      <c r="BQ435" s="4"/>
      <c r="BR435" s="8"/>
      <c r="BS435" s="7"/>
      <c r="BT435" s="7"/>
      <c r="BU435" s="2" t="s">
        <v>243</v>
      </c>
      <c r="BV435" s="2" t="s">
        <v>233</v>
      </c>
      <c r="BW435" s="2" t="s">
        <v>233</v>
      </c>
      <c r="BX435" s="2" t="s">
        <v>243</v>
      </c>
      <c r="BY435" s="2" t="s">
        <v>244</v>
      </c>
      <c r="BZ435" s="2" t="s">
        <v>245</v>
      </c>
      <c r="CA435" s="2" t="s">
        <v>233</v>
      </c>
      <c r="CB435" s="2" t="s">
        <v>233</v>
      </c>
      <c r="CC435" s="2" t="s">
        <v>246</v>
      </c>
      <c r="CD435" s="2" t="s">
        <v>233</v>
      </c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>
        <v>272</v>
      </c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>
        <v>66</v>
      </c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</row>
    <row r="436">
      <c r="A436" s="2" t="s">
        <v>2684</v>
      </c>
      <c r="B436" s="2" t="s">
        <v>1242</v>
      </c>
      <c r="C436" s="2" t="s">
        <v>2145</v>
      </c>
      <c r="D436" s="2" t="s">
        <v>969</v>
      </c>
      <c r="E436" s="2" t="s">
        <v>970</v>
      </c>
      <c r="F436" s="2" t="s">
        <v>2673</v>
      </c>
      <c r="G436" s="2" t="s">
        <v>2674</v>
      </c>
      <c r="H436" s="2" t="s">
        <v>2675</v>
      </c>
      <c r="I436" s="2" t="s">
        <v>2676</v>
      </c>
      <c r="J436" s="2" t="s">
        <v>981</v>
      </c>
      <c r="K436" s="2" t="s">
        <v>449</v>
      </c>
      <c r="L436" s="3">
        <v>30.95</v>
      </c>
      <c r="M436" s="3">
        <v>32.5</v>
      </c>
      <c r="N436" s="3">
        <v>64.99</v>
      </c>
      <c r="O436" s="2" t="s">
        <v>245</v>
      </c>
      <c r="P436" s="2" t="s">
        <v>974</v>
      </c>
      <c r="Q436" s="2" t="s">
        <v>239</v>
      </c>
      <c r="R436" s="2" t="s">
        <v>233</v>
      </c>
      <c r="S436" s="2" t="s">
        <v>2683</v>
      </c>
      <c r="T436" s="2" t="s">
        <v>395</v>
      </c>
      <c r="U436" s="2" t="s">
        <v>475</v>
      </c>
      <c r="V436" s="2" t="s">
        <v>359</v>
      </c>
      <c r="W436" s="2" t="s">
        <v>397</v>
      </c>
      <c r="X436" s="2" t="s">
        <v>275</v>
      </c>
      <c r="Y436" s="2" t="s">
        <v>233</v>
      </c>
      <c r="Z436" s="4"/>
      <c r="AA436" s="4">
        <f>=ROUNDDOWN({0},0)</f>
      </c>
      <c r="AB436" s="5"/>
      <c r="AC436" s="2" t="s">
        <v>2679</v>
      </c>
      <c r="AD436" s="4">
        <v>1226</v>
      </c>
      <c r="AE436" s="4">
        <v>1544</v>
      </c>
      <c r="AF436" s="6"/>
      <c r="AG436" s="6"/>
      <c r="AH436" s="7">
        <v>0</v>
      </c>
      <c r="AI436" s="4"/>
      <c r="AJ436" s="4">
        <f>=ROUNDDOWN({0},0)</f>
      </c>
      <c r="AK436" s="5"/>
      <c r="AL436" s="2" t="s">
        <v>233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233</v>
      </c>
      <c r="AW436" s="8" t="s">
        <v>233</v>
      </c>
      <c r="AX436" s="4" t="s">
        <v>233</v>
      </c>
      <c r="AY436" s="8" t="s">
        <v>233</v>
      </c>
      <c r="AZ436" s="7" t="s">
        <v>233</v>
      </c>
      <c r="BA436" s="7" t="s">
        <v>233</v>
      </c>
      <c r="BB436" s="7"/>
      <c r="BC436" s="4" t="s">
        <v>233</v>
      </c>
      <c r="BD436" s="8" t="s">
        <v>233</v>
      </c>
      <c r="BE436" s="4" t="s">
        <v>233</v>
      </c>
      <c r="BF436" s="8" t="s">
        <v>233</v>
      </c>
      <c r="BG436" s="7" t="s">
        <v>233</v>
      </c>
      <c r="BH436" s="7" t="s">
        <v>233</v>
      </c>
      <c r="BI436" s="7"/>
      <c r="BJ436" s="4"/>
      <c r="BK436" s="8"/>
      <c r="BL436" s="2" t="s">
        <v>233</v>
      </c>
      <c r="BM436" s="7"/>
      <c r="BN436" s="7"/>
      <c r="BO436" s="4"/>
      <c r="BP436" s="8"/>
      <c r="BQ436" s="4"/>
      <c r="BR436" s="8"/>
      <c r="BS436" s="7"/>
      <c r="BT436" s="7"/>
      <c r="BU436" s="2" t="s">
        <v>243</v>
      </c>
      <c r="BV436" s="2" t="s">
        <v>233</v>
      </c>
      <c r="BW436" s="2" t="s">
        <v>233</v>
      </c>
      <c r="BX436" s="2" t="s">
        <v>243</v>
      </c>
      <c r="BY436" s="2" t="s">
        <v>244</v>
      </c>
      <c r="BZ436" s="2" t="s">
        <v>245</v>
      </c>
      <c r="CA436" s="2" t="s">
        <v>233</v>
      </c>
      <c r="CB436" s="2" t="s">
        <v>233</v>
      </c>
      <c r="CC436" s="2" t="s">
        <v>246</v>
      </c>
      <c r="CD436" s="2" t="s">
        <v>233</v>
      </c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>
        <v>1226</v>
      </c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>
        <v>318</v>
      </c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</row>
    <row r="437">
      <c r="A437" s="2" t="s">
        <v>2685</v>
      </c>
      <c r="B437" s="2" t="s">
        <v>1242</v>
      </c>
      <c r="C437" s="2" t="s">
        <v>2145</v>
      </c>
      <c r="D437" s="2" t="s">
        <v>969</v>
      </c>
      <c r="E437" s="2" t="s">
        <v>970</v>
      </c>
      <c r="F437" s="2" t="s">
        <v>2673</v>
      </c>
      <c r="G437" s="2" t="s">
        <v>2674</v>
      </c>
      <c r="H437" s="2" t="s">
        <v>2675</v>
      </c>
      <c r="I437" s="2" t="s">
        <v>2676</v>
      </c>
      <c r="J437" s="2" t="s">
        <v>1142</v>
      </c>
      <c r="K437" s="2" t="s">
        <v>449</v>
      </c>
      <c r="L437" s="3">
        <v>33.33</v>
      </c>
      <c r="M437" s="3">
        <v>35</v>
      </c>
      <c r="N437" s="3">
        <v>69.99</v>
      </c>
      <c r="O437" s="2" t="s">
        <v>245</v>
      </c>
      <c r="P437" s="2" t="s">
        <v>974</v>
      </c>
      <c r="Q437" s="2" t="s">
        <v>239</v>
      </c>
      <c r="R437" s="2" t="s">
        <v>233</v>
      </c>
      <c r="S437" s="2" t="s">
        <v>2683</v>
      </c>
      <c r="T437" s="2" t="s">
        <v>395</v>
      </c>
      <c r="U437" s="2" t="s">
        <v>475</v>
      </c>
      <c r="V437" s="2" t="s">
        <v>359</v>
      </c>
      <c r="W437" s="2" t="s">
        <v>397</v>
      </c>
      <c r="X437" s="2" t="s">
        <v>275</v>
      </c>
      <c r="Y437" s="2" t="s">
        <v>233</v>
      </c>
      <c r="Z437" s="4"/>
      <c r="AA437" s="4">
        <f>=ROUNDDOWN({0},0)</f>
      </c>
      <c r="AB437" s="5"/>
      <c r="AC437" s="2" t="s">
        <v>2679</v>
      </c>
      <c r="AD437" s="4">
        <v>938</v>
      </c>
      <c r="AE437" s="4">
        <v>1186</v>
      </c>
      <c r="AF437" s="6"/>
      <c r="AG437" s="6"/>
      <c r="AH437" s="7">
        <v>0</v>
      </c>
      <c r="AI437" s="4"/>
      <c r="AJ437" s="4">
        <f>=ROUNDDOWN({0},0)</f>
      </c>
      <c r="AK437" s="5"/>
      <c r="AL437" s="2" t="s">
        <v>233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233</v>
      </c>
      <c r="AW437" s="8" t="s">
        <v>233</v>
      </c>
      <c r="AX437" s="4" t="s">
        <v>233</v>
      </c>
      <c r="AY437" s="8" t="s">
        <v>233</v>
      </c>
      <c r="AZ437" s="7" t="s">
        <v>233</v>
      </c>
      <c r="BA437" s="7" t="s">
        <v>233</v>
      </c>
      <c r="BB437" s="7"/>
      <c r="BC437" s="4" t="s">
        <v>233</v>
      </c>
      <c r="BD437" s="8" t="s">
        <v>233</v>
      </c>
      <c r="BE437" s="4" t="s">
        <v>233</v>
      </c>
      <c r="BF437" s="8" t="s">
        <v>233</v>
      </c>
      <c r="BG437" s="7" t="s">
        <v>233</v>
      </c>
      <c r="BH437" s="7" t="s">
        <v>233</v>
      </c>
      <c r="BI437" s="7"/>
      <c r="BJ437" s="4"/>
      <c r="BK437" s="8"/>
      <c r="BL437" s="2" t="s">
        <v>233</v>
      </c>
      <c r="BM437" s="7"/>
      <c r="BN437" s="7"/>
      <c r="BO437" s="4"/>
      <c r="BP437" s="8"/>
      <c r="BQ437" s="4"/>
      <c r="BR437" s="8"/>
      <c r="BS437" s="7"/>
      <c r="BT437" s="7"/>
      <c r="BU437" s="2" t="s">
        <v>243</v>
      </c>
      <c r="BV437" s="2" t="s">
        <v>233</v>
      </c>
      <c r="BW437" s="2" t="s">
        <v>233</v>
      </c>
      <c r="BX437" s="2" t="s">
        <v>243</v>
      </c>
      <c r="BY437" s="2" t="s">
        <v>244</v>
      </c>
      <c r="BZ437" s="2" t="s">
        <v>245</v>
      </c>
      <c r="CA437" s="2" t="s">
        <v>233</v>
      </c>
      <c r="CB437" s="2" t="s">
        <v>233</v>
      </c>
      <c r="CC437" s="2" t="s">
        <v>246</v>
      </c>
      <c r="CD437" s="2" t="s">
        <v>233</v>
      </c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>
        <v>938</v>
      </c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>
        <v>248</v>
      </c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</row>
    <row r="438">
      <c r="A438" s="2" t="s">
        <v>2686</v>
      </c>
      <c r="B438" s="2" t="s">
        <v>1242</v>
      </c>
      <c r="C438" s="2" t="s">
        <v>2145</v>
      </c>
      <c r="D438" s="2" t="s">
        <v>969</v>
      </c>
      <c r="E438" s="2" t="s">
        <v>970</v>
      </c>
      <c r="F438" s="2" t="s">
        <v>2673</v>
      </c>
      <c r="G438" s="2" t="s">
        <v>2674</v>
      </c>
      <c r="H438" s="2" t="s">
        <v>2675</v>
      </c>
      <c r="I438" s="2" t="s">
        <v>2676</v>
      </c>
      <c r="J438" s="2" t="s">
        <v>918</v>
      </c>
      <c r="K438" s="2" t="s">
        <v>590</v>
      </c>
      <c r="L438" s="3">
        <v>23.8</v>
      </c>
      <c r="M438" s="3">
        <v>24.99</v>
      </c>
      <c r="N438" s="3">
        <v>49.99</v>
      </c>
      <c r="O438" s="2" t="s">
        <v>245</v>
      </c>
      <c r="P438" s="2" t="s">
        <v>974</v>
      </c>
      <c r="Q438" s="2" t="s">
        <v>239</v>
      </c>
      <c r="R438" s="2" t="s">
        <v>233</v>
      </c>
      <c r="S438" s="2" t="s">
        <v>2687</v>
      </c>
      <c r="T438" s="2" t="s">
        <v>395</v>
      </c>
      <c r="U438" s="2" t="s">
        <v>491</v>
      </c>
      <c r="V438" s="2" t="s">
        <v>359</v>
      </c>
      <c r="W438" s="2" t="s">
        <v>397</v>
      </c>
      <c r="X438" s="2" t="s">
        <v>275</v>
      </c>
      <c r="Y438" s="2" t="s">
        <v>233</v>
      </c>
      <c r="Z438" s="4"/>
      <c r="AA438" s="4">
        <f>=ROUNDDOWN({0},0)</f>
      </c>
      <c r="AB438" s="5"/>
      <c r="AC438" s="2" t="s">
        <v>2679</v>
      </c>
      <c r="AD438" s="4">
        <v>186</v>
      </c>
      <c r="AE438" s="4">
        <v>210</v>
      </c>
      <c r="AF438" s="6"/>
      <c r="AG438" s="6"/>
      <c r="AH438" s="7">
        <v>0</v>
      </c>
      <c r="AI438" s="4"/>
      <c r="AJ438" s="4">
        <f>=ROUNDDOWN({0},0)</f>
      </c>
      <c r="AK438" s="5"/>
      <c r="AL438" s="2" t="s">
        <v>233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233</v>
      </c>
      <c r="AW438" s="8" t="s">
        <v>233</v>
      </c>
      <c r="AX438" s="4" t="s">
        <v>233</v>
      </c>
      <c r="AY438" s="8" t="s">
        <v>233</v>
      </c>
      <c r="AZ438" s="7" t="s">
        <v>233</v>
      </c>
      <c r="BA438" s="7" t="s">
        <v>233</v>
      </c>
      <c r="BB438" s="7"/>
      <c r="BC438" s="4" t="s">
        <v>233</v>
      </c>
      <c r="BD438" s="8" t="s">
        <v>233</v>
      </c>
      <c r="BE438" s="4" t="s">
        <v>233</v>
      </c>
      <c r="BF438" s="8" t="s">
        <v>233</v>
      </c>
      <c r="BG438" s="7" t="s">
        <v>233</v>
      </c>
      <c r="BH438" s="7" t="s">
        <v>233</v>
      </c>
      <c r="BI438" s="7"/>
      <c r="BJ438" s="4"/>
      <c r="BK438" s="8"/>
      <c r="BL438" s="2" t="s">
        <v>233</v>
      </c>
      <c r="BM438" s="7"/>
      <c r="BN438" s="7"/>
      <c r="BO438" s="4"/>
      <c r="BP438" s="8"/>
      <c r="BQ438" s="4"/>
      <c r="BR438" s="8"/>
      <c r="BS438" s="7"/>
      <c r="BT438" s="7"/>
      <c r="BU438" s="2" t="s">
        <v>243</v>
      </c>
      <c r="BV438" s="2" t="s">
        <v>233</v>
      </c>
      <c r="BW438" s="2" t="s">
        <v>233</v>
      </c>
      <c r="BX438" s="2" t="s">
        <v>243</v>
      </c>
      <c r="BY438" s="2" t="s">
        <v>244</v>
      </c>
      <c r="BZ438" s="2" t="s">
        <v>245</v>
      </c>
      <c r="CA438" s="2" t="s">
        <v>233</v>
      </c>
      <c r="CB438" s="2" t="s">
        <v>233</v>
      </c>
      <c r="CC438" s="2" t="s">
        <v>246</v>
      </c>
      <c r="CD438" s="2" t="s">
        <v>233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>
        <v>186</v>
      </c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>
        <v>24</v>
      </c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</row>
    <row r="439">
      <c r="A439" s="2" t="s">
        <v>2688</v>
      </c>
      <c r="B439" s="2" t="s">
        <v>1242</v>
      </c>
      <c r="C439" s="2" t="s">
        <v>2145</v>
      </c>
      <c r="D439" s="2" t="s">
        <v>969</v>
      </c>
      <c r="E439" s="2" t="s">
        <v>970</v>
      </c>
      <c r="F439" s="2" t="s">
        <v>2673</v>
      </c>
      <c r="G439" s="2" t="s">
        <v>2674</v>
      </c>
      <c r="H439" s="2" t="s">
        <v>2675</v>
      </c>
      <c r="I439" s="2" t="s">
        <v>2676</v>
      </c>
      <c r="J439" s="2" t="s">
        <v>981</v>
      </c>
      <c r="K439" s="2" t="s">
        <v>590</v>
      </c>
      <c r="L439" s="3">
        <v>30.95</v>
      </c>
      <c r="M439" s="3">
        <v>32.5</v>
      </c>
      <c r="N439" s="3">
        <v>64.99</v>
      </c>
      <c r="O439" s="2" t="s">
        <v>245</v>
      </c>
      <c r="P439" s="2" t="s">
        <v>974</v>
      </c>
      <c r="Q439" s="2" t="s">
        <v>239</v>
      </c>
      <c r="R439" s="2" t="s">
        <v>233</v>
      </c>
      <c r="S439" s="2" t="s">
        <v>2687</v>
      </c>
      <c r="T439" s="2" t="s">
        <v>395</v>
      </c>
      <c r="U439" s="2" t="s">
        <v>475</v>
      </c>
      <c r="V439" s="2" t="s">
        <v>359</v>
      </c>
      <c r="W439" s="2" t="s">
        <v>397</v>
      </c>
      <c r="X439" s="2" t="s">
        <v>275</v>
      </c>
      <c r="Y439" s="2" t="s">
        <v>233</v>
      </c>
      <c r="Z439" s="4"/>
      <c r="AA439" s="4">
        <f>=ROUNDDOWN({0},0)</f>
      </c>
      <c r="AB439" s="5"/>
      <c r="AC439" s="2" t="s">
        <v>2679</v>
      </c>
      <c r="AD439" s="4">
        <v>802</v>
      </c>
      <c r="AE439" s="4">
        <v>928</v>
      </c>
      <c r="AF439" s="6"/>
      <c r="AG439" s="6"/>
      <c r="AH439" s="7">
        <v>0</v>
      </c>
      <c r="AI439" s="4"/>
      <c r="AJ439" s="4">
        <f>=ROUNDDOWN({0},0)</f>
      </c>
      <c r="AK439" s="5"/>
      <c r="AL439" s="2" t="s">
        <v>233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233</v>
      </c>
      <c r="AW439" s="8" t="s">
        <v>233</v>
      </c>
      <c r="AX439" s="4" t="s">
        <v>233</v>
      </c>
      <c r="AY439" s="8" t="s">
        <v>233</v>
      </c>
      <c r="AZ439" s="7" t="s">
        <v>233</v>
      </c>
      <c r="BA439" s="7" t="s">
        <v>233</v>
      </c>
      <c r="BB439" s="7"/>
      <c r="BC439" s="4" t="s">
        <v>233</v>
      </c>
      <c r="BD439" s="8" t="s">
        <v>233</v>
      </c>
      <c r="BE439" s="4" t="s">
        <v>233</v>
      </c>
      <c r="BF439" s="8" t="s">
        <v>233</v>
      </c>
      <c r="BG439" s="7" t="s">
        <v>233</v>
      </c>
      <c r="BH439" s="7" t="s">
        <v>233</v>
      </c>
      <c r="BI439" s="7"/>
      <c r="BJ439" s="4"/>
      <c r="BK439" s="8"/>
      <c r="BL439" s="2" t="s">
        <v>233</v>
      </c>
      <c r="BM439" s="7"/>
      <c r="BN439" s="7"/>
      <c r="BO439" s="4"/>
      <c r="BP439" s="8"/>
      <c r="BQ439" s="4"/>
      <c r="BR439" s="8"/>
      <c r="BS439" s="7"/>
      <c r="BT439" s="7"/>
      <c r="BU439" s="2" t="s">
        <v>243</v>
      </c>
      <c r="BV439" s="2" t="s">
        <v>233</v>
      </c>
      <c r="BW439" s="2" t="s">
        <v>233</v>
      </c>
      <c r="BX439" s="2" t="s">
        <v>243</v>
      </c>
      <c r="BY439" s="2" t="s">
        <v>244</v>
      </c>
      <c r="BZ439" s="2" t="s">
        <v>245</v>
      </c>
      <c r="CA439" s="2" t="s">
        <v>233</v>
      </c>
      <c r="CB439" s="2" t="s">
        <v>233</v>
      </c>
      <c r="CC439" s="2" t="s">
        <v>246</v>
      </c>
      <c r="CD439" s="2" t="s">
        <v>233</v>
      </c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>
        <v>802</v>
      </c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>
        <v>126</v>
      </c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</row>
    <row r="440">
      <c r="A440" s="2" t="s">
        <v>2689</v>
      </c>
      <c r="B440" s="2" t="s">
        <v>1242</v>
      </c>
      <c r="C440" s="2" t="s">
        <v>2145</v>
      </c>
      <c r="D440" s="2" t="s">
        <v>969</v>
      </c>
      <c r="E440" s="2" t="s">
        <v>970</v>
      </c>
      <c r="F440" s="2" t="s">
        <v>2673</v>
      </c>
      <c r="G440" s="2" t="s">
        <v>2674</v>
      </c>
      <c r="H440" s="2" t="s">
        <v>2675</v>
      </c>
      <c r="I440" s="2" t="s">
        <v>2676</v>
      </c>
      <c r="J440" s="2" t="s">
        <v>1142</v>
      </c>
      <c r="K440" s="2" t="s">
        <v>590</v>
      </c>
      <c r="L440" s="3">
        <v>33.33</v>
      </c>
      <c r="M440" s="3">
        <v>35</v>
      </c>
      <c r="N440" s="3">
        <v>69.99</v>
      </c>
      <c r="O440" s="2" t="s">
        <v>245</v>
      </c>
      <c r="P440" s="2" t="s">
        <v>974</v>
      </c>
      <c r="Q440" s="2" t="s">
        <v>239</v>
      </c>
      <c r="R440" s="2" t="s">
        <v>233</v>
      </c>
      <c r="S440" s="2" t="s">
        <v>2687</v>
      </c>
      <c r="T440" s="2" t="s">
        <v>395</v>
      </c>
      <c r="U440" s="2" t="s">
        <v>475</v>
      </c>
      <c r="V440" s="2" t="s">
        <v>359</v>
      </c>
      <c r="W440" s="2" t="s">
        <v>397</v>
      </c>
      <c r="X440" s="2" t="s">
        <v>275</v>
      </c>
      <c r="Y440" s="2" t="s">
        <v>233</v>
      </c>
      <c r="Z440" s="4"/>
      <c r="AA440" s="4">
        <f>=ROUNDDOWN({0},0)</f>
      </c>
      <c r="AB440" s="5"/>
      <c r="AC440" s="2" t="s">
        <v>2679</v>
      </c>
      <c r="AD440" s="4">
        <v>624</v>
      </c>
      <c r="AE440" s="4">
        <v>722</v>
      </c>
      <c r="AF440" s="6"/>
      <c r="AG440" s="6"/>
      <c r="AH440" s="7">
        <v>0</v>
      </c>
      <c r="AI440" s="4"/>
      <c r="AJ440" s="4">
        <f>=ROUNDDOWN({0},0)</f>
      </c>
      <c r="AK440" s="5"/>
      <c r="AL440" s="2" t="s">
        <v>233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233</v>
      </c>
      <c r="AW440" s="8" t="s">
        <v>233</v>
      </c>
      <c r="AX440" s="4" t="s">
        <v>233</v>
      </c>
      <c r="AY440" s="8" t="s">
        <v>233</v>
      </c>
      <c r="AZ440" s="7" t="s">
        <v>233</v>
      </c>
      <c r="BA440" s="7" t="s">
        <v>233</v>
      </c>
      <c r="BB440" s="7"/>
      <c r="BC440" s="4" t="s">
        <v>233</v>
      </c>
      <c r="BD440" s="8" t="s">
        <v>233</v>
      </c>
      <c r="BE440" s="4" t="s">
        <v>233</v>
      </c>
      <c r="BF440" s="8" t="s">
        <v>233</v>
      </c>
      <c r="BG440" s="7" t="s">
        <v>233</v>
      </c>
      <c r="BH440" s="7" t="s">
        <v>233</v>
      </c>
      <c r="BI440" s="7"/>
      <c r="BJ440" s="4"/>
      <c r="BK440" s="8"/>
      <c r="BL440" s="2" t="s">
        <v>233</v>
      </c>
      <c r="BM440" s="7"/>
      <c r="BN440" s="7"/>
      <c r="BO440" s="4"/>
      <c r="BP440" s="8"/>
      <c r="BQ440" s="4"/>
      <c r="BR440" s="8"/>
      <c r="BS440" s="7"/>
      <c r="BT440" s="7"/>
      <c r="BU440" s="2" t="s">
        <v>243</v>
      </c>
      <c r="BV440" s="2" t="s">
        <v>233</v>
      </c>
      <c r="BW440" s="2" t="s">
        <v>233</v>
      </c>
      <c r="BX440" s="2" t="s">
        <v>243</v>
      </c>
      <c r="BY440" s="2" t="s">
        <v>244</v>
      </c>
      <c r="BZ440" s="2" t="s">
        <v>245</v>
      </c>
      <c r="CA440" s="2" t="s">
        <v>233</v>
      </c>
      <c r="CB440" s="2" t="s">
        <v>233</v>
      </c>
      <c r="CC440" s="2" t="s">
        <v>246</v>
      </c>
      <c r="CD440" s="2" t="s">
        <v>233</v>
      </c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>
        <v>624</v>
      </c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>
        <v>98</v>
      </c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</row>
    <row r="441">
      <c r="A441" s="2" t="s">
        <v>2690</v>
      </c>
      <c r="B441" s="2" t="s">
        <v>2691</v>
      </c>
      <c r="C441" s="2" t="s">
        <v>701</v>
      </c>
      <c r="D441" s="2" t="s">
        <v>2692</v>
      </c>
      <c r="E441" s="2" t="s">
        <v>2693</v>
      </c>
      <c r="F441" s="2" t="s">
        <v>2694</v>
      </c>
      <c r="G441" s="2" t="s">
        <v>2694</v>
      </c>
      <c r="H441" s="2" t="s">
        <v>2694</v>
      </c>
      <c r="I441" s="2" t="s">
        <v>2693</v>
      </c>
      <c r="J441" s="2" t="s">
        <v>2695</v>
      </c>
      <c r="K441" s="2" t="s">
        <v>2696</v>
      </c>
      <c r="L441" s="3">
        <v>22.03</v>
      </c>
      <c r="M441" s="3">
        <v>23.13</v>
      </c>
      <c r="N441" s="3"/>
      <c r="O441" s="2" t="s">
        <v>245</v>
      </c>
      <c r="P441" s="2" t="s">
        <v>311</v>
      </c>
      <c r="Q441" s="2" t="s">
        <v>239</v>
      </c>
      <c r="R441" s="2" t="s">
        <v>233</v>
      </c>
      <c r="S441" s="2" t="s">
        <v>233</v>
      </c>
      <c r="T441" s="2" t="s">
        <v>233</v>
      </c>
      <c r="U441" s="2" t="s">
        <v>396</v>
      </c>
      <c r="V441" s="2" t="s">
        <v>893</v>
      </c>
      <c r="W441" s="2" t="s">
        <v>233</v>
      </c>
      <c r="X441" s="2" t="s">
        <v>233</v>
      </c>
      <c r="Y441" s="2" t="s">
        <v>2697</v>
      </c>
      <c r="Z441" s="4">
        <v>500</v>
      </c>
      <c r="AA441" s="4">
        <f>=ROUNDDOWN({0},0)</f>
      </c>
      <c r="AB441" s="5"/>
      <c r="AC441" s="2" t="s">
        <v>233</v>
      </c>
      <c r="AD441" s="4"/>
      <c r="AE441" s="4"/>
      <c r="AF441" s="6"/>
      <c r="AG441" s="6"/>
      <c r="AH441" s="7">
        <v>1</v>
      </c>
      <c r="AI441" s="4"/>
      <c r="AJ441" s="4">
        <f>=ROUNDDOWN({0},0)</f>
      </c>
      <c r="AK441" s="5"/>
      <c r="AL441" s="2" t="s">
        <v>233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233</v>
      </c>
      <c r="AW441" s="8" t="s">
        <v>233</v>
      </c>
      <c r="AX441" s="4" t="s">
        <v>233</v>
      </c>
      <c r="AY441" s="8" t="s">
        <v>233</v>
      </c>
      <c r="AZ441" s="7" t="s">
        <v>233</v>
      </c>
      <c r="BA441" s="7" t="s">
        <v>233</v>
      </c>
      <c r="BB441" s="7"/>
      <c r="BC441" s="4" t="s">
        <v>233</v>
      </c>
      <c r="BD441" s="8" t="s">
        <v>233</v>
      </c>
      <c r="BE441" s="4" t="s">
        <v>233</v>
      </c>
      <c r="BF441" s="8" t="s">
        <v>233</v>
      </c>
      <c r="BG441" s="7" t="s">
        <v>233</v>
      </c>
      <c r="BH441" s="7" t="s">
        <v>233</v>
      </c>
      <c r="BI441" s="7"/>
      <c r="BJ441" s="4"/>
      <c r="BK441" s="8"/>
      <c r="BL441" s="2" t="s">
        <v>233</v>
      </c>
      <c r="BM441" s="7"/>
      <c r="BN441" s="7"/>
      <c r="BO441" s="4"/>
      <c r="BP441" s="8"/>
      <c r="BQ441" s="4"/>
      <c r="BR441" s="8"/>
      <c r="BS441" s="7"/>
      <c r="BT441" s="7"/>
      <c r="BU441" s="2" t="s">
        <v>2698</v>
      </c>
      <c r="BV441" s="2" t="s">
        <v>233</v>
      </c>
      <c r="BW441" s="2" t="s">
        <v>233</v>
      </c>
      <c r="BX441" s="2" t="s">
        <v>243</v>
      </c>
      <c r="BY441" s="2" t="s">
        <v>280</v>
      </c>
      <c r="BZ441" s="2" t="s">
        <v>245</v>
      </c>
      <c r="CA441" s="2" t="s">
        <v>2699</v>
      </c>
      <c r="CB441" s="2" t="s">
        <v>233</v>
      </c>
      <c r="CC441" s="2" t="s">
        <v>246</v>
      </c>
      <c r="CD441" s="2" t="s">
        <v>233</v>
      </c>
      <c r="CE441" s="4"/>
      <c r="CF441" s="4"/>
      <c r="CG441" s="4"/>
      <c r="CH441" s="4"/>
      <c r="CI441" s="4">
        <v>500</v>
      </c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</row>
    <row r="442">
      <c r="A442" s="2" t="s">
        <v>2700</v>
      </c>
      <c r="B442" s="2" t="s">
        <v>2691</v>
      </c>
      <c r="C442" s="2" t="s">
        <v>701</v>
      </c>
      <c r="D442" s="2" t="s">
        <v>2692</v>
      </c>
      <c r="E442" s="2" t="s">
        <v>2693</v>
      </c>
      <c r="F442" s="2" t="s">
        <v>2694</v>
      </c>
      <c r="G442" s="2" t="s">
        <v>2694</v>
      </c>
      <c r="H442" s="2" t="s">
        <v>2694</v>
      </c>
      <c r="I442" s="2" t="s">
        <v>2693</v>
      </c>
      <c r="J442" s="2" t="s">
        <v>1282</v>
      </c>
      <c r="K442" s="2" t="s">
        <v>2696</v>
      </c>
      <c r="L442" s="3">
        <v>22.03</v>
      </c>
      <c r="M442" s="3">
        <v>23.13</v>
      </c>
      <c r="N442" s="3"/>
      <c r="O442" s="2" t="s">
        <v>245</v>
      </c>
      <c r="P442" s="2" t="s">
        <v>311</v>
      </c>
      <c r="Q442" s="2" t="s">
        <v>239</v>
      </c>
      <c r="R442" s="2" t="s">
        <v>233</v>
      </c>
      <c r="S442" s="2" t="s">
        <v>233</v>
      </c>
      <c r="T442" s="2" t="s">
        <v>233</v>
      </c>
      <c r="U442" s="2" t="s">
        <v>396</v>
      </c>
      <c r="V442" s="2" t="s">
        <v>893</v>
      </c>
      <c r="W442" s="2" t="s">
        <v>233</v>
      </c>
      <c r="X442" s="2" t="s">
        <v>233</v>
      </c>
      <c r="Y442" s="2" t="s">
        <v>2697</v>
      </c>
      <c r="Z442" s="4">
        <v>1023</v>
      </c>
      <c r="AA442" s="4">
        <f>=ROUNDDOWN({0},0)</f>
      </c>
      <c r="AB442" s="5"/>
      <c r="AC442" s="2" t="s">
        <v>233</v>
      </c>
      <c r="AD442" s="4"/>
      <c r="AE442" s="4"/>
      <c r="AF442" s="6"/>
      <c r="AG442" s="6"/>
      <c r="AH442" s="7">
        <v>1</v>
      </c>
      <c r="AI442" s="4"/>
      <c r="AJ442" s="4">
        <f>=ROUNDDOWN({0},0)</f>
      </c>
      <c r="AK442" s="5"/>
      <c r="AL442" s="2" t="s">
        <v>233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233</v>
      </c>
      <c r="AW442" s="8" t="s">
        <v>233</v>
      </c>
      <c r="AX442" s="4" t="s">
        <v>233</v>
      </c>
      <c r="AY442" s="8" t="s">
        <v>233</v>
      </c>
      <c r="AZ442" s="7" t="s">
        <v>233</v>
      </c>
      <c r="BA442" s="7" t="s">
        <v>233</v>
      </c>
      <c r="BB442" s="7"/>
      <c r="BC442" s="4" t="s">
        <v>233</v>
      </c>
      <c r="BD442" s="8" t="s">
        <v>233</v>
      </c>
      <c r="BE442" s="4" t="s">
        <v>233</v>
      </c>
      <c r="BF442" s="8" t="s">
        <v>233</v>
      </c>
      <c r="BG442" s="7" t="s">
        <v>233</v>
      </c>
      <c r="BH442" s="7" t="s">
        <v>233</v>
      </c>
      <c r="BI442" s="7"/>
      <c r="BJ442" s="4"/>
      <c r="BK442" s="8"/>
      <c r="BL442" s="2" t="s">
        <v>233</v>
      </c>
      <c r="BM442" s="7"/>
      <c r="BN442" s="7"/>
      <c r="BO442" s="4"/>
      <c r="BP442" s="8"/>
      <c r="BQ442" s="4"/>
      <c r="BR442" s="8"/>
      <c r="BS442" s="7"/>
      <c r="BT442" s="7"/>
      <c r="BU442" s="2" t="s">
        <v>2701</v>
      </c>
      <c r="BV442" s="2" t="s">
        <v>233</v>
      </c>
      <c r="BW442" s="2" t="s">
        <v>233</v>
      </c>
      <c r="BX442" s="2" t="s">
        <v>243</v>
      </c>
      <c r="BY442" s="2" t="s">
        <v>280</v>
      </c>
      <c r="BZ442" s="2" t="s">
        <v>245</v>
      </c>
      <c r="CA442" s="2" t="s">
        <v>2699</v>
      </c>
      <c r="CB442" s="2" t="s">
        <v>233</v>
      </c>
      <c r="CC442" s="2" t="s">
        <v>246</v>
      </c>
      <c r="CD442" s="2" t="s">
        <v>233</v>
      </c>
      <c r="CE442" s="4"/>
      <c r="CF442" s="4"/>
      <c r="CG442" s="4"/>
      <c r="CH442" s="4"/>
      <c r="CI442" s="4">
        <v>1023</v>
      </c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</row>
    <row r="443">
      <c r="A443" s="2" t="s">
        <v>2702</v>
      </c>
      <c r="B443" s="2" t="s">
        <v>2691</v>
      </c>
      <c r="C443" s="2" t="s">
        <v>701</v>
      </c>
      <c r="D443" s="2" t="s">
        <v>2692</v>
      </c>
      <c r="E443" s="2" t="s">
        <v>2693</v>
      </c>
      <c r="F443" s="2" t="s">
        <v>2694</v>
      </c>
      <c r="G443" s="2" t="s">
        <v>2694</v>
      </c>
      <c r="H443" s="2" t="s">
        <v>2694</v>
      </c>
      <c r="I443" s="2" t="s">
        <v>2693</v>
      </c>
      <c r="J443" s="2" t="s">
        <v>1287</v>
      </c>
      <c r="K443" s="2" t="s">
        <v>2696</v>
      </c>
      <c r="L443" s="3">
        <v>22.03</v>
      </c>
      <c r="M443" s="3">
        <v>23.13</v>
      </c>
      <c r="N443" s="3"/>
      <c r="O443" s="2" t="s">
        <v>245</v>
      </c>
      <c r="P443" s="2" t="s">
        <v>311</v>
      </c>
      <c r="Q443" s="2" t="s">
        <v>239</v>
      </c>
      <c r="R443" s="2" t="s">
        <v>233</v>
      </c>
      <c r="S443" s="2" t="s">
        <v>233</v>
      </c>
      <c r="T443" s="2" t="s">
        <v>233</v>
      </c>
      <c r="U443" s="2" t="s">
        <v>396</v>
      </c>
      <c r="V443" s="2" t="s">
        <v>893</v>
      </c>
      <c r="W443" s="2" t="s">
        <v>233</v>
      </c>
      <c r="X443" s="2" t="s">
        <v>233</v>
      </c>
      <c r="Y443" s="2" t="s">
        <v>2697</v>
      </c>
      <c r="Z443" s="4">
        <v>1000</v>
      </c>
      <c r="AA443" s="4">
        <f>=ROUNDDOWN({0},0)</f>
      </c>
      <c r="AB443" s="5"/>
      <c r="AC443" s="2" t="s">
        <v>233</v>
      </c>
      <c r="AD443" s="4"/>
      <c r="AE443" s="4"/>
      <c r="AF443" s="6"/>
      <c r="AG443" s="6"/>
      <c r="AH443" s="7">
        <v>1</v>
      </c>
      <c r="AI443" s="4"/>
      <c r="AJ443" s="4">
        <f>=ROUNDDOWN({0},0)</f>
      </c>
      <c r="AK443" s="5"/>
      <c r="AL443" s="2" t="s">
        <v>233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233</v>
      </c>
      <c r="AW443" s="8" t="s">
        <v>233</v>
      </c>
      <c r="AX443" s="4" t="s">
        <v>233</v>
      </c>
      <c r="AY443" s="8" t="s">
        <v>233</v>
      </c>
      <c r="AZ443" s="7" t="s">
        <v>233</v>
      </c>
      <c r="BA443" s="7" t="s">
        <v>233</v>
      </c>
      <c r="BB443" s="7"/>
      <c r="BC443" s="4" t="s">
        <v>233</v>
      </c>
      <c r="BD443" s="8" t="s">
        <v>233</v>
      </c>
      <c r="BE443" s="4" t="s">
        <v>233</v>
      </c>
      <c r="BF443" s="8" t="s">
        <v>233</v>
      </c>
      <c r="BG443" s="7" t="s">
        <v>233</v>
      </c>
      <c r="BH443" s="7" t="s">
        <v>233</v>
      </c>
      <c r="BI443" s="7"/>
      <c r="BJ443" s="4"/>
      <c r="BK443" s="8"/>
      <c r="BL443" s="2" t="s">
        <v>233</v>
      </c>
      <c r="BM443" s="7"/>
      <c r="BN443" s="7"/>
      <c r="BO443" s="4"/>
      <c r="BP443" s="8"/>
      <c r="BQ443" s="4"/>
      <c r="BR443" s="8"/>
      <c r="BS443" s="7"/>
      <c r="BT443" s="7"/>
      <c r="BU443" s="2" t="s">
        <v>2703</v>
      </c>
      <c r="BV443" s="2" t="s">
        <v>233</v>
      </c>
      <c r="BW443" s="2" t="s">
        <v>233</v>
      </c>
      <c r="BX443" s="2" t="s">
        <v>243</v>
      </c>
      <c r="BY443" s="2" t="s">
        <v>280</v>
      </c>
      <c r="BZ443" s="2" t="s">
        <v>245</v>
      </c>
      <c r="CA443" s="2" t="s">
        <v>2699</v>
      </c>
      <c r="CB443" s="2" t="s">
        <v>233</v>
      </c>
      <c r="CC443" s="2" t="s">
        <v>246</v>
      </c>
      <c r="CD443" s="2" t="s">
        <v>233</v>
      </c>
      <c r="CE443" s="4"/>
      <c r="CF443" s="4"/>
      <c r="CG443" s="4"/>
      <c r="CH443" s="4"/>
      <c r="CI443" s="4">
        <v>1000</v>
      </c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</row>
    <row r="444">
      <c r="A444" s="2" t="s">
        <v>2704</v>
      </c>
      <c r="B444" s="2" t="s">
        <v>2691</v>
      </c>
      <c r="C444" s="2" t="s">
        <v>701</v>
      </c>
      <c r="D444" s="2" t="s">
        <v>2692</v>
      </c>
      <c r="E444" s="2" t="s">
        <v>2693</v>
      </c>
      <c r="F444" s="2" t="s">
        <v>2694</v>
      </c>
      <c r="G444" s="2" t="s">
        <v>2694</v>
      </c>
      <c r="H444" s="2" t="s">
        <v>2694</v>
      </c>
      <c r="I444" s="2" t="s">
        <v>2693</v>
      </c>
      <c r="J444" s="2" t="s">
        <v>1290</v>
      </c>
      <c r="K444" s="2" t="s">
        <v>2696</v>
      </c>
      <c r="L444" s="3">
        <v>22.03</v>
      </c>
      <c r="M444" s="3">
        <v>23.13</v>
      </c>
      <c r="N444" s="3"/>
      <c r="O444" s="2" t="s">
        <v>245</v>
      </c>
      <c r="P444" s="2" t="s">
        <v>311</v>
      </c>
      <c r="Q444" s="2" t="s">
        <v>239</v>
      </c>
      <c r="R444" s="2" t="s">
        <v>233</v>
      </c>
      <c r="S444" s="2" t="s">
        <v>233</v>
      </c>
      <c r="T444" s="2" t="s">
        <v>233</v>
      </c>
      <c r="U444" s="2" t="s">
        <v>396</v>
      </c>
      <c r="V444" s="2" t="s">
        <v>893</v>
      </c>
      <c r="W444" s="2" t="s">
        <v>233</v>
      </c>
      <c r="X444" s="2" t="s">
        <v>233</v>
      </c>
      <c r="Y444" s="2" t="s">
        <v>2697</v>
      </c>
      <c r="Z444" s="4">
        <v>488</v>
      </c>
      <c r="AA444" s="4">
        <f>=ROUNDDOWN({0},0)</f>
      </c>
      <c r="AB444" s="5"/>
      <c r="AC444" s="2" t="s">
        <v>233</v>
      </c>
      <c r="AD444" s="4"/>
      <c r="AE444" s="4"/>
      <c r="AF444" s="6"/>
      <c r="AG444" s="6"/>
      <c r="AH444" s="7">
        <v>1</v>
      </c>
      <c r="AI444" s="4"/>
      <c r="AJ444" s="4">
        <f>=ROUNDDOWN({0},0)</f>
      </c>
      <c r="AK444" s="5"/>
      <c r="AL444" s="2" t="s">
        <v>233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233</v>
      </c>
      <c r="AW444" s="8" t="s">
        <v>233</v>
      </c>
      <c r="AX444" s="4" t="s">
        <v>233</v>
      </c>
      <c r="AY444" s="8" t="s">
        <v>233</v>
      </c>
      <c r="AZ444" s="7" t="s">
        <v>233</v>
      </c>
      <c r="BA444" s="7" t="s">
        <v>233</v>
      </c>
      <c r="BB444" s="7"/>
      <c r="BC444" s="4" t="s">
        <v>233</v>
      </c>
      <c r="BD444" s="8" t="s">
        <v>233</v>
      </c>
      <c r="BE444" s="4" t="s">
        <v>233</v>
      </c>
      <c r="BF444" s="8" t="s">
        <v>233</v>
      </c>
      <c r="BG444" s="7" t="s">
        <v>233</v>
      </c>
      <c r="BH444" s="7" t="s">
        <v>233</v>
      </c>
      <c r="BI444" s="7"/>
      <c r="BJ444" s="4"/>
      <c r="BK444" s="8"/>
      <c r="BL444" s="2" t="s">
        <v>233</v>
      </c>
      <c r="BM444" s="7"/>
      <c r="BN444" s="7"/>
      <c r="BO444" s="4"/>
      <c r="BP444" s="8"/>
      <c r="BQ444" s="4"/>
      <c r="BR444" s="8"/>
      <c r="BS444" s="7"/>
      <c r="BT444" s="7"/>
      <c r="BU444" s="2" t="s">
        <v>2705</v>
      </c>
      <c r="BV444" s="2" t="s">
        <v>233</v>
      </c>
      <c r="BW444" s="2" t="s">
        <v>233</v>
      </c>
      <c r="BX444" s="2" t="s">
        <v>243</v>
      </c>
      <c r="BY444" s="2" t="s">
        <v>280</v>
      </c>
      <c r="BZ444" s="2" t="s">
        <v>245</v>
      </c>
      <c r="CA444" s="2" t="s">
        <v>2699</v>
      </c>
      <c r="CB444" s="2" t="s">
        <v>233</v>
      </c>
      <c r="CC444" s="2" t="s">
        <v>246</v>
      </c>
      <c r="CD444" s="2" t="s">
        <v>233</v>
      </c>
      <c r="CE444" s="4"/>
      <c r="CF444" s="4"/>
      <c r="CG444" s="4"/>
      <c r="CH444" s="4"/>
      <c r="CI444" s="4">
        <v>488</v>
      </c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</row>
    <row r="445">
      <c r="A445" s="2" t="s">
        <v>2706</v>
      </c>
      <c r="B445" s="2" t="s">
        <v>2691</v>
      </c>
      <c r="C445" s="2" t="s">
        <v>701</v>
      </c>
      <c r="D445" s="2" t="s">
        <v>2692</v>
      </c>
      <c r="E445" s="2" t="s">
        <v>2693</v>
      </c>
      <c r="F445" s="2" t="s">
        <v>2694</v>
      </c>
      <c r="G445" s="2" t="s">
        <v>2694</v>
      </c>
      <c r="H445" s="2" t="s">
        <v>2694</v>
      </c>
      <c r="I445" s="2" t="s">
        <v>2693</v>
      </c>
      <c r="J445" s="2" t="s">
        <v>2695</v>
      </c>
      <c r="K445" s="2" t="s">
        <v>2707</v>
      </c>
      <c r="L445" s="3">
        <v>22.03</v>
      </c>
      <c r="M445" s="3">
        <v>23.13</v>
      </c>
      <c r="N445" s="3"/>
      <c r="O445" s="2" t="s">
        <v>245</v>
      </c>
      <c r="P445" s="2" t="s">
        <v>311</v>
      </c>
      <c r="Q445" s="2" t="s">
        <v>239</v>
      </c>
      <c r="R445" s="2" t="s">
        <v>233</v>
      </c>
      <c r="S445" s="2" t="s">
        <v>233</v>
      </c>
      <c r="T445" s="2" t="s">
        <v>233</v>
      </c>
      <c r="U445" s="2" t="s">
        <v>396</v>
      </c>
      <c r="V445" s="2" t="s">
        <v>893</v>
      </c>
      <c r="W445" s="2" t="s">
        <v>233</v>
      </c>
      <c r="X445" s="2" t="s">
        <v>233</v>
      </c>
      <c r="Y445" s="2" t="s">
        <v>2697</v>
      </c>
      <c r="Z445" s="4">
        <v>478</v>
      </c>
      <c r="AA445" s="4">
        <f>=ROUNDDOWN(956,0)</f>
      </c>
      <c r="AB445" s="5">
        <v>0.5</v>
      </c>
      <c r="AC445" s="2" t="s">
        <v>233</v>
      </c>
      <c r="AD445" s="4"/>
      <c r="AE445" s="4"/>
      <c r="AF445" s="6"/>
      <c r="AG445" s="6"/>
      <c r="AH445" s="7">
        <v>1</v>
      </c>
      <c r="AI445" s="4"/>
      <c r="AJ445" s="4">
        <f>=ROUNDDOWN({0},0)</f>
      </c>
      <c r="AK445" s="5"/>
      <c r="AL445" s="2" t="s">
        <v>233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233</v>
      </c>
      <c r="AW445" s="8" t="s">
        <v>233</v>
      </c>
      <c r="AX445" s="4" t="s">
        <v>233</v>
      </c>
      <c r="AY445" s="8" t="s">
        <v>233</v>
      </c>
      <c r="AZ445" s="7" t="s">
        <v>233</v>
      </c>
      <c r="BA445" s="7" t="s">
        <v>233</v>
      </c>
      <c r="BB445" s="7"/>
      <c r="BC445" s="4" t="s">
        <v>233</v>
      </c>
      <c r="BD445" s="8" t="s">
        <v>233</v>
      </c>
      <c r="BE445" s="4" t="s">
        <v>233</v>
      </c>
      <c r="BF445" s="8" t="s">
        <v>233</v>
      </c>
      <c r="BG445" s="7" t="s">
        <v>233</v>
      </c>
      <c r="BH445" s="7" t="s">
        <v>233</v>
      </c>
      <c r="BI445" s="7"/>
      <c r="BJ445" s="4">
        <v>2</v>
      </c>
      <c r="BK445" s="8">
        <v>29.48</v>
      </c>
      <c r="BL445" s="2" t="s">
        <v>2554</v>
      </c>
      <c r="BM445" s="7"/>
      <c r="BN445" s="7"/>
      <c r="BO445" s="4"/>
      <c r="BP445" s="8"/>
      <c r="BQ445" s="4"/>
      <c r="BR445" s="8"/>
      <c r="BS445" s="7"/>
      <c r="BT445" s="7"/>
      <c r="BU445" s="2" t="s">
        <v>2708</v>
      </c>
      <c r="BV445" s="2" t="s">
        <v>233</v>
      </c>
      <c r="BW445" s="2" t="s">
        <v>233</v>
      </c>
      <c r="BX445" s="2" t="s">
        <v>243</v>
      </c>
      <c r="BY445" s="2" t="s">
        <v>280</v>
      </c>
      <c r="BZ445" s="2" t="s">
        <v>245</v>
      </c>
      <c r="CA445" s="2" t="s">
        <v>2699</v>
      </c>
      <c r="CB445" s="2" t="s">
        <v>233</v>
      </c>
      <c r="CC445" s="2" t="s">
        <v>246</v>
      </c>
      <c r="CD445" s="2" t="s">
        <v>233</v>
      </c>
      <c r="CE445" s="4"/>
      <c r="CF445" s="4"/>
      <c r="CG445" s="4"/>
      <c r="CH445" s="4"/>
      <c r="CI445" s="4">
        <v>478</v>
      </c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</row>
    <row r="446">
      <c r="A446" s="2" t="s">
        <v>2709</v>
      </c>
      <c r="B446" s="2" t="s">
        <v>2691</v>
      </c>
      <c r="C446" s="2" t="s">
        <v>701</v>
      </c>
      <c r="D446" s="2" t="s">
        <v>2692</v>
      </c>
      <c r="E446" s="2" t="s">
        <v>2693</v>
      </c>
      <c r="F446" s="2" t="s">
        <v>2694</v>
      </c>
      <c r="G446" s="2" t="s">
        <v>2694</v>
      </c>
      <c r="H446" s="2" t="s">
        <v>2694</v>
      </c>
      <c r="I446" s="2" t="s">
        <v>2693</v>
      </c>
      <c r="J446" s="2" t="s">
        <v>1282</v>
      </c>
      <c r="K446" s="2" t="s">
        <v>2707</v>
      </c>
      <c r="L446" s="3">
        <v>22.03</v>
      </c>
      <c r="M446" s="3">
        <v>23.13</v>
      </c>
      <c r="N446" s="3"/>
      <c r="O446" s="2" t="s">
        <v>245</v>
      </c>
      <c r="P446" s="2" t="s">
        <v>311</v>
      </c>
      <c r="Q446" s="2" t="s">
        <v>239</v>
      </c>
      <c r="R446" s="2" t="s">
        <v>233</v>
      </c>
      <c r="S446" s="2" t="s">
        <v>233</v>
      </c>
      <c r="T446" s="2" t="s">
        <v>233</v>
      </c>
      <c r="U446" s="2" t="s">
        <v>396</v>
      </c>
      <c r="V446" s="2" t="s">
        <v>893</v>
      </c>
      <c r="W446" s="2" t="s">
        <v>233</v>
      </c>
      <c r="X446" s="2" t="s">
        <v>233</v>
      </c>
      <c r="Y446" s="2" t="s">
        <v>2697</v>
      </c>
      <c r="Z446" s="4">
        <v>997</v>
      </c>
      <c r="AA446" s="4">
        <f>=ROUNDDOWN(4985,0)</f>
      </c>
      <c r="AB446" s="5">
        <v>0.2</v>
      </c>
      <c r="AC446" s="2" t="s">
        <v>233</v>
      </c>
      <c r="AD446" s="4"/>
      <c r="AE446" s="4"/>
      <c r="AF446" s="6"/>
      <c r="AG446" s="6"/>
      <c r="AH446" s="7">
        <v>1</v>
      </c>
      <c r="AI446" s="4"/>
      <c r="AJ446" s="4">
        <f>=ROUNDDOWN({0},0)</f>
      </c>
      <c r="AK446" s="5"/>
      <c r="AL446" s="2" t="s">
        <v>233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233</v>
      </c>
      <c r="AW446" s="8" t="s">
        <v>233</v>
      </c>
      <c r="AX446" s="4" t="s">
        <v>233</v>
      </c>
      <c r="AY446" s="8" t="s">
        <v>233</v>
      </c>
      <c r="AZ446" s="7" t="s">
        <v>233</v>
      </c>
      <c r="BA446" s="7" t="s">
        <v>233</v>
      </c>
      <c r="BB446" s="7"/>
      <c r="BC446" s="4" t="s">
        <v>233</v>
      </c>
      <c r="BD446" s="8" t="s">
        <v>233</v>
      </c>
      <c r="BE446" s="4" t="s">
        <v>233</v>
      </c>
      <c r="BF446" s="8" t="s">
        <v>233</v>
      </c>
      <c r="BG446" s="7" t="s">
        <v>233</v>
      </c>
      <c r="BH446" s="7" t="s">
        <v>233</v>
      </c>
      <c r="BI446" s="7"/>
      <c r="BJ446" s="4">
        <v>1</v>
      </c>
      <c r="BK446" s="8">
        <v>16.38</v>
      </c>
      <c r="BL446" s="2" t="s">
        <v>2554</v>
      </c>
      <c r="BM446" s="7"/>
      <c r="BN446" s="7"/>
      <c r="BO446" s="4"/>
      <c r="BP446" s="8"/>
      <c r="BQ446" s="4"/>
      <c r="BR446" s="8"/>
      <c r="BS446" s="7"/>
      <c r="BT446" s="7"/>
      <c r="BU446" s="2" t="s">
        <v>2710</v>
      </c>
      <c r="BV446" s="2" t="s">
        <v>233</v>
      </c>
      <c r="BW446" s="2" t="s">
        <v>233</v>
      </c>
      <c r="BX446" s="2" t="s">
        <v>243</v>
      </c>
      <c r="BY446" s="2" t="s">
        <v>280</v>
      </c>
      <c r="BZ446" s="2" t="s">
        <v>245</v>
      </c>
      <c r="CA446" s="2" t="s">
        <v>2699</v>
      </c>
      <c r="CB446" s="2" t="s">
        <v>233</v>
      </c>
      <c r="CC446" s="2" t="s">
        <v>246</v>
      </c>
      <c r="CD446" s="2" t="s">
        <v>233</v>
      </c>
      <c r="CE446" s="4"/>
      <c r="CF446" s="4"/>
      <c r="CG446" s="4"/>
      <c r="CH446" s="4"/>
      <c r="CI446" s="4">
        <v>997</v>
      </c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</row>
    <row r="447">
      <c r="A447" s="2" t="s">
        <v>2711</v>
      </c>
      <c r="B447" s="2" t="s">
        <v>2691</v>
      </c>
      <c r="C447" s="2" t="s">
        <v>701</v>
      </c>
      <c r="D447" s="2" t="s">
        <v>2692</v>
      </c>
      <c r="E447" s="2" t="s">
        <v>2693</v>
      </c>
      <c r="F447" s="2" t="s">
        <v>2694</v>
      </c>
      <c r="G447" s="2" t="s">
        <v>2694</v>
      </c>
      <c r="H447" s="2" t="s">
        <v>2694</v>
      </c>
      <c r="I447" s="2" t="s">
        <v>2693</v>
      </c>
      <c r="J447" s="2" t="s">
        <v>1287</v>
      </c>
      <c r="K447" s="2" t="s">
        <v>2707</v>
      </c>
      <c r="L447" s="3">
        <v>22.03</v>
      </c>
      <c r="M447" s="3">
        <v>23.13</v>
      </c>
      <c r="N447" s="3"/>
      <c r="O447" s="2" t="s">
        <v>245</v>
      </c>
      <c r="P447" s="2" t="s">
        <v>311</v>
      </c>
      <c r="Q447" s="2" t="s">
        <v>239</v>
      </c>
      <c r="R447" s="2" t="s">
        <v>233</v>
      </c>
      <c r="S447" s="2" t="s">
        <v>233</v>
      </c>
      <c r="T447" s="2" t="s">
        <v>233</v>
      </c>
      <c r="U447" s="2" t="s">
        <v>396</v>
      </c>
      <c r="V447" s="2" t="s">
        <v>893</v>
      </c>
      <c r="W447" s="2" t="s">
        <v>233</v>
      </c>
      <c r="X447" s="2" t="s">
        <v>233</v>
      </c>
      <c r="Y447" s="2" t="s">
        <v>2697</v>
      </c>
      <c r="Z447" s="4">
        <v>1005</v>
      </c>
      <c r="AA447" s="4">
        <f>=ROUNDDOWN({0},0)</f>
      </c>
      <c r="AB447" s="5"/>
      <c r="AC447" s="2" t="s">
        <v>233</v>
      </c>
      <c r="AD447" s="4"/>
      <c r="AE447" s="4"/>
      <c r="AF447" s="6"/>
      <c r="AG447" s="6"/>
      <c r="AH447" s="7">
        <v>1</v>
      </c>
      <c r="AI447" s="4"/>
      <c r="AJ447" s="4">
        <f>=ROUNDDOWN({0},0)</f>
      </c>
      <c r="AK447" s="5"/>
      <c r="AL447" s="2" t="s">
        <v>233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233</v>
      </c>
      <c r="AW447" s="8" t="s">
        <v>233</v>
      </c>
      <c r="AX447" s="4" t="s">
        <v>233</v>
      </c>
      <c r="AY447" s="8" t="s">
        <v>233</v>
      </c>
      <c r="AZ447" s="7" t="s">
        <v>233</v>
      </c>
      <c r="BA447" s="7" t="s">
        <v>233</v>
      </c>
      <c r="BB447" s="7"/>
      <c r="BC447" s="4" t="s">
        <v>233</v>
      </c>
      <c r="BD447" s="8" t="s">
        <v>233</v>
      </c>
      <c r="BE447" s="4" t="s">
        <v>233</v>
      </c>
      <c r="BF447" s="8" t="s">
        <v>233</v>
      </c>
      <c r="BG447" s="7" t="s">
        <v>233</v>
      </c>
      <c r="BH447" s="7" t="s">
        <v>233</v>
      </c>
      <c r="BI447" s="7"/>
      <c r="BJ447" s="4"/>
      <c r="BK447" s="8"/>
      <c r="BL447" s="2" t="s">
        <v>2554</v>
      </c>
      <c r="BM447" s="7"/>
      <c r="BN447" s="7"/>
      <c r="BO447" s="4"/>
      <c r="BP447" s="8"/>
      <c r="BQ447" s="4"/>
      <c r="BR447" s="8"/>
      <c r="BS447" s="7"/>
      <c r="BT447" s="7"/>
      <c r="BU447" s="2" t="s">
        <v>2712</v>
      </c>
      <c r="BV447" s="2" t="s">
        <v>233</v>
      </c>
      <c r="BW447" s="2" t="s">
        <v>233</v>
      </c>
      <c r="BX447" s="2" t="s">
        <v>243</v>
      </c>
      <c r="BY447" s="2" t="s">
        <v>280</v>
      </c>
      <c r="BZ447" s="2" t="s">
        <v>245</v>
      </c>
      <c r="CA447" s="2" t="s">
        <v>2699</v>
      </c>
      <c r="CB447" s="2" t="s">
        <v>233</v>
      </c>
      <c r="CC447" s="2" t="s">
        <v>246</v>
      </c>
      <c r="CD447" s="2" t="s">
        <v>233</v>
      </c>
      <c r="CE447" s="4"/>
      <c r="CF447" s="4"/>
      <c r="CG447" s="4"/>
      <c r="CH447" s="4"/>
      <c r="CI447" s="4">
        <v>1005</v>
      </c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</row>
    <row r="448">
      <c r="A448" s="2" t="s">
        <v>2713</v>
      </c>
      <c r="B448" s="2" t="s">
        <v>2691</v>
      </c>
      <c r="C448" s="2" t="s">
        <v>701</v>
      </c>
      <c r="D448" s="2" t="s">
        <v>2692</v>
      </c>
      <c r="E448" s="2" t="s">
        <v>2693</v>
      </c>
      <c r="F448" s="2" t="s">
        <v>2694</v>
      </c>
      <c r="G448" s="2" t="s">
        <v>2694</v>
      </c>
      <c r="H448" s="2" t="s">
        <v>2694</v>
      </c>
      <c r="I448" s="2" t="s">
        <v>2693</v>
      </c>
      <c r="J448" s="2" t="s">
        <v>1290</v>
      </c>
      <c r="K448" s="2" t="s">
        <v>2707</v>
      </c>
      <c r="L448" s="3">
        <v>22.03</v>
      </c>
      <c r="M448" s="3">
        <v>23.13</v>
      </c>
      <c r="N448" s="3"/>
      <c r="O448" s="2" t="s">
        <v>245</v>
      </c>
      <c r="P448" s="2" t="s">
        <v>311</v>
      </c>
      <c r="Q448" s="2" t="s">
        <v>239</v>
      </c>
      <c r="R448" s="2" t="s">
        <v>233</v>
      </c>
      <c r="S448" s="2" t="s">
        <v>233</v>
      </c>
      <c r="T448" s="2" t="s">
        <v>233</v>
      </c>
      <c r="U448" s="2" t="s">
        <v>396</v>
      </c>
      <c r="V448" s="2" t="s">
        <v>893</v>
      </c>
      <c r="W448" s="2" t="s">
        <v>233</v>
      </c>
      <c r="X448" s="2" t="s">
        <v>233</v>
      </c>
      <c r="Y448" s="2" t="s">
        <v>2697</v>
      </c>
      <c r="Z448" s="4">
        <v>476</v>
      </c>
      <c r="AA448" s="4">
        <f>=ROUNDDOWN({0},0)</f>
      </c>
      <c r="AB448" s="5"/>
      <c r="AC448" s="2" t="s">
        <v>233</v>
      </c>
      <c r="AD448" s="4"/>
      <c r="AE448" s="4"/>
      <c r="AF448" s="6"/>
      <c r="AG448" s="6"/>
      <c r="AH448" s="7">
        <v>1</v>
      </c>
      <c r="AI448" s="4"/>
      <c r="AJ448" s="4">
        <f>=ROUNDDOWN({0},0)</f>
      </c>
      <c r="AK448" s="5"/>
      <c r="AL448" s="2" t="s">
        <v>233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233</v>
      </c>
      <c r="AW448" s="8" t="s">
        <v>233</v>
      </c>
      <c r="AX448" s="4" t="s">
        <v>233</v>
      </c>
      <c r="AY448" s="8" t="s">
        <v>233</v>
      </c>
      <c r="AZ448" s="7" t="s">
        <v>233</v>
      </c>
      <c r="BA448" s="7" t="s">
        <v>233</v>
      </c>
      <c r="BB448" s="7"/>
      <c r="BC448" s="4" t="s">
        <v>233</v>
      </c>
      <c r="BD448" s="8" t="s">
        <v>233</v>
      </c>
      <c r="BE448" s="4" t="s">
        <v>233</v>
      </c>
      <c r="BF448" s="8" t="s">
        <v>233</v>
      </c>
      <c r="BG448" s="7" t="s">
        <v>233</v>
      </c>
      <c r="BH448" s="7" t="s">
        <v>233</v>
      </c>
      <c r="BI448" s="7"/>
      <c r="BJ448" s="4"/>
      <c r="BK448" s="8"/>
      <c r="BL448" s="2" t="s">
        <v>2554</v>
      </c>
      <c r="BM448" s="7"/>
      <c r="BN448" s="7"/>
      <c r="BO448" s="4"/>
      <c r="BP448" s="8"/>
      <c r="BQ448" s="4"/>
      <c r="BR448" s="8"/>
      <c r="BS448" s="7"/>
      <c r="BT448" s="7"/>
      <c r="BU448" s="2" t="s">
        <v>2714</v>
      </c>
      <c r="BV448" s="2" t="s">
        <v>233</v>
      </c>
      <c r="BW448" s="2" t="s">
        <v>233</v>
      </c>
      <c r="BX448" s="2" t="s">
        <v>243</v>
      </c>
      <c r="BY448" s="2" t="s">
        <v>280</v>
      </c>
      <c r="BZ448" s="2" t="s">
        <v>245</v>
      </c>
      <c r="CA448" s="2" t="s">
        <v>2699</v>
      </c>
      <c r="CB448" s="2" t="s">
        <v>233</v>
      </c>
      <c r="CC448" s="2" t="s">
        <v>246</v>
      </c>
      <c r="CD448" s="2" t="s">
        <v>233</v>
      </c>
      <c r="CE448" s="4"/>
      <c r="CF448" s="4"/>
      <c r="CG448" s="4"/>
      <c r="CH448" s="4"/>
      <c r="CI448" s="4">
        <v>476</v>
      </c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</row>
    <row r="449">
      <c r="A449" s="2" t="s">
        <v>2715</v>
      </c>
      <c r="B449" s="2" t="s">
        <v>1242</v>
      </c>
      <c r="C449" s="2" t="s">
        <v>1335</v>
      </c>
      <c r="D449" s="2" t="s">
        <v>969</v>
      </c>
      <c r="E449" s="2" t="s">
        <v>970</v>
      </c>
      <c r="F449" s="2" t="s">
        <v>2716</v>
      </c>
      <c r="G449" s="2" t="s">
        <v>2716</v>
      </c>
      <c r="H449" s="2" t="s">
        <v>2716</v>
      </c>
      <c r="I449" s="2" t="s">
        <v>2717</v>
      </c>
      <c r="J449" s="2" t="s">
        <v>918</v>
      </c>
      <c r="K449" s="2" t="s">
        <v>1201</v>
      </c>
      <c r="L449" s="3">
        <v>45.71</v>
      </c>
      <c r="M449" s="3">
        <v>48</v>
      </c>
      <c r="N449" s="3">
        <v>99.99</v>
      </c>
      <c r="O449" s="2" t="s">
        <v>245</v>
      </c>
      <c r="P449" s="2" t="s">
        <v>238</v>
      </c>
      <c r="Q449" s="2" t="s">
        <v>239</v>
      </c>
      <c r="R449" s="2" t="s">
        <v>233</v>
      </c>
      <c r="S449" s="2" t="s">
        <v>2718</v>
      </c>
      <c r="T449" s="2" t="s">
        <v>1481</v>
      </c>
      <c r="U449" s="2" t="s">
        <v>491</v>
      </c>
      <c r="V449" s="2" t="s">
        <v>2719</v>
      </c>
      <c r="W449" s="2" t="s">
        <v>2720</v>
      </c>
      <c r="X449" s="2" t="s">
        <v>451</v>
      </c>
      <c r="Y449" s="2" t="s">
        <v>2136</v>
      </c>
      <c r="Z449" s="4">
        <v>80</v>
      </c>
      <c r="AA449" s="4">
        <f>=ROUNDDOWN({0},0)</f>
      </c>
      <c r="AB449" s="5"/>
      <c r="AC449" s="2" t="s">
        <v>2721</v>
      </c>
      <c r="AD449" s="4">
        <v>80</v>
      </c>
      <c r="AE449" s="4">
        <v>80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233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233</v>
      </c>
      <c r="AW449" s="8" t="s">
        <v>233</v>
      </c>
      <c r="AX449" s="4" t="s">
        <v>233</v>
      </c>
      <c r="AY449" s="8" t="s">
        <v>233</v>
      </c>
      <c r="AZ449" s="7" t="s">
        <v>233</v>
      </c>
      <c r="BA449" s="7" t="s">
        <v>233</v>
      </c>
      <c r="BB449" s="7"/>
      <c r="BC449" s="4" t="s">
        <v>233</v>
      </c>
      <c r="BD449" s="8" t="s">
        <v>233</v>
      </c>
      <c r="BE449" s="4" t="s">
        <v>233</v>
      </c>
      <c r="BF449" s="8" t="s">
        <v>233</v>
      </c>
      <c r="BG449" s="7" t="s">
        <v>233</v>
      </c>
      <c r="BH449" s="7" t="s">
        <v>233</v>
      </c>
      <c r="BI449" s="7"/>
      <c r="BJ449" s="4"/>
      <c r="BK449" s="8"/>
      <c r="BL449" s="2" t="s">
        <v>233</v>
      </c>
      <c r="BM449" s="7"/>
      <c r="BN449" s="7"/>
      <c r="BO449" s="4"/>
      <c r="BP449" s="8"/>
      <c r="BQ449" s="4"/>
      <c r="BR449" s="8"/>
      <c r="BS449" s="7"/>
      <c r="BT449" s="7"/>
      <c r="BU449" s="2" t="s">
        <v>2722</v>
      </c>
      <c r="BV449" s="2" t="s">
        <v>233</v>
      </c>
      <c r="BW449" s="2" t="s">
        <v>233</v>
      </c>
      <c r="BX449" s="2" t="s">
        <v>243</v>
      </c>
      <c r="BY449" s="2" t="s">
        <v>280</v>
      </c>
      <c r="BZ449" s="2" t="s">
        <v>245</v>
      </c>
      <c r="CA449" s="2" t="s">
        <v>2564</v>
      </c>
      <c r="CB449" s="2" t="s">
        <v>233</v>
      </c>
      <c r="CC449" s="2" t="s">
        <v>246</v>
      </c>
      <c r="CD449" s="2" t="s">
        <v>233</v>
      </c>
      <c r="CE449" s="4">
        <v>80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>
        <v>80</v>
      </c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</row>
    <row r="450">
      <c r="A450" s="2" t="s">
        <v>2723</v>
      </c>
      <c r="B450" s="2" t="s">
        <v>1242</v>
      </c>
      <c r="C450" s="2" t="s">
        <v>1335</v>
      </c>
      <c r="D450" s="2" t="s">
        <v>969</v>
      </c>
      <c r="E450" s="2" t="s">
        <v>970</v>
      </c>
      <c r="F450" s="2" t="s">
        <v>2716</v>
      </c>
      <c r="G450" s="2" t="s">
        <v>2716</v>
      </c>
      <c r="H450" s="2" t="s">
        <v>2716</v>
      </c>
      <c r="I450" s="2" t="s">
        <v>2717</v>
      </c>
      <c r="J450" s="2" t="s">
        <v>981</v>
      </c>
      <c r="K450" s="2" t="s">
        <v>1201</v>
      </c>
      <c r="L450" s="3">
        <v>59.42</v>
      </c>
      <c r="M450" s="3">
        <v>62.39</v>
      </c>
      <c r="N450" s="3">
        <v>129.99</v>
      </c>
      <c r="O450" s="2" t="s">
        <v>245</v>
      </c>
      <c r="P450" s="2" t="s">
        <v>238</v>
      </c>
      <c r="Q450" s="2" t="s">
        <v>239</v>
      </c>
      <c r="R450" s="2" t="s">
        <v>233</v>
      </c>
      <c r="S450" s="2" t="s">
        <v>2718</v>
      </c>
      <c r="T450" s="2" t="s">
        <v>1481</v>
      </c>
      <c r="U450" s="2" t="s">
        <v>475</v>
      </c>
      <c r="V450" s="2" t="s">
        <v>2719</v>
      </c>
      <c r="W450" s="2" t="s">
        <v>2720</v>
      </c>
      <c r="X450" s="2" t="s">
        <v>451</v>
      </c>
      <c r="Y450" s="2" t="s">
        <v>2724</v>
      </c>
      <c r="Z450" s="4">
        <v>188</v>
      </c>
      <c r="AA450" s="4">
        <f>=ROUNDDOWN(376,0)</f>
      </c>
      <c r="AB450" s="5">
        <v>0.5</v>
      </c>
      <c r="AC450" s="2" t="s">
        <v>2721</v>
      </c>
      <c r="AD450" s="4">
        <v>190</v>
      </c>
      <c r="AE450" s="4">
        <v>190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233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233</v>
      </c>
      <c r="AW450" s="8" t="s">
        <v>233</v>
      </c>
      <c r="AX450" s="4" t="s">
        <v>233</v>
      </c>
      <c r="AY450" s="8" t="s">
        <v>233</v>
      </c>
      <c r="AZ450" s="7" t="s">
        <v>233</v>
      </c>
      <c r="BA450" s="7" t="s">
        <v>233</v>
      </c>
      <c r="BB450" s="7"/>
      <c r="BC450" s="4" t="s">
        <v>233</v>
      </c>
      <c r="BD450" s="8" t="s">
        <v>233</v>
      </c>
      <c r="BE450" s="4" t="s">
        <v>233</v>
      </c>
      <c r="BF450" s="8" t="s">
        <v>233</v>
      </c>
      <c r="BG450" s="7" t="s">
        <v>233</v>
      </c>
      <c r="BH450" s="7" t="s">
        <v>233</v>
      </c>
      <c r="BI450" s="7"/>
      <c r="BJ450" s="4"/>
      <c r="BK450" s="8"/>
      <c r="BL450" s="2" t="s">
        <v>233</v>
      </c>
      <c r="BM450" s="7"/>
      <c r="BN450" s="7"/>
      <c r="BO450" s="4"/>
      <c r="BP450" s="8"/>
      <c r="BQ450" s="4"/>
      <c r="BR450" s="8"/>
      <c r="BS450" s="7"/>
      <c r="BT450" s="7"/>
      <c r="BU450" s="2" t="s">
        <v>2725</v>
      </c>
      <c r="BV450" s="2" t="s">
        <v>233</v>
      </c>
      <c r="BW450" s="2" t="s">
        <v>233</v>
      </c>
      <c r="BX450" s="2" t="s">
        <v>243</v>
      </c>
      <c r="BY450" s="2" t="s">
        <v>280</v>
      </c>
      <c r="BZ450" s="2" t="s">
        <v>245</v>
      </c>
      <c r="CA450" s="2" t="s">
        <v>2564</v>
      </c>
      <c r="CB450" s="2" t="s">
        <v>233</v>
      </c>
      <c r="CC450" s="2" t="s">
        <v>246</v>
      </c>
      <c r="CD450" s="2" t="s">
        <v>233</v>
      </c>
      <c r="CE450" s="4">
        <v>188</v>
      </c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>
        <v>190</v>
      </c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</row>
    <row r="451">
      <c r="A451" s="2" t="s">
        <v>2726</v>
      </c>
      <c r="B451" s="2" t="s">
        <v>1242</v>
      </c>
      <c r="C451" s="2" t="s">
        <v>1335</v>
      </c>
      <c r="D451" s="2" t="s">
        <v>969</v>
      </c>
      <c r="E451" s="2" t="s">
        <v>970</v>
      </c>
      <c r="F451" s="2" t="s">
        <v>2716</v>
      </c>
      <c r="G451" s="2" t="s">
        <v>2716</v>
      </c>
      <c r="H451" s="2" t="s">
        <v>2716</v>
      </c>
      <c r="I451" s="2" t="s">
        <v>2717</v>
      </c>
      <c r="J451" s="2" t="s">
        <v>1142</v>
      </c>
      <c r="K451" s="2" t="s">
        <v>1201</v>
      </c>
      <c r="L451" s="3">
        <v>68.57</v>
      </c>
      <c r="M451" s="3">
        <v>72</v>
      </c>
      <c r="N451" s="3">
        <v>149.99</v>
      </c>
      <c r="O451" s="2" t="s">
        <v>245</v>
      </c>
      <c r="P451" s="2" t="s">
        <v>238</v>
      </c>
      <c r="Q451" s="2" t="s">
        <v>239</v>
      </c>
      <c r="R451" s="2" t="s">
        <v>233</v>
      </c>
      <c r="S451" s="2" t="s">
        <v>2718</v>
      </c>
      <c r="T451" s="2" t="s">
        <v>1481</v>
      </c>
      <c r="U451" s="2" t="s">
        <v>475</v>
      </c>
      <c r="V451" s="2" t="s">
        <v>2719</v>
      </c>
      <c r="W451" s="2" t="s">
        <v>2720</v>
      </c>
      <c r="X451" s="2" t="s">
        <v>451</v>
      </c>
      <c r="Y451" s="2" t="s">
        <v>2136</v>
      </c>
      <c r="Z451" s="4">
        <v>130</v>
      </c>
      <c r="AA451" s="4">
        <f>=ROUNDDOWN({0},0)</f>
      </c>
      <c r="AB451" s="5"/>
      <c r="AC451" s="2" t="s">
        <v>2721</v>
      </c>
      <c r="AD451" s="4">
        <v>130</v>
      </c>
      <c r="AE451" s="4">
        <v>130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233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233</v>
      </c>
      <c r="AW451" s="8" t="s">
        <v>233</v>
      </c>
      <c r="AX451" s="4" t="s">
        <v>233</v>
      </c>
      <c r="AY451" s="8" t="s">
        <v>233</v>
      </c>
      <c r="AZ451" s="7" t="s">
        <v>233</v>
      </c>
      <c r="BA451" s="7" t="s">
        <v>233</v>
      </c>
      <c r="BB451" s="7"/>
      <c r="BC451" s="4" t="s">
        <v>233</v>
      </c>
      <c r="BD451" s="8" t="s">
        <v>233</v>
      </c>
      <c r="BE451" s="4" t="s">
        <v>233</v>
      </c>
      <c r="BF451" s="8" t="s">
        <v>233</v>
      </c>
      <c r="BG451" s="7" t="s">
        <v>233</v>
      </c>
      <c r="BH451" s="7" t="s">
        <v>233</v>
      </c>
      <c r="BI451" s="7"/>
      <c r="BJ451" s="4"/>
      <c r="BK451" s="8"/>
      <c r="BL451" s="2" t="s">
        <v>233</v>
      </c>
      <c r="BM451" s="7"/>
      <c r="BN451" s="7"/>
      <c r="BO451" s="4"/>
      <c r="BP451" s="8"/>
      <c r="BQ451" s="4"/>
      <c r="BR451" s="8"/>
      <c r="BS451" s="7"/>
      <c r="BT451" s="7"/>
      <c r="BU451" s="2" t="s">
        <v>2727</v>
      </c>
      <c r="BV451" s="2" t="s">
        <v>233</v>
      </c>
      <c r="BW451" s="2" t="s">
        <v>233</v>
      </c>
      <c r="BX451" s="2" t="s">
        <v>243</v>
      </c>
      <c r="BY451" s="2" t="s">
        <v>280</v>
      </c>
      <c r="BZ451" s="2" t="s">
        <v>245</v>
      </c>
      <c r="CA451" s="2" t="s">
        <v>2564</v>
      </c>
      <c r="CB451" s="2" t="s">
        <v>233</v>
      </c>
      <c r="CC451" s="2" t="s">
        <v>246</v>
      </c>
      <c r="CD451" s="2" t="s">
        <v>233</v>
      </c>
      <c r="CE451" s="4">
        <v>130</v>
      </c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>
        <v>130</v>
      </c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</row>
    <row r="452">
      <c r="A452" s="2" t="s">
        <v>2728</v>
      </c>
      <c r="B452" s="2" t="s">
        <v>910</v>
      </c>
      <c r="C452" s="2" t="s">
        <v>911</v>
      </c>
      <c r="D452" s="2" t="s">
        <v>969</v>
      </c>
      <c r="E452" s="2" t="s">
        <v>970</v>
      </c>
      <c r="F452" s="2" t="s">
        <v>2729</v>
      </c>
      <c r="G452" s="2" t="s">
        <v>2730</v>
      </c>
      <c r="H452" s="2" t="s">
        <v>2731</v>
      </c>
      <c r="I452" s="2" t="s">
        <v>2732</v>
      </c>
      <c r="J452" s="2" t="s">
        <v>918</v>
      </c>
      <c r="K452" s="2" t="s">
        <v>271</v>
      </c>
      <c r="L452" s="3">
        <v>33.33</v>
      </c>
      <c r="M452" s="3">
        <v>35</v>
      </c>
      <c r="N452" s="3">
        <v>69.99</v>
      </c>
      <c r="O452" s="2" t="s">
        <v>245</v>
      </c>
      <c r="P452" s="2" t="s">
        <v>311</v>
      </c>
      <c r="Q452" s="2" t="s">
        <v>239</v>
      </c>
      <c r="R452" s="2" t="s">
        <v>233</v>
      </c>
      <c r="S452" s="2" t="s">
        <v>2733</v>
      </c>
      <c r="T452" s="2" t="s">
        <v>233</v>
      </c>
      <c r="U452" s="2" t="s">
        <v>491</v>
      </c>
      <c r="V452" s="2" t="s">
        <v>893</v>
      </c>
      <c r="W452" s="2" t="s">
        <v>275</v>
      </c>
      <c r="X452" s="2" t="s">
        <v>233</v>
      </c>
      <c r="Y452" s="2" t="s">
        <v>827</v>
      </c>
      <c r="Z452" s="4">
        <v>17</v>
      </c>
      <c r="AA452" s="4">
        <f>=ROUNDDOWN(17,0)</f>
      </c>
      <c r="AB452" s="5">
        <v>1</v>
      </c>
      <c r="AC452" s="2" t="s">
        <v>233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233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233</v>
      </c>
      <c r="AW452" s="8" t="s">
        <v>233</v>
      </c>
      <c r="AX452" s="4" t="s">
        <v>233</v>
      </c>
      <c r="AY452" s="8" t="s">
        <v>233</v>
      </c>
      <c r="AZ452" s="7" t="s">
        <v>233</v>
      </c>
      <c r="BA452" s="7" t="s">
        <v>233</v>
      </c>
      <c r="BB452" s="7" t="s">
        <v>233</v>
      </c>
      <c r="BC452" s="4" t="s">
        <v>233</v>
      </c>
      <c r="BD452" s="8" t="s">
        <v>233</v>
      </c>
      <c r="BE452" s="4" t="s">
        <v>233</v>
      </c>
      <c r="BF452" s="8" t="s">
        <v>233</v>
      </c>
      <c r="BG452" s="7" t="s">
        <v>233</v>
      </c>
      <c r="BH452" s="7" t="s">
        <v>233</v>
      </c>
      <c r="BI452" s="7"/>
      <c r="BJ452" s="4">
        <v>3</v>
      </c>
      <c r="BK452" s="8">
        <v>113.4</v>
      </c>
      <c r="BL452" s="2" t="s">
        <v>492</v>
      </c>
      <c r="BM452" s="7"/>
      <c r="BN452" s="7"/>
      <c r="BO452" s="4"/>
      <c r="BP452" s="8"/>
      <c r="BQ452" s="4"/>
      <c r="BR452" s="8"/>
      <c r="BS452" s="7"/>
      <c r="BT452" s="7"/>
      <c r="BU452" s="2" t="s">
        <v>2734</v>
      </c>
      <c r="BV452" s="2" t="s">
        <v>233</v>
      </c>
      <c r="BW452" s="2" t="s">
        <v>233</v>
      </c>
      <c r="BX452" s="2" t="s">
        <v>233</v>
      </c>
      <c r="BY452" s="2" t="s">
        <v>280</v>
      </c>
      <c r="BZ452" s="2" t="s">
        <v>245</v>
      </c>
      <c r="CA452" s="2" t="s">
        <v>1881</v>
      </c>
      <c r="CB452" s="2" t="s">
        <v>2735</v>
      </c>
      <c r="CC452" s="2" t="s">
        <v>246</v>
      </c>
      <c r="CD452" s="2" t="s">
        <v>233</v>
      </c>
      <c r="CE452" s="4">
        <v>17</v>
      </c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</row>
    <row r="453">
      <c r="A453" s="2" t="s">
        <v>2736</v>
      </c>
      <c r="B453" s="2" t="s">
        <v>910</v>
      </c>
      <c r="C453" s="2" t="s">
        <v>911</v>
      </c>
      <c r="D453" s="2" t="s">
        <v>912</v>
      </c>
      <c r="E453" s="2" t="s">
        <v>1139</v>
      </c>
      <c r="F453" s="2" t="s">
        <v>2729</v>
      </c>
      <c r="G453" s="2" t="s">
        <v>2730</v>
      </c>
      <c r="H453" s="2" t="s">
        <v>2731</v>
      </c>
      <c r="I453" s="2" t="s">
        <v>2737</v>
      </c>
      <c r="J453" s="2" t="s">
        <v>918</v>
      </c>
      <c r="K453" s="2" t="s">
        <v>271</v>
      </c>
      <c r="L453" s="3">
        <v>26.19</v>
      </c>
      <c r="M453" s="3">
        <v>27.5</v>
      </c>
      <c r="N453" s="3">
        <v>54.99</v>
      </c>
      <c r="O453" s="2" t="s">
        <v>245</v>
      </c>
      <c r="P453" s="2" t="s">
        <v>311</v>
      </c>
      <c r="Q453" s="2" t="s">
        <v>239</v>
      </c>
      <c r="R453" s="2" t="s">
        <v>233</v>
      </c>
      <c r="S453" s="2" t="s">
        <v>2733</v>
      </c>
      <c r="T453" s="2" t="s">
        <v>233</v>
      </c>
      <c r="U453" s="2" t="s">
        <v>491</v>
      </c>
      <c r="V453" s="2" t="s">
        <v>893</v>
      </c>
      <c r="W453" s="2" t="s">
        <v>275</v>
      </c>
      <c r="X453" s="2" t="s">
        <v>233</v>
      </c>
      <c r="Y453" s="2" t="s">
        <v>827</v>
      </c>
      <c r="Z453" s="4">
        <v>14</v>
      </c>
      <c r="AA453" s="4">
        <f>=ROUNDDOWN(14,0)</f>
      </c>
      <c r="AB453" s="5">
        <v>1</v>
      </c>
      <c r="AC453" s="2" t="s">
        <v>233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233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233</v>
      </c>
      <c r="AW453" s="8" t="s">
        <v>233</v>
      </c>
      <c r="AX453" s="4" t="s">
        <v>233</v>
      </c>
      <c r="AY453" s="8" t="s">
        <v>233</v>
      </c>
      <c r="AZ453" s="7" t="s">
        <v>233</v>
      </c>
      <c r="BA453" s="7" t="s">
        <v>233</v>
      </c>
      <c r="BB453" s="7" t="s">
        <v>233</v>
      </c>
      <c r="BC453" s="4" t="s">
        <v>233</v>
      </c>
      <c r="BD453" s="8" t="s">
        <v>233</v>
      </c>
      <c r="BE453" s="4" t="s">
        <v>233</v>
      </c>
      <c r="BF453" s="8" t="s">
        <v>233</v>
      </c>
      <c r="BG453" s="7" t="s">
        <v>233</v>
      </c>
      <c r="BH453" s="7" t="s">
        <v>233</v>
      </c>
      <c r="BI453" s="7"/>
      <c r="BJ453" s="4">
        <v>4</v>
      </c>
      <c r="BK453" s="8">
        <v>118.8</v>
      </c>
      <c r="BL453" s="2" t="s">
        <v>453</v>
      </c>
      <c r="BM453" s="7"/>
      <c r="BN453" s="7"/>
      <c r="BO453" s="4"/>
      <c r="BP453" s="8"/>
      <c r="BQ453" s="4"/>
      <c r="BR453" s="8"/>
      <c r="BS453" s="7"/>
      <c r="BT453" s="7"/>
      <c r="BU453" s="2" t="s">
        <v>2738</v>
      </c>
      <c r="BV453" s="2" t="s">
        <v>233</v>
      </c>
      <c r="BW453" s="2" t="s">
        <v>233</v>
      </c>
      <c r="BX453" s="2" t="s">
        <v>233</v>
      </c>
      <c r="BY453" s="2" t="s">
        <v>280</v>
      </c>
      <c r="BZ453" s="2" t="s">
        <v>245</v>
      </c>
      <c r="CA453" s="2" t="s">
        <v>2739</v>
      </c>
      <c r="CB453" s="2" t="s">
        <v>750</v>
      </c>
      <c r="CC453" s="2" t="s">
        <v>246</v>
      </c>
      <c r="CD453" s="2" t="s">
        <v>233</v>
      </c>
      <c r="CE453" s="4">
        <v>14</v>
      </c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</row>
    <row r="454">
      <c r="A454" s="2" t="s">
        <v>2740</v>
      </c>
      <c r="B454" s="2" t="s">
        <v>910</v>
      </c>
      <c r="C454" s="2" t="s">
        <v>911</v>
      </c>
      <c r="D454" s="2" t="s">
        <v>912</v>
      </c>
      <c r="E454" s="2" t="s">
        <v>1139</v>
      </c>
      <c r="F454" s="2" t="s">
        <v>2729</v>
      </c>
      <c r="G454" s="2" t="s">
        <v>2730</v>
      </c>
      <c r="H454" s="2" t="s">
        <v>2731</v>
      </c>
      <c r="I454" s="2" t="s">
        <v>2737</v>
      </c>
      <c r="J454" s="2" t="s">
        <v>981</v>
      </c>
      <c r="K454" s="2" t="s">
        <v>271</v>
      </c>
      <c r="L454" s="3">
        <v>30.95</v>
      </c>
      <c r="M454" s="3">
        <v>32.5</v>
      </c>
      <c r="N454" s="3">
        <v>64.99</v>
      </c>
      <c r="O454" s="2" t="s">
        <v>245</v>
      </c>
      <c r="P454" s="2" t="s">
        <v>311</v>
      </c>
      <c r="Q454" s="2" t="s">
        <v>239</v>
      </c>
      <c r="R454" s="2" t="s">
        <v>233</v>
      </c>
      <c r="S454" s="2" t="s">
        <v>2733</v>
      </c>
      <c r="T454" s="2" t="s">
        <v>233</v>
      </c>
      <c r="U454" s="2" t="s">
        <v>475</v>
      </c>
      <c r="V454" s="2" t="s">
        <v>893</v>
      </c>
      <c r="W454" s="2" t="s">
        <v>275</v>
      </c>
      <c r="X454" s="2" t="s">
        <v>233</v>
      </c>
      <c r="Y454" s="2" t="s">
        <v>827</v>
      </c>
      <c r="Z454" s="4">
        <v>51</v>
      </c>
      <c r="AA454" s="4">
        <f>=ROUNDDOWN(72.8571428571428,0)</f>
      </c>
      <c r="AB454" s="5">
        <v>0.7</v>
      </c>
      <c r="AC454" s="2" t="s">
        <v>233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233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233</v>
      </c>
      <c r="AW454" s="8" t="s">
        <v>233</v>
      </c>
      <c r="AX454" s="4" t="s">
        <v>233</v>
      </c>
      <c r="AY454" s="8" t="s">
        <v>233</v>
      </c>
      <c r="AZ454" s="7" t="s">
        <v>233</v>
      </c>
      <c r="BA454" s="7" t="s">
        <v>233</v>
      </c>
      <c r="BB454" s="7"/>
      <c r="BC454" s="4" t="s">
        <v>233</v>
      </c>
      <c r="BD454" s="8" t="s">
        <v>233</v>
      </c>
      <c r="BE454" s="4" t="s">
        <v>233</v>
      </c>
      <c r="BF454" s="8" t="s">
        <v>233</v>
      </c>
      <c r="BG454" s="7" t="s">
        <v>233</v>
      </c>
      <c r="BH454" s="7" t="s">
        <v>233</v>
      </c>
      <c r="BI454" s="7"/>
      <c r="BJ454" s="4">
        <v>3</v>
      </c>
      <c r="BK454" s="8">
        <v>94.08</v>
      </c>
      <c r="BL454" s="2" t="s">
        <v>2741</v>
      </c>
      <c r="BM454" s="7"/>
      <c r="BN454" s="7"/>
      <c r="BO454" s="4"/>
      <c r="BP454" s="8"/>
      <c r="BQ454" s="4"/>
      <c r="BR454" s="8"/>
      <c r="BS454" s="7"/>
      <c r="BT454" s="7"/>
      <c r="BU454" s="2" t="s">
        <v>2742</v>
      </c>
      <c r="BV454" s="2" t="s">
        <v>233</v>
      </c>
      <c r="BW454" s="2" t="s">
        <v>233</v>
      </c>
      <c r="BX454" s="2" t="s">
        <v>233</v>
      </c>
      <c r="BY454" s="2" t="s">
        <v>280</v>
      </c>
      <c r="BZ454" s="2" t="s">
        <v>245</v>
      </c>
      <c r="CA454" s="2" t="s">
        <v>2739</v>
      </c>
      <c r="CB454" s="2" t="s">
        <v>2743</v>
      </c>
      <c r="CC454" s="2" t="s">
        <v>246</v>
      </c>
      <c r="CD454" s="2" t="s">
        <v>233</v>
      </c>
      <c r="CE454" s="4">
        <v>51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</row>
    <row r="455">
      <c r="A455" s="2" t="s">
        <v>2744</v>
      </c>
      <c r="B455" s="2" t="s">
        <v>228</v>
      </c>
      <c r="C455" s="2" t="s">
        <v>901</v>
      </c>
      <c r="D455" s="2" t="s">
        <v>487</v>
      </c>
      <c r="E455" s="2" t="s">
        <v>488</v>
      </c>
      <c r="F455" s="2" t="s">
        <v>2745</v>
      </c>
      <c r="G455" s="2" t="s">
        <v>2745</v>
      </c>
      <c r="H455" s="2" t="s">
        <v>2745</v>
      </c>
      <c r="I455" s="2" t="s">
        <v>2746</v>
      </c>
      <c r="J455" s="2" t="s">
        <v>2747</v>
      </c>
      <c r="K455" s="2" t="s">
        <v>984</v>
      </c>
      <c r="L455" s="3">
        <v>10.58</v>
      </c>
      <c r="M455" s="3">
        <v>11.11</v>
      </c>
      <c r="N455" s="3">
        <v>22.99</v>
      </c>
      <c r="O455" s="2" t="s">
        <v>245</v>
      </c>
      <c r="P455" s="2" t="s">
        <v>238</v>
      </c>
      <c r="Q455" s="2" t="s">
        <v>239</v>
      </c>
      <c r="R455" s="2" t="s">
        <v>233</v>
      </c>
      <c r="S455" s="2" t="s">
        <v>2748</v>
      </c>
      <c r="T455" s="2" t="s">
        <v>2749</v>
      </c>
      <c r="U455" s="2" t="s">
        <v>396</v>
      </c>
      <c r="V455" s="2" t="s">
        <v>241</v>
      </c>
      <c r="W455" s="2" t="s">
        <v>275</v>
      </c>
      <c r="X455" s="2" t="s">
        <v>1056</v>
      </c>
      <c r="Y455" s="2" t="s">
        <v>754</v>
      </c>
      <c r="Z455" s="4">
        <v>359</v>
      </c>
      <c r="AA455" s="4">
        <f>=ROUNDDOWN(29.9166666666667,0)</f>
      </c>
      <c r="AB455" s="5">
        <v>12</v>
      </c>
      <c r="AC455" s="2" t="s">
        <v>547</v>
      </c>
      <c r="AD455" s="4">
        <v>192</v>
      </c>
      <c r="AE455" s="4">
        <v>192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233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233</v>
      </c>
      <c r="AW455" s="8" t="s">
        <v>233</v>
      </c>
      <c r="AX455" s="4" t="s">
        <v>233</v>
      </c>
      <c r="AY455" s="8" t="s">
        <v>233</v>
      </c>
      <c r="AZ455" s="7" t="s">
        <v>233</v>
      </c>
      <c r="BA455" s="7" t="s">
        <v>233</v>
      </c>
      <c r="BB455" s="7"/>
      <c r="BC455" s="4" t="s">
        <v>233</v>
      </c>
      <c r="BD455" s="8" t="s">
        <v>233</v>
      </c>
      <c r="BE455" s="4" t="s">
        <v>233</v>
      </c>
      <c r="BF455" s="8" t="s">
        <v>233</v>
      </c>
      <c r="BG455" s="7" t="s">
        <v>233</v>
      </c>
      <c r="BH455" s="7" t="s">
        <v>233</v>
      </c>
      <c r="BI455" s="7"/>
      <c r="BJ455" s="4">
        <v>16</v>
      </c>
      <c r="BK455" s="8">
        <v>190.72</v>
      </c>
      <c r="BL455" s="2" t="s">
        <v>2750</v>
      </c>
      <c r="BM455" s="7"/>
      <c r="BN455" s="7"/>
      <c r="BO455" s="4"/>
      <c r="BP455" s="8"/>
      <c r="BQ455" s="4"/>
      <c r="BR455" s="8"/>
      <c r="BS455" s="7"/>
      <c r="BT455" s="7"/>
      <c r="BU455" s="2" t="s">
        <v>2751</v>
      </c>
      <c r="BV455" s="2" t="s">
        <v>233</v>
      </c>
      <c r="BW455" s="2" t="s">
        <v>233</v>
      </c>
      <c r="BX455" s="2" t="s">
        <v>243</v>
      </c>
      <c r="BY455" s="2" t="s">
        <v>280</v>
      </c>
      <c r="BZ455" s="2" t="s">
        <v>245</v>
      </c>
      <c r="CA455" s="2" t="s">
        <v>908</v>
      </c>
      <c r="CB455" s="2" t="s">
        <v>1109</v>
      </c>
      <c r="CC455" s="2" t="s">
        <v>246</v>
      </c>
      <c r="CD455" s="2" t="s">
        <v>233</v>
      </c>
      <c r="CE455" s="4">
        <v>359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>
        <v>192</v>
      </c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</row>
    <row r="456">
      <c r="A456" s="2" t="s">
        <v>2752</v>
      </c>
      <c r="B456" s="2" t="s">
        <v>228</v>
      </c>
      <c r="C456" s="2" t="s">
        <v>901</v>
      </c>
      <c r="D456" s="2" t="s">
        <v>487</v>
      </c>
      <c r="E456" s="2" t="s">
        <v>488</v>
      </c>
      <c r="F456" s="2" t="s">
        <v>2745</v>
      </c>
      <c r="G456" s="2" t="s">
        <v>2745</v>
      </c>
      <c r="H456" s="2" t="s">
        <v>2745</v>
      </c>
      <c r="I456" s="2" t="s">
        <v>2753</v>
      </c>
      <c r="J456" s="2" t="s">
        <v>1200</v>
      </c>
      <c r="K456" s="2" t="s">
        <v>984</v>
      </c>
      <c r="L456" s="3">
        <v>12.96</v>
      </c>
      <c r="M456" s="3">
        <v>13.61</v>
      </c>
      <c r="N456" s="3">
        <v>26.99</v>
      </c>
      <c r="O456" s="2" t="s">
        <v>245</v>
      </c>
      <c r="P456" s="2" t="s">
        <v>238</v>
      </c>
      <c r="Q456" s="2" t="s">
        <v>239</v>
      </c>
      <c r="R456" s="2" t="s">
        <v>233</v>
      </c>
      <c r="S456" s="2" t="s">
        <v>2748</v>
      </c>
      <c r="T456" s="2" t="s">
        <v>2749</v>
      </c>
      <c r="U456" s="2" t="s">
        <v>396</v>
      </c>
      <c r="V456" s="2" t="s">
        <v>241</v>
      </c>
      <c r="W456" s="2" t="s">
        <v>275</v>
      </c>
      <c r="X456" s="2" t="s">
        <v>1056</v>
      </c>
      <c r="Y456" s="2" t="s">
        <v>754</v>
      </c>
      <c r="Z456" s="4">
        <v>498</v>
      </c>
      <c r="AA456" s="4">
        <f>=ROUNDDOWN(33.2,0)</f>
      </c>
      <c r="AB456" s="5">
        <v>15</v>
      </c>
      <c r="AC456" s="2" t="s">
        <v>547</v>
      </c>
      <c r="AD456" s="4">
        <v>240</v>
      </c>
      <c r="AE456" s="4">
        <v>240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233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233</v>
      </c>
      <c r="AW456" s="8" t="s">
        <v>233</v>
      </c>
      <c r="AX456" s="4" t="s">
        <v>233</v>
      </c>
      <c r="AY456" s="8" t="s">
        <v>233</v>
      </c>
      <c r="AZ456" s="7" t="s">
        <v>233</v>
      </c>
      <c r="BA456" s="7" t="s">
        <v>233</v>
      </c>
      <c r="BB456" s="7"/>
      <c r="BC456" s="4" t="s">
        <v>233</v>
      </c>
      <c r="BD456" s="8" t="s">
        <v>233</v>
      </c>
      <c r="BE456" s="4" t="s">
        <v>233</v>
      </c>
      <c r="BF456" s="8" t="s">
        <v>233</v>
      </c>
      <c r="BG456" s="7" t="s">
        <v>233</v>
      </c>
      <c r="BH456" s="7" t="s">
        <v>233</v>
      </c>
      <c r="BI456" s="7"/>
      <c r="BJ456" s="4"/>
      <c r="BK456" s="8"/>
      <c r="BL456" s="2" t="s">
        <v>233</v>
      </c>
      <c r="BM456" s="7"/>
      <c r="BN456" s="7"/>
      <c r="BO456" s="4"/>
      <c r="BP456" s="8"/>
      <c r="BQ456" s="4"/>
      <c r="BR456" s="8"/>
      <c r="BS456" s="7"/>
      <c r="BT456" s="7"/>
      <c r="BU456" s="2" t="s">
        <v>2754</v>
      </c>
      <c r="BV456" s="2" t="s">
        <v>233</v>
      </c>
      <c r="BW456" s="2" t="s">
        <v>233</v>
      </c>
      <c r="BX456" s="2" t="s">
        <v>243</v>
      </c>
      <c r="BY456" s="2" t="s">
        <v>280</v>
      </c>
      <c r="BZ456" s="2" t="s">
        <v>245</v>
      </c>
      <c r="CA456" s="2" t="s">
        <v>908</v>
      </c>
      <c r="CB456" s="2" t="s">
        <v>233</v>
      </c>
      <c r="CC456" s="2" t="s">
        <v>246</v>
      </c>
      <c r="CD456" s="2" t="s">
        <v>233</v>
      </c>
      <c r="CE456" s="4">
        <v>498</v>
      </c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>
        <v>240</v>
      </c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</row>
    <row r="457">
      <c r="A457" s="2" t="s">
        <v>2755</v>
      </c>
      <c r="B457" s="2" t="s">
        <v>228</v>
      </c>
      <c r="C457" s="2" t="s">
        <v>901</v>
      </c>
      <c r="D457" s="2" t="s">
        <v>487</v>
      </c>
      <c r="E457" s="2" t="s">
        <v>488</v>
      </c>
      <c r="F457" s="2" t="s">
        <v>2745</v>
      </c>
      <c r="G457" s="2" t="s">
        <v>2745</v>
      </c>
      <c r="H457" s="2" t="s">
        <v>2745</v>
      </c>
      <c r="I457" s="2" t="s">
        <v>2756</v>
      </c>
      <c r="J457" s="2" t="s">
        <v>2757</v>
      </c>
      <c r="K457" s="2" t="s">
        <v>984</v>
      </c>
      <c r="L457" s="3">
        <v>18.4</v>
      </c>
      <c r="M457" s="3">
        <v>19.32</v>
      </c>
      <c r="N457" s="3">
        <v>39.99</v>
      </c>
      <c r="O457" s="2" t="s">
        <v>245</v>
      </c>
      <c r="P457" s="2" t="s">
        <v>238</v>
      </c>
      <c r="Q457" s="2" t="s">
        <v>239</v>
      </c>
      <c r="R457" s="2" t="s">
        <v>233</v>
      </c>
      <c r="S457" s="2" t="s">
        <v>2748</v>
      </c>
      <c r="T457" s="2" t="s">
        <v>2749</v>
      </c>
      <c r="U457" s="2" t="s">
        <v>396</v>
      </c>
      <c r="V457" s="2" t="s">
        <v>241</v>
      </c>
      <c r="W457" s="2" t="s">
        <v>275</v>
      </c>
      <c r="X457" s="2" t="s">
        <v>1056</v>
      </c>
      <c r="Y457" s="2" t="s">
        <v>754</v>
      </c>
      <c r="Z457" s="4">
        <v>288</v>
      </c>
      <c r="AA457" s="4">
        <f>=ROUNDDOWN(28.8,0)</f>
      </c>
      <c r="AB457" s="5">
        <v>10</v>
      </c>
      <c r="AC457" s="2" t="s">
        <v>547</v>
      </c>
      <c r="AD457" s="4">
        <v>144</v>
      </c>
      <c r="AE457" s="4">
        <v>144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233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233</v>
      </c>
      <c r="AW457" s="8" t="s">
        <v>233</v>
      </c>
      <c r="AX457" s="4" t="s">
        <v>233</v>
      </c>
      <c r="AY457" s="8" t="s">
        <v>233</v>
      </c>
      <c r="AZ457" s="7" t="s">
        <v>233</v>
      </c>
      <c r="BA457" s="7" t="s">
        <v>233</v>
      </c>
      <c r="BB457" s="7"/>
      <c r="BC457" s="4" t="s">
        <v>233</v>
      </c>
      <c r="BD457" s="8" t="s">
        <v>233</v>
      </c>
      <c r="BE457" s="4" t="s">
        <v>233</v>
      </c>
      <c r="BF457" s="8" t="s">
        <v>233</v>
      </c>
      <c r="BG457" s="7" t="s">
        <v>233</v>
      </c>
      <c r="BH457" s="7" t="s">
        <v>233</v>
      </c>
      <c r="BI457" s="7"/>
      <c r="BJ457" s="4">
        <v>11</v>
      </c>
      <c r="BK457" s="8">
        <v>236.18</v>
      </c>
      <c r="BL457" s="2" t="s">
        <v>2750</v>
      </c>
      <c r="BM457" s="7"/>
      <c r="BN457" s="7"/>
      <c r="BO457" s="4"/>
      <c r="BP457" s="8"/>
      <c r="BQ457" s="4"/>
      <c r="BR457" s="8"/>
      <c r="BS457" s="7"/>
      <c r="BT457" s="7"/>
      <c r="BU457" s="2" t="s">
        <v>2758</v>
      </c>
      <c r="BV457" s="2" t="s">
        <v>233</v>
      </c>
      <c r="BW457" s="2" t="s">
        <v>233</v>
      </c>
      <c r="BX457" s="2" t="s">
        <v>243</v>
      </c>
      <c r="BY457" s="2" t="s">
        <v>280</v>
      </c>
      <c r="BZ457" s="2" t="s">
        <v>245</v>
      </c>
      <c r="CA457" s="2" t="s">
        <v>908</v>
      </c>
      <c r="CB457" s="2" t="s">
        <v>2234</v>
      </c>
      <c r="CC457" s="2" t="s">
        <v>246</v>
      </c>
      <c r="CD457" s="2" t="s">
        <v>233</v>
      </c>
      <c r="CE457" s="4">
        <v>288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>
        <v>144</v>
      </c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</row>
    <row r="458">
      <c r="A458" s="2" t="s">
        <v>2759</v>
      </c>
      <c r="B458" s="2" t="s">
        <v>228</v>
      </c>
      <c r="C458" s="2" t="s">
        <v>901</v>
      </c>
      <c r="D458" s="2" t="s">
        <v>487</v>
      </c>
      <c r="E458" s="2" t="s">
        <v>488</v>
      </c>
      <c r="F458" s="2" t="s">
        <v>2745</v>
      </c>
      <c r="G458" s="2" t="s">
        <v>2745</v>
      </c>
      <c r="H458" s="2" t="s">
        <v>2745</v>
      </c>
      <c r="I458" s="2" t="s">
        <v>2756</v>
      </c>
      <c r="J458" s="2" t="s">
        <v>2757</v>
      </c>
      <c r="K458" s="2" t="s">
        <v>449</v>
      </c>
      <c r="L458" s="3">
        <v>18.4</v>
      </c>
      <c r="M458" s="3">
        <v>19.32</v>
      </c>
      <c r="N458" s="3">
        <v>39.99</v>
      </c>
      <c r="O458" s="2" t="s">
        <v>245</v>
      </c>
      <c r="P458" s="2" t="s">
        <v>238</v>
      </c>
      <c r="Q458" s="2" t="s">
        <v>239</v>
      </c>
      <c r="R458" s="2" t="s">
        <v>233</v>
      </c>
      <c r="S458" s="2" t="s">
        <v>2760</v>
      </c>
      <c r="T458" s="2" t="s">
        <v>2749</v>
      </c>
      <c r="U458" s="2" t="s">
        <v>396</v>
      </c>
      <c r="V458" s="2" t="s">
        <v>241</v>
      </c>
      <c r="W458" s="2" t="s">
        <v>275</v>
      </c>
      <c r="X458" s="2" t="s">
        <v>1056</v>
      </c>
      <c r="Y458" s="2" t="s">
        <v>754</v>
      </c>
      <c r="Z458" s="4">
        <v>107</v>
      </c>
      <c r="AA458" s="4">
        <f>=ROUNDDOWN(26.75,0)</f>
      </c>
      <c r="AB458" s="5">
        <v>4</v>
      </c>
      <c r="AC458" s="2" t="s">
        <v>547</v>
      </c>
      <c r="AD458" s="4">
        <v>104</v>
      </c>
      <c r="AE458" s="4">
        <v>104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233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233</v>
      </c>
      <c r="BD458" s="8" t="s">
        <v>233</v>
      </c>
      <c r="BE458" s="4" t="s">
        <v>233</v>
      </c>
      <c r="BF458" s="8" t="s">
        <v>233</v>
      </c>
      <c r="BG458" s="7" t="s">
        <v>233</v>
      </c>
      <c r="BH458" s="7" t="s">
        <v>233</v>
      </c>
      <c r="BI458" s="7"/>
      <c r="BJ458" s="4">
        <v>2</v>
      </c>
      <c r="BK458" s="8">
        <v>38.46</v>
      </c>
      <c r="BL458" s="2" t="s">
        <v>1028</v>
      </c>
      <c r="BM458" s="7"/>
      <c r="BN458" s="7"/>
      <c r="BO458" s="4"/>
      <c r="BP458" s="8"/>
      <c r="BQ458" s="4"/>
      <c r="BR458" s="8"/>
      <c r="BS458" s="7"/>
      <c r="BT458" s="7"/>
      <c r="BU458" s="2" t="s">
        <v>2761</v>
      </c>
      <c r="BV458" s="2" t="s">
        <v>233</v>
      </c>
      <c r="BW458" s="2" t="s">
        <v>233</v>
      </c>
      <c r="BX458" s="2" t="s">
        <v>243</v>
      </c>
      <c r="BY458" s="2" t="s">
        <v>280</v>
      </c>
      <c r="BZ458" s="2" t="s">
        <v>245</v>
      </c>
      <c r="CA458" s="2" t="s">
        <v>908</v>
      </c>
      <c r="CB458" s="2" t="s">
        <v>2762</v>
      </c>
      <c r="CC458" s="2" t="s">
        <v>246</v>
      </c>
      <c r="CD458" s="2" t="s">
        <v>233</v>
      </c>
      <c r="CE458" s="4">
        <v>107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>
        <v>104</v>
      </c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</row>
    <row r="459">
      <c r="A459" s="2" t="s">
        <v>2763</v>
      </c>
      <c r="B459" s="2" t="s">
        <v>228</v>
      </c>
      <c r="C459" s="2" t="s">
        <v>901</v>
      </c>
      <c r="D459" s="2" t="s">
        <v>230</v>
      </c>
      <c r="E459" s="2" t="s">
        <v>231</v>
      </c>
      <c r="F459" s="2" t="s">
        <v>2745</v>
      </c>
      <c r="G459" s="2" t="s">
        <v>2745</v>
      </c>
      <c r="H459" s="2" t="s">
        <v>2745</v>
      </c>
      <c r="I459" s="2" t="s">
        <v>231</v>
      </c>
      <c r="J459" s="2" t="s">
        <v>981</v>
      </c>
      <c r="K459" s="2" t="s">
        <v>255</v>
      </c>
      <c r="L459" s="3">
        <v>36.18</v>
      </c>
      <c r="M459" s="3">
        <v>37.99</v>
      </c>
      <c r="N459" s="3">
        <v>76.99</v>
      </c>
      <c r="O459" s="2" t="s">
        <v>245</v>
      </c>
      <c r="P459" s="2" t="s">
        <v>272</v>
      </c>
      <c r="Q459" s="2" t="s">
        <v>239</v>
      </c>
      <c r="R459" s="2" t="s">
        <v>233</v>
      </c>
      <c r="S459" s="2" t="s">
        <v>2764</v>
      </c>
      <c r="T459" s="2" t="s">
        <v>2749</v>
      </c>
      <c r="U459" s="2" t="s">
        <v>396</v>
      </c>
      <c r="V459" s="2" t="s">
        <v>241</v>
      </c>
      <c r="W459" s="2" t="s">
        <v>275</v>
      </c>
      <c r="X459" s="2" t="s">
        <v>1056</v>
      </c>
      <c r="Y459" s="2" t="s">
        <v>2765</v>
      </c>
      <c r="Z459" s="4">
        <v>237</v>
      </c>
      <c r="AA459" s="4">
        <f>=ROUNDDOWN(39.5,0)</f>
      </c>
      <c r="AB459" s="5">
        <v>6</v>
      </c>
      <c r="AC459" s="2" t="s">
        <v>2766</v>
      </c>
      <c r="AD459" s="4">
        <v>296</v>
      </c>
      <c r="AE459" s="4">
        <v>296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233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233</v>
      </c>
      <c r="AW459" s="8" t="s">
        <v>233</v>
      </c>
      <c r="AX459" s="4" t="s">
        <v>233</v>
      </c>
      <c r="AY459" s="8" t="s">
        <v>233</v>
      </c>
      <c r="AZ459" s="7" t="s">
        <v>233</v>
      </c>
      <c r="BA459" s="7" t="s">
        <v>233</v>
      </c>
      <c r="BB459" s="7"/>
      <c r="BC459" s="4" t="s">
        <v>233</v>
      </c>
      <c r="BD459" s="8" t="s">
        <v>233</v>
      </c>
      <c r="BE459" s="4" t="s">
        <v>233</v>
      </c>
      <c r="BF459" s="8" t="s">
        <v>233</v>
      </c>
      <c r="BG459" s="7" t="s">
        <v>233</v>
      </c>
      <c r="BH459" s="7" t="s">
        <v>233</v>
      </c>
      <c r="BI459" s="7"/>
      <c r="BJ459" s="4">
        <v>15</v>
      </c>
      <c r="BK459" s="8">
        <v>608.52</v>
      </c>
      <c r="BL459" s="2" t="s">
        <v>2767</v>
      </c>
      <c r="BM459" s="7"/>
      <c r="BN459" s="7"/>
      <c r="BO459" s="4"/>
      <c r="BP459" s="8"/>
      <c r="BQ459" s="4"/>
      <c r="BR459" s="8"/>
      <c r="BS459" s="7"/>
      <c r="BT459" s="7"/>
      <c r="BU459" s="2" t="s">
        <v>2768</v>
      </c>
      <c r="BV459" s="2" t="s">
        <v>233</v>
      </c>
      <c r="BW459" s="2" t="s">
        <v>233</v>
      </c>
      <c r="BX459" s="2" t="s">
        <v>233</v>
      </c>
      <c r="BY459" s="2" t="s">
        <v>280</v>
      </c>
      <c r="BZ459" s="2" t="s">
        <v>245</v>
      </c>
      <c r="CA459" s="2" t="s">
        <v>2769</v>
      </c>
      <c r="CB459" s="2" t="s">
        <v>2770</v>
      </c>
      <c r="CC459" s="2" t="s">
        <v>246</v>
      </c>
      <c r="CD459" s="2" t="s">
        <v>233</v>
      </c>
      <c r="CE459" s="4">
        <v>182</v>
      </c>
      <c r="CF459" s="4"/>
      <c r="CG459" s="4"/>
      <c r="CH459" s="4"/>
      <c r="CI459" s="4">
        <v>55</v>
      </c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>
        <v>296</v>
      </c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</row>
    <row r="460">
      <c r="A460" s="2" t="s">
        <v>2771</v>
      </c>
      <c r="B460" s="2" t="s">
        <v>228</v>
      </c>
      <c r="C460" s="2" t="s">
        <v>901</v>
      </c>
      <c r="D460" s="2" t="s">
        <v>230</v>
      </c>
      <c r="E460" s="2" t="s">
        <v>231</v>
      </c>
      <c r="F460" s="2" t="s">
        <v>2745</v>
      </c>
      <c r="G460" s="2" t="s">
        <v>2745</v>
      </c>
      <c r="H460" s="2" t="s">
        <v>2745</v>
      </c>
      <c r="I460" s="2" t="s">
        <v>231</v>
      </c>
      <c r="J460" s="2" t="s">
        <v>328</v>
      </c>
      <c r="K460" s="2" t="s">
        <v>255</v>
      </c>
      <c r="L460" s="3">
        <v>42.4</v>
      </c>
      <c r="M460" s="3">
        <v>44.52</v>
      </c>
      <c r="N460" s="3">
        <v>89.99</v>
      </c>
      <c r="O460" s="2" t="s">
        <v>245</v>
      </c>
      <c r="P460" s="2" t="s">
        <v>272</v>
      </c>
      <c r="Q460" s="2" t="s">
        <v>239</v>
      </c>
      <c r="R460" s="2" t="s">
        <v>233</v>
      </c>
      <c r="S460" s="2" t="s">
        <v>2764</v>
      </c>
      <c r="T460" s="2" t="s">
        <v>2749</v>
      </c>
      <c r="U460" s="2" t="s">
        <v>396</v>
      </c>
      <c r="V460" s="2" t="s">
        <v>241</v>
      </c>
      <c r="W460" s="2" t="s">
        <v>275</v>
      </c>
      <c r="X460" s="2" t="s">
        <v>1056</v>
      </c>
      <c r="Y460" s="2" t="s">
        <v>2765</v>
      </c>
      <c r="Z460" s="4">
        <v>220</v>
      </c>
      <c r="AA460" s="4">
        <f>=ROUNDDOWN(25.8823529411765,0)</f>
      </c>
      <c r="AB460" s="5">
        <v>8.5</v>
      </c>
      <c r="AC460" s="2" t="s">
        <v>2766</v>
      </c>
      <c r="AD460" s="4">
        <v>340</v>
      </c>
      <c r="AE460" s="4">
        <v>340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233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233</v>
      </c>
      <c r="AW460" s="8" t="s">
        <v>233</v>
      </c>
      <c r="AX460" s="4" t="s">
        <v>233</v>
      </c>
      <c r="AY460" s="8" t="s">
        <v>233</v>
      </c>
      <c r="AZ460" s="7" t="s">
        <v>233</v>
      </c>
      <c r="BA460" s="7" t="s">
        <v>233</v>
      </c>
      <c r="BB460" s="7"/>
      <c r="BC460" s="4" t="s">
        <v>233</v>
      </c>
      <c r="BD460" s="8" t="s">
        <v>233</v>
      </c>
      <c r="BE460" s="4" t="s">
        <v>233</v>
      </c>
      <c r="BF460" s="8" t="s">
        <v>233</v>
      </c>
      <c r="BG460" s="7" t="s">
        <v>233</v>
      </c>
      <c r="BH460" s="7" t="s">
        <v>233</v>
      </c>
      <c r="BI460" s="7"/>
      <c r="BJ460" s="4">
        <v>24</v>
      </c>
      <c r="BK460" s="8">
        <v>1114.88</v>
      </c>
      <c r="BL460" s="2" t="s">
        <v>2772</v>
      </c>
      <c r="BM460" s="7"/>
      <c r="BN460" s="7"/>
      <c r="BO460" s="4"/>
      <c r="BP460" s="8"/>
      <c r="BQ460" s="4"/>
      <c r="BR460" s="8"/>
      <c r="BS460" s="7"/>
      <c r="BT460" s="7"/>
      <c r="BU460" s="2" t="s">
        <v>2773</v>
      </c>
      <c r="BV460" s="2" t="s">
        <v>233</v>
      </c>
      <c r="BW460" s="2" t="s">
        <v>233</v>
      </c>
      <c r="BX460" s="2" t="s">
        <v>233</v>
      </c>
      <c r="BY460" s="2" t="s">
        <v>280</v>
      </c>
      <c r="BZ460" s="2" t="s">
        <v>245</v>
      </c>
      <c r="CA460" s="2" t="s">
        <v>2769</v>
      </c>
      <c r="CB460" s="2" t="s">
        <v>844</v>
      </c>
      <c r="CC460" s="2" t="s">
        <v>246</v>
      </c>
      <c r="CD460" s="2" t="s">
        <v>233</v>
      </c>
      <c r="CE460" s="4">
        <v>220</v>
      </c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>
        <v>340</v>
      </c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</row>
    <row r="461">
      <c r="A461" s="2" t="s">
        <v>2774</v>
      </c>
      <c r="B461" s="2" t="s">
        <v>228</v>
      </c>
      <c r="C461" s="2" t="s">
        <v>901</v>
      </c>
      <c r="D461" s="2" t="s">
        <v>230</v>
      </c>
      <c r="E461" s="2" t="s">
        <v>231</v>
      </c>
      <c r="F461" s="2" t="s">
        <v>2745</v>
      </c>
      <c r="G461" s="2" t="s">
        <v>2745</v>
      </c>
      <c r="H461" s="2" t="s">
        <v>2745</v>
      </c>
      <c r="I461" s="2" t="s">
        <v>231</v>
      </c>
      <c r="J461" s="2" t="s">
        <v>270</v>
      </c>
      <c r="K461" s="2" t="s">
        <v>2475</v>
      </c>
      <c r="L461" s="3">
        <v>30.35</v>
      </c>
      <c r="M461" s="3">
        <v>31.87</v>
      </c>
      <c r="N461" s="3">
        <v>65.99</v>
      </c>
      <c r="O461" s="2" t="s">
        <v>245</v>
      </c>
      <c r="P461" s="2" t="s">
        <v>272</v>
      </c>
      <c r="Q461" s="2" t="s">
        <v>239</v>
      </c>
      <c r="R461" s="2" t="s">
        <v>233</v>
      </c>
      <c r="S461" s="2" t="s">
        <v>2775</v>
      </c>
      <c r="T461" s="2" t="s">
        <v>2749</v>
      </c>
      <c r="U461" s="2" t="s">
        <v>396</v>
      </c>
      <c r="V461" s="2" t="s">
        <v>241</v>
      </c>
      <c r="W461" s="2" t="s">
        <v>275</v>
      </c>
      <c r="X461" s="2" t="s">
        <v>1056</v>
      </c>
      <c r="Y461" s="2" t="s">
        <v>2765</v>
      </c>
      <c r="Z461" s="4">
        <v>75</v>
      </c>
      <c r="AA461" s="4">
        <f>=ROUNDDOWN(15,0)</f>
      </c>
      <c r="AB461" s="5">
        <v>5</v>
      </c>
      <c r="AC461" s="2" t="s">
        <v>547</v>
      </c>
      <c r="AD461" s="4">
        <v>50</v>
      </c>
      <c r="AE461" s="4">
        <v>50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233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233</v>
      </c>
      <c r="AW461" s="8" t="s">
        <v>233</v>
      </c>
      <c r="AX461" s="4" t="s">
        <v>233</v>
      </c>
      <c r="AY461" s="8" t="s">
        <v>233</v>
      </c>
      <c r="AZ461" s="7" t="s">
        <v>233</v>
      </c>
      <c r="BA461" s="7" t="s">
        <v>233</v>
      </c>
      <c r="BB461" s="7"/>
      <c r="BC461" s="4" t="s">
        <v>233</v>
      </c>
      <c r="BD461" s="8" t="s">
        <v>233</v>
      </c>
      <c r="BE461" s="4" t="s">
        <v>233</v>
      </c>
      <c r="BF461" s="8" t="s">
        <v>233</v>
      </c>
      <c r="BG461" s="7" t="s">
        <v>233</v>
      </c>
      <c r="BH461" s="7" t="s">
        <v>233</v>
      </c>
      <c r="BI461" s="7"/>
      <c r="BJ461" s="4">
        <v>13</v>
      </c>
      <c r="BK461" s="8">
        <v>430.58</v>
      </c>
      <c r="BL461" s="2" t="s">
        <v>2776</v>
      </c>
      <c r="BM461" s="7"/>
      <c r="BN461" s="7"/>
      <c r="BO461" s="4"/>
      <c r="BP461" s="8"/>
      <c r="BQ461" s="4"/>
      <c r="BR461" s="8"/>
      <c r="BS461" s="7"/>
      <c r="BT461" s="7"/>
      <c r="BU461" s="2" t="s">
        <v>2777</v>
      </c>
      <c r="BV461" s="2" t="s">
        <v>233</v>
      </c>
      <c r="BW461" s="2" t="s">
        <v>233</v>
      </c>
      <c r="BX461" s="2" t="s">
        <v>233</v>
      </c>
      <c r="BY461" s="2" t="s">
        <v>280</v>
      </c>
      <c r="BZ461" s="2" t="s">
        <v>245</v>
      </c>
      <c r="CA461" s="2" t="s">
        <v>2769</v>
      </c>
      <c r="CB461" s="2" t="s">
        <v>2778</v>
      </c>
      <c r="CC461" s="2" t="s">
        <v>246</v>
      </c>
      <c r="CD461" s="2" t="s">
        <v>233</v>
      </c>
      <c r="CE461" s="4">
        <v>67</v>
      </c>
      <c r="CF461" s="4"/>
      <c r="CG461" s="4"/>
      <c r="CH461" s="4"/>
      <c r="CI461" s="4">
        <v>8</v>
      </c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>
        <v>50</v>
      </c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</row>
    <row r="462">
      <c r="A462" s="2" t="s">
        <v>2779</v>
      </c>
      <c r="B462" s="2" t="s">
        <v>228</v>
      </c>
      <c r="C462" s="2" t="s">
        <v>901</v>
      </c>
      <c r="D462" s="2" t="s">
        <v>230</v>
      </c>
      <c r="E462" s="2" t="s">
        <v>231</v>
      </c>
      <c r="F462" s="2" t="s">
        <v>2745</v>
      </c>
      <c r="G462" s="2" t="s">
        <v>2745</v>
      </c>
      <c r="H462" s="2" t="s">
        <v>2745</v>
      </c>
      <c r="I462" s="2" t="s">
        <v>231</v>
      </c>
      <c r="J462" s="2" t="s">
        <v>981</v>
      </c>
      <c r="K462" s="2" t="s">
        <v>2475</v>
      </c>
      <c r="L462" s="3">
        <v>36.18</v>
      </c>
      <c r="M462" s="3">
        <v>37.99</v>
      </c>
      <c r="N462" s="3">
        <v>76.99</v>
      </c>
      <c r="O462" s="2" t="s">
        <v>245</v>
      </c>
      <c r="P462" s="2" t="s">
        <v>272</v>
      </c>
      <c r="Q462" s="2" t="s">
        <v>239</v>
      </c>
      <c r="R462" s="2" t="s">
        <v>233</v>
      </c>
      <c r="S462" s="2" t="s">
        <v>2775</v>
      </c>
      <c r="T462" s="2" t="s">
        <v>2749</v>
      </c>
      <c r="U462" s="2" t="s">
        <v>396</v>
      </c>
      <c r="V462" s="2" t="s">
        <v>241</v>
      </c>
      <c r="W462" s="2" t="s">
        <v>275</v>
      </c>
      <c r="X462" s="2" t="s">
        <v>1056</v>
      </c>
      <c r="Y462" s="2" t="s">
        <v>2765</v>
      </c>
      <c r="Z462" s="4">
        <v>193</v>
      </c>
      <c r="AA462" s="4">
        <f>=ROUNDDOWN(17.5454545454545,0)</f>
      </c>
      <c r="AB462" s="5">
        <v>11</v>
      </c>
      <c r="AC462" s="2" t="s">
        <v>547</v>
      </c>
      <c r="AD462" s="4">
        <v>140</v>
      </c>
      <c r="AE462" s="4">
        <v>140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233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233</v>
      </c>
      <c r="AW462" s="8" t="s">
        <v>233</v>
      </c>
      <c r="AX462" s="4" t="s">
        <v>233</v>
      </c>
      <c r="AY462" s="8" t="s">
        <v>233</v>
      </c>
      <c r="AZ462" s="7" t="s">
        <v>233</v>
      </c>
      <c r="BA462" s="7" t="s">
        <v>233</v>
      </c>
      <c r="BB462" s="7"/>
      <c r="BC462" s="4" t="s">
        <v>233</v>
      </c>
      <c r="BD462" s="8" t="s">
        <v>233</v>
      </c>
      <c r="BE462" s="4" t="s">
        <v>233</v>
      </c>
      <c r="BF462" s="8" t="s">
        <v>233</v>
      </c>
      <c r="BG462" s="7" t="s">
        <v>233</v>
      </c>
      <c r="BH462" s="7" t="s">
        <v>233</v>
      </c>
      <c r="BI462" s="7"/>
      <c r="BJ462" s="4">
        <v>19</v>
      </c>
      <c r="BK462" s="8">
        <v>778.11</v>
      </c>
      <c r="BL462" s="2" t="s">
        <v>2780</v>
      </c>
      <c r="BM462" s="7"/>
      <c r="BN462" s="7"/>
      <c r="BO462" s="4"/>
      <c r="BP462" s="8"/>
      <c r="BQ462" s="4"/>
      <c r="BR462" s="8"/>
      <c r="BS462" s="7"/>
      <c r="BT462" s="7"/>
      <c r="BU462" s="2" t="s">
        <v>2781</v>
      </c>
      <c r="BV462" s="2" t="s">
        <v>233</v>
      </c>
      <c r="BW462" s="2" t="s">
        <v>233</v>
      </c>
      <c r="BX462" s="2" t="s">
        <v>233</v>
      </c>
      <c r="BY462" s="2" t="s">
        <v>280</v>
      </c>
      <c r="BZ462" s="2" t="s">
        <v>245</v>
      </c>
      <c r="CA462" s="2" t="s">
        <v>2769</v>
      </c>
      <c r="CB462" s="2" t="s">
        <v>2782</v>
      </c>
      <c r="CC462" s="2" t="s">
        <v>246</v>
      </c>
      <c r="CD462" s="2" t="s">
        <v>233</v>
      </c>
      <c r="CE462" s="4">
        <v>173</v>
      </c>
      <c r="CF462" s="4"/>
      <c r="CG462" s="4"/>
      <c r="CH462" s="4"/>
      <c r="CI462" s="4">
        <v>20</v>
      </c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>
        <v>140</v>
      </c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</row>
    <row r="463">
      <c r="A463" s="2" t="s">
        <v>2783</v>
      </c>
      <c r="B463" s="2" t="s">
        <v>228</v>
      </c>
      <c r="C463" s="2" t="s">
        <v>901</v>
      </c>
      <c r="D463" s="2" t="s">
        <v>230</v>
      </c>
      <c r="E463" s="2" t="s">
        <v>231</v>
      </c>
      <c r="F463" s="2" t="s">
        <v>2745</v>
      </c>
      <c r="G463" s="2" t="s">
        <v>2745</v>
      </c>
      <c r="H463" s="2" t="s">
        <v>2745</v>
      </c>
      <c r="I463" s="2" t="s">
        <v>231</v>
      </c>
      <c r="J463" s="2" t="s">
        <v>981</v>
      </c>
      <c r="K463" s="2" t="s">
        <v>569</v>
      </c>
      <c r="L463" s="3">
        <v>36.18</v>
      </c>
      <c r="M463" s="3">
        <v>37.99</v>
      </c>
      <c r="N463" s="3">
        <v>76.99</v>
      </c>
      <c r="O463" s="2" t="s">
        <v>245</v>
      </c>
      <c r="P463" s="2" t="s">
        <v>272</v>
      </c>
      <c r="Q463" s="2" t="s">
        <v>239</v>
      </c>
      <c r="R463" s="2" t="s">
        <v>233</v>
      </c>
      <c r="S463" s="2" t="s">
        <v>2784</v>
      </c>
      <c r="T463" s="2" t="s">
        <v>2749</v>
      </c>
      <c r="U463" s="2" t="s">
        <v>233</v>
      </c>
      <c r="V463" s="2" t="s">
        <v>241</v>
      </c>
      <c r="W463" s="2" t="s">
        <v>275</v>
      </c>
      <c r="X463" s="2" t="s">
        <v>1056</v>
      </c>
      <c r="Y463" s="2" t="s">
        <v>276</v>
      </c>
      <c r="Z463" s="4">
        <v>275</v>
      </c>
      <c r="AA463" s="4">
        <f>=ROUNDDOWN(27.5,0)</f>
      </c>
      <c r="AB463" s="5">
        <v>10</v>
      </c>
      <c r="AC463" s="2" t="s">
        <v>233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233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233</v>
      </c>
      <c r="AW463" s="8" t="s">
        <v>233</v>
      </c>
      <c r="AX463" s="4" t="s">
        <v>233</v>
      </c>
      <c r="AY463" s="8" t="s">
        <v>233</v>
      </c>
      <c r="AZ463" s="7" t="s">
        <v>233</v>
      </c>
      <c r="BA463" s="7" t="s">
        <v>233</v>
      </c>
      <c r="BB463" s="7"/>
      <c r="BC463" s="4" t="s">
        <v>233</v>
      </c>
      <c r="BD463" s="8" t="s">
        <v>233</v>
      </c>
      <c r="BE463" s="4" t="s">
        <v>233</v>
      </c>
      <c r="BF463" s="8" t="s">
        <v>233</v>
      </c>
      <c r="BG463" s="7" t="s">
        <v>233</v>
      </c>
      <c r="BH463" s="7" t="s">
        <v>233</v>
      </c>
      <c r="BI463" s="7"/>
      <c r="BJ463" s="4">
        <v>30</v>
      </c>
      <c r="BK463" s="8">
        <v>1203.5</v>
      </c>
      <c r="BL463" s="2" t="s">
        <v>2785</v>
      </c>
      <c r="BM463" s="7"/>
      <c r="BN463" s="7"/>
      <c r="BO463" s="4"/>
      <c r="BP463" s="8"/>
      <c r="BQ463" s="4"/>
      <c r="BR463" s="8"/>
      <c r="BS463" s="7"/>
      <c r="BT463" s="7"/>
      <c r="BU463" s="2" t="s">
        <v>2786</v>
      </c>
      <c r="BV463" s="2" t="s">
        <v>233</v>
      </c>
      <c r="BW463" s="2" t="s">
        <v>233</v>
      </c>
      <c r="BX463" s="2" t="s">
        <v>243</v>
      </c>
      <c r="BY463" s="2" t="s">
        <v>280</v>
      </c>
      <c r="BZ463" s="2" t="s">
        <v>245</v>
      </c>
      <c r="CA463" s="2" t="s">
        <v>281</v>
      </c>
      <c r="CB463" s="2" t="s">
        <v>2632</v>
      </c>
      <c r="CC463" s="2" t="s">
        <v>246</v>
      </c>
      <c r="CD463" s="2" t="s">
        <v>233</v>
      </c>
      <c r="CE463" s="4">
        <v>275</v>
      </c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</row>
    <row r="464">
      <c r="A464" s="2" t="s">
        <v>2787</v>
      </c>
      <c r="B464" s="2" t="s">
        <v>228</v>
      </c>
      <c r="C464" s="2" t="s">
        <v>901</v>
      </c>
      <c r="D464" s="2" t="s">
        <v>230</v>
      </c>
      <c r="E464" s="2" t="s">
        <v>231</v>
      </c>
      <c r="F464" s="2" t="s">
        <v>2745</v>
      </c>
      <c r="G464" s="2" t="s">
        <v>2745</v>
      </c>
      <c r="H464" s="2" t="s">
        <v>2745</v>
      </c>
      <c r="I464" s="2" t="s">
        <v>231</v>
      </c>
      <c r="J464" s="2" t="s">
        <v>328</v>
      </c>
      <c r="K464" s="2" t="s">
        <v>569</v>
      </c>
      <c r="L464" s="3">
        <v>42.4</v>
      </c>
      <c r="M464" s="3">
        <v>44.52</v>
      </c>
      <c r="N464" s="3">
        <v>89.99</v>
      </c>
      <c r="O464" s="2" t="s">
        <v>245</v>
      </c>
      <c r="P464" s="2" t="s">
        <v>272</v>
      </c>
      <c r="Q464" s="2" t="s">
        <v>239</v>
      </c>
      <c r="R464" s="2" t="s">
        <v>233</v>
      </c>
      <c r="S464" s="2" t="s">
        <v>2784</v>
      </c>
      <c r="T464" s="2" t="s">
        <v>2749</v>
      </c>
      <c r="U464" s="2" t="s">
        <v>233</v>
      </c>
      <c r="V464" s="2" t="s">
        <v>241</v>
      </c>
      <c r="W464" s="2" t="s">
        <v>275</v>
      </c>
      <c r="X464" s="2" t="s">
        <v>1056</v>
      </c>
      <c r="Y464" s="2" t="s">
        <v>276</v>
      </c>
      <c r="Z464" s="4">
        <v>308</v>
      </c>
      <c r="AA464" s="4">
        <f>=ROUNDDOWN(22,0)</f>
      </c>
      <c r="AB464" s="5">
        <v>14</v>
      </c>
      <c r="AC464" s="2" t="s">
        <v>233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233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233</v>
      </c>
      <c r="AW464" s="8" t="s">
        <v>233</v>
      </c>
      <c r="AX464" s="4" t="s">
        <v>233</v>
      </c>
      <c r="AY464" s="8" t="s">
        <v>233</v>
      </c>
      <c r="AZ464" s="7" t="s">
        <v>233</v>
      </c>
      <c r="BA464" s="7" t="s">
        <v>233</v>
      </c>
      <c r="BB464" s="7"/>
      <c r="BC464" s="4" t="s">
        <v>233</v>
      </c>
      <c r="BD464" s="8" t="s">
        <v>233</v>
      </c>
      <c r="BE464" s="4" t="s">
        <v>233</v>
      </c>
      <c r="BF464" s="8" t="s">
        <v>233</v>
      </c>
      <c r="BG464" s="7" t="s">
        <v>233</v>
      </c>
      <c r="BH464" s="7" t="s">
        <v>233</v>
      </c>
      <c r="BI464" s="7"/>
      <c r="BJ464" s="4">
        <v>44</v>
      </c>
      <c r="BK464" s="8">
        <v>2091.87</v>
      </c>
      <c r="BL464" s="2" t="s">
        <v>2788</v>
      </c>
      <c r="BM464" s="7"/>
      <c r="BN464" s="7"/>
      <c r="BO464" s="4"/>
      <c r="BP464" s="8"/>
      <c r="BQ464" s="4"/>
      <c r="BR464" s="8"/>
      <c r="BS464" s="7"/>
      <c r="BT464" s="7"/>
      <c r="BU464" s="2" t="s">
        <v>2789</v>
      </c>
      <c r="BV464" s="2" t="s">
        <v>233</v>
      </c>
      <c r="BW464" s="2" t="s">
        <v>233</v>
      </c>
      <c r="BX464" s="2" t="s">
        <v>243</v>
      </c>
      <c r="BY464" s="2" t="s">
        <v>280</v>
      </c>
      <c r="BZ464" s="2" t="s">
        <v>245</v>
      </c>
      <c r="CA464" s="2" t="s">
        <v>281</v>
      </c>
      <c r="CB464" s="2" t="s">
        <v>2790</v>
      </c>
      <c r="CC464" s="2" t="s">
        <v>246</v>
      </c>
      <c r="CD464" s="2" t="s">
        <v>233</v>
      </c>
      <c r="CE464" s="4">
        <v>308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</row>
    <row r="465">
      <c r="A465" s="2" t="s">
        <v>2791</v>
      </c>
      <c r="B465" s="2" t="s">
        <v>228</v>
      </c>
      <c r="C465" s="2" t="s">
        <v>901</v>
      </c>
      <c r="D465" s="2" t="s">
        <v>230</v>
      </c>
      <c r="E465" s="2" t="s">
        <v>231</v>
      </c>
      <c r="F465" s="2" t="s">
        <v>2745</v>
      </c>
      <c r="G465" s="2" t="s">
        <v>2745</v>
      </c>
      <c r="H465" s="2" t="s">
        <v>2745</v>
      </c>
      <c r="I465" s="2" t="s">
        <v>231</v>
      </c>
      <c r="J465" s="2" t="s">
        <v>270</v>
      </c>
      <c r="K465" s="2" t="s">
        <v>1938</v>
      </c>
      <c r="L465" s="3">
        <v>30.35</v>
      </c>
      <c r="M465" s="3">
        <v>31.87</v>
      </c>
      <c r="N465" s="3">
        <v>65.99</v>
      </c>
      <c r="O465" s="2" t="s">
        <v>245</v>
      </c>
      <c r="P465" s="2" t="s">
        <v>272</v>
      </c>
      <c r="Q465" s="2" t="s">
        <v>239</v>
      </c>
      <c r="R465" s="2" t="s">
        <v>233</v>
      </c>
      <c r="S465" s="2" t="s">
        <v>2792</v>
      </c>
      <c r="T465" s="2" t="s">
        <v>2749</v>
      </c>
      <c r="U465" s="2" t="s">
        <v>396</v>
      </c>
      <c r="V465" s="2" t="s">
        <v>241</v>
      </c>
      <c r="W465" s="2" t="s">
        <v>275</v>
      </c>
      <c r="X465" s="2" t="s">
        <v>1056</v>
      </c>
      <c r="Y465" s="2" t="s">
        <v>754</v>
      </c>
      <c r="Z465" s="4">
        <v>99</v>
      </c>
      <c r="AA465" s="4">
        <f>=ROUNDDOWN(33,0)</f>
      </c>
      <c r="AB465" s="5">
        <v>3</v>
      </c>
      <c r="AC465" s="2" t="s">
        <v>233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233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233</v>
      </c>
      <c r="AW465" s="8" t="s">
        <v>233</v>
      </c>
      <c r="AX465" s="4" t="s">
        <v>233</v>
      </c>
      <c r="AY465" s="8" t="s">
        <v>233</v>
      </c>
      <c r="AZ465" s="7" t="s">
        <v>233</v>
      </c>
      <c r="BA465" s="7" t="s">
        <v>233</v>
      </c>
      <c r="BB465" s="7"/>
      <c r="BC465" s="4" t="s">
        <v>233</v>
      </c>
      <c r="BD465" s="8" t="s">
        <v>233</v>
      </c>
      <c r="BE465" s="4" t="s">
        <v>233</v>
      </c>
      <c r="BF465" s="8" t="s">
        <v>233</v>
      </c>
      <c r="BG465" s="7" t="s">
        <v>233</v>
      </c>
      <c r="BH465" s="7" t="s">
        <v>233</v>
      </c>
      <c r="BI465" s="7"/>
      <c r="BJ465" s="4">
        <v>10</v>
      </c>
      <c r="BK465" s="8">
        <v>323.75</v>
      </c>
      <c r="BL465" s="2" t="s">
        <v>2793</v>
      </c>
      <c r="BM465" s="7"/>
      <c r="BN465" s="7"/>
      <c r="BO465" s="4"/>
      <c r="BP465" s="8"/>
      <c r="BQ465" s="4"/>
      <c r="BR465" s="8"/>
      <c r="BS465" s="7"/>
      <c r="BT465" s="7"/>
      <c r="BU465" s="2" t="s">
        <v>2794</v>
      </c>
      <c r="BV465" s="2" t="s">
        <v>233</v>
      </c>
      <c r="BW465" s="2" t="s">
        <v>233</v>
      </c>
      <c r="BX465" s="2" t="s">
        <v>243</v>
      </c>
      <c r="BY465" s="2" t="s">
        <v>280</v>
      </c>
      <c r="BZ465" s="2" t="s">
        <v>245</v>
      </c>
      <c r="CA465" s="2" t="s">
        <v>2795</v>
      </c>
      <c r="CB465" s="2" t="s">
        <v>2796</v>
      </c>
      <c r="CC465" s="2" t="s">
        <v>246</v>
      </c>
      <c r="CD465" s="2" t="s">
        <v>233</v>
      </c>
      <c r="CE465" s="4">
        <v>99</v>
      </c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</row>
    <row r="466">
      <c r="A466" s="2" t="s">
        <v>2797</v>
      </c>
      <c r="B466" s="2" t="s">
        <v>228</v>
      </c>
      <c r="C466" s="2" t="s">
        <v>901</v>
      </c>
      <c r="D466" s="2" t="s">
        <v>230</v>
      </c>
      <c r="E466" s="2" t="s">
        <v>231</v>
      </c>
      <c r="F466" s="2" t="s">
        <v>2745</v>
      </c>
      <c r="G466" s="2" t="s">
        <v>2745</v>
      </c>
      <c r="H466" s="2" t="s">
        <v>2745</v>
      </c>
      <c r="I466" s="2" t="s">
        <v>231</v>
      </c>
      <c r="J466" s="2" t="s">
        <v>328</v>
      </c>
      <c r="K466" s="2" t="s">
        <v>1938</v>
      </c>
      <c r="L466" s="3">
        <v>42.4</v>
      </c>
      <c r="M466" s="3">
        <v>44.52</v>
      </c>
      <c r="N466" s="3">
        <v>89.99</v>
      </c>
      <c r="O466" s="2" t="s">
        <v>245</v>
      </c>
      <c r="P466" s="2" t="s">
        <v>272</v>
      </c>
      <c r="Q466" s="2" t="s">
        <v>239</v>
      </c>
      <c r="R466" s="2" t="s">
        <v>233</v>
      </c>
      <c r="S466" s="2" t="s">
        <v>2792</v>
      </c>
      <c r="T466" s="2" t="s">
        <v>2749</v>
      </c>
      <c r="U466" s="2" t="s">
        <v>396</v>
      </c>
      <c r="V466" s="2" t="s">
        <v>241</v>
      </c>
      <c r="W466" s="2" t="s">
        <v>275</v>
      </c>
      <c r="X466" s="2" t="s">
        <v>1056</v>
      </c>
      <c r="Y466" s="2" t="s">
        <v>754</v>
      </c>
      <c r="Z466" s="4">
        <v>279</v>
      </c>
      <c r="AA466" s="4">
        <f>=ROUNDDOWN(55.8,0)</f>
      </c>
      <c r="AB466" s="5">
        <v>5</v>
      </c>
      <c r="AC466" s="2" t="s">
        <v>233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233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233</v>
      </c>
      <c r="AW466" s="8" t="s">
        <v>233</v>
      </c>
      <c r="AX466" s="4" t="s">
        <v>233</v>
      </c>
      <c r="AY466" s="8" t="s">
        <v>233</v>
      </c>
      <c r="AZ466" s="7" t="s">
        <v>233</v>
      </c>
      <c r="BA466" s="7" t="s">
        <v>233</v>
      </c>
      <c r="BB466" s="7"/>
      <c r="BC466" s="4" t="s">
        <v>233</v>
      </c>
      <c r="BD466" s="8" t="s">
        <v>233</v>
      </c>
      <c r="BE466" s="4" t="s">
        <v>233</v>
      </c>
      <c r="BF466" s="8" t="s">
        <v>233</v>
      </c>
      <c r="BG466" s="7" t="s">
        <v>233</v>
      </c>
      <c r="BH466" s="7" t="s">
        <v>233</v>
      </c>
      <c r="BI466" s="7"/>
      <c r="BJ466" s="4">
        <v>11</v>
      </c>
      <c r="BK466" s="8">
        <v>503.23</v>
      </c>
      <c r="BL466" s="2" t="s">
        <v>2793</v>
      </c>
      <c r="BM466" s="7"/>
      <c r="BN466" s="7"/>
      <c r="BO466" s="4"/>
      <c r="BP466" s="8"/>
      <c r="BQ466" s="4"/>
      <c r="BR466" s="8"/>
      <c r="BS466" s="7"/>
      <c r="BT466" s="7"/>
      <c r="BU466" s="2" t="s">
        <v>2798</v>
      </c>
      <c r="BV466" s="2" t="s">
        <v>233</v>
      </c>
      <c r="BW466" s="2" t="s">
        <v>233</v>
      </c>
      <c r="BX466" s="2" t="s">
        <v>243</v>
      </c>
      <c r="BY466" s="2" t="s">
        <v>280</v>
      </c>
      <c r="BZ466" s="2" t="s">
        <v>245</v>
      </c>
      <c r="CA466" s="2" t="s">
        <v>2795</v>
      </c>
      <c r="CB466" s="2" t="s">
        <v>2799</v>
      </c>
      <c r="CC466" s="2" t="s">
        <v>246</v>
      </c>
      <c r="CD466" s="2" t="s">
        <v>233</v>
      </c>
      <c r="CE466" s="4">
        <v>279</v>
      </c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</row>
    <row r="467">
      <c r="A467" s="2" t="s">
        <v>2800</v>
      </c>
      <c r="B467" s="2" t="s">
        <v>228</v>
      </c>
      <c r="C467" s="2" t="s">
        <v>901</v>
      </c>
      <c r="D467" s="2" t="s">
        <v>487</v>
      </c>
      <c r="E467" s="2" t="s">
        <v>488</v>
      </c>
      <c r="F467" s="2" t="s">
        <v>2745</v>
      </c>
      <c r="G467" s="2" t="s">
        <v>2745</v>
      </c>
      <c r="H467" s="2" t="s">
        <v>2745</v>
      </c>
      <c r="I467" s="2" t="s">
        <v>2753</v>
      </c>
      <c r="J467" s="2" t="s">
        <v>1200</v>
      </c>
      <c r="K467" s="2" t="s">
        <v>1938</v>
      </c>
      <c r="L467" s="3">
        <v>12.96</v>
      </c>
      <c r="M467" s="3">
        <v>13.61</v>
      </c>
      <c r="N467" s="3">
        <v>26.99</v>
      </c>
      <c r="O467" s="2" t="s">
        <v>245</v>
      </c>
      <c r="P467" s="2" t="s">
        <v>238</v>
      </c>
      <c r="Q467" s="2" t="s">
        <v>239</v>
      </c>
      <c r="R467" s="2" t="s">
        <v>233</v>
      </c>
      <c r="S467" s="2" t="s">
        <v>2792</v>
      </c>
      <c r="T467" s="2" t="s">
        <v>2749</v>
      </c>
      <c r="U467" s="2" t="s">
        <v>396</v>
      </c>
      <c r="V467" s="2" t="s">
        <v>241</v>
      </c>
      <c r="W467" s="2" t="s">
        <v>275</v>
      </c>
      <c r="X467" s="2" t="s">
        <v>1056</v>
      </c>
      <c r="Y467" s="2" t="s">
        <v>754</v>
      </c>
      <c r="Z467" s="4">
        <v>226</v>
      </c>
      <c r="AA467" s="4">
        <f>=ROUNDDOWN(45.2,0)</f>
      </c>
      <c r="AB467" s="5">
        <v>5</v>
      </c>
      <c r="AC467" s="2" t="s">
        <v>547</v>
      </c>
      <c r="AD467" s="4">
        <v>104</v>
      </c>
      <c r="AE467" s="4">
        <v>104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233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233</v>
      </c>
      <c r="AW467" s="8" t="s">
        <v>233</v>
      </c>
      <c r="AX467" s="4" t="s">
        <v>233</v>
      </c>
      <c r="AY467" s="8" t="s">
        <v>233</v>
      </c>
      <c r="AZ467" s="7" t="s">
        <v>233</v>
      </c>
      <c r="BA467" s="7" t="s">
        <v>233</v>
      </c>
      <c r="BB467" s="7"/>
      <c r="BC467" s="4" t="s">
        <v>233</v>
      </c>
      <c r="BD467" s="8" t="s">
        <v>233</v>
      </c>
      <c r="BE467" s="4" t="s">
        <v>233</v>
      </c>
      <c r="BF467" s="8" t="s">
        <v>233</v>
      </c>
      <c r="BG467" s="7" t="s">
        <v>233</v>
      </c>
      <c r="BH467" s="7" t="s">
        <v>233</v>
      </c>
      <c r="BI467" s="7"/>
      <c r="BJ467" s="4">
        <v>2</v>
      </c>
      <c r="BK467" s="8">
        <v>29.8</v>
      </c>
      <c r="BL467" s="2" t="s">
        <v>2513</v>
      </c>
      <c r="BM467" s="7"/>
      <c r="BN467" s="7"/>
      <c r="BO467" s="4"/>
      <c r="BP467" s="8"/>
      <c r="BQ467" s="4"/>
      <c r="BR467" s="8"/>
      <c r="BS467" s="7"/>
      <c r="BT467" s="7"/>
      <c r="BU467" s="2" t="s">
        <v>2801</v>
      </c>
      <c r="BV467" s="2" t="s">
        <v>233</v>
      </c>
      <c r="BW467" s="2" t="s">
        <v>233</v>
      </c>
      <c r="BX467" s="2" t="s">
        <v>243</v>
      </c>
      <c r="BY467" s="2" t="s">
        <v>280</v>
      </c>
      <c r="BZ467" s="2" t="s">
        <v>245</v>
      </c>
      <c r="CA467" s="2" t="s">
        <v>908</v>
      </c>
      <c r="CB467" s="2" t="s">
        <v>1001</v>
      </c>
      <c r="CC467" s="2" t="s">
        <v>246</v>
      </c>
      <c r="CD467" s="2" t="s">
        <v>233</v>
      </c>
      <c r="CE467" s="4">
        <v>226</v>
      </c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>
        <v>104</v>
      </c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</row>
    <row r="468">
      <c r="A468" s="2" t="s">
        <v>2802</v>
      </c>
      <c r="B468" s="2" t="s">
        <v>989</v>
      </c>
      <c r="C468" s="2" t="s">
        <v>530</v>
      </c>
      <c r="D468" s="2" t="s">
        <v>991</v>
      </c>
      <c r="E468" s="2" t="s">
        <v>992</v>
      </c>
      <c r="F468" s="2" t="s">
        <v>2803</v>
      </c>
      <c r="G468" s="2" t="s">
        <v>2804</v>
      </c>
      <c r="H468" s="2" t="s">
        <v>2805</v>
      </c>
      <c r="I468" s="2" t="s">
        <v>2806</v>
      </c>
      <c r="J468" s="2" t="s">
        <v>892</v>
      </c>
      <c r="K468" s="2" t="s">
        <v>773</v>
      </c>
      <c r="L468" s="3">
        <v>24</v>
      </c>
      <c r="M468" s="3">
        <v>25.2</v>
      </c>
      <c r="N468" s="3">
        <v>49.99</v>
      </c>
      <c r="O468" s="2" t="s">
        <v>245</v>
      </c>
      <c r="P468" s="2" t="s">
        <v>311</v>
      </c>
      <c r="Q468" s="2" t="s">
        <v>239</v>
      </c>
      <c r="R468" s="2" t="s">
        <v>233</v>
      </c>
      <c r="S468" s="2" t="s">
        <v>2807</v>
      </c>
      <c r="T468" s="2" t="s">
        <v>233</v>
      </c>
      <c r="U468" s="2" t="s">
        <v>871</v>
      </c>
      <c r="V468" s="2" t="s">
        <v>241</v>
      </c>
      <c r="W468" s="2" t="s">
        <v>275</v>
      </c>
      <c r="X468" s="2" t="s">
        <v>233</v>
      </c>
      <c r="Y468" s="2" t="s">
        <v>2808</v>
      </c>
      <c r="Z468" s="4">
        <v>344</v>
      </c>
      <c r="AA468" s="4">
        <f>=ROUNDDOWN(59.3103448275862,0)</f>
      </c>
      <c r="AB468" s="5">
        <v>5.8</v>
      </c>
      <c r="AC468" s="2" t="s">
        <v>233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233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>
        <v>18</v>
      </c>
      <c r="BK468" s="8">
        <v>385.12</v>
      </c>
      <c r="BL468" s="2" t="s">
        <v>2809</v>
      </c>
      <c r="BM468" s="7"/>
      <c r="BN468" s="7"/>
      <c r="BO468" s="4"/>
      <c r="BP468" s="8"/>
      <c r="BQ468" s="4"/>
      <c r="BR468" s="8"/>
      <c r="BS468" s="7"/>
      <c r="BT468" s="7"/>
      <c r="BU468" s="2" t="s">
        <v>2810</v>
      </c>
      <c r="BV468" s="2" t="s">
        <v>233</v>
      </c>
      <c r="BW468" s="2" t="s">
        <v>233</v>
      </c>
      <c r="BX468" s="2" t="s">
        <v>233</v>
      </c>
      <c r="BY468" s="2" t="s">
        <v>280</v>
      </c>
      <c r="BZ468" s="2" t="s">
        <v>245</v>
      </c>
      <c r="CA468" s="2" t="s">
        <v>2811</v>
      </c>
      <c r="CB468" s="2" t="s">
        <v>2812</v>
      </c>
      <c r="CC468" s="2" t="s">
        <v>246</v>
      </c>
      <c r="CD468" s="2" t="s">
        <v>233</v>
      </c>
      <c r="CE468" s="4">
        <v>344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</row>
    <row r="469">
      <c r="A469" s="2" t="s">
        <v>2813</v>
      </c>
      <c r="B469" s="2" t="s">
        <v>1066</v>
      </c>
      <c r="C469" s="2" t="s">
        <v>530</v>
      </c>
      <c r="D469" s="2" t="s">
        <v>1067</v>
      </c>
      <c r="E469" s="2" t="s">
        <v>1068</v>
      </c>
      <c r="F469" s="2" t="s">
        <v>2814</v>
      </c>
      <c r="G469" s="2" t="s">
        <v>2815</v>
      </c>
      <c r="H469" s="2" t="s">
        <v>2489</v>
      </c>
      <c r="I469" s="2" t="s">
        <v>2816</v>
      </c>
      <c r="J469" s="2" t="s">
        <v>892</v>
      </c>
      <c r="K469" s="2" t="s">
        <v>2817</v>
      </c>
      <c r="L469" s="3">
        <v>171</v>
      </c>
      <c r="M469" s="3">
        <v>179.55</v>
      </c>
      <c r="N469" s="3">
        <v>359</v>
      </c>
      <c r="O469" s="2" t="s">
        <v>245</v>
      </c>
      <c r="P469" s="2" t="s">
        <v>311</v>
      </c>
      <c r="Q469" s="2" t="s">
        <v>239</v>
      </c>
      <c r="R469" s="2" t="s">
        <v>233</v>
      </c>
      <c r="S469" s="2" t="s">
        <v>2818</v>
      </c>
      <c r="T469" s="2" t="s">
        <v>233</v>
      </c>
      <c r="U469" s="2" t="s">
        <v>233</v>
      </c>
      <c r="V469" s="2" t="s">
        <v>1658</v>
      </c>
      <c r="W469" s="2" t="s">
        <v>451</v>
      </c>
      <c r="X469" s="2" t="s">
        <v>233</v>
      </c>
      <c r="Y469" s="2" t="s">
        <v>276</v>
      </c>
      <c r="Z469" s="4">
        <v>20</v>
      </c>
      <c r="AA469" s="4">
        <f>=ROUNDDOWN(5,0)</f>
      </c>
      <c r="AB469" s="5"/>
      <c r="AC469" s="2" t="s">
        <v>2819</v>
      </c>
      <c r="AD469" s="4">
        <v>40</v>
      </c>
      <c r="AE469" s="4">
        <v>40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233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>
        <v>30</v>
      </c>
      <c r="BK469" s="8">
        <v>3593.04</v>
      </c>
      <c r="BL469" s="2" t="s">
        <v>2820</v>
      </c>
      <c r="BM469" s="7"/>
      <c r="BN469" s="7"/>
      <c r="BO469" s="4"/>
      <c r="BP469" s="8"/>
      <c r="BQ469" s="4"/>
      <c r="BR469" s="8"/>
      <c r="BS469" s="7"/>
      <c r="BT469" s="7"/>
      <c r="BU469" s="2" t="s">
        <v>2821</v>
      </c>
      <c r="BV469" s="2" t="s">
        <v>233</v>
      </c>
      <c r="BW469" s="2" t="s">
        <v>233</v>
      </c>
      <c r="BX469" s="2" t="s">
        <v>233</v>
      </c>
      <c r="BY469" s="2" t="s">
        <v>280</v>
      </c>
      <c r="BZ469" s="2" t="s">
        <v>245</v>
      </c>
      <c r="CA469" s="2" t="s">
        <v>281</v>
      </c>
      <c r="CB469" s="2" t="s">
        <v>2822</v>
      </c>
      <c r="CC469" s="2" t="s">
        <v>246</v>
      </c>
      <c r="CD469" s="2" t="s">
        <v>233</v>
      </c>
      <c r="CE469" s="4"/>
      <c r="CF469" s="4">
        <v>20</v>
      </c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>
        <v>40</v>
      </c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</row>
    <row r="470">
      <c r="A470" s="2" t="s">
        <v>2823</v>
      </c>
      <c r="B470" s="2" t="s">
        <v>228</v>
      </c>
      <c r="C470" s="2" t="s">
        <v>530</v>
      </c>
      <c r="D470" s="2" t="s">
        <v>1616</v>
      </c>
      <c r="E470" s="2" t="s">
        <v>2599</v>
      </c>
      <c r="F470" s="2" t="s">
        <v>2824</v>
      </c>
      <c r="G470" s="2" t="s">
        <v>1828</v>
      </c>
      <c r="H470" s="2" t="s">
        <v>1828</v>
      </c>
      <c r="I470" s="2" t="s">
        <v>2825</v>
      </c>
      <c r="J470" s="2" t="s">
        <v>1736</v>
      </c>
      <c r="K470" s="2" t="s">
        <v>569</v>
      </c>
      <c r="L470" s="3">
        <v>17.86</v>
      </c>
      <c r="M470" s="3">
        <v>18.75</v>
      </c>
      <c r="N470" s="3">
        <v>37.99</v>
      </c>
      <c r="O470" s="2" t="s">
        <v>245</v>
      </c>
      <c r="P470" s="2" t="s">
        <v>311</v>
      </c>
      <c r="Q470" s="2" t="s">
        <v>239</v>
      </c>
      <c r="R470" s="2" t="s">
        <v>233</v>
      </c>
      <c r="S470" s="2" t="s">
        <v>2826</v>
      </c>
      <c r="T470" s="2" t="s">
        <v>341</v>
      </c>
      <c r="U470" s="2" t="s">
        <v>396</v>
      </c>
      <c r="V470" s="2" t="s">
        <v>1085</v>
      </c>
      <c r="W470" s="2" t="s">
        <v>705</v>
      </c>
      <c r="X470" s="2" t="s">
        <v>451</v>
      </c>
      <c r="Y470" s="2" t="s">
        <v>2827</v>
      </c>
      <c r="Z470" s="4">
        <v>33</v>
      </c>
      <c r="AA470" s="4">
        <f>=ROUNDDOWN(4.52054794520548,0)</f>
      </c>
      <c r="AB470" s="5">
        <v>7.3</v>
      </c>
      <c r="AC470" s="2" t="s">
        <v>233</v>
      </c>
      <c r="AD470" s="4"/>
      <c r="AE470" s="4"/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233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233</v>
      </c>
      <c r="BD470" s="8" t="s">
        <v>233</v>
      </c>
      <c r="BE470" s="4" t="s">
        <v>233</v>
      </c>
      <c r="BF470" s="8" t="s">
        <v>233</v>
      </c>
      <c r="BG470" s="7" t="s">
        <v>233</v>
      </c>
      <c r="BH470" s="7" t="s">
        <v>233</v>
      </c>
      <c r="BI470" s="7"/>
      <c r="BJ470" s="4">
        <v>30</v>
      </c>
      <c r="BK470" s="8">
        <v>582.64</v>
      </c>
      <c r="BL470" s="2" t="s">
        <v>2397</v>
      </c>
      <c r="BM470" s="7"/>
      <c r="BN470" s="7"/>
      <c r="BO470" s="4"/>
      <c r="BP470" s="8"/>
      <c r="BQ470" s="4"/>
      <c r="BR470" s="8"/>
      <c r="BS470" s="7"/>
      <c r="BT470" s="7"/>
      <c r="BU470" s="2" t="s">
        <v>2828</v>
      </c>
      <c r="BV470" s="2" t="s">
        <v>233</v>
      </c>
      <c r="BW470" s="2" t="s">
        <v>233</v>
      </c>
      <c r="BX470" s="2" t="s">
        <v>233</v>
      </c>
      <c r="BY470" s="2" t="s">
        <v>280</v>
      </c>
      <c r="BZ470" s="2" t="s">
        <v>245</v>
      </c>
      <c r="CA470" s="2" t="s">
        <v>2829</v>
      </c>
      <c r="CB470" s="2" t="s">
        <v>2830</v>
      </c>
      <c r="CC470" s="2" t="s">
        <v>246</v>
      </c>
      <c r="CD470" s="2" t="s">
        <v>233</v>
      </c>
      <c r="CE470" s="4">
        <v>33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</row>
    <row r="471">
      <c r="A471" s="2" t="s">
        <v>2831</v>
      </c>
      <c r="B471" s="2" t="s">
        <v>1066</v>
      </c>
      <c r="C471" s="2" t="s">
        <v>530</v>
      </c>
      <c r="D471" s="2" t="s">
        <v>1111</v>
      </c>
      <c r="E471" s="2" t="s">
        <v>1112</v>
      </c>
      <c r="F471" s="2" t="s">
        <v>2824</v>
      </c>
      <c r="G471" s="2" t="s">
        <v>2832</v>
      </c>
      <c r="H471" s="2" t="s">
        <v>2833</v>
      </c>
      <c r="I471" s="2" t="s">
        <v>2834</v>
      </c>
      <c r="J471" s="2" t="s">
        <v>892</v>
      </c>
      <c r="K471" s="2" t="s">
        <v>950</v>
      </c>
      <c r="L471" s="3">
        <v>465.5</v>
      </c>
      <c r="M471" s="3">
        <v>488.78</v>
      </c>
      <c r="N471" s="3">
        <v>979</v>
      </c>
      <c r="O471" s="2" t="s">
        <v>245</v>
      </c>
      <c r="P471" s="2" t="s">
        <v>1118</v>
      </c>
      <c r="Q471" s="2" t="s">
        <v>239</v>
      </c>
      <c r="R471" s="2" t="s">
        <v>16</v>
      </c>
      <c r="S471" s="2" t="s">
        <v>2835</v>
      </c>
      <c r="T471" s="2" t="s">
        <v>233</v>
      </c>
      <c r="U471" s="2" t="s">
        <v>491</v>
      </c>
      <c r="V471" s="2" t="s">
        <v>1658</v>
      </c>
      <c r="W471" s="2" t="s">
        <v>451</v>
      </c>
      <c r="X471" s="2" t="s">
        <v>233</v>
      </c>
      <c r="Y471" s="2" t="s">
        <v>2836</v>
      </c>
      <c r="Z471" s="4">
        <v>95</v>
      </c>
      <c r="AA471" s="4">
        <f>=ROUNDDOWN({0},0)</f>
      </c>
      <c r="AB471" s="5"/>
      <c r="AC471" s="2" t="s">
        <v>825</v>
      </c>
      <c r="AD471" s="4">
        <v>50</v>
      </c>
      <c r="AE471" s="4">
        <v>117</v>
      </c>
      <c r="AF471" s="6"/>
      <c r="AG471" s="6"/>
      <c r="AH471" s="7">
        <v>1</v>
      </c>
      <c r="AI471" s="4"/>
      <c r="AJ471" s="4">
        <f>=ROUNDDOWN({0},0)</f>
      </c>
      <c r="AK471" s="5"/>
      <c r="AL471" s="2" t="s">
        <v>233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233</v>
      </c>
      <c r="BD471" s="8" t="s">
        <v>233</v>
      </c>
      <c r="BE471" s="4" t="s">
        <v>233</v>
      </c>
      <c r="BF471" s="8" t="s">
        <v>233</v>
      </c>
      <c r="BG471" s="7" t="s">
        <v>233</v>
      </c>
      <c r="BH471" s="7" t="s">
        <v>233</v>
      </c>
      <c r="BI471" s="7"/>
      <c r="BJ471" s="4"/>
      <c r="BK471" s="8"/>
      <c r="BL471" s="2" t="s">
        <v>233</v>
      </c>
      <c r="BM471" s="7"/>
      <c r="BN471" s="7"/>
      <c r="BO471" s="4"/>
      <c r="BP471" s="8"/>
      <c r="BQ471" s="4"/>
      <c r="BR471" s="8"/>
      <c r="BS471" s="7"/>
      <c r="BT471" s="7"/>
      <c r="BU471" s="2" t="s">
        <v>243</v>
      </c>
      <c r="BV471" s="2" t="s">
        <v>233</v>
      </c>
      <c r="BW471" s="2" t="s">
        <v>233</v>
      </c>
      <c r="BX471" s="2" t="s">
        <v>243</v>
      </c>
      <c r="BY471" s="2" t="s">
        <v>346</v>
      </c>
      <c r="BZ471" s="2" t="s">
        <v>245</v>
      </c>
      <c r="CA471" s="2" t="s">
        <v>233</v>
      </c>
      <c r="CB471" s="2" t="s">
        <v>233</v>
      </c>
      <c r="CC471" s="2" t="s">
        <v>246</v>
      </c>
      <c r="CD471" s="2" t="s">
        <v>233</v>
      </c>
      <c r="CE471" s="4"/>
      <c r="CF471" s="4">
        <v>89</v>
      </c>
      <c r="CG471" s="4"/>
      <c r="CH471" s="4"/>
      <c r="CI471" s="4">
        <v>6</v>
      </c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>
        <v>50</v>
      </c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>
        <v>67</v>
      </c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</row>
    <row r="472">
      <c r="A472" s="2" t="s">
        <v>2837</v>
      </c>
      <c r="B472" s="2" t="s">
        <v>1242</v>
      </c>
      <c r="C472" s="2" t="s">
        <v>530</v>
      </c>
      <c r="D472" s="2" t="s">
        <v>912</v>
      </c>
      <c r="E472" s="2" t="s">
        <v>1139</v>
      </c>
      <c r="F472" s="2" t="s">
        <v>2838</v>
      </c>
      <c r="G472" s="2" t="s">
        <v>2839</v>
      </c>
      <c r="H472" s="2" t="s">
        <v>2840</v>
      </c>
      <c r="I472" s="2" t="s">
        <v>2841</v>
      </c>
      <c r="J472" s="2" t="s">
        <v>981</v>
      </c>
      <c r="K472" s="2" t="s">
        <v>271</v>
      </c>
      <c r="L472" s="3">
        <v>32</v>
      </c>
      <c r="M472" s="3">
        <v>33.6</v>
      </c>
      <c r="N472" s="3">
        <v>69.99</v>
      </c>
      <c r="O472" s="2" t="s">
        <v>245</v>
      </c>
      <c r="P472" s="2" t="s">
        <v>238</v>
      </c>
      <c r="Q472" s="2" t="s">
        <v>239</v>
      </c>
      <c r="R472" s="2" t="s">
        <v>233</v>
      </c>
      <c r="S472" s="2" t="s">
        <v>2842</v>
      </c>
      <c r="T472" s="2" t="s">
        <v>341</v>
      </c>
      <c r="U472" s="2" t="s">
        <v>475</v>
      </c>
      <c r="V472" s="2" t="s">
        <v>1272</v>
      </c>
      <c r="W472" s="2" t="s">
        <v>275</v>
      </c>
      <c r="X472" s="2" t="s">
        <v>977</v>
      </c>
      <c r="Y472" s="2" t="s">
        <v>2843</v>
      </c>
      <c r="Z472" s="4">
        <v>168</v>
      </c>
      <c r="AA472" s="4">
        <f>=ROUNDDOWN(28,0)</f>
      </c>
      <c r="AB472" s="5">
        <v>6</v>
      </c>
      <c r="AC472" s="2" t="s">
        <v>233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233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233</v>
      </c>
      <c r="AW472" s="8" t="s">
        <v>233</v>
      </c>
      <c r="AX472" s="4" t="s">
        <v>233</v>
      </c>
      <c r="AY472" s="8" t="s">
        <v>233</v>
      </c>
      <c r="AZ472" s="7" t="s">
        <v>233</v>
      </c>
      <c r="BA472" s="7" t="s">
        <v>233</v>
      </c>
      <c r="BB472" s="7"/>
      <c r="BC472" s="4" t="s">
        <v>233</v>
      </c>
      <c r="BD472" s="8" t="s">
        <v>233</v>
      </c>
      <c r="BE472" s="4" t="s">
        <v>233</v>
      </c>
      <c r="BF472" s="8" t="s">
        <v>233</v>
      </c>
      <c r="BG472" s="7" t="s">
        <v>233</v>
      </c>
      <c r="BH472" s="7" t="s">
        <v>233</v>
      </c>
      <c r="BI472" s="7"/>
      <c r="BJ472" s="4"/>
      <c r="BK472" s="8"/>
      <c r="BL472" s="2" t="s">
        <v>233</v>
      </c>
      <c r="BM472" s="7"/>
      <c r="BN472" s="7"/>
      <c r="BO472" s="4"/>
      <c r="BP472" s="8"/>
      <c r="BQ472" s="4"/>
      <c r="BR472" s="8"/>
      <c r="BS472" s="7"/>
      <c r="BT472" s="7"/>
      <c r="BU472" s="2" t="s">
        <v>2844</v>
      </c>
      <c r="BV472" s="2" t="s">
        <v>233</v>
      </c>
      <c r="BW472" s="2" t="s">
        <v>233</v>
      </c>
      <c r="BX472" s="2" t="s">
        <v>243</v>
      </c>
      <c r="BY472" s="2" t="s">
        <v>280</v>
      </c>
      <c r="BZ472" s="2" t="s">
        <v>245</v>
      </c>
      <c r="CA472" s="2" t="s">
        <v>2845</v>
      </c>
      <c r="CB472" s="2" t="s">
        <v>233</v>
      </c>
      <c r="CC472" s="2" t="s">
        <v>246</v>
      </c>
      <c r="CD472" s="2" t="s">
        <v>233</v>
      </c>
      <c r="CE472" s="4">
        <v>168</v>
      </c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</row>
    <row r="473">
      <c r="A473" s="2" t="s">
        <v>2846</v>
      </c>
      <c r="B473" s="2" t="s">
        <v>1242</v>
      </c>
      <c r="C473" s="2" t="s">
        <v>530</v>
      </c>
      <c r="D473" s="2" t="s">
        <v>912</v>
      </c>
      <c r="E473" s="2" t="s">
        <v>1139</v>
      </c>
      <c r="F473" s="2" t="s">
        <v>2838</v>
      </c>
      <c r="G473" s="2" t="s">
        <v>2839</v>
      </c>
      <c r="H473" s="2" t="s">
        <v>2840</v>
      </c>
      <c r="I473" s="2" t="s">
        <v>2841</v>
      </c>
      <c r="J473" s="2" t="s">
        <v>1142</v>
      </c>
      <c r="K473" s="2" t="s">
        <v>271</v>
      </c>
      <c r="L473" s="3">
        <v>36.57</v>
      </c>
      <c r="M473" s="3">
        <v>38.4</v>
      </c>
      <c r="N473" s="3">
        <v>79.99</v>
      </c>
      <c r="O473" s="2" t="s">
        <v>245</v>
      </c>
      <c r="P473" s="2" t="s">
        <v>238</v>
      </c>
      <c r="Q473" s="2" t="s">
        <v>239</v>
      </c>
      <c r="R473" s="2" t="s">
        <v>233</v>
      </c>
      <c r="S473" s="2" t="s">
        <v>2842</v>
      </c>
      <c r="T473" s="2" t="s">
        <v>341</v>
      </c>
      <c r="U473" s="2" t="s">
        <v>475</v>
      </c>
      <c r="V473" s="2" t="s">
        <v>1272</v>
      </c>
      <c r="W473" s="2" t="s">
        <v>275</v>
      </c>
      <c r="X473" s="2" t="s">
        <v>977</v>
      </c>
      <c r="Y473" s="2" t="s">
        <v>2843</v>
      </c>
      <c r="Z473" s="4">
        <v>197</v>
      </c>
      <c r="AA473" s="4">
        <f>=ROUNDDOWN(28.1428571428571,0)</f>
      </c>
      <c r="AB473" s="5">
        <v>7</v>
      </c>
      <c r="AC473" s="2" t="s">
        <v>233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233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233</v>
      </c>
      <c r="AW473" s="8" t="s">
        <v>233</v>
      </c>
      <c r="AX473" s="4" t="s">
        <v>233</v>
      </c>
      <c r="AY473" s="8" t="s">
        <v>233</v>
      </c>
      <c r="AZ473" s="7" t="s">
        <v>233</v>
      </c>
      <c r="BA473" s="7" t="s">
        <v>233</v>
      </c>
      <c r="BB473" s="7"/>
      <c r="BC473" s="4" t="s">
        <v>233</v>
      </c>
      <c r="BD473" s="8" t="s">
        <v>233</v>
      </c>
      <c r="BE473" s="4" t="s">
        <v>233</v>
      </c>
      <c r="BF473" s="8" t="s">
        <v>233</v>
      </c>
      <c r="BG473" s="7" t="s">
        <v>233</v>
      </c>
      <c r="BH473" s="7" t="s">
        <v>233</v>
      </c>
      <c r="BI473" s="7"/>
      <c r="BJ473" s="4"/>
      <c r="BK473" s="8"/>
      <c r="BL473" s="2" t="s">
        <v>233</v>
      </c>
      <c r="BM473" s="7"/>
      <c r="BN473" s="7"/>
      <c r="BO473" s="4"/>
      <c r="BP473" s="8"/>
      <c r="BQ473" s="4"/>
      <c r="BR473" s="8"/>
      <c r="BS473" s="7"/>
      <c r="BT473" s="7"/>
      <c r="BU473" s="2" t="s">
        <v>2847</v>
      </c>
      <c r="BV473" s="2" t="s">
        <v>233</v>
      </c>
      <c r="BW473" s="2" t="s">
        <v>233</v>
      </c>
      <c r="BX473" s="2" t="s">
        <v>243</v>
      </c>
      <c r="BY473" s="2" t="s">
        <v>280</v>
      </c>
      <c r="BZ473" s="2" t="s">
        <v>245</v>
      </c>
      <c r="CA473" s="2" t="s">
        <v>2845</v>
      </c>
      <c r="CB473" s="2" t="s">
        <v>233</v>
      </c>
      <c r="CC473" s="2" t="s">
        <v>246</v>
      </c>
      <c r="CD473" s="2" t="s">
        <v>233</v>
      </c>
      <c r="CE473" s="4">
        <v>197</v>
      </c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</row>
    <row r="474">
      <c r="A474" s="2" t="s">
        <v>2848</v>
      </c>
      <c r="B474" s="2" t="s">
        <v>886</v>
      </c>
      <c r="C474" s="2" t="s">
        <v>901</v>
      </c>
      <c r="D474" s="2" t="s">
        <v>1326</v>
      </c>
      <c r="E474" s="2" t="s">
        <v>1327</v>
      </c>
      <c r="F474" s="2" t="s">
        <v>2849</v>
      </c>
      <c r="G474" s="2" t="s">
        <v>2849</v>
      </c>
      <c r="H474" s="2" t="s">
        <v>2849</v>
      </c>
      <c r="I474" s="2" t="s">
        <v>2850</v>
      </c>
      <c r="J474" s="2" t="s">
        <v>892</v>
      </c>
      <c r="K474" s="2" t="s">
        <v>2851</v>
      </c>
      <c r="L474" s="3">
        <v>86</v>
      </c>
      <c r="M474" s="3">
        <v>90.3</v>
      </c>
      <c r="N474" s="3">
        <v>179.99</v>
      </c>
      <c r="O474" s="2" t="s">
        <v>245</v>
      </c>
      <c r="P474" s="2" t="s">
        <v>238</v>
      </c>
      <c r="Q474" s="2" t="s">
        <v>239</v>
      </c>
      <c r="R474" s="2" t="s">
        <v>233</v>
      </c>
      <c r="S474" s="2" t="s">
        <v>233</v>
      </c>
      <c r="T474" s="2" t="s">
        <v>233</v>
      </c>
      <c r="U474" s="2" t="s">
        <v>396</v>
      </c>
      <c r="V474" s="2" t="s">
        <v>893</v>
      </c>
      <c r="W474" s="2" t="s">
        <v>894</v>
      </c>
      <c r="X474" s="2" t="s">
        <v>397</v>
      </c>
      <c r="Y474" s="2" t="s">
        <v>233</v>
      </c>
      <c r="Z474" s="4"/>
      <c r="AA474" s="4">
        <f>=ROUNDDOWN({0},0)</f>
      </c>
      <c r="AB474" s="5"/>
      <c r="AC474" s="2" t="s">
        <v>1701</v>
      </c>
      <c r="AD474" s="4">
        <v>100</v>
      </c>
      <c r="AE474" s="4">
        <v>100</v>
      </c>
      <c r="AF474" s="6"/>
      <c r="AG474" s="6"/>
      <c r="AH474" s="7">
        <v>0</v>
      </c>
      <c r="AI474" s="4"/>
      <c r="AJ474" s="4">
        <f>=ROUNDDOWN({0},0)</f>
      </c>
      <c r="AK474" s="5"/>
      <c r="AL474" s="2" t="s">
        <v>233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233</v>
      </c>
      <c r="BM474" s="7"/>
      <c r="BN474" s="7"/>
      <c r="BO474" s="4"/>
      <c r="BP474" s="8"/>
      <c r="BQ474" s="4"/>
      <c r="BR474" s="8"/>
      <c r="BS474" s="7"/>
      <c r="BT474" s="7"/>
      <c r="BU474" s="2" t="s">
        <v>243</v>
      </c>
      <c r="BV474" s="2" t="s">
        <v>233</v>
      </c>
      <c r="BW474" s="2" t="s">
        <v>233</v>
      </c>
      <c r="BX474" s="2" t="s">
        <v>243</v>
      </c>
      <c r="BY474" s="2" t="s">
        <v>244</v>
      </c>
      <c r="BZ474" s="2" t="s">
        <v>245</v>
      </c>
      <c r="CA474" s="2" t="s">
        <v>233</v>
      </c>
      <c r="CB474" s="2" t="s">
        <v>233</v>
      </c>
      <c r="CC474" s="2" t="s">
        <v>246</v>
      </c>
      <c r="CD474" s="2" t="s">
        <v>233</v>
      </c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>
        <v>100</v>
      </c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</row>
    <row r="475">
      <c r="A475" s="2" t="s">
        <v>2852</v>
      </c>
      <c r="B475" s="2" t="s">
        <v>228</v>
      </c>
      <c r="C475" s="2" t="s">
        <v>530</v>
      </c>
      <c r="D475" s="2" t="s">
        <v>1616</v>
      </c>
      <c r="E475" s="2" t="s">
        <v>2599</v>
      </c>
      <c r="F475" s="2" t="s">
        <v>2853</v>
      </c>
      <c r="G475" s="2" t="s">
        <v>2854</v>
      </c>
      <c r="H475" s="2" t="s">
        <v>2854</v>
      </c>
      <c r="I475" s="2" t="s">
        <v>2855</v>
      </c>
      <c r="J475" s="2" t="s">
        <v>1736</v>
      </c>
      <c r="K475" s="2" t="s">
        <v>255</v>
      </c>
      <c r="L475" s="3">
        <v>28.57</v>
      </c>
      <c r="M475" s="3">
        <v>30</v>
      </c>
      <c r="N475" s="3">
        <v>59.99</v>
      </c>
      <c r="O475" s="2" t="s">
        <v>245</v>
      </c>
      <c r="P475" s="2" t="s">
        <v>311</v>
      </c>
      <c r="Q475" s="2" t="s">
        <v>239</v>
      </c>
      <c r="R475" s="2" t="s">
        <v>233</v>
      </c>
      <c r="S475" s="2" t="s">
        <v>2856</v>
      </c>
      <c r="T475" s="2" t="s">
        <v>976</v>
      </c>
      <c r="U475" s="2" t="s">
        <v>396</v>
      </c>
      <c r="V475" s="2" t="s">
        <v>241</v>
      </c>
      <c r="W475" s="2" t="s">
        <v>705</v>
      </c>
      <c r="X475" s="2" t="s">
        <v>451</v>
      </c>
      <c r="Y475" s="2" t="s">
        <v>1816</v>
      </c>
      <c r="Z475" s="4">
        <v>523</v>
      </c>
      <c r="AA475" s="4">
        <f>=ROUNDDOWN(74.7142857142857,0)</f>
      </c>
      <c r="AB475" s="5">
        <v>7</v>
      </c>
      <c r="AC475" s="2" t="s">
        <v>233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233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233</v>
      </c>
      <c r="BD475" s="8" t="s">
        <v>233</v>
      </c>
      <c r="BE475" s="4" t="s">
        <v>233</v>
      </c>
      <c r="BF475" s="8" t="s">
        <v>233</v>
      </c>
      <c r="BG475" s="7" t="s">
        <v>233</v>
      </c>
      <c r="BH475" s="7" t="s">
        <v>233</v>
      </c>
      <c r="BI475" s="7"/>
      <c r="BJ475" s="4">
        <v>9</v>
      </c>
      <c r="BK475" s="8">
        <v>290.56</v>
      </c>
      <c r="BL475" s="2" t="s">
        <v>2857</v>
      </c>
      <c r="BM475" s="7"/>
      <c r="BN475" s="7"/>
      <c r="BO475" s="4"/>
      <c r="BP475" s="8"/>
      <c r="BQ475" s="4"/>
      <c r="BR475" s="8"/>
      <c r="BS475" s="7"/>
      <c r="BT475" s="7"/>
      <c r="BU475" s="2" t="s">
        <v>2858</v>
      </c>
      <c r="BV475" s="2" t="s">
        <v>233</v>
      </c>
      <c r="BW475" s="2" t="s">
        <v>233</v>
      </c>
      <c r="BX475" s="2" t="s">
        <v>233</v>
      </c>
      <c r="BY475" s="2" t="s">
        <v>280</v>
      </c>
      <c r="BZ475" s="2" t="s">
        <v>245</v>
      </c>
      <c r="CA475" s="2" t="s">
        <v>1995</v>
      </c>
      <c r="CB475" s="2" t="s">
        <v>2115</v>
      </c>
      <c r="CC475" s="2" t="s">
        <v>246</v>
      </c>
      <c r="CD475" s="2" t="s">
        <v>233</v>
      </c>
      <c r="CE475" s="4">
        <v>523</v>
      </c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</row>
    <row r="476">
      <c r="A476" s="2" t="s">
        <v>2859</v>
      </c>
      <c r="B476" s="2" t="s">
        <v>886</v>
      </c>
      <c r="C476" s="2" t="s">
        <v>901</v>
      </c>
      <c r="D476" s="2" t="s">
        <v>1326</v>
      </c>
      <c r="E476" s="2" t="s">
        <v>1327</v>
      </c>
      <c r="F476" s="2" t="s">
        <v>2853</v>
      </c>
      <c r="G476" s="2" t="s">
        <v>2853</v>
      </c>
      <c r="H476" s="2" t="s">
        <v>2853</v>
      </c>
      <c r="I476" s="2" t="s">
        <v>2860</v>
      </c>
      <c r="J476" s="2" t="s">
        <v>892</v>
      </c>
      <c r="K476" s="2" t="s">
        <v>2861</v>
      </c>
      <c r="L476" s="3">
        <v>54.27</v>
      </c>
      <c r="M476" s="3">
        <v>56.98</v>
      </c>
      <c r="N476" s="3">
        <v>129.99</v>
      </c>
      <c r="O476" s="2" t="s">
        <v>245</v>
      </c>
      <c r="P476" s="2" t="s">
        <v>311</v>
      </c>
      <c r="Q476" s="2" t="s">
        <v>239</v>
      </c>
      <c r="R476" s="2" t="s">
        <v>233</v>
      </c>
      <c r="S476" s="2" t="s">
        <v>233</v>
      </c>
      <c r="T476" s="2" t="s">
        <v>233</v>
      </c>
      <c r="U476" s="2" t="s">
        <v>396</v>
      </c>
      <c r="V476" s="2" t="s">
        <v>893</v>
      </c>
      <c r="W476" s="2" t="s">
        <v>451</v>
      </c>
      <c r="X476" s="2" t="s">
        <v>233</v>
      </c>
      <c r="Y476" s="2" t="s">
        <v>2256</v>
      </c>
      <c r="Z476" s="4">
        <v>62</v>
      </c>
      <c r="AA476" s="4">
        <f>=ROUNDDOWN(310,0)</f>
      </c>
      <c r="AB476" s="5">
        <v>0.2</v>
      </c>
      <c r="AC476" s="2" t="s">
        <v>233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233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233</v>
      </c>
      <c r="BD476" s="8" t="s">
        <v>233</v>
      </c>
      <c r="BE476" s="4" t="s">
        <v>233</v>
      </c>
      <c r="BF476" s="8" t="s">
        <v>233</v>
      </c>
      <c r="BG476" s="7" t="s">
        <v>233</v>
      </c>
      <c r="BH476" s="7" t="s">
        <v>233</v>
      </c>
      <c r="BI476" s="7"/>
      <c r="BJ476" s="4">
        <v>1</v>
      </c>
      <c r="BK476" s="8">
        <v>61.54</v>
      </c>
      <c r="BL476" s="2" t="s">
        <v>2862</v>
      </c>
      <c r="BM476" s="7"/>
      <c r="BN476" s="7"/>
      <c r="BO476" s="4"/>
      <c r="BP476" s="8"/>
      <c r="BQ476" s="4"/>
      <c r="BR476" s="8"/>
      <c r="BS476" s="7"/>
      <c r="BT476" s="7"/>
      <c r="BU476" s="2" t="s">
        <v>2863</v>
      </c>
      <c r="BV476" s="2" t="s">
        <v>233</v>
      </c>
      <c r="BW476" s="2" t="s">
        <v>233</v>
      </c>
      <c r="BX476" s="2" t="s">
        <v>233</v>
      </c>
      <c r="BY476" s="2" t="s">
        <v>280</v>
      </c>
      <c r="BZ476" s="2" t="s">
        <v>245</v>
      </c>
      <c r="CA476" s="2" t="s">
        <v>2864</v>
      </c>
      <c r="CB476" s="2" t="s">
        <v>2865</v>
      </c>
      <c r="CC476" s="2" t="s">
        <v>246</v>
      </c>
      <c r="CD476" s="2" t="s">
        <v>233</v>
      </c>
      <c r="CE476" s="4"/>
      <c r="CF476" s="4">
        <v>62</v>
      </c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</row>
    <row r="477">
      <c r="A477" s="2" t="s">
        <v>2866</v>
      </c>
      <c r="B477" s="2" t="s">
        <v>1066</v>
      </c>
      <c r="C477" s="2" t="s">
        <v>530</v>
      </c>
      <c r="D477" s="2" t="s">
        <v>1919</v>
      </c>
      <c r="E477" s="2" t="s">
        <v>1920</v>
      </c>
      <c r="F477" s="2" t="s">
        <v>2867</v>
      </c>
      <c r="G477" s="2" t="s">
        <v>2868</v>
      </c>
      <c r="H477" s="2" t="s">
        <v>2869</v>
      </c>
      <c r="I477" s="2" t="s">
        <v>2870</v>
      </c>
      <c r="J477" s="2" t="s">
        <v>892</v>
      </c>
      <c r="K477" s="2" t="s">
        <v>1191</v>
      </c>
      <c r="L477" s="3">
        <v>80.75</v>
      </c>
      <c r="M477" s="3">
        <v>84.79</v>
      </c>
      <c r="N477" s="3">
        <v>169</v>
      </c>
      <c r="O477" s="2" t="s">
        <v>245</v>
      </c>
      <c r="P477" s="2" t="s">
        <v>272</v>
      </c>
      <c r="Q477" s="2" t="s">
        <v>239</v>
      </c>
      <c r="R477" s="2" t="s">
        <v>233</v>
      </c>
      <c r="S477" s="2" t="s">
        <v>2871</v>
      </c>
      <c r="T477" s="2" t="s">
        <v>233</v>
      </c>
      <c r="U477" s="2" t="s">
        <v>233</v>
      </c>
      <c r="V477" s="2" t="s">
        <v>241</v>
      </c>
      <c r="W477" s="2" t="s">
        <v>397</v>
      </c>
      <c r="X477" s="2" t="s">
        <v>233</v>
      </c>
      <c r="Y477" s="2" t="s">
        <v>276</v>
      </c>
      <c r="Z477" s="4">
        <v>252</v>
      </c>
      <c r="AA477" s="4">
        <f>=ROUNDDOWN(63,0)</f>
      </c>
      <c r="AB477" s="5">
        <v>4</v>
      </c>
      <c r="AC477" s="2" t="s">
        <v>2872</v>
      </c>
      <c r="AD477" s="4">
        <v>15</v>
      </c>
      <c r="AE477" s="4">
        <v>15</v>
      </c>
      <c r="AF477" s="6">
        <v>74</v>
      </c>
      <c r="AG477" s="6"/>
      <c r="AH477" s="7">
        <v>1</v>
      </c>
      <c r="AI477" s="4"/>
      <c r="AJ477" s="4">
        <f>=ROUNDDOWN({0},0)</f>
      </c>
      <c r="AK477" s="5"/>
      <c r="AL477" s="2" t="s">
        <v>233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>
        <v>4</v>
      </c>
      <c r="BK477" s="8">
        <v>336.72</v>
      </c>
      <c r="BL477" s="2" t="s">
        <v>2873</v>
      </c>
      <c r="BM477" s="7"/>
      <c r="BN477" s="7"/>
      <c r="BO477" s="4"/>
      <c r="BP477" s="8"/>
      <c r="BQ477" s="4"/>
      <c r="BR477" s="8"/>
      <c r="BS477" s="7"/>
      <c r="BT477" s="7"/>
      <c r="BU477" s="2" t="s">
        <v>2874</v>
      </c>
      <c r="BV477" s="2" t="s">
        <v>233</v>
      </c>
      <c r="BW477" s="2" t="s">
        <v>233</v>
      </c>
      <c r="BX477" s="2" t="s">
        <v>233</v>
      </c>
      <c r="BY477" s="2" t="s">
        <v>280</v>
      </c>
      <c r="BZ477" s="2" t="s">
        <v>245</v>
      </c>
      <c r="CA477" s="2" t="s">
        <v>433</v>
      </c>
      <c r="CB477" s="2" t="s">
        <v>2875</v>
      </c>
      <c r="CC477" s="2" t="s">
        <v>246</v>
      </c>
      <c r="CD477" s="2" t="s">
        <v>233</v>
      </c>
      <c r="CE477" s="4"/>
      <c r="CF477" s="4">
        <v>252</v>
      </c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>
        <v>15</v>
      </c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</row>
    <row r="478">
      <c r="A478" s="2" t="s">
        <v>2876</v>
      </c>
      <c r="B478" s="2" t="s">
        <v>910</v>
      </c>
      <c r="C478" s="2" t="s">
        <v>1130</v>
      </c>
      <c r="D478" s="2" t="s">
        <v>969</v>
      </c>
      <c r="E478" s="2" t="s">
        <v>1078</v>
      </c>
      <c r="F478" s="2" t="s">
        <v>2877</v>
      </c>
      <c r="G478" s="2" t="s">
        <v>2878</v>
      </c>
      <c r="H478" s="2" t="s">
        <v>2879</v>
      </c>
      <c r="I478" s="2" t="s">
        <v>2880</v>
      </c>
      <c r="J478" s="2" t="s">
        <v>918</v>
      </c>
      <c r="K478" s="2" t="s">
        <v>271</v>
      </c>
      <c r="L478" s="3">
        <v>52.88</v>
      </c>
      <c r="M478" s="3">
        <v>55.52</v>
      </c>
      <c r="N478" s="3">
        <v>109.99</v>
      </c>
      <c r="O478" s="2" t="s">
        <v>245</v>
      </c>
      <c r="P478" s="2" t="s">
        <v>763</v>
      </c>
      <c r="Q478" s="2" t="s">
        <v>239</v>
      </c>
      <c r="R478" s="2" t="s">
        <v>233</v>
      </c>
      <c r="S478" s="2" t="s">
        <v>2881</v>
      </c>
      <c r="T478" s="2" t="s">
        <v>341</v>
      </c>
      <c r="U478" s="2" t="s">
        <v>1482</v>
      </c>
      <c r="V478" s="2" t="s">
        <v>241</v>
      </c>
      <c r="W478" s="2" t="s">
        <v>2882</v>
      </c>
      <c r="X478" s="2" t="s">
        <v>2883</v>
      </c>
      <c r="Y478" s="2" t="s">
        <v>2884</v>
      </c>
      <c r="Z478" s="4">
        <v>546</v>
      </c>
      <c r="AA478" s="4">
        <f>=ROUNDDOWN(78,0)</f>
      </c>
      <c r="AB478" s="5">
        <v>7</v>
      </c>
      <c r="AC478" s="2" t="s">
        <v>2885</v>
      </c>
      <c r="AD478" s="4">
        <v>50</v>
      </c>
      <c r="AE478" s="4">
        <v>310</v>
      </c>
      <c r="AF478" s="6">
        <v>66</v>
      </c>
      <c r="AG478" s="6">
        <v>49</v>
      </c>
      <c r="AH478" s="7">
        <v>1</v>
      </c>
      <c r="AI478" s="4"/>
      <c r="AJ478" s="4">
        <f>=ROUNDDOWN({0},0)</f>
      </c>
      <c r="AK478" s="5"/>
      <c r="AL478" s="2" t="s">
        <v>233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233</v>
      </c>
      <c r="AW478" s="8" t="s">
        <v>233</v>
      </c>
      <c r="AX478" s="4" t="s">
        <v>233</v>
      </c>
      <c r="AY478" s="8" t="s">
        <v>233</v>
      </c>
      <c r="AZ478" s="7" t="s">
        <v>233</v>
      </c>
      <c r="BA478" s="7" t="s">
        <v>233</v>
      </c>
      <c r="BB478" s="7"/>
      <c r="BC478" s="4" t="s">
        <v>233</v>
      </c>
      <c r="BD478" s="8" t="s">
        <v>233</v>
      </c>
      <c r="BE478" s="4" t="s">
        <v>233</v>
      </c>
      <c r="BF478" s="8" t="s">
        <v>233</v>
      </c>
      <c r="BG478" s="7" t="s">
        <v>233</v>
      </c>
      <c r="BH478" s="7" t="s">
        <v>233</v>
      </c>
      <c r="BI478" s="7"/>
      <c r="BJ478" s="4">
        <v>19</v>
      </c>
      <c r="BK478" s="8">
        <v>1152.77</v>
      </c>
      <c r="BL478" s="2" t="s">
        <v>2886</v>
      </c>
      <c r="BM478" s="7"/>
      <c r="BN478" s="7"/>
      <c r="BO478" s="4"/>
      <c r="BP478" s="8"/>
      <c r="BQ478" s="4"/>
      <c r="BR478" s="8"/>
      <c r="BS478" s="7"/>
      <c r="BT478" s="7"/>
      <c r="BU478" s="2" t="s">
        <v>2887</v>
      </c>
      <c r="BV478" s="2" t="s">
        <v>233</v>
      </c>
      <c r="BW478" s="2" t="s">
        <v>233</v>
      </c>
      <c r="BX478" s="2" t="s">
        <v>233</v>
      </c>
      <c r="BY478" s="2" t="s">
        <v>280</v>
      </c>
      <c r="BZ478" s="2" t="s">
        <v>245</v>
      </c>
      <c r="CA478" s="2" t="s">
        <v>2888</v>
      </c>
      <c r="CB478" s="2" t="s">
        <v>2889</v>
      </c>
      <c r="CC478" s="2" t="s">
        <v>246</v>
      </c>
      <c r="CD478" s="2" t="s">
        <v>233</v>
      </c>
      <c r="CE478" s="4">
        <v>393</v>
      </c>
      <c r="CF478" s="4"/>
      <c r="CG478" s="4"/>
      <c r="CH478" s="4"/>
      <c r="CI478" s="4">
        <v>153</v>
      </c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>
        <v>50</v>
      </c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>
        <v>60</v>
      </c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>
        <v>200</v>
      </c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</row>
    <row r="479">
      <c r="A479" s="2" t="s">
        <v>2890</v>
      </c>
      <c r="B479" s="2" t="s">
        <v>910</v>
      </c>
      <c r="C479" s="2" t="s">
        <v>1130</v>
      </c>
      <c r="D479" s="2" t="s">
        <v>912</v>
      </c>
      <c r="E479" s="2" t="s">
        <v>913</v>
      </c>
      <c r="F479" s="2" t="s">
        <v>2877</v>
      </c>
      <c r="G479" s="2" t="s">
        <v>2878</v>
      </c>
      <c r="H479" s="2" t="s">
        <v>2879</v>
      </c>
      <c r="I479" s="2" t="s">
        <v>2891</v>
      </c>
      <c r="J479" s="2" t="s">
        <v>1142</v>
      </c>
      <c r="K479" s="2" t="s">
        <v>271</v>
      </c>
      <c r="L479" s="3">
        <v>72</v>
      </c>
      <c r="M479" s="3">
        <v>75.6</v>
      </c>
      <c r="N479" s="3">
        <v>139.99</v>
      </c>
      <c r="O479" s="2" t="s">
        <v>245</v>
      </c>
      <c r="P479" s="2" t="s">
        <v>272</v>
      </c>
      <c r="Q479" s="2" t="s">
        <v>239</v>
      </c>
      <c r="R479" s="2" t="s">
        <v>233</v>
      </c>
      <c r="S479" s="2" t="s">
        <v>2881</v>
      </c>
      <c r="T479" s="2" t="s">
        <v>341</v>
      </c>
      <c r="U479" s="2" t="s">
        <v>1507</v>
      </c>
      <c r="V479" s="2" t="s">
        <v>241</v>
      </c>
      <c r="W479" s="2" t="s">
        <v>2882</v>
      </c>
      <c r="X479" s="2" t="s">
        <v>2883</v>
      </c>
      <c r="Y479" s="2" t="s">
        <v>2884</v>
      </c>
      <c r="Z479" s="4">
        <v>97</v>
      </c>
      <c r="AA479" s="4">
        <f>=ROUNDDOWN(48.5,0)</f>
      </c>
      <c r="AB479" s="5">
        <v>2</v>
      </c>
      <c r="AC479" s="2" t="s">
        <v>233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233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233</v>
      </c>
      <c r="AW479" s="8" t="s">
        <v>233</v>
      </c>
      <c r="AX479" s="4" t="s">
        <v>233</v>
      </c>
      <c r="AY479" s="8" t="s">
        <v>233</v>
      </c>
      <c r="AZ479" s="7" t="s">
        <v>233</v>
      </c>
      <c r="BA479" s="7" t="s">
        <v>233</v>
      </c>
      <c r="BB479" s="7"/>
      <c r="BC479" s="4" t="s">
        <v>233</v>
      </c>
      <c r="BD479" s="8" t="s">
        <v>233</v>
      </c>
      <c r="BE479" s="4" t="s">
        <v>233</v>
      </c>
      <c r="BF479" s="8" t="s">
        <v>233</v>
      </c>
      <c r="BG479" s="7" t="s">
        <v>233</v>
      </c>
      <c r="BH479" s="7" t="s">
        <v>233</v>
      </c>
      <c r="BI479" s="7"/>
      <c r="BJ479" s="4">
        <v>1</v>
      </c>
      <c r="BK479" s="8">
        <v>75.14</v>
      </c>
      <c r="BL479" s="2" t="s">
        <v>2892</v>
      </c>
      <c r="BM479" s="7"/>
      <c r="BN479" s="7"/>
      <c r="BO479" s="4"/>
      <c r="BP479" s="8"/>
      <c r="BQ479" s="4"/>
      <c r="BR479" s="8"/>
      <c r="BS479" s="7"/>
      <c r="BT479" s="7"/>
      <c r="BU479" s="2" t="s">
        <v>2893</v>
      </c>
      <c r="BV479" s="2" t="s">
        <v>233</v>
      </c>
      <c r="BW479" s="2" t="s">
        <v>233</v>
      </c>
      <c r="BX479" s="2" t="s">
        <v>233</v>
      </c>
      <c r="BY479" s="2" t="s">
        <v>280</v>
      </c>
      <c r="BZ479" s="2" t="s">
        <v>245</v>
      </c>
      <c r="CA479" s="2" t="s">
        <v>2888</v>
      </c>
      <c r="CB479" s="2" t="s">
        <v>2894</v>
      </c>
      <c r="CC479" s="2" t="s">
        <v>246</v>
      </c>
      <c r="CD479" s="2" t="s">
        <v>233</v>
      </c>
      <c r="CE479" s="4">
        <v>97</v>
      </c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</row>
    <row r="480">
      <c r="A480" s="2" t="s">
        <v>2895</v>
      </c>
      <c r="B480" s="2" t="s">
        <v>910</v>
      </c>
      <c r="C480" s="2" t="s">
        <v>1130</v>
      </c>
      <c r="D480" s="2" t="s">
        <v>912</v>
      </c>
      <c r="E480" s="2" t="s">
        <v>913</v>
      </c>
      <c r="F480" s="2" t="s">
        <v>2877</v>
      </c>
      <c r="G480" s="2" t="s">
        <v>2878</v>
      </c>
      <c r="H480" s="2" t="s">
        <v>2879</v>
      </c>
      <c r="I480" s="2" t="s">
        <v>2891</v>
      </c>
      <c r="J480" s="2" t="s">
        <v>918</v>
      </c>
      <c r="K480" s="2" t="s">
        <v>773</v>
      </c>
      <c r="L480" s="3">
        <v>46.53</v>
      </c>
      <c r="M480" s="3">
        <v>48.86</v>
      </c>
      <c r="N480" s="3">
        <v>89.99</v>
      </c>
      <c r="O480" s="2" t="s">
        <v>245</v>
      </c>
      <c r="P480" s="2" t="s">
        <v>272</v>
      </c>
      <c r="Q480" s="2" t="s">
        <v>239</v>
      </c>
      <c r="R480" s="2" t="s">
        <v>233</v>
      </c>
      <c r="S480" s="2" t="s">
        <v>2896</v>
      </c>
      <c r="T480" s="2" t="s">
        <v>341</v>
      </c>
      <c r="U480" s="2" t="s">
        <v>1482</v>
      </c>
      <c r="V480" s="2" t="s">
        <v>241</v>
      </c>
      <c r="W480" s="2" t="s">
        <v>2882</v>
      </c>
      <c r="X480" s="2" t="s">
        <v>2883</v>
      </c>
      <c r="Y480" s="2" t="s">
        <v>794</v>
      </c>
      <c r="Z480" s="4">
        <v>341</v>
      </c>
      <c r="AA480" s="4">
        <f>=ROUNDDOWN(170.5,0)</f>
      </c>
      <c r="AB480" s="5">
        <v>2</v>
      </c>
      <c r="AC480" s="2" t="s">
        <v>233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233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233</v>
      </c>
      <c r="AW480" s="8" t="s">
        <v>233</v>
      </c>
      <c r="AX480" s="4" t="s">
        <v>233</v>
      </c>
      <c r="AY480" s="8" t="s">
        <v>233</v>
      </c>
      <c r="AZ480" s="7" t="s">
        <v>233</v>
      </c>
      <c r="BA480" s="7" t="s">
        <v>233</v>
      </c>
      <c r="BB480" s="7"/>
      <c r="BC480" s="4" t="s">
        <v>233</v>
      </c>
      <c r="BD480" s="8" t="s">
        <v>233</v>
      </c>
      <c r="BE480" s="4" t="s">
        <v>233</v>
      </c>
      <c r="BF480" s="8" t="s">
        <v>233</v>
      </c>
      <c r="BG480" s="7" t="s">
        <v>233</v>
      </c>
      <c r="BH480" s="7" t="s">
        <v>233</v>
      </c>
      <c r="BI480" s="7"/>
      <c r="BJ480" s="4"/>
      <c r="BK480" s="8"/>
      <c r="BL480" s="2" t="s">
        <v>2554</v>
      </c>
      <c r="BM480" s="7"/>
      <c r="BN480" s="7"/>
      <c r="BO480" s="4"/>
      <c r="BP480" s="8"/>
      <c r="BQ480" s="4"/>
      <c r="BR480" s="8"/>
      <c r="BS480" s="7"/>
      <c r="BT480" s="7"/>
      <c r="BU480" s="2" t="s">
        <v>2897</v>
      </c>
      <c r="BV480" s="2" t="s">
        <v>233</v>
      </c>
      <c r="BW480" s="2" t="s">
        <v>233</v>
      </c>
      <c r="BX480" s="2" t="s">
        <v>233</v>
      </c>
      <c r="BY480" s="2" t="s">
        <v>280</v>
      </c>
      <c r="BZ480" s="2" t="s">
        <v>245</v>
      </c>
      <c r="CA480" s="2" t="s">
        <v>2898</v>
      </c>
      <c r="CB480" s="2" t="s">
        <v>2899</v>
      </c>
      <c r="CC480" s="2" t="s">
        <v>246</v>
      </c>
      <c r="CD480" s="2" t="s">
        <v>233</v>
      </c>
      <c r="CE480" s="4">
        <v>341</v>
      </c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</row>
    <row r="481">
      <c r="A481" s="2" t="s">
        <v>2900</v>
      </c>
      <c r="B481" s="2" t="s">
        <v>910</v>
      </c>
      <c r="C481" s="2" t="s">
        <v>1130</v>
      </c>
      <c r="D481" s="2" t="s">
        <v>969</v>
      </c>
      <c r="E481" s="2" t="s">
        <v>1078</v>
      </c>
      <c r="F481" s="2" t="s">
        <v>2877</v>
      </c>
      <c r="G481" s="2" t="s">
        <v>2878</v>
      </c>
      <c r="H481" s="2" t="s">
        <v>2879</v>
      </c>
      <c r="I481" s="2" t="s">
        <v>2880</v>
      </c>
      <c r="J481" s="2" t="s">
        <v>981</v>
      </c>
      <c r="K481" s="2" t="s">
        <v>773</v>
      </c>
      <c r="L481" s="3">
        <v>66.96</v>
      </c>
      <c r="M481" s="3">
        <v>70.31</v>
      </c>
      <c r="N481" s="3">
        <v>139.99</v>
      </c>
      <c r="O481" s="2" t="s">
        <v>245</v>
      </c>
      <c r="P481" s="2" t="s">
        <v>741</v>
      </c>
      <c r="Q481" s="2" t="s">
        <v>239</v>
      </c>
      <c r="R481" s="2" t="s">
        <v>233</v>
      </c>
      <c r="S481" s="2" t="s">
        <v>2896</v>
      </c>
      <c r="T481" s="2" t="s">
        <v>341</v>
      </c>
      <c r="U481" s="2" t="s">
        <v>1507</v>
      </c>
      <c r="V481" s="2" t="s">
        <v>241</v>
      </c>
      <c r="W481" s="2" t="s">
        <v>2882</v>
      </c>
      <c r="X481" s="2" t="s">
        <v>2883</v>
      </c>
      <c r="Y481" s="2" t="s">
        <v>2901</v>
      </c>
      <c r="Z481" s="4">
        <v>170</v>
      </c>
      <c r="AA481" s="4">
        <f>=ROUNDDOWN(28.3333333333333,0)</f>
      </c>
      <c r="AB481" s="5">
        <v>6</v>
      </c>
      <c r="AC481" s="2" t="s">
        <v>2902</v>
      </c>
      <c r="AD481" s="4">
        <v>30</v>
      </c>
      <c r="AE481" s="4">
        <v>120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233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233</v>
      </c>
      <c r="AW481" s="8" t="s">
        <v>233</v>
      </c>
      <c r="AX481" s="4" t="s">
        <v>233</v>
      </c>
      <c r="AY481" s="8" t="s">
        <v>233</v>
      </c>
      <c r="AZ481" s="7" t="s">
        <v>233</v>
      </c>
      <c r="BA481" s="7" t="s">
        <v>233</v>
      </c>
      <c r="BB481" s="7"/>
      <c r="BC481" s="4" t="s">
        <v>233</v>
      </c>
      <c r="BD481" s="8" t="s">
        <v>233</v>
      </c>
      <c r="BE481" s="4" t="s">
        <v>233</v>
      </c>
      <c r="BF481" s="8" t="s">
        <v>233</v>
      </c>
      <c r="BG481" s="7" t="s">
        <v>233</v>
      </c>
      <c r="BH481" s="7" t="s">
        <v>233</v>
      </c>
      <c r="BI481" s="7"/>
      <c r="BJ481" s="4">
        <v>18</v>
      </c>
      <c r="BK481" s="8">
        <v>1385.81</v>
      </c>
      <c r="BL481" s="2" t="s">
        <v>2903</v>
      </c>
      <c r="BM481" s="7"/>
      <c r="BN481" s="7"/>
      <c r="BO481" s="4"/>
      <c r="BP481" s="8"/>
      <c r="BQ481" s="4"/>
      <c r="BR481" s="8"/>
      <c r="BS481" s="7"/>
      <c r="BT481" s="7"/>
      <c r="BU481" s="2" t="s">
        <v>2904</v>
      </c>
      <c r="BV481" s="2" t="s">
        <v>233</v>
      </c>
      <c r="BW481" s="2" t="s">
        <v>233</v>
      </c>
      <c r="BX481" s="2" t="s">
        <v>233</v>
      </c>
      <c r="BY481" s="2" t="s">
        <v>280</v>
      </c>
      <c r="BZ481" s="2" t="s">
        <v>245</v>
      </c>
      <c r="CA481" s="2" t="s">
        <v>2905</v>
      </c>
      <c r="CB481" s="2" t="s">
        <v>2906</v>
      </c>
      <c r="CC481" s="2" t="s">
        <v>246</v>
      </c>
      <c r="CD481" s="2" t="s">
        <v>233</v>
      </c>
      <c r="CE481" s="4">
        <v>170</v>
      </c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>
        <v>30</v>
      </c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>
        <v>90</v>
      </c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</row>
    <row r="482">
      <c r="A482" s="2" t="s">
        <v>2907</v>
      </c>
      <c r="B482" s="2" t="s">
        <v>910</v>
      </c>
      <c r="C482" s="2" t="s">
        <v>1130</v>
      </c>
      <c r="D482" s="2" t="s">
        <v>912</v>
      </c>
      <c r="E482" s="2" t="s">
        <v>913</v>
      </c>
      <c r="F482" s="2" t="s">
        <v>2877</v>
      </c>
      <c r="G482" s="2" t="s">
        <v>2878</v>
      </c>
      <c r="H482" s="2" t="s">
        <v>2879</v>
      </c>
      <c r="I482" s="2" t="s">
        <v>2891</v>
      </c>
      <c r="J482" s="2" t="s">
        <v>1142</v>
      </c>
      <c r="K482" s="2" t="s">
        <v>773</v>
      </c>
      <c r="L482" s="3">
        <v>72</v>
      </c>
      <c r="M482" s="3">
        <v>75.6</v>
      </c>
      <c r="N482" s="3">
        <v>139.99</v>
      </c>
      <c r="O482" s="2" t="s">
        <v>245</v>
      </c>
      <c r="P482" s="2" t="s">
        <v>272</v>
      </c>
      <c r="Q482" s="2" t="s">
        <v>239</v>
      </c>
      <c r="R482" s="2" t="s">
        <v>233</v>
      </c>
      <c r="S482" s="2" t="s">
        <v>2896</v>
      </c>
      <c r="T482" s="2" t="s">
        <v>341</v>
      </c>
      <c r="U482" s="2" t="s">
        <v>1507</v>
      </c>
      <c r="V482" s="2" t="s">
        <v>241</v>
      </c>
      <c r="W482" s="2" t="s">
        <v>2882</v>
      </c>
      <c r="X482" s="2" t="s">
        <v>2883</v>
      </c>
      <c r="Y482" s="2" t="s">
        <v>794</v>
      </c>
      <c r="Z482" s="4">
        <v>67</v>
      </c>
      <c r="AA482" s="4">
        <f>=ROUNDDOWN(22.3333333333333,0)</f>
      </c>
      <c r="AB482" s="5">
        <v>3</v>
      </c>
      <c r="AC482" s="2" t="s">
        <v>2902</v>
      </c>
      <c r="AD482" s="4">
        <v>60</v>
      </c>
      <c r="AE482" s="4">
        <v>120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233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233</v>
      </c>
      <c r="AW482" s="8" t="s">
        <v>233</v>
      </c>
      <c r="AX482" s="4" t="s">
        <v>233</v>
      </c>
      <c r="AY482" s="8" t="s">
        <v>233</v>
      </c>
      <c r="AZ482" s="7" t="s">
        <v>233</v>
      </c>
      <c r="BA482" s="7" t="s">
        <v>233</v>
      </c>
      <c r="BB482" s="7"/>
      <c r="BC482" s="4" t="s">
        <v>233</v>
      </c>
      <c r="BD482" s="8" t="s">
        <v>233</v>
      </c>
      <c r="BE482" s="4" t="s">
        <v>233</v>
      </c>
      <c r="BF482" s="8" t="s">
        <v>233</v>
      </c>
      <c r="BG482" s="7" t="s">
        <v>233</v>
      </c>
      <c r="BH482" s="7" t="s">
        <v>233</v>
      </c>
      <c r="BI482" s="7"/>
      <c r="BJ482" s="4">
        <v>6</v>
      </c>
      <c r="BK482" s="8">
        <v>461.52</v>
      </c>
      <c r="BL482" s="2" t="s">
        <v>2908</v>
      </c>
      <c r="BM482" s="7"/>
      <c r="BN482" s="7"/>
      <c r="BO482" s="4"/>
      <c r="BP482" s="8"/>
      <c r="BQ482" s="4"/>
      <c r="BR482" s="8"/>
      <c r="BS482" s="7"/>
      <c r="BT482" s="7"/>
      <c r="BU482" s="2" t="s">
        <v>2909</v>
      </c>
      <c r="BV482" s="2" t="s">
        <v>233</v>
      </c>
      <c r="BW482" s="2" t="s">
        <v>233</v>
      </c>
      <c r="BX482" s="2" t="s">
        <v>233</v>
      </c>
      <c r="BY482" s="2" t="s">
        <v>280</v>
      </c>
      <c r="BZ482" s="2" t="s">
        <v>245</v>
      </c>
      <c r="CA482" s="2" t="s">
        <v>2898</v>
      </c>
      <c r="CB482" s="2" t="s">
        <v>2910</v>
      </c>
      <c r="CC482" s="2" t="s">
        <v>246</v>
      </c>
      <c r="CD482" s="2" t="s">
        <v>233</v>
      </c>
      <c r="CE482" s="4">
        <v>67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>
        <v>60</v>
      </c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>
        <v>60</v>
      </c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</row>
    <row r="483">
      <c r="A483" s="2" t="s">
        <v>2911</v>
      </c>
      <c r="B483" s="2" t="s">
        <v>1174</v>
      </c>
      <c r="C483" s="2" t="s">
        <v>1130</v>
      </c>
      <c r="D483" s="2" t="s">
        <v>1194</v>
      </c>
      <c r="E483" s="2" t="s">
        <v>1195</v>
      </c>
      <c r="F483" s="2" t="s">
        <v>2877</v>
      </c>
      <c r="G483" s="2" t="s">
        <v>2878</v>
      </c>
      <c r="H483" s="2" t="s">
        <v>2879</v>
      </c>
      <c r="I483" s="2" t="s">
        <v>2912</v>
      </c>
      <c r="J483" s="2" t="s">
        <v>2913</v>
      </c>
      <c r="K483" s="2" t="s">
        <v>773</v>
      </c>
      <c r="L483" s="3">
        <v>10.8</v>
      </c>
      <c r="M483" s="3">
        <v>11.34</v>
      </c>
      <c r="N483" s="3">
        <v>26.99</v>
      </c>
      <c r="O483" s="2" t="s">
        <v>252</v>
      </c>
      <c r="P483" s="2" t="s">
        <v>311</v>
      </c>
      <c r="Q483" s="2" t="s">
        <v>239</v>
      </c>
      <c r="R483" s="2" t="s">
        <v>233</v>
      </c>
      <c r="S483" s="2" t="s">
        <v>2896</v>
      </c>
      <c r="T483" s="2" t="s">
        <v>341</v>
      </c>
      <c r="U483" s="2" t="s">
        <v>396</v>
      </c>
      <c r="V483" s="2" t="s">
        <v>241</v>
      </c>
      <c r="W483" s="2" t="s">
        <v>275</v>
      </c>
      <c r="X483" s="2" t="s">
        <v>2882</v>
      </c>
      <c r="Y483" s="2" t="s">
        <v>2914</v>
      </c>
      <c r="Z483" s="4">
        <v>115</v>
      </c>
      <c r="AA483" s="4">
        <f>=ROUNDDOWN(82.1428571428571,0)</f>
      </c>
      <c r="AB483" s="5">
        <v>1.4</v>
      </c>
      <c r="AC483" s="2" t="s">
        <v>233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233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233</v>
      </c>
      <c r="AW483" s="8" t="s">
        <v>233</v>
      </c>
      <c r="AX483" s="4" t="s">
        <v>233</v>
      </c>
      <c r="AY483" s="8" t="s">
        <v>233</v>
      </c>
      <c r="AZ483" s="7" t="s">
        <v>233</v>
      </c>
      <c r="BA483" s="7" t="s">
        <v>233</v>
      </c>
      <c r="BB483" s="7"/>
      <c r="BC483" s="4" t="s">
        <v>233</v>
      </c>
      <c r="BD483" s="8" t="s">
        <v>233</v>
      </c>
      <c r="BE483" s="4" t="s">
        <v>233</v>
      </c>
      <c r="BF483" s="8" t="s">
        <v>233</v>
      </c>
      <c r="BG483" s="7" t="s">
        <v>233</v>
      </c>
      <c r="BH483" s="7" t="s">
        <v>233</v>
      </c>
      <c r="BI483" s="7"/>
      <c r="BJ483" s="4">
        <v>6</v>
      </c>
      <c r="BK483" s="8">
        <v>48.98</v>
      </c>
      <c r="BL483" s="2" t="s">
        <v>2915</v>
      </c>
      <c r="BM483" s="7"/>
      <c r="BN483" s="7"/>
      <c r="BO483" s="4"/>
      <c r="BP483" s="8"/>
      <c r="BQ483" s="4"/>
      <c r="BR483" s="8"/>
      <c r="BS483" s="7"/>
      <c r="BT483" s="7"/>
      <c r="BU483" s="2" t="s">
        <v>2916</v>
      </c>
      <c r="BV483" s="2" t="s">
        <v>233</v>
      </c>
      <c r="BW483" s="2" t="s">
        <v>233</v>
      </c>
      <c r="BX483" s="2" t="s">
        <v>233</v>
      </c>
      <c r="BY483" s="2" t="s">
        <v>280</v>
      </c>
      <c r="BZ483" s="2" t="s">
        <v>245</v>
      </c>
      <c r="CA483" s="2" t="s">
        <v>2917</v>
      </c>
      <c r="CB483" s="2" t="s">
        <v>2918</v>
      </c>
      <c r="CC483" s="2" t="s">
        <v>246</v>
      </c>
      <c r="CD483" s="2" t="s">
        <v>233</v>
      </c>
      <c r="CE483" s="4">
        <v>115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</row>
    <row r="484">
      <c r="A484" s="2" t="s">
        <v>2919</v>
      </c>
      <c r="B484" s="2" t="s">
        <v>1174</v>
      </c>
      <c r="C484" s="2" t="s">
        <v>1130</v>
      </c>
      <c r="D484" s="2" t="s">
        <v>1194</v>
      </c>
      <c r="E484" s="2" t="s">
        <v>1195</v>
      </c>
      <c r="F484" s="2" t="s">
        <v>2877</v>
      </c>
      <c r="G484" s="2" t="s">
        <v>2878</v>
      </c>
      <c r="H484" s="2" t="s">
        <v>2879</v>
      </c>
      <c r="I484" s="2" t="s">
        <v>2920</v>
      </c>
      <c r="J484" s="2" t="s">
        <v>1200</v>
      </c>
      <c r="K484" s="2" t="s">
        <v>773</v>
      </c>
      <c r="L484" s="3">
        <v>13.5</v>
      </c>
      <c r="M484" s="3">
        <v>14.18</v>
      </c>
      <c r="N484" s="3">
        <v>29.99</v>
      </c>
      <c r="O484" s="2" t="s">
        <v>252</v>
      </c>
      <c r="P484" s="2" t="s">
        <v>311</v>
      </c>
      <c r="Q484" s="2" t="s">
        <v>239</v>
      </c>
      <c r="R484" s="2" t="s">
        <v>233</v>
      </c>
      <c r="S484" s="2" t="s">
        <v>2896</v>
      </c>
      <c r="T484" s="2" t="s">
        <v>341</v>
      </c>
      <c r="U484" s="2" t="s">
        <v>396</v>
      </c>
      <c r="V484" s="2" t="s">
        <v>241</v>
      </c>
      <c r="W484" s="2" t="s">
        <v>275</v>
      </c>
      <c r="X484" s="2" t="s">
        <v>2882</v>
      </c>
      <c r="Y484" s="2" t="s">
        <v>2914</v>
      </c>
      <c r="Z484" s="4">
        <v>77</v>
      </c>
      <c r="AA484" s="4">
        <f>=ROUNDDOWN(38.5,0)</f>
      </c>
      <c r="AB484" s="5">
        <v>2</v>
      </c>
      <c r="AC484" s="2" t="s">
        <v>233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233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233</v>
      </c>
      <c r="AW484" s="8" t="s">
        <v>233</v>
      </c>
      <c r="AX484" s="4" t="s">
        <v>233</v>
      </c>
      <c r="AY484" s="8" t="s">
        <v>233</v>
      </c>
      <c r="AZ484" s="7" t="s">
        <v>233</v>
      </c>
      <c r="BA484" s="7" t="s">
        <v>233</v>
      </c>
      <c r="BB484" s="7"/>
      <c r="BC484" s="4" t="s">
        <v>233</v>
      </c>
      <c r="BD484" s="8" t="s">
        <v>233</v>
      </c>
      <c r="BE484" s="4" t="s">
        <v>233</v>
      </c>
      <c r="BF484" s="8" t="s">
        <v>233</v>
      </c>
      <c r="BG484" s="7" t="s">
        <v>233</v>
      </c>
      <c r="BH484" s="7" t="s">
        <v>233</v>
      </c>
      <c r="BI484" s="7"/>
      <c r="BJ484" s="4"/>
      <c r="BK484" s="8"/>
      <c r="BL484" s="2" t="s">
        <v>469</v>
      </c>
      <c r="BM484" s="7"/>
      <c r="BN484" s="7"/>
      <c r="BO484" s="4"/>
      <c r="BP484" s="8"/>
      <c r="BQ484" s="4"/>
      <c r="BR484" s="8"/>
      <c r="BS484" s="7"/>
      <c r="BT484" s="7"/>
      <c r="BU484" s="2" t="s">
        <v>2921</v>
      </c>
      <c r="BV484" s="2" t="s">
        <v>233</v>
      </c>
      <c r="BW484" s="2" t="s">
        <v>233</v>
      </c>
      <c r="BX484" s="2" t="s">
        <v>233</v>
      </c>
      <c r="BY484" s="2" t="s">
        <v>280</v>
      </c>
      <c r="BZ484" s="2" t="s">
        <v>245</v>
      </c>
      <c r="CA484" s="2" t="s">
        <v>2917</v>
      </c>
      <c r="CB484" s="2" t="s">
        <v>1495</v>
      </c>
      <c r="CC484" s="2" t="s">
        <v>246</v>
      </c>
      <c r="CD484" s="2" t="s">
        <v>233</v>
      </c>
      <c r="CE484" s="4">
        <v>77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</row>
    <row r="485">
      <c r="A485" s="2" t="s">
        <v>2922</v>
      </c>
      <c r="B485" s="2" t="s">
        <v>910</v>
      </c>
      <c r="C485" s="2" t="s">
        <v>1130</v>
      </c>
      <c r="D485" s="2" t="s">
        <v>912</v>
      </c>
      <c r="E485" s="2" t="s">
        <v>913</v>
      </c>
      <c r="F485" s="2" t="s">
        <v>2877</v>
      </c>
      <c r="G485" s="2" t="s">
        <v>2878</v>
      </c>
      <c r="H485" s="2" t="s">
        <v>2879</v>
      </c>
      <c r="I485" s="2" t="s">
        <v>2891</v>
      </c>
      <c r="J485" s="2" t="s">
        <v>1142</v>
      </c>
      <c r="K485" s="2" t="s">
        <v>255</v>
      </c>
      <c r="L485" s="3">
        <v>72</v>
      </c>
      <c r="M485" s="3">
        <v>75.6</v>
      </c>
      <c r="N485" s="3">
        <v>139.99</v>
      </c>
      <c r="O485" s="2" t="s">
        <v>245</v>
      </c>
      <c r="P485" s="2" t="s">
        <v>272</v>
      </c>
      <c r="Q485" s="2" t="s">
        <v>239</v>
      </c>
      <c r="R485" s="2" t="s">
        <v>233</v>
      </c>
      <c r="S485" s="2" t="s">
        <v>2923</v>
      </c>
      <c r="T485" s="2" t="s">
        <v>341</v>
      </c>
      <c r="U485" s="2" t="s">
        <v>1507</v>
      </c>
      <c r="V485" s="2" t="s">
        <v>241</v>
      </c>
      <c r="W485" s="2" t="s">
        <v>2882</v>
      </c>
      <c r="X485" s="2" t="s">
        <v>2883</v>
      </c>
      <c r="Y485" s="2" t="s">
        <v>2884</v>
      </c>
      <c r="Z485" s="4">
        <v>184</v>
      </c>
      <c r="AA485" s="4">
        <f>=ROUNDDOWN(61.3333333333333,0)</f>
      </c>
      <c r="AB485" s="5">
        <v>3</v>
      </c>
      <c r="AC485" s="2" t="s">
        <v>233</v>
      </c>
      <c r="AD485" s="4"/>
      <c r="AE485" s="4"/>
      <c r="AF485" s="6">
        <v>66</v>
      </c>
      <c r="AG485" s="6">
        <v>49</v>
      </c>
      <c r="AH485" s="7">
        <v>1</v>
      </c>
      <c r="AI485" s="4"/>
      <c r="AJ485" s="4">
        <f>=ROUNDDOWN({0},0)</f>
      </c>
      <c r="AK485" s="5"/>
      <c r="AL485" s="2" t="s">
        <v>233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233</v>
      </c>
      <c r="BD485" s="8" t="s">
        <v>233</v>
      </c>
      <c r="BE485" s="4" t="s">
        <v>233</v>
      </c>
      <c r="BF485" s="8" t="s">
        <v>233</v>
      </c>
      <c r="BG485" s="7" t="s">
        <v>233</v>
      </c>
      <c r="BH485" s="7" t="s">
        <v>233</v>
      </c>
      <c r="BI485" s="7"/>
      <c r="BJ485" s="4">
        <v>1</v>
      </c>
      <c r="BK485" s="8">
        <v>85.99</v>
      </c>
      <c r="BL485" s="2" t="s">
        <v>2924</v>
      </c>
      <c r="BM485" s="7"/>
      <c r="BN485" s="7"/>
      <c r="BO485" s="4"/>
      <c r="BP485" s="8"/>
      <c r="BQ485" s="4"/>
      <c r="BR485" s="8"/>
      <c r="BS485" s="7"/>
      <c r="BT485" s="7"/>
      <c r="BU485" s="2" t="s">
        <v>2925</v>
      </c>
      <c r="BV485" s="2" t="s">
        <v>233</v>
      </c>
      <c r="BW485" s="2" t="s">
        <v>233</v>
      </c>
      <c r="BX485" s="2" t="s">
        <v>233</v>
      </c>
      <c r="BY485" s="2" t="s">
        <v>280</v>
      </c>
      <c r="BZ485" s="2" t="s">
        <v>245</v>
      </c>
      <c r="CA485" s="2" t="s">
        <v>2888</v>
      </c>
      <c r="CB485" s="2" t="s">
        <v>2926</v>
      </c>
      <c r="CC485" s="2" t="s">
        <v>246</v>
      </c>
      <c r="CD485" s="2" t="s">
        <v>233</v>
      </c>
      <c r="CE485" s="4">
        <v>10</v>
      </c>
      <c r="CF485" s="4">
        <v>143</v>
      </c>
      <c r="CG485" s="4"/>
      <c r="CH485" s="4"/>
      <c r="CI485" s="4">
        <v>31</v>
      </c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</row>
    <row r="486">
      <c r="A486" s="2" t="s">
        <v>2927</v>
      </c>
      <c r="B486" s="2" t="s">
        <v>1017</v>
      </c>
      <c r="C486" s="2" t="s">
        <v>1130</v>
      </c>
      <c r="D486" s="2" t="s">
        <v>1565</v>
      </c>
      <c r="E486" s="2" t="s">
        <v>1566</v>
      </c>
      <c r="F486" s="2" t="s">
        <v>2877</v>
      </c>
      <c r="G486" s="2" t="s">
        <v>2878</v>
      </c>
      <c r="H486" s="2" t="s">
        <v>2879</v>
      </c>
      <c r="I486" s="2" t="s">
        <v>2928</v>
      </c>
      <c r="J486" s="2" t="s">
        <v>2929</v>
      </c>
      <c r="K486" s="2" t="s">
        <v>2930</v>
      </c>
      <c r="L486" s="3">
        <v>19.8</v>
      </c>
      <c r="M486" s="3">
        <v>20.79</v>
      </c>
      <c r="N486" s="3">
        <v>44.99</v>
      </c>
      <c r="O486" s="2" t="s">
        <v>245</v>
      </c>
      <c r="P486" s="2" t="s">
        <v>272</v>
      </c>
      <c r="Q486" s="2" t="s">
        <v>239</v>
      </c>
      <c r="R486" s="2" t="s">
        <v>233</v>
      </c>
      <c r="S486" s="2" t="s">
        <v>2931</v>
      </c>
      <c r="T486" s="2" t="s">
        <v>233</v>
      </c>
      <c r="U486" s="2" t="s">
        <v>396</v>
      </c>
      <c r="V486" s="2" t="s">
        <v>241</v>
      </c>
      <c r="W486" s="2" t="s">
        <v>275</v>
      </c>
      <c r="X486" s="2" t="s">
        <v>2882</v>
      </c>
      <c r="Y486" s="2" t="s">
        <v>2932</v>
      </c>
      <c r="Z486" s="4">
        <v>3</v>
      </c>
      <c r="AA486" s="4">
        <f>=ROUNDDOWN(0.333333333333333,0)</f>
      </c>
      <c r="AB486" s="5">
        <v>9</v>
      </c>
      <c r="AC486" s="2" t="s">
        <v>2902</v>
      </c>
      <c r="AD486" s="4">
        <v>200</v>
      </c>
      <c r="AE486" s="4">
        <v>440</v>
      </c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233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233</v>
      </c>
      <c r="BD486" s="8" t="s">
        <v>233</v>
      </c>
      <c r="BE486" s="4" t="s">
        <v>233</v>
      </c>
      <c r="BF486" s="8" t="s">
        <v>233</v>
      </c>
      <c r="BG486" s="7" t="s">
        <v>233</v>
      </c>
      <c r="BH486" s="7" t="s">
        <v>233</v>
      </c>
      <c r="BI486" s="7"/>
      <c r="BJ486" s="4"/>
      <c r="BK486" s="8"/>
      <c r="BL486" s="2" t="s">
        <v>2933</v>
      </c>
      <c r="BM486" s="7"/>
      <c r="BN486" s="7"/>
      <c r="BO486" s="4"/>
      <c r="BP486" s="8"/>
      <c r="BQ486" s="4"/>
      <c r="BR486" s="8"/>
      <c r="BS486" s="7"/>
      <c r="BT486" s="7"/>
      <c r="BU486" s="2" t="s">
        <v>2934</v>
      </c>
      <c r="BV486" s="2" t="s">
        <v>233</v>
      </c>
      <c r="BW486" s="2" t="s">
        <v>233</v>
      </c>
      <c r="BX486" s="2" t="s">
        <v>233</v>
      </c>
      <c r="BY486" s="2" t="s">
        <v>280</v>
      </c>
      <c r="BZ486" s="2" t="s">
        <v>245</v>
      </c>
      <c r="CA486" s="2" t="s">
        <v>2935</v>
      </c>
      <c r="CB486" s="2" t="s">
        <v>2936</v>
      </c>
      <c r="CC486" s="2" t="s">
        <v>246</v>
      </c>
      <c r="CD486" s="2" t="s">
        <v>233</v>
      </c>
      <c r="CE486" s="4">
        <v>3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>
        <v>200</v>
      </c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>
        <v>240</v>
      </c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</row>
    <row r="487">
      <c r="A487" s="2" t="s">
        <v>2937</v>
      </c>
      <c r="B487" s="2" t="s">
        <v>910</v>
      </c>
      <c r="C487" s="2" t="s">
        <v>1130</v>
      </c>
      <c r="D487" s="2" t="s">
        <v>912</v>
      </c>
      <c r="E487" s="2" t="s">
        <v>913</v>
      </c>
      <c r="F487" s="2" t="s">
        <v>2877</v>
      </c>
      <c r="G487" s="2" t="s">
        <v>2878</v>
      </c>
      <c r="H487" s="2" t="s">
        <v>2879</v>
      </c>
      <c r="I487" s="2" t="s">
        <v>2891</v>
      </c>
      <c r="J487" s="2" t="s">
        <v>981</v>
      </c>
      <c r="K487" s="2" t="s">
        <v>257</v>
      </c>
      <c r="L487" s="3">
        <v>63</v>
      </c>
      <c r="M487" s="3">
        <v>66.15</v>
      </c>
      <c r="N487" s="3">
        <v>119.99</v>
      </c>
      <c r="O487" s="2" t="s">
        <v>245</v>
      </c>
      <c r="P487" s="2" t="s">
        <v>272</v>
      </c>
      <c r="Q487" s="2" t="s">
        <v>239</v>
      </c>
      <c r="R487" s="2" t="s">
        <v>233</v>
      </c>
      <c r="S487" s="2" t="s">
        <v>2931</v>
      </c>
      <c r="T487" s="2" t="s">
        <v>341</v>
      </c>
      <c r="U487" s="2" t="s">
        <v>1507</v>
      </c>
      <c r="V487" s="2" t="s">
        <v>241</v>
      </c>
      <c r="W487" s="2" t="s">
        <v>2882</v>
      </c>
      <c r="X487" s="2" t="s">
        <v>2883</v>
      </c>
      <c r="Y487" s="2" t="s">
        <v>794</v>
      </c>
      <c r="Z487" s="4">
        <v>83</v>
      </c>
      <c r="AA487" s="4">
        <f>=ROUNDDOWN(27.6666666666667,0)</f>
      </c>
      <c r="AB487" s="5">
        <v>3</v>
      </c>
      <c r="AC487" s="2" t="s">
        <v>2902</v>
      </c>
      <c r="AD487" s="4">
        <v>50</v>
      </c>
      <c r="AE487" s="4">
        <v>130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233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233</v>
      </c>
      <c r="BD487" s="8" t="s">
        <v>233</v>
      </c>
      <c r="BE487" s="4" t="s">
        <v>233</v>
      </c>
      <c r="BF487" s="8" t="s">
        <v>233</v>
      </c>
      <c r="BG487" s="7" t="s">
        <v>233</v>
      </c>
      <c r="BH487" s="7" t="s">
        <v>233</v>
      </c>
      <c r="BI487" s="7"/>
      <c r="BJ487" s="4">
        <v>4</v>
      </c>
      <c r="BK487" s="8">
        <v>245.7</v>
      </c>
      <c r="BL487" s="2" t="s">
        <v>2938</v>
      </c>
      <c r="BM487" s="7"/>
      <c r="BN487" s="7"/>
      <c r="BO487" s="4"/>
      <c r="BP487" s="8"/>
      <c r="BQ487" s="4"/>
      <c r="BR487" s="8"/>
      <c r="BS487" s="7"/>
      <c r="BT487" s="7"/>
      <c r="BU487" s="2" t="s">
        <v>2939</v>
      </c>
      <c r="BV487" s="2" t="s">
        <v>233</v>
      </c>
      <c r="BW487" s="2" t="s">
        <v>233</v>
      </c>
      <c r="BX487" s="2" t="s">
        <v>233</v>
      </c>
      <c r="BY487" s="2" t="s">
        <v>280</v>
      </c>
      <c r="BZ487" s="2" t="s">
        <v>245</v>
      </c>
      <c r="CA487" s="2" t="s">
        <v>2898</v>
      </c>
      <c r="CB487" s="2" t="s">
        <v>2940</v>
      </c>
      <c r="CC487" s="2" t="s">
        <v>246</v>
      </c>
      <c r="CD487" s="2" t="s">
        <v>233</v>
      </c>
      <c r="CE487" s="4">
        <v>83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>
        <v>50</v>
      </c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>
        <v>80</v>
      </c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</row>
    <row r="488">
      <c r="A488" s="2" t="s">
        <v>2941</v>
      </c>
      <c r="B488" s="2" t="s">
        <v>910</v>
      </c>
      <c r="C488" s="2" t="s">
        <v>1130</v>
      </c>
      <c r="D488" s="2" t="s">
        <v>969</v>
      </c>
      <c r="E488" s="2" t="s">
        <v>1078</v>
      </c>
      <c r="F488" s="2" t="s">
        <v>2877</v>
      </c>
      <c r="G488" s="2" t="s">
        <v>2878</v>
      </c>
      <c r="H488" s="2" t="s">
        <v>2879</v>
      </c>
      <c r="I488" s="2" t="s">
        <v>2880</v>
      </c>
      <c r="J488" s="2" t="s">
        <v>1142</v>
      </c>
      <c r="K488" s="2" t="s">
        <v>2942</v>
      </c>
      <c r="L488" s="3">
        <v>75.6</v>
      </c>
      <c r="M488" s="3">
        <v>79.38</v>
      </c>
      <c r="N488" s="3">
        <v>159.99</v>
      </c>
      <c r="O488" s="2" t="s">
        <v>245</v>
      </c>
      <c r="P488" s="2" t="s">
        <v>2943</v>
      </c>
      <c r="Q488" s="2" t="s">
        <v>239</v>
      </c>
      <c r="R488" s="2" t="s">
        <v>233</v>
      </c>
      <c r="S488" s="2" t="s">
        <v>2944</v>
      </c>
      <c r="T488" s="2" t="s">
        <v>341</v>
      </c>
      <c r="U488" s="2" t="s">
        <v>1507</v>
      </c>
      <c r="V488" s="2" t="s">
        <v>241</v>
      </c>
      <c r="W488" s="2" t="s">
        <v>2882</v>
      </c>
      <c r="X488" s="2" t="s">
        <v>2883</v>
      </c>
      <c r="Y488" s="2" t="s">
        <v>2945</v>
      </c>
      <c r="Z488" s="4">
        <v>185</v>
      </c>
      <c r="AA488" s="4">
        <f>=ROUNDDOWN(46.25,0)</f>
      </c>
      <c r="AB488" s="5">
        <v>4</v>
      </c>
      <c r="AC488" s="2" t="s">
        <v>233</v>
      </c>
      <c r="AD488" s="4"/>
      <c r="AE488" s="4"/>
      <c r="AF488" s="6">
        <v>66</v>
      </c>
      <c r="AG488" s="6">
        <v>49</v>
      </c>
      <c r="AH488" s="7">
        <v>1</v>
      </c>
      <c r="AI488" s="4"/>
      <c r="AJ488" s="4">
        <f>=ROUNDDOWN({0},0)</f>
      </c>
      <c r="AK488" s="5"/>
      <c r="AL488" s="2" t="s">
        <v>233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233</v>
      </c>
      <c r="BD488" s="8" t="s">
        <v>233</v>
      </c>
      <c r="BE488" s="4" t="s">
        <v>233</v>
      </c>
      <c r="BF488" s="8" t="s">
        <v>233</v>
      </c>
      <c r="BG488" s="7" t="s">
        <v>233</v>
      </c>
      <c r="BH488" s="7" t="s">
        <v>233</v>
      </c>
      <c r="BI488" s="7"/>
      <c r="BJ488" s="4">
        <v>8</v>
      </c>
      <c r="BK488" s="8">
        <v>680.95</v>
      </c>
      <c r="BL488" s="2" t="s">
        <v>2946</v>
      </c>
      <c r="BM488" s="7"/>
      <c r="BN488" s="7"/>
      <c r="BO488" s="4"/>
      <c r="BP488" s="8"/>
      <c r="BQ488" s="4"/>
      <c r="BR488" s="8"/>
      <c r="BS488" s="7"/>
      <c r="BT488" s="7"/>
      <c r="BU488" s="2" t="s">
        <v>2947</v>
      </c>
      <c r="BV488" s="2" t="s">
        <v>233</v>
      </c>
      <c r="BW488" s="2" t="s">
        <v>233</v>
      </c>
      <c r="BX488" s="2" t="s">
        <v>233</v>
      </c>
      <c r="BY488" s="2" t="s">
        <v>280</v>
      </c>
      <c r="BZ488" s="2" t="s">
        <v>245</v>
      </c>
      <c r="CA488" s="2" t="s">
        <v>2948</v>
      </c>
      <c r="CB488" s="2" t="s">
        <v>2949</v>
      </c>
      <c r="CC488" s="2" t="s">
        <v>246</v>
      </c>
      <c r="CD488" s="2" t="s">
        <v>233</v>
      </c>
      <c r="CE488" s="4">
        <v>51</v>
      </c>
      <c r="CF488" s="4">
        <v>114</v>
      </c>
      <c r="CG488" s="4"/>
      <c r="CH488" s="4"/>
      <c r="CI488" s="4">
        <v>20</v>
      </c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</row>
    <row r="489">
      <c r="A489" s="2" t="s">
        <v>2950</v>
      </c>
      <c r="B489" s="2" t="s">
        <v>910</v>
      </c>
      <c r="C489" s="2" t="s">
        <v>1130</v>
      </c>
      <c r="D489" s="2" t="s">
        <v>969</v>
      </c>
      <c r="E489" s="2" t="s">
        <v>1078</v>
      </c>
      <c r="F489" s="2" t="s">
        <v>2877</v>
      </c>
      <c r="G489" s="2" t="s">
        <v>2878</v>
      </c>
      <c r="H489" s="2" t="s">
        <v>2879</v>
      </c>
      <c r="I489" s="2" t="s">
        <v>2880</v>
      </c>
      <c r="J489" s="2" t="s">
        <v>918</v>
      </c>
      <c r="K489" s="2" t="s">
        <v>2951</v>
      </c>
      <c r="L489" s="3">
        <v>52.88</v>
      </c>
      <c r="M489" s="3">
        <v>55.52</v>
      </c>
      <c r="N489" s="3">
        <v>109.99</v>
      </c>
      <c r="O489" s="2" t="s">
        <v>245</v>
      </c>
      <c r="P489" s="2" t="s">
        <v>272</v>
      </c>
      <c r="Q489" s="2" t="s">
        <v>239</v>
      </c>
      <c r="R489" s="2" t="s">
        <v>233</v>
      </c>
      <c r="S489" s="2" t="s">
        <v>2952</v>
      </c>
      <c r="T489" s="2" t="s">
        <v>341</v>
      </c>
      <c r="U489" s="2" t="s">
        <v>1482</v>
      </c>
      <c r="V489" s="2" t="s">
        <v>241</v>
      </c>
      <c r="W489" s="2" t="s">
        <v>2882</v>
      </c>
      <c r="X489" s="2" t="s">
        <v>1056</v>
      </c>
      <c r="Y489" s="2" t="s">
        <v>2953</v>
      </c>
      <c r="Z489" s="4">
        <v>129</v>
      </c>
      <c r="AA489" s="4">
        <f>=ROUNDDOWN(107.5,0)</f>
      </c>
      <c r="AB489" s="5">
        <v>1.2</v>
      </c>
      <c r="AC489" s="2" t="s">
        <v>233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233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233</v>
      </c>
      <c r="AW489" s="8" t="s">
        <v>233</v>
      </c>
      <c r="AX489" s="4" t="s">
        <v>233</v>
      </c>
      <c r="AY489" s="8" t="s">
        <v>233</v>
      </c>
      <c r="AZ489" s="7" t="s">
        <v>233</v>
      </c>
      <c r="BA489" s="7" t="s">
        <v>233</v>
      </c>
      <c r="BB489" s="7"/>
      <c r="BC489" s="4" t="s">
        <v>233</v>
      </c>
      <c r="BD489" s="8" t="s">
        <v>233</v>
      </c>
      <c r="BE489" s="4" t="s">
        <v>233</v>
      </c>
      <c r="BF489" s="8" t="s">
        <v>233</v>
      </c>
      <c r="BG489" s="7" t="s">
        <v>233</v>
      </c>
      <c r="BH489" s="7" t="s">
        <v>233</v>
      </c>
      <c r="BI489" s="7"/>
      <c r="BJ489" s="4"/>
      <c r="BK489" s="8"/>
      <c r="BL489" s="2" t="s">
        <v>233</v>
      </c>
      <c r="BM489" s="7"/>
      <c r="BN489" s="7"/>
      <c r="BO489" s="4"/>
      <c r="BP489" s="8"/>
      <c r="BQ489" s="4"/>
      <c r="BR489" s="8"/>
      <c r="BS489" s="7"/>
      <c r="BT489" s="7"/>
      <c r="BU489" s="2" t="s">
        <v>2954</v>
      </c>
      <c r="BV489" s="2" t="s">
        <v>233</v>
      </c>
      <c r="BW489" s="2" t="s">
        <v>233</v>
      </c>
      <c r="BX489" s="2" t="s">
        <v>243</v>
      </c>
      <c r="BY489" s="2" t="s">
        <v>280</v>
      </c>
      <c r="BZ489" s="2" t="s">
        <v>245</v>
      </c>
      <c r="CA489" s="2" t="s">
        <v>2955</v>
      </c>
      <c r="CB489" s="2" t="s">
        <v>233</v>
      </c>
      <c r="CC489" s="2" t="s">
        <v>246</v>
      </c>
      <c r="CD489" s="2" t="s">
        <v>233</v>
      </c>
      <c r="CE489" s="4">
        <v>129</v>
      </c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</row>
    <row r="490">
      <c r="A490" s="2" t="s">
        <v>2956</v>
      </c>
      <c r="B490" s="2" t="s">
        <v>910</v>
      </c>
      <c r="C490" s="2" t="s">
        <v>1130</v>
      </c>
      <c r="D490" s="2" t="s">
        <v>969</v>
      </c>
      <c r="E490" s="2" t="s">
        <v>1078</v>
      </c>
      <c r="F490" s="2" t="s">
        <v>2877</v>
      </c>
      <c r="G490" s="2" t="s">
        <v>2878</v>
      </c>
      <c r="H490" s="2" t="s">
        <v>2879</v>
      </c>
      <c r="I490" s="2" t="s">
        <v>2880</v>
      </c>
      <c r="J490" s="2" t="s">
        <v>981</v>
      </c>
      <c r="K490" s="2" t="s">
        <v>2951</v>
      </c>
      <c r="L490" s="3">
        <v>66.96</v>
      </c>
      <c r="M490" s="3">
        <v>70.31</v>
      </c>
      <c r="N490" s="3">
        <v>139.99</v>
      </c>
      <c r="O490" s="2" t="s">
        <v>245</v>
      </c>
      <c r="P490" s="2" t="s">
        <v>272</v>
      </c>
      <c r="Q490" s="2" t="s">
        <v>239</v>
      </c>
      <c r="R490" s="2" t="s">
        <v>233</v>
      </c>
      <c r="S490" s="2" t="s">
        <v>2952</v>
      </c>
      <c r="T490" s="2" t="s">
        <v>341</v>
      </c>
      <c r="U490" s="2" t="s">
        <v>1507</v>
      </c>
      <c r="V490" s="2" t="s">
        <v>241</v>
      </c>
      <c r="W490" s="2" t="s">
        <v>2882</v>
      </c>
      <c r="X490" s="2" t="s">
        <v>1056</v>
      </c>
      <c r="Y490" s="2" t="s">
        <v>2953</v>
      </c>
      <c r="Z490" s="4">
        <v>226</v>
      </c>
      <c r="AA490" s="4">
        <f>=ROUNDDOWN(37.0491803278689,0)</f>
      </c>
      <c r="AB490" s="5">
        <v>6.1</v>
      </c>
      <c r="AC490" s="2" t="s">
        <v>233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233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233</v>
      </c>
      <c r="AW490" s="8" t="s">
        <v>233</v>
      </c>
      <c r="AX490" s="4" t="s">
        <v>233</v>
      </c>
      <c r="AY490" s="8" t="s">
        <v>233</v>
      </c>
      <c r="AZ490" s="7" t="s">
        <v>233</v>
      </c>
      <c r="BA490" s="7" t="s">
        <v>233</v>
      </c>
      <c r="BB490" s="7"/>
      <c r="BC490" s="4" t="s">
        <v>233</v>
      </c>
      <c r="BD490" s="8" t="s">
        <v>233</v>
      </c>
      <c r="BE490" s="4" t="s">
        <v>233</v>
      </c>
      <c r="BF490" s="8" t="s">
        <v>233</v>
      </c>
      <c r="BG490" s="7" t="s">
        <v>233</v>
      </c>
      <c r="BH490" s="7" t="s">
        <v>233</v>
      </c>
      <c r="BI490" s="7"/>
      <c r="BJ490" s="4">
        <v>7</v>
      </c>
      <c r="BK490" s="8">
        <v>495.64</v>
      </c>
      <c r="BL490" s="2" t="s">
        <v>2750</v>
      </c>
      <c r="BM490" s="7"/>
      <c r="BN490" s="7"/>
      <c r="BO490" s="4"/>
      <c r="BP490" s="8"/>
      <c r="BQ490" s="4"/>
      <c r="BR490" s="8"/>
      <c r="BS490" s="7"/>
      <c r="BT490" s="7"/>
      <c r="BU490" s="2" t="s">
        <v>2957</v>
      </c>
      <c r="BV490" s="2" t="s">
        <v>233</v>
      </c>
      <c r="BW490" s="2" t="s">
        <v>233</v>
      </c>
      <c r="BX490" s="2" t="s">
        <v>243</v>
      </c>
      <c r="BY490" s="2" t="s">
        <v>280</v>
      </c>
      <c r="BZ490" s="2" t="s">
        <v>245</v>
      </c>
      <c r="CA490" s="2" t="s">
        <v>2958</v>
      </c>
      <c r="CB490" s="2" t="s">
        <v>2959</v>
      </c>
      <c r="CC490" s="2" t="s">
        <v>246</v>
      </c>
      <c r="CD490" s="2" t="s">
        <v>233</v>
      </c>
      <c r="CE490" s="4">
        <v>226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</row>
    <row r="491">
      <c r="A491" s="2" t="s">
        <v>2960</v>
      </c>
      <c r="B491" s="2" t="s">
        <v>910</v>
      </c>
      <c r="C491" s="2" t="s">
        <v>1130</v>
      </c>
      <c r="D491" s="2" t="s">
        <v>912</v>
      </c>
      <c r="E491" s="2" t="s">
        <v>913</v>
      </c>
      <c r="F491" s="2" t="s">
        <v>2877</v>
      </c>
      <c r="G491" s="2" t="s">
        <v>2878</v>
      </c>
      <c r="H491" s="2" t="s">
        <v>2879</v>
      </c>
      <c r="I491" s="2" t="s">
        <v>2891</v>
      </c>
      <c r="J491" s="2" t="s">
        <v>1142</v>
      </c>
      <c r="K491" s="2" t="s">
        <v>2951</v>
      </c>
      <c r="L491" s="3">
        <v>72</v>
      </c>
      <c r="M491" s="3">
        <v>75.6</v>
      </c>
      <c r="N491" s="3">
        <v>139.99</v>
      </c>
      <c r="O491" s="2" t="s">
        <v>245</v>
      </c>
      <c r="P491" s="2" t="s">
        <v>238</v>
      </c>
      <c r="Q491" s="2" t="s">
        <v>239</v>
      </c>
      <c r="R491" s="2" t="s">
        <v>233</v>
      </c>
      <c r="S491" s="2" t="s">
        <v>2952</v>
      </c>
      <c r="T491" s="2" t="s">
        <v>341</v>
      </c>
      <c r="U491" s="2" t="s">
        <v>1507</v>
      </c>
      <c r="V491" s="2" t="s">
        <v>241</v>
      </c>
      <c r="W491" s="2" t="s">
        <v>2882</v>
      </c>
      <c r="X491" s="2" t="s">
        <v>1056</v>
      </c>
      <c r="Y491" s="2" t="s">
        <v>2953</v>
      </c>
      <c r="Z491" s="4">
        <v>57</v>
      </c>
      <c r="AA491" s="4">
        <f>=ROUNDDOWN(81.4285714285714,0)</f>
      </c>
      <c r="AB491" s="5">
        <v>0.7</v>
      </c>
      <c r="AC491" s="2" t="s">
        <v>233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233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233</v>
      </c>
      <c r="AW491" s="8" t="s">
        <v>233</v>
      </c>
      <c r="AX491" s="4" t="s">
        <v>233</v>
      </c>
      <c r="AY491" s="8" t="s">
        <v>233</v>
      </c>
      <c r="AZ491" s="7" t="s">
        <v>233</v>
      </c>
      <c r="BA491" s="7" t="s">
        <v>233</v>
      </c>
      <c r="BB491" s="7"/>
      <c r="BC491" s="4" t="s">
        <v>233</v>
      </c>
      <c r="BD491" s="8" t="s">
        <v>233</v>
      </c>
      <c r="BE491" s="4" t="s">
        <v>233</v>
      </c>
      <c r="BF491" s="8" t="s">
        <v>233</v>
      </c>
      <c r="BG491" s="7" t="s">
        <v>233</v>
      </c>
      <c r="BH491" s="7" t="s">
        <v>233</v>
      </c>
      <c r="BI491" s="7"/>
      <c r="BJ491" s="4">
        <v>4</v>
      </c>
      <c r="BK491" s="8">
        <v>322.11</v>
      </c>
      <c r="BL491" s="2" t="s">
        <v>2961</v>
      </c>
      <c r="BM491" s="7"/>
      <c r="BN491" s="7"/>
      <c r="BO491" s="4"/>
      <c r="BP491" s="8"/>
      <c r="BQ491" s="4"/>
      <c r="BR491" s="8"/>
      <c r="BS491" s="7"/>
      <c r="BT491" s="7"/>
      <c r="BU491" s="2" t="s">
        <v>2962</v>
      </c>
      <c r="BV491" s="2" t="s">
        <v>233</v>
      </c>
      <c r="BW491" s="2" t="s">
        <v>233</v>
      </c>
      <c r="BX491" s="2" t="s">
        <v>243</v>
      </c>
      <c r="BY491" s="2" t="s">
        <v>280</v>
      </c>
      <c r="BZ491" s="2" t="s">
        <v>245</v>
      </c>
      <c r="CA491" s="2" t="s">
        <v>2963</v>
      </c>
      <c r="CB491" s="2" t="s">
        <v>233</v>
      </c>
      <c r="CC491" s="2" t="s">
        <v>246</v>
      </c>
      <c r="CD491" s="2" t="s">
        <v>233</v>
      </c>
      <c r="CE491" s="4">
        <v>57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</row>
    <row r="492">
      <c r="A492" s="2" t="s">
        <v>2964</v>
      </c>
      <c r="B492" s="2" t="s">
        <v>2965</v>
      </c>
      <c r="C492" s="2" t="s">
        <v>1277</v>
      </c>
      <c r="D492" s="2" t="s">
        <v>2966</v>
      </c>
      <c r="E492" s="2" t="s">
        <v>2967</v>
      </c>
      <c r="F492" s="2" t="s">
        <v>2968</v>
      </c>
      <c r="G492" s="2" t="s">
        <v>2968</v>
      </c>
      <c r="H492" s="2" t="s">
        <v>2968</v>
      </c>
      <c r="I492" s="2" t="s">
        <v>2969</v>
      </c>
      <c r="J492" s="2" t="s">
        <v>243</v>
      </c>
      <c r="K492" s="2" t="s">
        <v>2969</v>
      </c>
      <c r="L492" s="3">
        <v>7.42</v>
      </c>
      <c r="M492" s="3">
        <v>7.79</v>
      </c>
      <c r="N492" s="3">
        <v>15.99</v>
      </c>
      <c r="O492" s="2" t="s">
        <v>245</v>
      </c>
      <c r="P492" s="2" t="s">
        <v>238</v>
      </c>
      <c r="Q492" s="2" t="s">
        <v>239</v>
      </c>
      <c r="R492" s="2" t="s">
        <v>233</v>
      </c>
      <c r="S492" s="2" t="s">
        <v>233</v>
      </c>
      <c r="T492" s="2" t="s">
        <v>233</v>
      </c>
      <c r="U492" s="2" t="s">
        <v>396</v>
      </c>
      <c r="V492" s="2" t="s">
        <v>893</v>
      </c>
      <c r="W492" s="2" t="s">
        <v>275</v>
      </c>
      <c r="X492" s="2" t="s">
        <v>233</v>
      </c>
      <c r="Y492" s="2" t="s">
        <v>364</v>
      </c>
      <c r="Z492" s="4">
        <v>3</v>
      </c>
      <c r="AA492" s="4">
        <f>=ROUNDDOWN(0.176470588235294,0)</f>
      </c>
      <c r="AB492" s="5">
        <v>17</v>
      </c>
      <c r="AC492" s="2" t="s">
        <v>547</v>
      </c>
      <c r="AD492" s="4">
        <v>528</v>
      </c>
      <c r="AE492" s="4">
        <v>1008</v>
      </c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233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233</v>
      </c>
      <c r="BD492" s="8" t="s">
        <v>233</v>
      </c>
      <c r="BE492" s="4" t="s">
        <v>233</v>
      </c>
      <c r="BF492" s="8" t="s">
        <v>233</v>
      </c>
      <c r="BG492" s="7" t="s">
        <v>233</v>
      </c>
      <c r="BH492" s="7" t="s">
        <v>233</v>
      </c>
      <c r="BI492" s="7"/>
      <c r="BJ492" s="4"/>
      <c r="BK492" s="8"/>
      <c r="BL492" s="2" t="s">
        <v>233</v>
      </c>
      <c r="BM492" s="7"/>
      <c r="BN492" s="7"/>
      <c r="BO492" s="4"/>
      <c r="BP492" s="8"/>
      <c r="BQ492" s="4"/>
      <c r="BR492" s="8"/>
      <c r="BS492" s="7"/>
      <c r="BT492" s="7"/>
      <c r="BU492" s="2" t="s">
        <v>243</v>
      </c>
      <c r="BV492" s="2" t="s">
        <v>233</v>
      </c>
      <c r="BW492" s="2" t="s">
        <v>233</v>
      </c>
      <c r="BX492" s="2" t="s">
        <v>243</v>
      </c>
      <c r="BY492" s="2" t="s">
        <v>244</v>
      </c>
      <c r="BZ492" s="2" t="s">
        <v>245</v>
      </c>
      <c r="CA492" s="2" t="s">
        <v>233</v>
      </c>
      <c r="CB492" s="2" t="s">
        <v>233</v>
      </c>
      <c r="CC492" s="2" t="s">
        <v>246</v>
      </c>
      <c r="CD492" s="2" t="s">
        <v>233</v>
      </c>
      <c r="CE492" s="4">
        <v>3</v>
      </c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>
        <v>528</v>
      </c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>
        <v>480</v>
      </c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</row>
    <row r="493">
      <c r="A493" s="2" t="s">
        <v>2970</v>
      </c>
      <c r="B493" s="2" t="s">
        <v>2965</v>
      </c>
      <c r="C493" s="2" t="s">
        <v>1277</v>
      </c>
      <c r="D493" s="2" t="s">
        <v>2966</v>
      </c>
      <c r="E493" s="2" t="s">
        <v>2967</v>
      </c>
      <c r="F493" s="2" t="s">
        <v>2968</v>
      </c>
      <c r="G493" s="2" t="s">
        <v>2968</v>
      </c>
      <c r="H493" s="2" t="s">
        <v>2968</v>
      </c>
      <c r="I493" s="2" t="s">
        <v>2971</v>
      </c>
      <c r="J493" s="2" t="s">
        <v>892</v>
      </c>
      <c r="K493" s="2" t="s">
        <v>2972</v>
      </c>
      <c r="L493" s="3">
        <v>10.39</v>
      </c>
      <c r="M493" s="3">
        <v>10.91</v>
      </c>
      <c r="N493" s="3">
        <v>18.99</v>
      </c>
      <c r="O493" s="2" t="s">
        <v>245</v>
      </c>
      <c r="P493" s="2" t="s">
        <v>238</v>
      </c>
      <c r="Q493" s="2" t="s">
        <v>239</v>
      </c>
      <c r="R493" s="2" t="s">
        <v>233</v>
      </c>
      <c r="S493" s="2" t="s">
        <v>233</v>
      </c>
      <c r="T493" s="2" t="s">
        <v>233</v>
      </c>
      <c r="U493" s="2" t="s">
        <v>491</v>
      </c>
      <c r="V493" s="2" t="s">
        <v>893</v>
      </c>
      <c r="W493" s="2" t="s">
        <v>275</v>
      </c>
      <c r="X493" s="2" t="s">
        <v>233</v>
      </c>
      <c r="Y493" s="2" t="s">
        <v>2973</v>
      </c>
      <c r="Z493" s="4">
        <v>619</v>
      </c>
      <c r="AA493" s="4">
        <f>=ROUNDDOWN(61.9,0)</f>
      </c>
      <c r="AB493" s="5">
        <v>10</v>
      </c>
      <c r="AC493" s="2" t="s">
        <v>233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233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233</v>
      </c>
      <c r="BD493" s="8" t="s">
        <v>233</v>
      </c>
      <c r="BE493" s="4" t="s">
        <v>233</v>
      </c>
      <c r="BF493" s="8" t="s">
        <v>233</v>
      </c>
      <c r="BG493" s="7" t="s">
        <v>233</v>
      </c>
      <c r="BH493" s="7" t="s">
        <v>233</v>
      </c>
      <c r="BI493" s="7"/>
      <c r="BJ493" s="4"/>
      <c r="BK493" s="8"/>
      <c r="BL493" s="2" t="s">
        <v>233</v>
      </c>
      <c r="BM493" s="7"/>
      <c r="BN493" s="7"/>
      <c r="BO493" s="4"/>
      <c r="BP493" s="8"/>
      <c r="BQ493" s="4"/>
      <c r="BR493" s="8"/>
      <c r="BS493" s="7"/>
      <c r="BT493" s="7"/>
      <c r="BU493" s="2" t="s">
        <v>243</v>
      </c>
      <c r="BV493" s="2" t="s">
        <v>233</v>
      </c>
      <c r="BW493" s="2" t="s">
        <v>233</v>
      </c>
      <c r="BX493" s="2" t="s">
        <v>243</v>
      </c>
      <c r="BY493" s="2" t="s">
        <v>346</v>
      </c>
      <c r="BZ493" s="2" t="s">
        <v>245</v>
      </c>
      <c r="CA493" s="2" t="s">
        <v>233</v>
      </c>
      <c r="CB493" s="2" t="s">
        <v>233</v>
      </c>
      <c r="CC493" s="2" t="s">
        <v>246</v>
      </c>
      <c r="CD493" s="2" t="s">
        <v>233</v>
      </c>
      <c r="CE493" s="4"/>
      <c r="CF493" s="4">
        <v>308</v>
      </c>
      <c r="CG493" s="4"/>
      <c r="CH493" s="4"/>
      <c r="CI493" s="4">
        <v>311</v>
      </c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</row>
    <row r="494">
      <c r="A494" s="2" t="s">
        <v>2974</v>
      </c>
      <c r="B494" s="2" t="s">
        <v>2965</v>
      </c>
      <c r="C494" s="2" t="s">
        <v>1277</v>
      </c>
      <c r="D494" s="2" t="s">
        <v>2966</v>
      </c>
      <c r="E494" s="2" t="s">
        <v>2967</v>
      </c>
      <c r="F494" s="2" t="s">
        <v>2968</v>
      </c>
      <c r="G494" s="2" t="s">
        <v>2968</v>
      </c>
      <c r="H494" s="2" t="s">
        <v>2968</v>
      </c>
      <c r="I494" s="2" t="s">
        <v>2975</v>
      </c>
      <c r="J494" s="2" t="s">
        <v>892</v>
      </c>
      <c r="K494" s="2" t="s">
        <v>2976</v>
      </c>
      <c r="L494" s="3">
        <v>6.36</v>
      </c>
      <c r="M494" s="3">
        <v>6.68</v>
      </c>
      <c r="N494" s="3">
        <v>12.99</v>
      </c>
      <c r="O494" s="2" t="s">
        <v>245</v>
      </c>
      <c r="P494" s="2" t="s">
        <v>238</v>
      </c>
      <c r="Q494" s="2" t="s">
        <v>239</v>
      </c>
      <c r="R494" s="2" t="s">
        <v>233</v>
      </c>
      <c r="S494" s="2" t="s">
        <v>233</v>
      </c>
      <c r="T494" s="2" t="s">
        <v>233</v>
      </c>
      <c r="U494" s="2" t="s">
        <v>396</v>
      </c>
      <c r="V494" s="2" t="s">
        <v>893</v>
      </c>
      <c r="W494" s="2" t="s">
        <v>275</v>
      </c>
      <c r="X494" s="2" t="s">
        <v>233</v>
      </c>
      <c r="Y494" s="2" t="s">
        <v>2973</v>
      </c>
      <c r="Z494" s="4">
        <v>442</v>
      </c>
      <c r="AA494" s="4">
        <f>=ROUNDDOWN(31.5714285714286,0)</f>
      </c>
      <c r="AB494" s="5">
        <v>14</v>
      </c>
      <c r="AC494" s="2" t="s">
        <v>233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233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233</v>
      </c>
      <c r="BD494" s="8" t="s">
        <v>233</v>
      </c>
      <c r="BE494" s="4" t="s">
        <v>233</v>
      </c>
      <c r="BF494" s="8" t="s">
        <v>233</v>
      </c>
      <c r="BG494" s="7" t="s">
        <v>233</v>
      </c>
      <c r="BH494" s="7" t="s">
        <v>233</v>
      </c>
      <c r="BI494" s="7"/>
      <c r="BJ494" s="4"/>
      <c r="BK494" s="8"/>
      <c r="BL494" s="2" t="s">
        <v>233</v>
      </c>
      <c r="BM494" s="7"/>
      <c r="BN494" s="7"/>
      <c r="BO494" s="4"/>
      <c r="BP494" s="8"/>
      <c r="BQ494" s="4"/>
      <c r="BR494" s="8"/>
      <c r="BS494" s="7"/>
      <c r="BT494" s="7"/>
      <c r="BU494" s="2" t="s">
        <v>243</v>
      </c>
      <c r="BV494" s="2" t="s">
        <v>233</v>
      </c>
      <c r="BW494" s="2" t="s">
        <v>233</v>
      </c>
      <c r="BX494" s="2" t="s">
        <v>243</v>
      </c>
      <c r="BY494" s="2" t="s">
        <v>346</v>
      </c>
      <c r="BZ494" s="2" t="s">
        <v>245</v>
      </c>
      <c r="CA494" s="2" t="s">
        <v>233</v>
      </c>
      <c r="CB494" s="2" t="s">
        <v>233</v>
      </c>
      <c r="CC494" s="2" t="s">
        <v>246</v>
      </c>
      <c r="CD494" s="2" t="s">
        <v>233</v>
      </c>
      <c r="CE494" s="4"/>
      <c r="CF494" s="4">
        <v>303</v>
      </c>
      <c r="CG494" s="4"/>
      <c r="CH494" s="4"/>
      <c r="CI494" s="4">
        <v>139</v>
      </c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</row>
    <row r="495">
      <c r="A495" s="2" t="s">
        <v>2977</v>
      </c>
      <c r="B495" s="2" t="s">
        <v>2965</v>
      </c>
      <c r="C495" s="2" t="s">
        <v>1277</v>
      </c>
      <c r="D495" s="2" t="s">
        <v>2966</v>
      </c>
      <c r="E495" s="2" t="s">
        <v>2967</v>
      </c>
      <c r="F495" s="2" t="s">
        <v>2968</v>
      </c>
      <c r="G495" s="2" t="s">
        <v>2968</v>
      </c>
      <c r="H495" s="2" t="s">
        <v>2968</v>
      </c>
      <c r="I495" s="2" t="s">
        <v>2978</v>
      </c>
      <c r="J495" s="2" t="s">
        <v>892</v>
      </c>
      <c r="K495" s="2" t="s">
        <v>2979</v>
      </c>
      <c r="L495" s="3">
        <v>9.54</v>
      </c>
      <c r="M495" s="3">
        <v>10.02</v>
      </c>
      <c r="N495" s="3">
        <v>18.99</v>
      </c>
      <c r="O495" s="2" t="s">
        <v>245</v>
      </c>
      <c r="P495" s="2" t="s">
        <v>238</v>
      </c>
      <c r="Q495" s="2" t="s">
        <v>239</v>
      </c>
      <c r="R495" s="2" t="s">
        <v>233</v>
      </c>
      <c r="S495" s="2" t="s">
        <v>233</v>
      </c>
      <c r="T495" s="2" t="s">
        <v>233</v>
      </c>
      <c r="U495" s="2" t="s">
        <v>491</v>
      </c>
      <c r="V495" s="2" t="s">
        <v>893</v>
      </c>
      <c r="W495" s="2" t="s">
        <v>275</v>
      </c>
      <c r="X495" s="2" t="s">
        <v>233</v>
      </c>
      <c r="Y495" s="2" t="s">
        <v>2973</v>
      </c>
      <c r="Z495" s="4">
        <v>602</v>
      </c>
      <c r="AA495" s="4">
        <f>=ROUNDDOWN(54.7272727272727,0)</f>
      </c>
      <c r="AB495" s="5">
        <v>11</v>
      </c>
      <c r="AC495" s="2" t="s">
        <v>233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233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233</v>
      </c>
      <c r="BD495" s="8" t="s">
        <v>233</v>
      </c>
      <c r="BE495" s="4" t="s">
        <v>233</v>
      </c>
      <c r="BF495" s="8" t="s">
        <v>233</v>
      </c>
      <c r="BG495" s="7" t="s">
        <v>233</v>
      </c>
      <c r="BH495" s="7" t="s">
        <v>233</v>
      </c>
      <c r="BI495" s="7"/>
      <c r="BJ495" s="4">
        <v>3</v>
      </c>
      <c r="BK495" s="8">
        <v>32.91</v>
      </c>
      <c r="BL495" s="2" t="s">
        <v>2513</v>
      </c>
      <c r="BM495" s="7"/>
      <c r="BN495" s="7"/>
      <c r="BO495" s="4"/>
      <c r="BP495" s="8"/>
      <c r="BQ495" s="4"/>
      <c r="BR495" s="8"/>
      <c r="BS495" s="7"/>
      <c r="BT495" s="7"/>
      <c r="BU495" s="2" t="s">
        <v>243</v>
      </c>
      <c r="BV495" s="2" t="s">
        <v>233</v>
      </c>
      <c r="BW495" s="2" t="s">
        <v>233</v>
      </c>
      <c r="BX495" s="2" t="s">
        <v>243</v>
      </c>
      <c r="BY495" s="2" t="s">
        <v>346</v>
      </c>
      <c r="BZ495" s="2" t="s">
        <v>245</v>
      </c>
      <c r="CA495" s="2" t="s">
        <v>233</v>
      </c>
      <c r="CB495" s="2" t="s">
        <v>233</v>
      </c>
      <c r="CC495" s="2" t="s">
        <v>246</v>
      </c>
      <c r="CD495" s="2" t="s">
        <v>233</v>
      </c>
      <c r="CE495" s="4"/>
      <c r="CF495" s="4">
        <v>296</v>
      </c>
      <c r="CG495" s="4"/>
      <c r="CH495" s="4"/>
      <c r="CI495" s="4">
        <v>306</v>
      </c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</row>
    <row r="496">
      <c r="A496" s="2" t="s">
        <v>2980</v>
      </c>
      <c r="B496" s="2" t="s">
        <v>2965</v>
      </c>
      <c r="C496" s="2" t="s">
        <v>1277</v>
      </c>
      <c r="D496" s="2" t="s">
        <v>2966</v>
      </c>
      <c r="E496" s="2" t="s">
        <v>2967</v>
      </c>
      <c r="F496" s="2" t="s">
        <v>2968</v>
      </c>
      <c r="G496" s="2" t="s">
        <v>2968</v>
      </c>
      <c r="H496" s="2" t="s">
        <v>2968</v>
      </c>
      <c r="I496" s="2" t="s">
        <v>2981</v>
      </c>
      <c r="J496" s="2" t="s">
        <v>892</v>
      </c>
      <c r="K496" s="2" t="s">
        <v>2982</v>
      </c>
      <c r="L496" s="3">
        <v>9.92</v>
      </c>
      <c r="M496" s="3">
        <v>10.42</v>
      </c>
      <c r="N496" s="3">
        <v>18.99</v>
      </c>
      <c r="O496" s="2" t="s">
        <v>245</v>
      </c>
      <c r="P496" s="2" t="s">
        <v>238</v>
      </c>
      <c r="Q496" s="2" t="s">
        <v>239</v>
      </c>
      <c r="R496" s="2" t="s">
        <v>233</v>
      </c>
      <c r="S496" s="2" t="s">
        <v>233</v>
      </c>
      <c r="T496" s="2" t="s">
        <v>233</v>
      </c>
      <c r="U496" s="2" t="s">
        <v>491</v>
      </c>
      <c r="V496" s="2" t="s">
        <v>893</v>
      </c>
      <c r="W496" s="2" t="s">
        <v>275</v>
      </c>
      <c r="X496" s="2" t="s">
        <v>233</v>
      </c>
      <c r="Y496" s="2" t="s">
        <v>2973</v>
      </c>
      <c r="Z496" s="4">
        <v>578</v>
      </c>
      <c r="AA496" s="4">
        <f>=ROUNDDOWN(52.5454545454545,0)</f>
      </c>
      <c r="AB496" s="5">
        <v>11</v>
      </c>
      <c r="AC496" s="2" t="s">
        <v>233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233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233</v>
      </c>
      <c r="BD496" s="8" t="s">
        <v>233</v>
      </c>
      <c r="BE496" s="4" t="s">
        <v>233</v>
      </c>
      <c r="BF496" s="8" t="s">
        <v>233</v>
      </c>
      <c r="BG496" s="7" t="s">
        <v>233</v>
      </c>
      <c r="BH496" s="7" t="s">
        <v>233</v>
      </c>
      <c r="BI496" s="7"/>
      <c r="BJ496" s="4"/>
      <c r="BK496" s="8"/>
      <c r="BL496" s="2" t="s">
        <v>233</v>
      </c>
      <c r="BM496" s="7"/>
      <c r="BN496" s="7"/>
      <c r="BO496" s="4"/>
      <c r="BP496" s="8"/>
      <c r="BQ496" s="4"/>
      <c r="BR496" s="8"/>
      <c r="BS496" s="7"/>
      <c r="BT496" s="7"/>
      <c r="BU496" s="2" t="s">
        <v>243</v>
      </c>
      <c r="BV496" s="2" t="s">
        <v>233</v>
      </c>
      <c r="BW496" s="2" t="s">
        <v>233</v>
      </c>
      <c r="BX496" s="2" t="s">
        <v>243</v>
      </c>
      <c r="BY496" s="2" t="s">
        <v>346</v>
      </c>
      <c r="BZ496" s="2" t="s">
        <v>245</v>
      </c>
      <c r="CA496" s="2" t="s">
        <v>233</v>
      </c>
      <c r="CB496" s="2" t="s">
        <v>233</v>
      </c>
      <c r="CC496" s="2" t="s">
        <v>246</v>
      </c>
      <c r="CD496" s="2" t="s">
        <v>233</v>
      </c>
      <c r="CE496" s="4"/>
      <c r="CF496" s="4">
        <v>272</v>
      </c>
      <c r="CG496" s="4"/>
      <c r="CH496" s="4"/>
      <c r="CI496" s="4">
        <v>306</v>
      </c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</row>
    <row r="497">
      <c r="A497" s="2" t="s">
        <v>2983</v>
      </c>
      <c r="B497" s="2" t="s">
        <v>2965</v>
      </c>
      <c r="C497" s="2" t="s">
        <v>1277</v>
      </c>
      <c r="D497" s="2" t="s">
        <v>2966</v>
      </c>
      <c r="E497" s="2" t="s">
        <v>2967</v>
      </c>
      <c r="F497" s="2" t="s">
        <v>2968</v>
      </c>
      <c r="G497" s="2" t="s">
        <v>2968</v>
      </c>
      <c r="H497" s="2" t="s">
        <v>2968</v>
      </c>
      <c r="I497" s="2" t="s">
        <v>2984</v>
      </c>
      <c r="J497" s="2" t="s">
        <v>243</v>
      </c>
      <c r="K497" s="2" t="s">
        <v>2985</v>
      </c>
      <c r="L497" s="3">
        <v>7.37</v>
      </c>
      <c r="M497" s="3">
        <v>7.74</v>
      </c>
      <c r="N497" s="3">
        <v>15.99</v>
      </c>
      <c r="O497" s="2" t="s">
        <v>245</v>
      </c>
      <c r="P497" s="2" t="s">
        <v>238</v>
      </c>
      <c r="Q497" s="2" t="s">
        <v>239</v>
      </c>
      <c r="R497" s="2" t="s">
        <v>233</v>
      </c>
      <c r="S497" s="2" t="s">
        <v>233</v>
      </c>
      <c r="T497" s="2" t="s">
        <v>233</v>
      </c>
      <c r="U497" s="2" t="s">
        <v>396</v>
      </c>
      <c r="V497" s="2" t="s">
        <v>893</v>
      </c>
      <c r="W497" s="2" t="s">
        <v>275</v>
      </c>
      <c r="X497" s="2" t="s">
        <v>233</v>
      </c>
      <c r="Y497" s="2" t="s">
        <v>364</v>
      </c>
      <c r="Z497" s="4">
        <v>67</v>
      </c>
      <c r="AA497" s="4">
        <f>=ROUNDDOWN(8.375,0)</f>
      </c>
      <c r="AB497" s="5">
        <v>8</v>
      </c>
      <c r="AC497" s="2" t="s">
        <v>547</v>
      </c>
      <c r="AD497" s="4">
        <v>240</v>
      </c>
      <c r="AE497" s="4">
        <v>600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233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233</v>
      </c>
      <c r="BD497" s="8" t="s">
        <v>233</v>
      </c>
      <c r="BE497" s="4" t="s">
        <v>233</v>
      </c>
      <c r="BF497" s="8" t="s">
        <v>233</v>
      </c>
      <c r="BG497" s="7" t="s">
        <v>233</v>
      </c>
      <c r="BH497" s="7" t="s">
        <v>233</v>
      </c>
      <c r="BI497" s="7"/>
      <c r="BJ497" s="4"/>
      <c r="BK497" s="8"/>
      <c r="BL497" s="2" t="s">
        <v>233</v>
      </c>
      <c r="BM497" s="7"/>
      <c r="BN497" s="7"/>
      <c r="BO497" s="4"/>
      <c r="BP497" s="8"/>
      <c r="BQ497" s="4"/>
      <c r="BR497" s="8"/>
      <c r="BS497" s="7"/>
      <c r="BT497" s="7"/>
      <c r="BU497" s="2" t="s">
        <v>243</v>
      </c>
      <c r="BV497" s="2" t="s">
        <v>233</v>
      </c>
      <c r="BW497" s="2" t="s">
        <v>233</v>
      </c>
      <c r="BX497" s="2" t="s">
        <v>243</v>
      </c>
      <c r="BY497" s="2" t="s">
        <v>244</v>
      </c>
      <c r="BZ497" s="2" t="s">
        <v>245</v>
      </c>
      <c r="CA497" s="2" t="s">
        <v>233</v>
      </c>
      <c r="CB497" s="2" t="s">
        <v>233</v>
      </c>
      <c r="CC497" s="2" t="s">
        <v>246</v>
      </c>
      <c r="CD497" s="2" t="s">
        <v>233</v>
      </c>
      <c r="CE497" s="4">
        <v>67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>
        <v>240</v>
      </c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>
        <v>360</v>
      </c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</row>
    <row r="498">
      <c r="A498" s="2" t="s">
        <v>2986</v>
      </c>
      <c r="B498" s="2" t="s">
        <v>2965</v>
      </c>
      <c r="C498" s="2" t="s">
        <v>1277</v>
      </c>
      <c r="D498" s="2" t="s">
        <v>2966</v>
      </c>
      <c r="E498" s="2" t="s">
        <v>2967</v>
      </c>
      <c r="F498" s="2" t="s">
        <v>2968</v>
      </c>
      <c r="G498" s="2" t="s">
        <v>2968</v>
      </c>
      <c r="H498" s="2" t="s">
        <v>2968</v>
      </c>
      <c r="I498" s="2" t="s">
        <v>2984</v>
      </c>
      <c r="J498" s="2" t="s">
        <v>243</v>
      </c>
      <c r="K498" s="2" t="s">
        <v>2987</v>
      </c>
      <c r="L498" s="3">
        <v>7.37</v>
      </c>
      <c r="M498" s="3">
        <v>7.74</v>
      </c>
      <c r="N498" s="3">
        <v>15.99</v>
      </c>
      <c r="O498" s="2" t="s">
        <v>245</v>
      </c>
      <c r="P498" s="2" t="s">
        <v>238</v>
      </c>
      <c r="Q498" s="2" t="s">
        <v>239</v>
      </c>
      <c r="R498" s="2" t="s">
        <v>233</v>
      </c>
      <c r="S498" s="2" t="s">
        <v>233</v>
      </c>
      <c r="T498" s="2" t="s">
        <v>233</v>
      </c>
      <c r="U498" s="2" t="s">
        <v>396</v>
      </c>
      <c r="V498" s="2" t="s">
        <v>893</v>
      </c>
      <c r="W498" s="2" t="s">
        <v>275</v>
      </c>
      <c r="X498" s="2" t="s">
        <v>233</v>
      </c>
      <c r="Y498" s="2" t="s">
        <v>364</v>
      </c>
      <c r="Z498" s="4">
        <v>10</v>
      </c>
      <c r="AA498" s="4">
        <f>=ROUNDDOWN(1.11111111111111,0)</f>
      </c>
      <c r="AB498" s="5">
        <v>9</v>
      </c>
      <c r="AC498" s="2" t="s">
        <v>547</v>
      </c>
      <c r="AD498" s="4">
        <v>240</v>
      </c>
      <c r="AE498" s="4">
        <v>600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233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233</v>
      </c>
      <c r="BD498" s="8" t="s">
        <v>233</v>
      </c>
      <c r="BE498" s="4" t="s">
        <v>233</v>
      </c>
      <c r="BF498" s="8" t="s">
        <v>233</v>
      </c>
      <c r="BG498" s="7" t="s">
        <v>233</v>
      </c>
      <c r="BH498" s="7" t="s">
        <v>233</v>
      </c>
      <c r="BI498" s="7"/>
      <c r="BJ498" s="4"/>
      <c r="BK498" s="8"/>
      <c r="BL498" s="2" t="s">
        <v>233</v>
      </c>
      <c r="BM498" s="7"/>
      <c r="BN498" s="7"/>
      <c r="BO498" s="4"/>
      <c r="BP498" s="8"/>
      <c r="BQ498" s="4"/>
      <c r="BR498" s="8"/>
      <c r="BS498" s="7"/>
      <c r="BT498" s="7"/>
      <c r="BU498" s="2" t="s">
        <v>243</v>
      </c>
      <c r="BV498" s="2" t="s">
        <v>233</v>
      </c>
      <c r="BW498" s="2" t="s">
        <v>233</v>
      </c>
      <c r="BX498" s="2" t="s">
        <v>243</v>
      </c>
      <c r="BY498" s="2" t="s">
        <v>244</v>
      </c>
      <c r="BZ498" s="2" t="s">
        <v>245</v>
      </c>
      <c r="CA498" s="2" t="s">
        <v>233</v>
      </c>
      <c r="CB498" s="2" t="s">
        <v>233</v>
      </c>
      <c r="CC498" s="2" t="s">
        <v>246</v>
      </c>
      <c r="CD498" s="2" t="s">
        <v>233</v>
      </c>
      <c r="CE498" s="4">
        <v>10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>
        <v>240</v>
      </c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>
        <v>360</v>
      </c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</row>
    <row r="499">
      <c r="A499" s="2" t="s">
        <v>2988</v>
      </c>
      <c r="B499" s="2" t="s">
        <v>2965</v>
      </c>
      <c r="C499" s="2" t="s">
        <v>1277</v>
      </c>
      <c r="D499" s="2" t="s">
        <v>2966</v>
      </c>
      <c r="E499" s="2" t="s">
        <v>2967</v>
      </c>
      <c r="F499" s="2" t="s">
        <v>2968</v>
      </c>
      <c r="G499" s="2" t="s">
        <v>2968</v>
      </c>
      <c r="H499" s="2" t="s">
        <v>2968</v>
      </c>
      <c r="I499" s="2" t="s">
        <v>2989</v>
      </c>
      <c r="J499" s="2" t="s">
        <v>243</v>
      </c>
      <c r="K499" s="2" t="s">
        <v>2990</v>
      </c>
      <c r="L499" s="3">
        <v>7.08</v>
      </c>
      <c r="M499" s="3">
        <v>7.43</v>
      </c>
      <c r="N499" s="3">
        <v>15.99</v>
      </c>
      <c r="O499" s="2" t="s">
        <v>245</v>
      </c>
      <c r="P499" s="2" t="s">
        <v>238</v>
      </c>
      <c r="Q499" s="2" t="s">
        <v>239</v>
      </c>
      <c r="R499" s="2" t="s">
        <v>233</v>
      </c>
      <c r="S499" s="2" t="s">
        <v>233</v>
      </c>
      <c r="T499" s="2" t="s">
        <v>233</v>
      </c>
      <c r="U499" s="2" t="s">
        <v>396</v>
      </c>
      <c r="V499" s="2" t="s">
        <v>893</v>
      </c>
      <c r="W499" s="2" t="s">
        <v>275</v>
      </c>
      <c r="X499" s="2" t="s">
        <v>233</v>
      </c>
      <c r="Y499" s="2" t="s">
        <v>2991</v>
      </c>
      <c r="Z499" s="4">
        <v>13</v>
      </c>
      <c r="AA499" s="4">
        <f>=ROUNDDOWN(1,0)</f>
      </c>
      <c r="AB499" s="5">
        <v>13</v>
      </c>
      <c r="AC499" s="2" t="s">
        <v>547</v>
      </c>
      <c r="AD499" s="4">
        <v>420</v>
      </c>
      <c r="AE499" s="4">
        <v>1008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233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233</v>
      </c>
      <c r="BD499" s="8" t="s">
        <v>233</v>
      </c>
      <c r="BE499" s="4" t="s">
        <v>233</v>
      </c>
      <c r="BF499" s="8" t="s">
        <v>233</v>
      </c>
      <c r="BG499" s="7" t="s">
        <v>233</v>
      </c>
      <c r="BH499" s="7" t="s">
        <v>233</v>
      </c>
      <c r="BI499" s="7"/>
      <c r="BJ499" s="4"/>
      <c r="BK499" s="8"/>
      <c r="BL499" s="2" t="s">
        <v>233</v>
      </c>
      <c r="BM499" s="7"/>
      <c r="BN499" s="7"/>
      <c r="BO499" s="4"/>
      <c r="BP499" s="8"/>
      <c r="BQ499" s="4"/>
      <c r="BR499" s="8"/>
      <c r="BS499" s="7"/>
      <c r="BT499" s="7"/>
      <c r="BU499" s="2" t="s">
        <v>243</v>
      </c>
      <c r="BV499" s="2" t="s">
        <v>233</v>
      </c>
      <c r="BW499" s="2" t="s">
        <v>233</v>
      </c>
      <c r="BX499" s="2" t="s">
        <v>243</v>
      </c>
      <c r="BY499" s="2" t="s">
        <v>244</v>
      </c>
      <c r="BZ499" s="2" t="s">
        <v>245</v>
      </c>
      <c r="CA499" s="2" t="s">
        <v>233</v>
      </c>
      <c r="CB499" s="2" t="s">
        <v>233</v>
      </c>
      <c r="CC499" s="2" t="s">
        <v>246</v>
      </c>
      <c r="CD499" s="2" t="s">
        <v>233</v>
      </c>
      <c r="CE499" s="4">
        <v>13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>
        <v>420</v>
      </c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>
        <v>588</v>
      </c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</row>
    <row r="500">
      <c r="A500" s="2" t="s">
        <v>2992</v>
      </c>
      <c r="B500" s="2" t="s">
        <v>2965</v>
      </c>
      <c r="C500" s="2" t="s">
        <v>1277</v>
      </c>
      <c r="D500" s="2" t="s">
        <v>2966</v>
      </c>
      <c r="E500" s="2" t="s">
        <v>2967</v>
      </c>
      <c r="F500" s="2" t="s">
        <v>2968</v>
      </c>
      <c r="G500" s="2" t="s">
        <v>2968</v>
      </c>
      <c r="H500" s="2" t="s">
        <v>2968</v>
      </c>
      <c r="I500" s="2" t="s">
        <v>2993</v>
      </c>
      <c r="J500" s="2" t="s">
        <v>892</v>
      </c>
      <c r="K500" s="2" t="s">
        <v>1218</v>
      </c>
      <c r="L500" s="3">
        <v>8.06</v>
      </c>
      <c r="M500" s="3">
        <v>8.46</v>
      </c>
      <c r="N500" s="3">
        <v>14.99</v>
      </c>
      <c r="O500" s="2" t="s">
        <v>245</v>
      </c>
      <c r="P500" s="2" t="s">
        <v>238</v>
      </c>
      <c r="Q500" s="2" t="s">
        <v>239</v>
      </c>
      <c r="R500" s="2" t="s">
        <v>233</v>
      </c>
      <c r="S500" s="2" t="s">
        <v>233</v>
      </c>
      <c r="T500" s="2" t="s">
        <v>233</v>
      </c>
      <c r="U500" s="2" t="s">
        <v>396</v>
      </c>
      <c r="V500" s="2" t="s">
        <v>893</v>
      </c>
      <c r="W500" s="2" t="s">
        <v>275</v>
      </c>
      <c r="X500" s="2" t="s">
        <v>233</v>
      </c>
      <c r="Y500" s="2" t="s">
        <v>2973</v>
      </c>
      <c r="Z500" s="4">
        <v>469</v>
      </c>
      <c r="AA500" s="4">
        <f>=ROUNDDOWN(33.5,0)</f>
      </c>
      <c r="AB500" s="5">
        <v>14</v>
      </c>
      <c r="AC500" s="2" t="s">
        <v>233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233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233</v>
      </c>
      <c r="BD500" s="8" t="s">
        <v>233</v>
      </c>
      <c r="BE500" s="4" t="s">
        <v>233</v>
      </c>
      <c r="BF500" s="8" t="s">
        <v>233</v>
      </c>
      <c r="BG500" s="7" t="s">
        <v>233</v>
      </c>
      <c r="BH500" s="7" t="s">
        <v>233</v>
      </c>
      <c r="BI500" s="7"/>
      <c r="BJ500" s="4">
        <v>1</v>
      </c>
      <c r="BK500" s="8">
        <v>9.27</v>
      </c>
      <c r="BL500" s="2" t="s">
        <v>2513</v>
      </c>
      <c r="BM500" s="7"/>
      <c r="BN500" s="7"/>
      <c r="BO500" s="4"/>
      <c r="BP500" s="8"/>
      <c r="BQ500" s="4"/>
      <c r="BR500" s="8"/>
      <c r="BS500" s="7"/>
      <c r="BT500" s="7"/>
      <c r="BU500" s="2" t="s">
        <v>243</v>
      </c>
      <c r="BV500" s="2" t="s">
        <v>233</v>
      </c>
      <c r="BW500" s="2" t="s">
        <v>233</v>
      </c>
      <c r="BX500" s="2" t="s">
        <v>243</v>
      </c>
      <c r="BY500" s="2" t="s">
        <v>346</v>
      </c>
      <c r="BZ500" s="2" t="s">
        <v>245</v>
      </c>
      <c r="CA500" s="2" t="s">
        <v>233</v>
      </c>
      <c r="CB500" s="2" t="s">
        <v>233</v>
      </c>
      <c r="CC500" s="2" t="s">
        <v>246</v>
      </c>
      <c r="CD500" s="2" t="s">
        <v>233</v>
      </c>
      <c r="CE500" s="4"/>
      <c r="CF500" s="4">
        <v>247</v>
      </c>
      <c r="CG500" s="4"/>
      <c r="CH500" s="4"/>
      <c r="CI500" s="4">
        <v>222</v>
      </c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</row>
    <row r="501">
      <c r="A501" s="2" t="s">
        <v>2994</v>
      </c>
      <c r="B501" s="2" t="s">
        <v>910</v>
      </c>
      <c r="C501" s="2" t="s">
        <v>1130</v>
      </c>
      <c r="D501" s="2" t="s">
        <v>1862</v>
      </c>
      <c r="E501" s="2" t="s">
        <v>1863</v>
      </c>
      <c r="F501" s="2" t="s">
        <v>2995</v>
      </c>
      <c r="G501" s="2" t="s">
        <v>2996</v>
      </c>
      <c r="H501" s="2" t="s">
        <v>2997</v>
      </c>
      <c r="I501" s="2" t="s">
        <v>2998</v>
      </c>
      <c r="J501" s="2" t="s">
        <v>981</v>
      </c>
      <c r="K501" s="2" t="s">
        <v>255</v>
      </c>
      <c r="L501" s="3">
        <v>48</v>
      </c>
      <c r="M501" s="3">
        <v>50.4</v>
      </c>
      <c r="N501" s="3">
        <v>99.99</v>
      </c>
      <c r="O501" s="2" t="s">
        <v>237</v>
      </c>
      <c r="P501" s="2" t="s">
        <v>311</v>
      </c>
      <c r="Q501" s="2" t="s">
        <v>239</v>
      </c>
      <c r="R501" s="2" t="s">
        <v>233</v>
      </c>
      <c r="S501" s="2" t="s">
        <v>2999</v>
      </c>
      <c r="T501" s="2" t="s">
        <v>341</v>
      </c>
      <c r="U501" s="2" t="s">
        <v>475</v>
      </c>
      <c r="V501" s="2" t="s">
        <v>241</v>
      </c>
      <c r="W501" s="2" t="s">
        <v>397</v>
      </c>
      <c r="X501" s="2" t="s">
        <v>451</v>
      </c>
      <c r="Y501" s="2" t="s">
        <v>3000</v>
      </c>
      <c r="Z501" s="4">
        <v>188</v>
      </c>
      <c r="AA501" s="4">
        <f>=ROUNDDOWN(85.4545454545455,0)</f>
      </c>
      <c r="AB501" s="5">
        <v>2.2</v>
      </c>
      <c r="AC501" s="2" t="s">
        <v>233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233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>
        <v>10</v>
      </c>
      <c r="BK501" s="8">
        <v>448.17</v>
      </c>
      <c r="BL501" s="2" t="s">
        <v>3001</v>
      </c>
      <c r="BM501" s="7"/>
      <c r="BN501" s="7"/>
      <c r="BO501" s="4"/>
      <c r="BP501" s="8"/>
      <c r="BQ501" s="4"/>
      <c r="BR501" s="8"/>
      <c r="BS501" s="7"/>
      <c r="BT501" s="7"/>
      <c r="BU501" s="2" t="s">
        <v>3002</v>
      </c>
      <c r="BV501" s="2" t="s">
        <v>233</v>
      </c>
      <c r="BW501" s="2" t="s">
        <v>233</v>
      </c>
      <c r="BX501" s="2" t="s">
        <v>233</v>
      </c>
      <c r="BY501" s="2" t="s">
        <v>280</v>
      </c>
      <c r="BZ501" s="2" t="s">
        <v>245</v>
      </c>
      <c r="CA501" s="2" t="s">
        <v>3003</v>
      </c>
      <c r="CB501" s="2" t="s">
        <v>1368</v>
      </c>
      <c r="CC501" s="2" t="s">
        <v>246</v>
      </c>
      <c r="CD501" s="2" t="s">
        <v>233</v>
      </c>
      <c r="CE501" s="4">
        <v>188</v>
      </c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</row>
    <row r="502">
      <c r="A502" s="2" t="s">
        <v>3004</v>
      </c>
      <c r="B502" s="2" t="s">
        <v>1242</v>
      </c>
      <c r="C502" s="2" t="s">
        <v>901</v>
      </c>
      <c r="D502" s="2" t="s">
        <v>969</v>
      </c>
      <c r="E502" s="2" t="s">
        <v>970</v>
      </c>
      <c r="F502" s="2" t="s">
        <v>3005</v>
      </c>
      <c r="G502" s="2" t="s">
        <v>3005</v>
      </c>
      <c r="H502" s="2" t="s">
        <v>3005</v>
      </c>
      <c r="I502" s="2" t="s">
        <v>3006</v>
      </c>
      <c r="J502" s="2" t="s">
        <v>981</v>
      </c>
      <c r="K502" s="2" t="s">
        <v>569</v>
      </c>
      <c r="L502" s="3">
        <v>59.42</v>
      </c>
      <c r="M502" s="3">
        <v>62.39</v>
      </c>
      <c r="N502" s="3">
        <v>129.99</v>
      </c>
      <c r="O502" s="2" t="s">
        <v>245</v>
      </c>
      <c r="P502" s="2" t="s">
        <v>238</v>
      </c>
      <c r="Q502" s="2" t="s">
        <v>239</v>
      </c>
      <c r="R502" s="2" t="s">
        <v>233</v>
      </c>
      <c r="S502" s="2" t="s">
        <v>3007</v>
      </c>
      <c r="T502" s="2" t="s">
        <v>341</v>
      </c>
      <c r="U502" s="2" t="s">
        <v>475</v>
      </c>
      <c r="V502" s="2" t="s">
        <v>1085</v>
      </c>
      <c r="W502" s="2" t="s">
        <v>1700</v>
      </c>
      <c r="X502" s="2" t="s">
        <v>275</v>
      </c>
      <c r="Y502" s="2" t="s">
        <v>233</v>
      </c>
      <c r="Z502" s="4"/>
      <c r="AA502" s="4">
        <f>=ROUNDDOWN({0},0)</f>
      </c>
      <c r="AB502" s="5"/>
      <c r="AC502" s="2" t="s">
        <v>1151</v>
      </c>
      <c r="AD502" s="4">
        <v>195</v>
      </c>
      <c r="AE502" s="4">
        <v>195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233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233</v>
      </c>
      <c r="AW502" s="8" t="s">
        <v>233</v>
      </c>
      <c r="AX502" s="4" t="s">
        <v>233</v>
      </c>
      <c r="AY502" s="8" t="s">
        <v>233</v>
      </c>
      <c r="AZ502" s="7" t="s">
        <v>233</v>
      </c>
      <c r="BA502" s="7" t="s">
        <v>233</v>
      </c>
      <c r="BB502" s="7" t="s">
        <v>233</v>
      </c>
      <c r="BC502" s="4" t="s">
        <v>233</v>
      </c>
      <c r="BD502" s="8" t="s">
        <v>233</v>
      </c>
      <c r="BE502" s="4" t="s">
        <v>233</v>
      </c>
      <c r="BF502" s="8" t="s">
        <v>233</v>
      </c>
      <c r="BG502" s="7" t="s">
        <v>233</v>
      </c>
      <c r="BH502" s="7" t="s">
        <v>233</v>
      </c>
      <c r="BI502" s="7"/>
      <c r="BJ502" s="4"/>
      <c r="BK502" s="8"/>
      <c r="BL502" s="2" t="s">
        <v>233</v>
      </c>
      <c r="BM502" s="7"/>
      <c r="BN502" s="7"/>
      <c r="BO502" s="4"/>
      <c r="BP502" s="8"/>
      <c r="BQ502" s="4"/>
      <c r="BR502" s="8"/>
      <c r="BS502" s="7"/>
      <c r="BT502" s="7"/>
      <c r="BU502" s="2" t="s">
        <v>243</v>
      </c>
      <c r="BV502" s="2" t="s">
        <v>233</v>
      </c>
      <c r="BW502" s="2" t="s">
        <v>233</v>
      </c>
      <c r="BX502" s="2" t="s">
        <v>243</v>
      </c>
      <c r="BY502" s="2" t="s">
        <v>244</v>
      </c>
      <c r="BZ502" s="2" t="s">
        <v>245</v>
      </c>
      <c r="CA502" s="2" t="s">
        <v>233</v>
      </c>
      <c r="CB502" s="2" t="s">
        <v>233</v>
      </c>
      <c r="CC502" s="2" t="s">
        <v>246</v>
      </c>
      <c r="CD502" s="2" t="s">
        <v>233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>
        <v>195</v>
      </c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</row>
    <row r="503">
      <c r="A503" s="2" t="s">
        <v>3008</v>
      </c>
      <c r="B503" s="2" t="s">
        <v>1242</v>
      </c>
      <c r="C503" s="2" t="s">
        <v>901</v>
      </c>
      <c r="D503" s="2" t="s">
        <v>912</v>
      </c>
      <c r="E503" s="2" t="s">
        <v>1139</v>
      </c>
      <c r="F503" s="2" t="s">
        <v>3005</v>
      </c>
      <c r="G503" s="2" t="s">
        <v>3005</v>
      </c>
      <c r="H503" s="2" t="s">
        <v>3005</v>
      </c>
      <c r="I503" s="2" t="s">
        <v>3009</v>
      </c>
      <c r="J503" s="2" t="s">
        <v>981</v>
      </c>
      <c r="K503" s="2" t="s">
        <v>569</v>
      </c>
      <c r="L503" s="3">
        <v>45.71</v>
      </c>
      <c r="M503" s="3">
        <v>48</v>
      </c>
      <c r="N503" s="3">
        <v>99.99</v>
      </c>
      <c r="O503" s="2" t="s">
        <v>245</v>
      </c>
      <c r="P503" s="2" t="s">
        <v>238</v>
      </c>
      <c r="Q503" s="2" t="s">
        <v>239</v>
      </c>
      <c r="R503" s="2" t="s">
        <v>233</v>
      </c>
      <c r="S503" s="2" t="s">
        <v>3007</v>
      </c>
      <c r="T503" s="2" t="s">
        <v>341</v>
      </c>
      <c r="U503" s="2" t="s">
        <v>475</v>
      </c>
      <c r="V503" s="2" t="s">
        <v>1085</v>
      </c>
      <c r="W503" s="2" t="s">
        <v>1700</v>
      </c>
      <c r="X503" s="2" t="s">
        <v>275</v>
      </c>
      <c r="Y503" s="2" t="s">
        <v>233</v>
      </c>
      <c r="Z503" s="4"/>
      <c r="AA503" s="4">
        <f>=ROUNDDOWN({0},0)</f>
      </c>
      <c r="AB503" s="5"/>
      <c r="AC503" s="2" t="s">
        <v>1151</v>
      </c>
      <c r="AD503" s="4">
        <v>145</v>
      </c>
      <c r="AE503" s="4">
        <v>145</v>
      </c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233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233</v>
      </c>
      <c r="AW503" s="8" t="s">
        <v>233</v>
      </c>
      <c r="AX503" s="4" t="s">
        <v>233</v>
      </c>
      <c r="AY503" s="8" t="s">
        <v>233</v>
      </c>
      <c r="AZ503" s="7" t="s">
        <v>233</v>
      </c>
      <c r="BA503" s="7" t="s">
        <v>233</v>
      </c>
      <c r="BB503" s="7" t="s">
        <v>233</v>
      </c>
      <c r="BC503" s="4" t="s">
        <v>233</v>
      </c>
      <c r="BD503" s="8" t="s">
        <v>233</v>
      </c>
      <c r="BE503" s="4" t="s">
        <v>233</v>
      </c>
      <c r="BF503" s="8" t="s">
        <v>233</v>
      </c>
      <c r="BG503" s="7" t="s">
        <v>233</v>
      </c>
      <c r="BH503" s="7" t="s">
        <v>233</v>
      </c>
      <c r="BI503" s="7"/>
      <c r="BJ503" s="4"/>
      <c r="BK503" s="8"/>
      <c r="BL503" s="2" t="s">
        <v>233</v>
      </c>
      <c r="BM503" s="7"/>
      <c r="BN503" s="7"/>
      <c r="BO503" s="4"/>
      <c r="BP503" s="8"/>
      <c r="BQ503" s="4"/>
      <c r="BR503" s="8"/>
      <c r="BS503" s="7"/>
      <c r="BT503" s="7"/>
      <c r="BU503" s="2" t="s">
        <v>243</v>
      </c>
      <c r="BV503" s="2" t="s">
        <v>233</v>
      </c>
      <c r="BW503" s="2" t="s">
        <v>233</v>
      </c>
      <c r="BX503" s="2" t="s">
        <v>243</v>
      </c>
      <c r="BY503" s="2" t="s">
        <v>244</v>
      </c>
      <c r="BZ503" s="2" t="s">
        <v>245</v>
      </c>
      <c r="CA503" s="2" t="s">
        <v>233</v>
      </c>
      <c r="CB503" s="2" t="s">
        <v>233</v>
      </c>
      <c r="CC503" s="2" t="s">
        <v>246</v>
      </c>
      <c r="CD503" s="2" t="s">
        <v>233</v>
      </c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>
        <v>145</v>
      </c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</row>
    <row r="504">
      <c r="A504" s="2" t="s">
        <v>3010</v>
      </c>
      <c r="B504" s="2" t="s">
        <v>1242</v>
      </c>
      <c r="C504" s="2" t="s">
        <v>901</v>
      </c>
      <c r="D504" s="2" t="s">
        <v>969</v>
      </c>
      <c r="E504" s="2" t="s">
        <v>970</v>
      </c>
      <c r="F504" s="2" t="s">
        <v>3005</v>
      </c>
      <c r="G504" s="2" t="s">
        <v>3005</v>
      </c>
      <c r="H504" s="2" t="s">
        <v>3005</v>
      </c>
      <c r="I504" s="2" t="s">
        <v>3006</v>
      </c>
      <c r="J504" s="2" t="s">
        <v>1142</v>
      </c>
      <c r="K504" s="2" t="s">
        <v>569</v>
      </c>
      <c r="L504" s="3">
        <v>68.57</v>
      </c>
      <c r="M504" s="3">
        <v>72</v>
      </c>
      <c r="N504" s="3">
        <v>149.99</v>
      </c>
      <c r="O504" s="2" t="s">
        <v>245</v>
      </c>
      <c r="P504" s="2" t="s">
        <v>238</v>
      </c>
      <c r="Q504" s="2" t="s">
        <v>239</v>
      </c>
      <c r="R504" s="2" t="s">
        <v>233</v>
      </c>
      <c r="S504" s="2" t="s">
        <v>3007</v>
      </c>
      <c r="T504" s="2" t="s">
        <v>341</v>
      </c>
      <c r="U504" s="2" t="s">
        <v>475</v>
      </c>
      <c r="V504" s="2" t="s">
        <v>1085</v>
      </c>
      <c r="W504" s="2" t="s">
        <v>1700</v>
      </c>
      <c r="X504" s="2" t="s">
        <v>275</v>
      </c>
      <c r="Y504" s="2" t="s">
        <v>233</v>
      </c>
      <c r="Z504" s="4"/>
      <c r="AA504" s="4">
        <f>=ROUNDDOWN({0},0)</f>
      </c>
      <c r="AB504" s="5"/>
      <c r="AC504" s="2" t="s">
        <v>1151</v>
      </c>
      <c r="AD504" s="4">
        <v>140</v>
      </c>
      <c r="AE504" s="4">
        <v>140</v>
      </c>
      <c r="AF504" s="6">
        <v>65</v>
      </c>
      <c r="AG504" s="6"/>
      <c r="AH504" s="7">
        <v>0</v>
      </c>
      <c r="AI504" s="4"/>
      <c r="AJ504" s="4">
        <f>=ROUNDDOWN({0},0)</f>
      </c>
      <c r="AK504" s="5"/>
      <c r="AL504" s="2" t="s">
        <v>233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233</v>
      </c>
      <c r="AW504" s="8" t="s">
        <v>233</v>
      </c>
      <c r="AX504" s="4" t="s">
        <v>233</v>
      </c>
      <c r="AY504" s="8" t="s">
        <v>233</v>
      </c>
      <c r="AZ504" s="7" t="s">
        <v>233</v>
      </c>
      <c r="BA504" s="7" t="s">
        <v>233</v>
      </c>
      <c r="BB504" s="7" t="s">
        <v>233</v>
      </c>
      <c r="BC504" s="4" t="s">
        <v>233</v>
      </c>
      <c r="BD504" s="8" t="s">
        <v>233</v>
      </c>
      <c r="BE504" s="4" t="s">
        <v>233</v>
      </c>
      <c r="BF504" s="8" t="s">
        <v>233</v>
      </c>
      <c r="BG504" s="7" t="s">
        <v>233</v>
      </c>
      <c r="BH504" s="7" t="s">
        <v>233</v>
      </c>
      <c r="BI504" s="7"/>
      <c r="BJ504" s="4"/>
      <c r="BK504" s="8"/>
      <c r="BL504" s="2" t="s">
        <v>233</v>
      </c>
      <c r="BM504" s="7"/>
      <c r="BN504" s="7"/>
      <c r="BO504" s="4"/>
      <c r="BP504" s="8"/>
      <c r="BQ504" s="4"/>
      <c r="BR504" s="8"/>
      <c r="BS504" s="7"/>
      <c r="BT504" s="7"/>
      <c r="BU504" s="2" t="s">
        <v>243</v>
      </c>
      <c r="BV504" s="2" t="s">
        <v>233</v>
      </c>
      <c r="BW504" s="2" t="s">
        <v>233</v>
      </c>
      <c r="BX504" s="2" t="s">
        <v>243</v>
      </c>
      <c r="BY504" s="2" t="s">
        <v>244</v>
      </c>
      <c r="BZ504" s="2" t="s">
        <v>245</v>
      </c>
      <c r="CA504" s="2" t="s">
        <v>233</v>
      </c>
      <c r="CB504" s="2" t="s">
        <v>233</v>
      </c>
      <c r="CC504" s="2" t="s">
        <v>246</v>
      </c>
      <c r="CD504" s="2" t="s">
        <v>233</v>
      </c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>
        <v>140</v>
      </c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</row>
    <row r="505">
      <c r="A505" s="2" t="s">
        <v>3011</v>
      </c>
      <c r="B505" s="2" t="s">
        <v>1242</v>
      </c>
      <c r="C505" s="2" t="s">
        <v>901</v>
      </c>
      <c r="D505" s="2" t="s">
        <v>912</v>
      </c>
      <c r="E505" s="2" t="s">
        <v>1139</v>
      </c>
      <c r="F505" s="2" t="s">
        <v>3005</v>
      </c>
      <c r="G505" s="2" t="s">
        <v>3005</v>
      </c>
      <c r="H505" s="2" t="s">
        <v>3005</v>
      </c>
      <c r="I505" s="2" t="s">
        <v>3009</v>
      </c>
      <c r="J505" s="2" t="s">
        <v>1142</v>
      </c>
      <c r="K505" s="2" t="s">
        <v>569</v>
      </c>
      <c r="L505" s="3">
        <v>54.85</v>
      </c>
      <c r="M505" s="3">
        <v>57.59</v>
      </c>
      <c r="N505" s="3">
        <v>119.99</v>
      </c>
      <c r="O505" s="2" t="s">
        <v>245</v>
      </c>
      <c r="P505" s="2" t="s">
        <v>238</v>
      </c>
      <c r="Q505" s="2" t="s">
        <v>239</v>
      </c>
      <c r="R505" s="2" t="s">
        <v>233</v>
      </c>
      <c r="S505" s="2" t="s">
        <v>3007</v>
      </c>
      <c r="T505" s="2" t="s">
        <v>341</v>
      </c>
      <c r="U505" s="2" t="s">
        <v>475</v>
      </c>
      <c r="V505" s="2" t="s">
        <v>1085</v>
      </c>
      <c r="W505" s="2" t="s">
        <v>1700</v>
      </c>
      <c r="X505" s="2" t="s">
        <v>275</v>
      </c>
      <c r="Y505" s="2" t="s">
        <v>233</v>
      </c>
      <c r="Z505" s="4"/>
      <c r="AA505" s="4">
        <f>=ROUNDDOWN({0},0)</f>
      </c>
      <c r="AB505" s="5"/>
      <c r="AC505" s="2" t="s">
        <v>1151</v>
      </c>
      <c r="AD505" s="4">
        <v>120</v>
      </c>
      <c r="AE505" s="4">
        <v>120</v>
      </c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233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233</v>
      </c>
      <c r="AW505" s="8" t="s">
        <v>233</v>
      </c>
      <c r="AX505" s="4" t="s">
        <v>233</v>
      </c>
      <c r="AY505" s="8" t="s">
        <v>233</v>
      </c>
      <c r="AZ505" s="7" t="s">
        <v>233</v>
      </c>
      <c r="BA505" s="7" t="s">
        <v>233</v>
      </c>
      <c r="BB505" s="7" t="s">
        <v>233</v>
      </c>
      <c r="BC505" s="4" t="s">
        <v>233</v>
      </c>
      <c r="BD505" s="8" t="s">
        <v>233</v>
      </c>
      <c r="BE505" s="4" t="s">
        <v>233</v>
      </c>
      <c r="BF505" s="8" t="s">
        <v>233</v>
      </c>
      <c r="BG505" s="7" t="s">
        <v>233</v>
      </c>
      <c r="BH505" s="7" t="s">
        <v>233</v>
      </c>
      <c r="BI505" s="7"/>
      <c r="BJ505" s="4"/>
      <c r="BK505" s="8"/>
      <c r="BL505" s="2" t="s">
        <v>233</v>
      </c>
      <c r="BM505" s="7"/>
      <c r="BN505" s="7"/>
      <c r="BO505" s="4"/>
      <c r="BP505" s="8"/>
      <c r="BQ505" s="4"/>
      <c r="BR505" s="8"/>
      <c r="BS505" s="7"/>
      <c r="BT505" s="7"/>
      <c r="BU505" s="2" t="s">
        <v>243</v>
      </c>
      <c r="BV505" s="2" t="s">
        <v>233</v>
      </c>
      <c r="BW505" s="2" t="s">
        <v>233</v>
      </c>
      <c r="BX505" s="2" t="s">
        <v>243</v>
      </c>
      <c r="BY505" s="2" t="s">
        <v>244</v>
      </c>
      <c r="BZ505" s="2" t="s">
        <v>245</v>
      </c>
      <c r="CA505" s="2" t="s">
        <v>233</v>
      </c>
      <c r="CB505" s="2" t="s">
        <v>233</v>
      </c>
      <c r="CC505" s="2" t="s">
        <v>246</v>
      </c>
      <c r="CD505" s="2" t="s">
        <v>233</v>
      </c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>
        <v>120</v>
      </c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</row>
    <row r="506">
      <c r="A506" s="2" t="s">
        <v>3012</v>
      </c>
      <c r="B506" s="2" t="s">
        <v>1066</v>
      </c>
      <c r="C506" s="2" t="s">
        <v>530</v>
      </c>
      <c r="D506" s="2" t="s">
        <v>2140</v>
      </c>
      <c r="E506" s="2" t="s">
        <v>2141</v>
      </c>
      <c r="F506" s="2" t="s">
        <v>3013</v>
      </c>
      <c r="G506" s="2" t="s">
        <v>3014</v>
      </c>
      <c r="H506" s="2" t="s">
        <v>3015</v>
      </c>
      <c r="I506" s="2" t="s">
        <v>3016</v>
      </c>
      <c r="J506" s="2" t="s">
        <v>892</v>
      </c>
      <c r="K506" s="2" t="s">
        <v>1537</v>
      </c>
      <c r="L506" s="3">
        <v>243.68</v>
      </c>
      <c r="M506" s="3">
        <v>255.86</v>
      </c>
      <c r="N506" s="3">
        <v>509</v>
      </c>
      <c r="O506" s="2" t="s">
        <v>245</v>
      </c>
      <c r="P506" s="2" t="s">
        <v>393</v>
      </c>
      <c r="Q506" s="2" t="s">
        <v>239</v>
      </c>
      <c r="R506" s="2" t="s">
        <v>233</v>
      </c>
      <c r="S506" s="2" t="s">
        <v>233</v>
      </c>
      <c r="T506" s="2" t="s">
        <v>233</v>
      </c>
      <c r="U506" s="2" t="s">
        <v>396</v>
      </c>
      <c r="V506" s="2" t="s">
        <v>893</v>
      </c>
      <c r="W506" s="2" t="s">
        <v>275</v>
      </c>
      <c r="X506" s="2" t="s">
        <v>233</v>
      </c>
      <c r="Y506" s="2" t="s">
        <v>3017</v>
      </c>
      <c r="Z506" s="4">
        <v>44</v>
      </c>
      <c r="AA506" s="4">
        <f>=ROUNDDOWN(22,0)</f>
      </c>
      <c r="AB506" s="5">
        <v>2</v>
      </c>
      <c r="AC506" s="2" t="s">
        <v>233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233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>
        <v>8</v>
      </c>
      <c r="BK506" s="8">
        <v>1888.49</v>
      </c>
      <c r="BL506" s="2" t="s">
        <v>3018</v>
      </c>
      <c r="BM506" s="7"/>
      <c r="BN506" s="7"/>
      <c r="BO506" s="4"/>
      <c r="BP506" s="8"/>
      <c r="BQ506" s="4"/>
      <c r="BR506" s="8"/>
      <c r="BS506" s="7"/>
      <c r="BT506" s="7"/>
      <c r="BU506" s="2" t="s">
        <v>3019</v>
      </c>
      <c r="BV506" s="2" t="s">
        <v>233</v>
      </c>
      <c r="BW506" s="2" t="s">
        <v>233</v>
      </c>
      <c r="BX506" s="2" t="s">
        <v>233</v>
      </c>
      <c r="BY506" s="2" t="s">
        <v>280</v>
      </c>
      <c r="BZ506" s="2" t="s">
        <v>245</v>
      </c>
      <c r="CA506" s="2" t="s">
        <v>3020</v>
      </c>
      <c r="CB506" s="2" t="s">
        <v>3021</v>
      </c>
      <c r="CC506" s="2" t="s">
        <v>246</v>
      </c>
      <c r="CD506" s="2" t="s">
        <v>233</v>
      </c>
      <c r="CE506" s="4"/>
      <c r="CF506" s="4">
        <v>44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</row>
    <row r="507">
      <c r="A507" s="2" t="s">
        <v>3022</v>
      </c>
      <c r="B507" s="2" t="s">
        <v>886</v>
      </c>
      <c r="C507" s="2" t="s">
        <v>901</v>
      </c>
      <c r="D507" s="2" t="s">
        <v>888</v>
      </c>
      <c r="E507" s="2" t="s">
        <v>889</v>
      </c>
      <c r="F507" s="2" t="s">
        <v>1178</v>
      </c>
      <c r="G507" s="2" t="s">
        <v>1178</v>
      </c>
      <c r="H507" s="2" t="s">
        <v>1178</v>
      </c>
      <c r="I507" s="2" t="s">
        <v>3023</v>
      </c>
      <c r="J507" s="2" t="s">
        <v>892</v>
      </c>
      <c r="K507" s="2" t="s">
        <v>3024</v>
      </c>
      <c r="L507" s="3">
        <v>145</v>
      </c>
      <c r="M507" s="3">
        <v>152.25</v>
      </c>
      <c r="N507" s="3">
        <v>299</v>
      </c>
      <c r="O507" s="2" t="s">
        <v>245</v>
      </c>
      <c r="P507" s="2" t="s">
        <v>238</v>
      </c>
      <c r="Q507" s="2" t="s">
        <v>239</v>
      </c>
      <c r="R507" s="2" t="s">
        <v>233</v>
      </c>
      <c r="S507" s="2" t="s">
        <v>233</v>
      </c>
      <c r="T507" s="2" t="s">
        <v>233</v>
      </c>
      <c r="U507" s="2" t="s">
        <v>396</v>
      </c>
      <c r="V507" s="2" t="s">
        <v>893</v>
      </c>
      <c r="W507" s="2" t="s">
        <v>397</v>
      </c>
      <c r="X507" s="2" t="s">
        <v>894</v>
      </c>
      <c r="Y507" s="2" t="s">
        <v>3025</v>
      </c>
      <c r="Z507" s="4">
        <v>99</v>
      </c>
      <c r="AA507" s="4">
        <f>=ROUNDDOWN(99,0)</f>
      </c>
      <c r="AB507" s="5">
        <v>1</v>
      </c>
      <c r="AC507" s="2" t="s">
        <v>233</v>
      </c>
      <c r="AD507" s="4"/>
      <c r="AE507" s="4"/>
      <c r="AF507" s="6">
        <v>63</v>
      </c>
      <c r="AG507" s="6"/>
      <c r="AH507" s="7">
        <v>1</v>
      </c>
      <c r="AI507" s="4"/>
      <c r="AJ507" s="4">
        <f>=ROUNDDOWN({0},0)</f>
      </c>
      <c r="AK507" s="5"/>
      <c r="AL507" s="2" t="s">
        <v>233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>
        <v>1</v>
      </c>
      <c r="BK507" s="8">
        <v>152.25</v>
      </c>
      <c r="BL507" s="2" t="s">
        <v>744</v>
      </c>
      <c r="BM507" s="7"/>
      <c r="BN507" s="7"/>
      <c r="BO507" s="4"/>
      <c r="BP507" s="8"/>
      <c r="BQ507" s="4"/>
      <c r="BR507" s="8"/>
      <c r="BS507" s="7"/>
      <c r="BT507" s="7"/>
      <c r="BU507" s="2" t="s">
        <v>3026</v>
      </c>
      <c r="BV507" s="2" t="s">
        <v>233</v>
      </c>
      <c r="BW507" s="2" t="s">
        <v>233</v>
      </c>
      <c r="BX507" s="2" t="s">
        <v>243</v>
      </c>
      <c r="BY507" s="2" t="s">
        <v>280</v>
      </c>
      <c r="BZ507" s="2" t="s">
        <v>245</v>
      </c>
      <c r="CA507" s="2" t="s">
        <v>3027</v>
      </c>
      <c r="CB507" s="2" t="s">
        <v>233</v>
      </c>
      <c r="CC507" s="2" t="s">
        <v>246</v>
      </c>
      <c r="CD507" s="2" t="s">
        <v>233</v>
      </c>
      <c r="CE507" s="4"/>
      <c r="CF507" s="4">
        <v>99</v>
      </c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</row>
    <row r="508">
      <c r="A508" s="2" t="s">
        <v>3028</v>
      </c>
      <c r="B508" s="2" t="s">
        <v>1017</v>
      </c>
      <c r="C508" s="2" t="s">
        <v>1607</v>
      </c>
      <c r="D508" s="2" t="s">
        <v>1565</v>
      </c>
      <c r="E508" s="2" t="s">
        <v>1566</v>
      </c>
      <c r="F508" s="2" t="s">
        <v>3029</v>
      </c>
      <c r="G508" s="2" t="s">
        <v>3029</v>
      </c>
      <c r="H508" s="2" t="s">
        <v>3029</v>
      </c>
      <c r="I508" s="2" t="s">
        <v>3030</v>
      </c>
      <c r="J508" s="2" t="s">
        <v>3031</v>
      </c>
      <c r="K508" s="2" t="s">
        <v>236</v>
      </c>
      <c r="L508" s="3">
        <v>27.23</v>
      </c>
      <c r="M508" s="3">
        <v>28.59</v>
      </c>
      <c r="N508" s="3">
        <v>79.99</v>
      </c>
      <c r="O508" s="2" t="s">
        <v>245</v>
      </c>
      <c r="P508" s="2" t="s">
        <v>238</v>
      </c>
      <c r="Q508" s="2" t="s">
        <v>239</v>
      </c>
      <c r="R508" s="2" t="s">
        <v>233</v>
      </c>
      <c r="S508" s="2" t="s">
        <v>233</v>
      </c>
      <c r="T508" s="2" t="s">
        <v>233</v>
      </c>
      <c r="U508" s="2" t="s">
        <v>233</v>
      </c>
      <c r="V508" s="2" t="s">
        <v>241</v>
      </c>
      <c r="W508" s="2" t="s">
        <v>275</v>
      </c>
      <c r="X508" s="2" t="s">
        <v>233</v>
      </c>
      <c r="Y508" s="2" t="s">
        <v>3032</v>
      </c>
      <c r="Z508" s="4">
        <v>486</v>
      </c>
      <c r="AA508" s="4">
        <f>=ROUNDDOWN(486,0)</f>
      </c>
      <c r="AB508" s="5">
        <v>1</v>
      </c>
      <c r="AC508" s="2" t="s">
        <v>233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233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744</v>
      </c>
      <c r="BM508" s="7"/>
      <c r="BN508" s="7"/>
      <c r="BO508" s="4"/>
      <c r="BP508" s="8"/>
      <c r="BQ508" s="4"/>
      <c r="BR508" s="8"/>
      <c r="BS508" s="7"/>
      <c r="BT508" s="7"/>
      <c r="BU508" s="2" t="s">
        <v>3033</v>
      </c>
      <c r="BV508" s="2" t="s">
        <v>233</v>
      </c>
      <c r="BW508" s="2" t="s">
        <v>233</v>
      </c>
      <c r="BX508" s="2" t="s">
        <v>243</v>
      </c>
      <c r="BY508" s="2" t="s">
        <v>280</v>
      </c>
      <c r="BZ508" s="2" t="s">
        <v>245</v>
      </c>
      <c r="CA508" s="2" t="s">
        <v>1025</v>
      </c>
      <c r="CB508" s="2" t="s">
        <v>3034</v>
      </c>
      <c r="CC508" s="2" t="s">
        <v>246</v>
      </c>
      <c r="CD508" s="2" t="s">
        <v>233</v>
      </c>
      <c r="CE508" s="4">
        <v>486</v>
      </c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</row>
    <row r="509">
      <c r="A509" s="2" t="s">
        <v>3035</v>
      </c>
      <c r="B509" s="2" t="s">
        <v>1242</v>
      </c>
      <c r="C509" s="2" t="s">
        <v>1607</v>
      </c>
      <c r="D509" s="2" t="s">
        <v>912</v>
      </c>
      <c r="E509" s="2" t="s">
        <v>913</v>
      </c>
      <c r="F509" s="2" t="s">
        <v>3036</v>
      </c>
      <c r="G509" s="2" t="s">
        <v>3036</v>
      </c>
      <c r="H509" s="2" t="s">
        <v>3036</v>
      </c>
      <c r="I509" s="2" t="s">
        <v>1609</v>
      </c>
      <c r="J509" s="2" t="s">
        <v>981</v>
      </c>
      <c r="K509" s="2" t="s">
        <v>271</v>
      </c>
      <c r="L509" s="3">
        <v>68.09</v>
      </c>
      <c r="M509" s="3">
        <v>71.49</v>
      </c>
      <c r="N509" s="3">
        <v>199.99</v>
      </c>
      <c r="O509" s="2" t="s">
        <v>245</v>
      </c>
      <c r="P509" s="2" t="s">
        <v>996</v>
      </c>
      <c r="Q509" s="2" t="s">
        <v>239</v>
      </c>
      <c r="R509" s="2" t="s">
        <v>233</v>
      </c>
      <c r="S509" s="2" t="s">
        <v>233</v>
      </c>
      <c r="T509" s="2" t="s">
        <v>341</v>
      </c>
      <c r="U509" s="2" t="s">
        <v>233</v>
      </c>
      <c r="V509" s="2" t="s">
        <v>359</v>
      </c>
      <c r="W509" s="2" t="s">
        <v>275</v>
      </c>
      <c r="X509" s="2" t="s">
        <v>233</v>
      </c>
      <c r="Y509" s="2" t="s">
        <v>3037</v>
      </c>
      <c r="Z509" s="4">
        <v>199</v>
      </c>
      <c r="AA509" s="4">
        <f>=ROUNDDOWN(49.75,0)</f>
      </c>
      <c r="AB509" s="5">
        <v>4</v>
      </c>
      <c r="AC509" s="2" t="s">
        <v>233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233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233</v>
      </c>
      <c r="AW509" s="8" t="s">
        <v>233</v>
      </c>
      <c r="AX509" s="4" t="s">
        <v>233</v>
      </c>
      <c r="AY509" s="8" t="s">
        <v>233</v>
      </c>
      <c r="AZ509" s="7" t="s">
        <v>233</v>
      </c>
      <c r="BA509" s="7" t="s">
        <v>233</v>
      </c>
      <c r="BB509" s="7"/>
      <c r="BC509" s="4" t="s">
        <v>233</v>
      </c>
      <c r="BD509" s="8" t="s">
        <v>233</v>
      </c>
      <c r="BE509" s="4" t="s">
        <v>233</v>
      </c>
      <c r="BF509" s="8" t="s">
        <v>233</v>
      </c>
      <c r="BG509" s="7" t="s">
        <v>233</v>
      </c>
      <c r="BH509" s="7" t="s">
        <v>233</v>
      </c>
      <c r="BI509" s="7"/>
      <c r="BJ509" s="4">
        <v>9</v>
      </c>
      <c r="BK509" s="8">
        <v>787.67</v>
      </c>
      <c r="BL509" s="2" t="s">
        <v>3038</v>
      </c>
      <c r="BM509" s="7"/>
      <c r="BN509" s="7"/>
      <c r="BO509" s="4"/>
      <c r="BP509" s="8"/>
      <c r="BQ509" s="4"/>
      <c r="BR509" s="8"/>
      <c r="BS509" s="7"/>
      <c r="BT509" s="7"/>
      <c r="BU509" s="2" t="s">
        <v>3039</v>
      </c>
      <c r="BV509" s="2" t="s">
        <v>233</v>
      </c>
      <c r="BW509" s="2" t="s">
        <v>233</v>
      </c>
      <c r="BX509" s="2" t="s">
        <v>233</v>
      </c>
      <c r="BY509" s="2" t="s">
        <v>280</v>
      </c>
      <c r="BZ509" s="2" t="s">
        <v>245</v>
      </c>
      <c r="CA509" s="2" t="s">
        <v>1613</v>
      </c>
      <c r="CB509" s="2" t="s">
        <v>2795</v>
      </c>
      <c r="CC509" s="2" t="s">
        <v>246</v>
      </c>
      <c r="CD509" s="2" t="s">
        <v>233</v>
      </c>
      <c r="CE509" s="4">
        <v>199</v>
      </c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</row>
    <row r="510">
      <c r="A510" s="2" t="s">
        <v>3040</v>
      </c>
      <c r="B510" s="2" t="s">
        <v>1242</v>
      </c>
      <c r="C510" s="2" t="s">
        <v>1607</v>
      </c>
      <c r="D510" s="2" t="s">
        <v>912</v>
      </c>
      <c r="E510" s="2" t="s">
        <v>913</v>
      </c>
      <c r="F510" s="2" t="s">
        <v>3036</v>
      </c>
      <c r="G510" s="2" t="s">
        <v>3036</v>
      </c>
      <c r="H510" s="2" t="s">
        <v>3036</v>
      </c>
      <c r="I510" s="2" t="s">
        <v>1609</v>
      </c>
      <c r="J510" s="2" t="s">
        <v>1142</v>
      </c>
      <c r="K510" s="2" t="s">
        <v>271</v>
      </c>
      <c r="L510" s="3">
        <v>85.12</v>
      </c>
      <c r="M510" s="3">
        <v>89.38</v>
      </c>
      <c r="N510" s="3">
        <v>249.99</v>
      </c>
      <c r="O510" s="2" t="s">
        <v>245</v>
      </c>
      <c r="P510" s="2" t="s">
        <v>996</v>
      </c>
      <c r="Q510" s="2" t="s">
        <v>239</v>
      </c>
      <c r="R510" s="2" t="s">
        <v>233</v>
      </c>
      <c r="S510" s="2" t="s">
        <v>233</v>
      </c>
      <c r="T510" s="2" t="s">
        <v>341</v>
      </c>
      <c r="U510" s="2" t="s">
        <v>233</v>
      </c>
      <c r="V510" s="2" t="s">
        <v>359</v>
      </c>
      <c r="W510" s="2" t="s">
        <v>275</v>
      </c>
      <c r="X510" s="2" t="s">
        <v>233</v>
      </c>
      <c r="Y510" s="2" t="s">
        <v>3037</v>
      </c>
      <c r="Z510" s="4">
        <v>144</v>
      </c>
      <c r="AA510" s="4">
        <f>=ROUNDDOWN(72,0)</f>
      </c>
      <c r="AB510" s="5">
        <v>2</v>
      </c>
      <c r="AC510" s="2" t="s">
        <v>233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233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233</v>
      </c>
      <c r="AW510" s="8" t="s">
        <v>233</v>
      </c>
      <c r="AX510" s="4" t="s">
        <v>233</v>
      </c>
      <c r="AY510" s="8" t="s">
        <v>233</v>
      </c>
      <c r="AZ510" s="7" t="s">
        <v>233</v>
      </c>
      <c r="BA510" s="7" t="s">
        <v>233</v>
      </c>
      <c r="BB510" s="7"/>
      <c r="BC510" s="4" t="s">
        <v>233</v>
      </c>
      <c r="BD510" s="8" t="s">
        <v>233</v>
      </c>
      <c r="BE510" s="4" t="s">
        <v>233</v>
      </c>
      <c r="BF510" s="8" t="s">
        <v>233</v>
      </c>
      <c r="BG510" s="7" t="s">
        <v>233</v>
      </c>
      <c r="BH510" s="7" t="s">
        <v>233</v>
      </c>
      <c r="BI510" s="7"/>
      <c r="BJ510" s="4">
        <v>2</v>
      </c>
      <c r="BK510" s="8">
        <v>187.68</v>
      </c>
      <c r="BL510" s="2" t="s">
        <v>935</v>
      </c>
      <c r="BM510" s="7"/>
      <c r="BN510" s="7"/>
      <c r="BO510" s="4"/>
      <c r="BP510" s="8"/>
      <c r="BQ510" s="4"/>
      <c r="BR510" s="8"/>
      <c r="BS510" s="7"/>
      <c r="BT510" s="7"/>
      <c r="BU510" s="2" t="s">
        <v>3041</v>
      </c>
      <c r="BV510" s="2" t="s">
        <v>233</v>
      </c>
      <c r="BW510" s="2" t="s">
        <v>233</v>
      </c>
      <c r="BX510" s="2" t="s">
        <v>233</v>
      </c>
      <c r="BY510" s="2" t="s">
        <v>280</v>
      </c>
      <c r="BZ510" s="2" t="s">
        <v>245</v>
      </c>
      <c r="CA510" s="2" t="s">
        <v>1613</v>
      </c>
      <c r="CB510" s="2" t="s">
        <v>3042</v>
      </c>
      <c r="CC510" s="2" t="s">
        <v>246</v>
      </c>
      <c r="CD510" s="2" t="s">
        <v>233</v>
      </c>
      <c r="CE510" s="4">
        <v>144</v>
      </c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</row>
    <row r="511">
      <c r="A511" s="2" t="s">
        <v>3043</v>
      </c>
      <c r="B511" s="2" t="s">
        <v>910</v>
      </c>
      <c r="C511" s="2" t="s">
        <v>1130</v>
      </c>
      <c r="D511" s="2" t="s">
        <v>969</v>
      </c>
      <c r="E511" s="2" t="s">
        <v>1078</v>
      </c>
      <c r="F511" s="2" t="s">
        <v>3044</v>
      </c>
      <c r="G511" s="2" t="s">
        <v>3045</v>
      </c>
      <c r="H511" s="2" t="s">
        <v>3046</v>
      </c>
      <c r="I511" s="2" t="s">
        <v>3047</v>
      </c>
      <c r="J511" s="2" t="s">
        <v>1142</v>
      </c>
      <c r="K511" s="2" t="s">
        <v>257</v>
      </c>
      <c r="L511" s="3">
        <v>77.18</v>
      </c>
      <c r="M511" s="3">
        <v>81.04</v>
      </c>
      <c r="N511" s="3">
        <v>149.99</v>
      </c>
      <c r="O511" s="2" t="s">
        <v>245</v>
      </c>
      <c r="P511" s="2" t="s">
        <v>272</v>
      </c>
      <c r="Q511" s="2" t="s">
        <v>239</v>
      </c>
      <c r="R511" s="2" t="s">
        <v>233</v>
      </c>
      <c r="S511" s="2" t="s">
        <v>3048</v>
      </c>
      <c r="T511" s="2" t="s">
        <v>341</v>
      </c>
      <c r="U511" s="2" t="s">
        <v>1482</v>
      </c>
      <c r="V511" s="2" t="s">
        <v>359</v>
      </c>
      <c r="W511" s="2" t="s">
        <v>397</v>
      </c>
      <c r="X511" s="2" t="s">
        <v>275</v>
      </c>
      <c r="Y511" s="2" t="s">
        <v>1060</v>
      </c>
      <c r="Z511" s="4">
        <v>160</v>
      </c>
      <c r="AA511" s="4">
        <f>=ROUNDDOWN(40,0)</f>
      </c>
      <c r="AB511" s="5">
        <v>4</v>
      </c>
      <c r="AC511" s="2" t="s">
        <v>233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233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>
        <v>22</v>
      </c>
      <c r="BK511" s="8">
        <v>1876.54</v>
      </c>
      <c r="BL511" s="2" t="s">
        <v>3049</v>
      </c>
      <c r="BM511" s="7"/>
      <c r="BN511" s="7"/>
      <c r="BO511" s="4"/>
      <c r="BP511" s="8"/>
      <c r="BQ511" s="4"/>
      <c r="BR511" s="8"/>
      <c r="BS511" s="7"/>
      <c r="BT511" s="7"/>
      <c r="BU511" s="2" t="s">
        <v>3050</v>
      </c>
      <c r="BV511" s="2" t="s">
        <v>233</v>
      </c>
      <c r="BW511" s="2" t="s">
        <v>233</v>
      </c>
      <c r="BX511" s="2" t="s">
        <v>233</v>
      </c>
      <c r="BY511" s="2" t="s">
        <v>280</v>
      </c>
      <c r="BZ511" s="2" t="s">
        <v>245</v>
      </c>
      <c r="CA511" s="2" t="s">
        <v>1060</v>
      </c>
      <c r="CB511" s="2" t="s">
        <v>3051</v>
      </c>
      <c r="CC511" s="2" t="s">
        <v>246</v>
      </c>
      <c r="CD511" s="2" t="s">
        <v>233</v>
      </c>
      <c r="CE511" s="4">
        <v>160</v>
      </c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</row>
    <row r="512">
      <c r="A512" s="2" t="s">
        <v>3052</v>
      </c>
      <c r="B512" s="2" t="s">
        <v>1066</v>
      </c>
      <c r="C512" s="2" t="s">
        <v>530</v>
      </c>
      <c r="D512" s="2" t="s">
        <v>1111</v>
      </c>
      <c r="E512" s="2" t="s">
        <v>1112</v>
      </c>
      <c r="F512" s="2" t="s">
        <v>2527</v>
      </c>
      <c r="G512" s="2" t="s">
        <v>3053</v>
      </c>
      <c r="H512" s="2" t="s">
        <v>3054</v>
      </c>
      <c r="I512" s="2" t="s">
        <v>1116</v>
      </c>
      <c r="J512" s="2" t="s">
        <v>892</v>
      </c>
      <c r="K512" s="2" t="s">
        <v>1938</v>
      </c>
      <c r="L512" s="3">
        <v>465.5</v>
      </c>
      <c r="M512" s="3">
        <v>488.78</v>
      </c>
      <c r="N512" s="3">
        <v>979</v>
      </c>
      <c r="O512" s="2" t="s">
        <v>245</v>
      </c>
      <c r="P512" s="2" t="s">
        <v>1118</v>
      </c>
      <c r="Q512" s="2" t="s">
        <v>239</v>
      </c>
      <c r="R512" s="2" t="s">
        <v>16</v>
      </c>
      <c r="S512" s="2" t="s">
        <v>3055</v>
      </c>
      <c r="T512" s="2" t="s">
        <v>233</v>
      </c>
      <c r="U512" s="2" t="s">
        <v>491</v>
      </c>
      <c r="V512" s="2" t="s">
        <v>241</v>
      </c>
      <c r="W512" s="2" t="s">
        <v>451</v>
      </c>
      <c r="X512" s="2" t="s">
        <v>233</v>
      </c>
      <c r="Y512" s="2" t="s">
        <v>3056</v>
      </c>
      <c r="Z512" s="4">
        <v>28</v>
      </c>
      <c r="AA512" s="4">
        <f>=ROUNDDOWN({0},0)</f>
      </c>
      <c r="AB512" s="5"/>
      <c r="AC512" s="2" t="s">
        <v>2183</v>
      </c>
      <c r="AD512" s="4">
        <v>60</v>
      </c>
      <c r="AE512" s="4">
        <v>60</v>
      </c>
      <c r="AF512" s="6"/>
      <c r="AG512" s="6"/>
      <c r="AH512" s="7">
        <v>1</v>
      </c>
      <c r="AI512" s="4"/>
      <c r="AJ512" s="4">
        <f>=ROUNDDOWN({0},0)</f>
      </c>
      <c r="AK512" s="5"/>
      <c r="AL512" s="2" t="s">
        <v>233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233</v>
      </c>
      <c r="BM512" s="7"/>
      <c r="BN512" s="7"/>
      <c r="BO512" s="4"/>
      <c r="BP512" s="8"/>
      <c r="BQ512" s="4"/>
      <c r="BR512" s="8"/>
      <c r="BS512" s="7"/>
      <c r="BT512" s="7"/>
      <c r="BU512" s="2" t="s">
        <v>243</v>
      </c>
      <c r="BV512" s="2" t="s">
        <v>233</v>
      </c>
      <c r="BW512" s="2" t="s">
        <v>233</v>
      </c>
      <c r="BX512" s="2" t="s">
        <v>243</v>
      </c>
      <c r="BY512" s="2" t="s">
        <v>346</v>
      </c>
      <c r="BZ512" s="2" t="s">
        <v>245</v>
      </c>
      <c r="CA512" s="2" t="s">
        <v>233</v>
      </c>
      <c r="CB512" s="2" t="s">
        <v>233</v>
      </c>
      <c r="CC512" s="2" t="s">
        <v>246</v>
      </c>
      <c r="CD512" s="2" t="s">
        <v>233</v>
      </c>
      <c r="CE512" s="4"/>
      <c r="CF512" s="4">
        <v>28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>
        <v>60</v>
      </c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</row>
    <row r="513">
      <c r="A513" s="2" t="s">
        <v>3057</v>
      </c>
      <c r="B513" s="2" t="s">
        <v>264</v>
      </c>
      <c r="C513" s="2" t="s">
        <v>530</v>
      </c>
      <c r="D513" s="2" t="s">
        <v>230</v>
      </c>
      <c r="E513" s="2" t="s">
        <v>3058</v>
      </c>
      <c r="F513" s="2" t="s">
        <v>3059</v>
      </c>
      <c r="G513" s="2" t="s">
        <v>3060</v>
      </c>
      <c r="H513" s="2" t="s">
        <v>3060</v>
      </c>
      <c r="I513" s="2" t="s">
        <v>3061</v>
      </c>
      <c r="J513" s="2" t="s">
        <v>270</v>
      </c>
      <c r="K513" s="2" t="s">
        <v>569</v>
      </c>
      <c r="L513" s="3">
        <v>21.16</v>
      </c>
      <c r="M513" s="3">
        <v>22.22</v>
      </c>
      <c r="N513" s="3">
        <v>44.99</v>
      </c>
      <c r="O513" s="2" t="s">
        <v>245</v>
      </c>
      <c r="P513" s="2" t="s">
        <v>311</v>
      </c>
      <c r="Q513" s="2" t="s">
        <v>239</v>
      </c>
      <c r="R513" s="2" t="s">
        <v>233</v>
      </c>
      <c r="S513" s="2" t="s">
        <v>3062</v>
      </c>
      <c r="T513" s="2" t="s">
        <v>395</v>
      </c>
      <c r="U513" s="2" t="s">
        <v>233</v>
      </c>
      <c r="V513" s="2" t="s">
        <v>241</v>
      </c>
      <c r="W513" s="2" t="s">
        <v>275</v>
      </c>
      <c r="X513" s="2" t="s">
        <v>233</v>
      </c>
      <c r="Y513" s="2" t="s">
        <v>276</v>
      </c>
      <c r="Z513" s="4">
        <v>179</v>
      </c>
      <c r="AA513" s="4">
        <f>=ROUNDDOWN(14.9166666666667,0)</f>
      </c>
      <c r="AB513" s="5">
        <v>12</v>
      </c>
      <c r="AC513" s="2" t="s">
        <v>319</v>
      </c>
      <c r="AD513" s="4">
        <v>120</v>
      </c>
      <c r="AE513" s="4">
        <v>250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233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>
        <v>23</v>
      </c>
      <c r="BK513" s="8">
        <v>514.42</v>
      </c>
      <c r="BL513" s="2" t="s">
        <v>3063</v>
      </c>
      <c r="BM513" s="7"/>
      <c r="BN513" s="7"/>
      <c r="BO513" s="4"/>
      <c r="BP513" s="8"/>
      <c r="BQ513" s="4"/>
      <c r="BR513" s="8"/>
      <c r="BS513" s="7"/>
      <c r="BT513" s="7"/>
      <c r="BU513" s="2" t="s">
        <v>3064</v>
      </c>
      <c r="BV513" s="2" t="s">
        <v>233</v>
      </c>
      <c r="BW513" s="2" t="s">
        <v>233</v>
      </c>
      <c r="BX513" s="2" t="s">
        <v>233</v>
      </c>
      <c r="BY513" s="2" t="s">
        <v>280</v>
      </c>
      <c r="BZ513" s="2" t="s">
        <v>245</v>
      </c>
      <c r="CA513" s="2" t="s">
        <v>281</v>
      </c>
      <c r="CB513" s="2" t="s">
        <v>3065</v>
      </c>
      <c r="CC513" s="2" t="s">
        <v>246</v>
      </c>
      <c r="CD513" s="2" t="s">
        <v>233</v>
      </c>
      <c r="CE513" s="4">
        <v>179</v>
      </c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>
        <v>120</v>
      </c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>
        <v>80</v>
      </c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>
        <v>50</v>
      </c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</row>
    <row r="514">
      <c r="A514" s="2" t="s">
        <v>3066</v>
      </c>
      <c r="B514" s="2" t="s">
        <v>886</v>
      </c>
      <c r="C514" s="2" t="s">
        <v>947</v>
      </c>
      <c r="D514" s="2" t="s">
        <v>888</v>
      </c>
      <c r="E514" s="2" t="s">
        <v>889</v>
      </c>
      <c r="F514" s="2" t="s">
        <v>3067</v>
      </c>
      <c r="G514" s="2" t="s">
        <v>3067</v>
      </c>
      <c r="H514" s="2" t="s">
        <v>3067</v>
      </c>
      <c r="I514" s="2" t="s">
        <v>3068</v>
      </c>
      <c r="J514" s="2" t="s">
        <v>892</v>
      </c>
      <c r="K514" s="2" t="s">
        <v>1171</v>
      </c>
      <c r="L514" s="3">
        <v>89.1</v>
      </c>
      <c r="M514" s="3">
        <v>93.56</v>
      </c>
      <c r="N514" s="3">
        <v>209</v>
      </c>
      <c r="O514" s="2" t="s">
        <v>245</v>
      </c>
      <c r="P514" s="2" t="s">
        <v>311</v>
      </c>
      <c r="Q514" s="2" t="s">
        <v>239</v>
      </c>
      <c r="R514" s="2" t="s">
        <v>233</v>
      </c>
      <c r="S514" s="2" t="s">
        <v>233</v>
      </c>
      <c r="T514" s="2" t="s">
        <v>233</v>
      </c>
      <c r="U514" s="2" t="s">
        <v>396</v>
      </c>
      <c r="V514" s="2" t="s">
        <v>893</v>
      </c>
      <c r="W514" s="2" t="s">
        <v>451</v>
      </c>
      <c r="X514" s="2" t="s">
        <v>953</v>
      </c>
      <c r="Y514" s="2" t="s">
        <v>2012</v>
      </c>
      <c r="Z514" s="4">
        <v>76</v>
      </c>
      <c r="AA514" s="4">
        <f>=ROUNDDOWN(38,0)</f>
      </c>
      <c r="AB514" s="5">
        <v>2</v>
      </c>
      <c r="AC514" s="2" t="s">
        <v>233</v>
      </c>
      <c r="AD514" s="4"/>
      <c r="AE514" s="4"/>
      <c r="AF514" s="6">
        <v>63</v>
      </c>
      <c r="AG514" s="6"/>
      <c r="AH514" s="7">
        <v>1</v>
      </c>
      <c r="AI514" s="4"/>
      <c r="AJ514" s="4">
        <f>=ROUNDDOWN({0},0)</f>
      </c>
      <c r="AK514" s="5"/>
      <c r="AL514" s="2" t="s">
        <v>233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>
        <v>2</v>
      </c>
      <c r="BK514" s="8">
        <v>187.1</v>
      </c>
      <c r="BL514" s="2" t="s">
        <v>744</v>
      </c>
      <c r="BM514" s="7"/>
      <c r="BN514" s="7"/>
      <c r="BO514" s="4"/>
      <c r="BP514" s="8"/>
      <c r="BQ514" s="4"/>
      <c r="BR514" s="8"/>
      <c r="BS514" s="7"/>
      <c r="BT514" s="7"/>
      <c r="BU514" s="2" t="s">
        <v>3069</v>
      </c>
      <c r="BV514" s="2" t="s">
        <v>233</v>
      </c>
      <c r="BW514" s="2" t="s">
        <v>233</v>
      </c>
      <c r="BX514" s="2" t="s">
        <v>233</v>
      </c>
      <c r="BY514" s="2" t="s">
        <v>280</v>
      </c>
      <c r="BZ514" s="2" t="s">
        <v>245</v>
      </c>
      <c r="CA514" s="2" t="s">
        <v>1358</v>
      </c>
      <c r="CB514" s="2" t="s">
        <v>485</v>
      </c>
      <c r="CC514" s="2" t="s">
        <v>246</v>
      </c>
      <c r="CD514" s="2" t="s">
        <v>233</v>
      </c>
      <c r="CE514" s="4"/>
      <c r="CF514" s="4">
        <v>76</v>
      </c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</row>
    <row r="515">
      <c r="A515" s="2" t="s">
        <v>3070</v>
      </c>
      <c r="B515" s="2" t="s">
        <v>1414</v>
      </c>
      <c r="C515" s="2" t="s">
        <v>530</v>
      </c>
      <c r="D515" s="2" t="s">
        <v>1414</v>
      </c>
      <c r="E515" s="2" t="s">
        <v>1414</v>
      </c>
      <c r="F515" s="2" t="s">
        <v>3071</v>
      </c>
      <c r="G515" s="2" t="s">
        <v>3072</v>
      </c>
      <c r="H515" s="2" t="s">
        <v>3073</v>
      </c>
      <c r="I515" s="2" t="s">
        <v>3074</v>
      </c>
      <c r="J515" s="2" t="s">
        <v>1418</v>
      </c>
      <c r="K515" s="2" t="s">
        <v>1191</v>
      </c>
      <c r="L515" s="3">
        <v>69.98</v>
      </c>
      <c r="M515" s="3">
        <v>73.48</v>
      </c>
      <c r="N515" s="3">
        <v>159.99</v>
      </c>
      <c r="O515" s="2" t="s">
        <v>245</v>
      </c>
      <c r="P515" s="2" t="s">
        <v>311</v>
      </c>
      <c r="Q515" s="2" t="s">
        <v>239</v>
      </c>
      <c r="R515" s="2" t="s">
        <v>233</v>
      </c>
      <c r="S515" s="2" t="s">
        <v>233</v>
      </c>
      <c r="T515" s="2" t="s">
        <v>233</v>
      </c>
      <c r="U515" s="2" t="s">
        <v>396</v>
      </c>
      <c r="V515" s="2" t="s">
        <v>241</v>
      </c>
      <c r="W515" s="2" t="s">
        <v>397</v>
      </c>
      <c r="X515" s="2" t="s">
        <v>233</v>
      </c>
      <c r="Y515" s="2" t="s">
        <v>3075</v>
      </c>
      <c r="Z515" s="4">
        <v>289</v>
      </c>
      <c r="AA515" s="4">
        <f>=ROUNDDOWN({0},0)</f>
      </c>
      <c r="AB515" s="5"/>
      <c r="AC515" s="2" t="s">
        <v>233</v>
      </c>
      <c r="AD515" s="4"/>
      <c r="AE515" s="4"/>
      <c r="AF515" s="6">
        <v>63</v>
      </c>
      <c r="AG515" s="6"/>
      <c r="AH515" s="7">
        <v>1</v>
      </c>
      <c r="AI515" s="4"/>
      <c r="AJ515" s="4">
        <f>=ROUNDDOWN({0},0)</f>
      </c>
      <c r="AK515" s="5"/>
      <c r="AL515" s="2" t="s">
        <v>233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233</v>
      </c>
      <c r="AW515" s="8" t="s">
        <v>233</v>
      </c>
      <c r="AX515" s="4" t="s">
        <v>233</v>
      </c>
      <c r="AY515" s="8" t="s">
        <v>233</v>
      </c>
      <c r="AZ515" s="7" t="s">
        <v>233</v>
      </c>
      <c r="BA515" s="7" t="s">
        <v>233</v>
      </c>
      <c r="BB515" s="7"/>
      <c r="BC515" s="4" t="s">
        <v>233</v>
      </c>
      <c r="BD515" s="8" t="s">
        <v>233</v>
      </c>
      <c r="BE515" s="4" t="s">
        <v>233</v>
      </c>
      <c r="BF515" s="8" t="s">
        <v>233</v>
      </c>
      <c r="BG515" s="7" t="s">
        <v>233</v>
      </c>
      <c r="BH515" s="7" t="s">
        <v>233</v>
      </c>
      <c r="BI515" s="7"/>
      <c r="BJ515" s="4"/>
      <c r="BK515" s="8"/>
      <c r="BL515" s="2" t="s">
        <v>3076</v>
      </c>
      <c r="BM515" s="7"/>
      <c r="BN515" s="7"/>
      <c r="BO515" s="4"/>
      <c r="BP515" s="8"/>
      <c r="BQ515" s="4"/>
      <c r="BR515" s="8"/>
      <c r="BS515" s="7"/>
      <c r="BT515" s="7"/>
      <c r="BU515" s="2" t="s">
        <v>3077</v>
      </c>
      <c r="BV515" s="2" t="s">
        <v>233</v>
      </c>
      <c r="BW515" s="2" t="s">
        <v>233</v>
      </c>
      <c r="BX515" s="2" t="s">
        <v>233</v>
      </c>
      <c r="BY515" s="2" t="s">
        <v>280</v>
      </c>
      <c r="BZ515" s="2" t="s">
        <v>245</v>
      </c>
      <c r="CA515" s="2" t="s">
        <v>3078</v>
      </c>
      <c r="CB515" s="2" t="s">
        <v>1882</v>
      </c>
      <c r="CC515" s="2" t="s">
        <v>246</v>
      </c>
      <c r="CD515" s="2" t="s">
        <v>233</v>
      </c>
      <c r="CE515" s="4"/>
      <c r="CF515" s="4">
        <v>289</v>
      </c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</row>
    <row r="516">
      <c r="A516" s="2" t="s">
        <v>3079</v>
      </c>
      <c r="B516" s="2" t="s">
        <v>1414</v>
      </c>
      <c r="C516" s="2" t="s">
        <v>530</v>
      </c>
      <c r="D516" s="2" t="s">
        <v>1414</v>
      </c>
      <c r="E516" s="2" t="s">
        <v>1414</v>
      </c>
      <c r="F516" s="2" t="s">
        <v>3071</v>
      </c>
      <c r="G516" s="2" t="s">
        <v>3072</v>
      </c>
      <c r="H516" s="2" t="s">
        <v>3073</v>
      </c>
      <c r="I516" s="2" t="s">
        <v>3074</v>
      </c>
      <c r="J516" s="2" t="s">
        <v>1426</v>
      </c>
      <c r="K516" s="2" t="s">
        <v>1191</v>
      </c>
      <c r="L516" s="3">
        <v>109.14</v>
      </c>
      <c r="M516" s="3">
        <v>114.6</v>
      </c>
      <c r="N516" s="3">
        <v>244.99</v>
      </c>
      <c r="O516" s="2" t="s">
        <v>245</v>
      </c>
      <c r="P516" s="2" t="s">
        <v>311</v>
      </c>
      <c r="Q516" s="2" t="s">
        <v>239</v>
      </c>
      <c r="R516" s="2" t="s">
        <v>233</v>
      </c>
      <c r="S516" s="2" t="s">
        <v>233</v>
      </c>
      <c r="T516" s="2" t="s">
        <v>233</v>
      </c>
      <c r="U516" s="2" t="s">
        <v>396</v>
      </c>
      <c r="V516" s="2" t="s">
        <v>241</v>
      </c>
      <c r="W516" s="2" t="s">
        <v>397</v>
      </c>
      <c r="X516" s="2" t="s">
        <v>233</v>
      </c>
      <c r="Y516" s="2" t="s">
        <v>3075</v>
      </c>
      <c r="Z516" s="4">
        <v>289</v>
      </c>
      <c r="AA516" s="4">
        <f>=ROUNDDOWN(240.833333333333,0)</f>
      </c>
      <c r="AB516" s="5">
        <v>1.2</v>
      </c>
      <c r="AC516" s="2" t="s">
        <v>233</v>
      </c>
      <c r="AD516" s="4"/>
      <c r="AE516" s="4"/>
      <c r="AF516" s="6">
        <v>63</v>
      </c>
      <c r="AG516" s="6"/>
      <c r="AH516" s="7">
        <v>1</v>
      </c>
      <c r="AI516" s="4"/>
      <c r="AJ516" s="4">
        <f>=ROUNDDOWN({0},0)</f>
      </c>
      <c r="AK516" s="5"/>
      <c r="AL516" s="2" t="s">
        <v>233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233</v>
      </c>
      <c r="AW516" s="8" t="s">
        <v>233</v>
      </c>
      <c r="AX516" s="4" t="s">
        <v>233</v>
      </c>
      <c r="AY516" s="8" t="s">
        <v>233</v>
      </c>
      <c r="AZ516" s="7" t="s">
        <v>233</v>
      </c>
      <c r="BA516" s="7" t="s">
        <v>233</v>
      </c>
      <c r="BB516" s="7"/>
      <c r="BC516" s="4" t="s">
        <v>233</v>
      </c>
      <c r="BD516" s="8" t="s">
        <v>233</v>
      </c>
      <c r="BE516" s="4" t="s">
        <v>233</v>
      </c>
      <c r="BF516" s="8" t="s">
        <v>233</v>
      </c>
      <c r="BG516" s="7" t="s">
        <v>233</v>
      </c>
      <c r="BH516" s="7" t="s">
        <v>233</v>
      </c>
      <c r="BI516" s="7"/>
      <c r="BJ516" s="4">
        <v>1</v>
      </c>
      <c r="BK516" s="8">
        <v>126.06</v>
      </c>
      <c r="BL516" s="2" t="s">
        <v>3080</v>
      </c>
      <c r="BM516" s="7"/>
      <c r="BN516" s="7"/>
      <c r="BO516" s="4"/>
      <c r="BP516" s="8"/>
      <c r="BQ516" s="4"/>
      <c r="BR516" s="8"/>
      <c r="BS516" s="7"/>
      <c r="BT516" s="7"/>
      <c r="BU516" s="2" t="s">
        <v>3081</v>
      </c>
      <c r="BV516" s="2" t="s">
        <v>233</v>
      </c>
      <c r="BW516" s="2" t="s">
        <v>233</v>
      </c>
      <c r="BX516" s="2" t="s">
        <v>233</v>
      </c>
      <c r="BY516" s="2" t="s">
        <v>280</v>
      </c>
      <c r="BZ516" s="2" t="s">
        <v>245</v>
      </c>
      <c r="CA516" s="2" t="s">
        <v>3078</v>
      </c>
      <c r="CB516" s="2" t="s">
        <v>350</v>
      </c>
      <c r="CC516" s="2" t="s">
        <v>246</v>
      </c>
      <c r="CD516" s="2" t="s">
        <v>233</v>
      </c>
      <c r="CE516" s="4"/>
      <c r="CF516" s="4">
        <v>289</v>
      </c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</row>
    <row r="517">
      <c r="A517" s="2" t="s">
        <v>3082</v>
      </c>
      <c r="B517" s="2" t="s">
        <v>1414</v>
      </c>
      <c r="C517" s="2" t="s">
        <v>530</v>
      </c>
      <c r="D517" s="2" t="s">
        <v>1414</v>
      </c>
      <c r="E517" s="2" t="s">
        <v>1414</v>
      </c>
      <c r="F517" s="2" t="s">
        <v>3071</v>
      </c>
      <c r="G517" s="2" t="s">
        <v>3072</v>
      </c>
      <c r="H517" s="2" t="s">
        <v>3073</v>
      </c>
      <c r="I517" s="2" t="s">
        <v>3074</v>
      </c>
      <c r="J517" s="2" t="s">
        <v>3083</v>
      </c>
      <c r="K517" s="2" t="s">
        <v>1191</v>
      </c>
      <c r="L517" s="3">
        <v>23.53</v>
      </c>
      <c r="M517" s="3">
        <v>24.71</v>
      </c>
      <c r="N517" s="3">
        <v>54.99</v>
      </c>
      <c r="O517" s="2" t="s">
        <v>245</v>
      </c>
      <c r="P517" s="2" t="s">
        <v>311</v>
      </c>
      <c r="Q517" s="2" t="s">
        <v>239</v>
      </c>
      <c r="R517" s="2" t="s">
        <v>233</v>
      </c>
      <c r="S517" s="2" t="s">
        <v>233</v>
      </c>
      <c r="T517" s="2" t="s">
        <v>233</v>
      </c>
      <c r="U517" s="2" t="s">
        <v>396</v>
      </c>
      <c r="V517" s="2" t="s">
        <v>241</v>
      </c>
      <c r="W517" s="2" t="s">
        <v>397</v>
      </c>
      <c r="X517" s="2" t="s">
        <v>233</v>
      </c>
      <c r="Y517" s="2" t="s">
        <v>3075</v>
      </c>
      <c r="Z517" s="4">
        <v>163</v>
      </c>
      <c r="AA517" s="4">
        <f>=ROUNDDOWN(163,0)</f>
      </c>
      <c r="AB517" s="5">
        <v>1</v>
      </c>
      <c r="AC517" s="2" t="s">
        <v>233</v>
      </c>
      <c r="AD517" s="4"/>
      <c r="AE517" s="4"/>
      <c r="AF517" s="6">
        <v>63</v>
      </c>
      <c r="AG517" s="6"/>
      <c r="AH517" s="7">
        <v>1</v>
      </c>
      <c r="AI517" s="4"/>
      <c r="AJ517" s="4">
        <f>=ROUNDDOWN({0},0)</f>
      </c>
      <c r="AK517" s="5"/>
      <c r="AL517" s="2" t="s">
        <v>233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233</v>
      </c>
      <c r="AW517" s="8" t="s">
        <v>233</v>
      </c>
      <c r="AX517" s="4" t="s">
        <v>233</v>
      </c>
      <c r="AY517" s="8" t="s">
        <v>233</v>
      </c>
      <c r="AZ517" s="7" t="s">
        <v>233</v>
      </c>
      <c r="BA517" s="7" t="s">
        <v>233</v>
      </c>
      <c r="BB517" s="7"/>
      <c r="BC517" s="4" t="s">
        <v>233</v>
      </c>
      <c r="BD517" s="8" t="s">
        <v>233</v>
      </c>
      <c r="BE517" s="4" t="s">
        <v>233</v>
      </c>
      <c r="BF517" s="8" t="s">
        <v>233</v>
      </c>
      <c r="BG517" s="7" t="s">
        <v>233</v>
      </c>
      <c r="BH517" s="7" t="s">
        <v>233</v>
      </c>
      <c r="BI517" s="7"/>
      <c r="BJ517" s="4">
        <v>3</v>
      </c>
      <c r="BK517" s="8">
        <v>81.51</v>
      </c>
      <c r="BL517" s="2" t="s">
        <v>935</v>
      </c>
      <c r="BM517" s="7"/>
      <c r="BN517" s="7"/>
      <c r="BO517" s="4"/>
      <c r="BP517" s="8"/>
      <c r="BQ517" s="4"/>
      <c r="BR517" s="8"/>
      <c r="BS517" s="7"/>
      <c r="BT517" s="7"/>
      <c r="BU517" s="2" t="s">
        <v>3084</v>
      </c>
      <c r="BV517" s="2" t="s">
        <v>233</v>
      </c>
      <c r="BW517" s="2" t="s">
        <v>233</v>
      </c>
      <c r="BX517" s="2" t="s">
        <v>233</v>
      </c>
      <c r="BY517" s="2" t="s">
        <v>280</v>
      </c>
      <c r="BZ517" s="2" t="s">
        <v>245</v>
      </c>
      <c r="CA517" s="2" t="s">
        <v>3078</v>
      </c>
      <c r="CB517" s="2" t="s">
        <v>233</v>
      </c>
      <c r="CC517" s="2" t="s">
        <v>246</v>
      </c>
      <c r="CD517" s="2" t="s">
        <v>233</v>
      </c>
      <c r="CE517" s="4"/>
      <c r="CF517" s="4">
        <v>163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</row>
    <row r="518">
      <c r="A518" s="2" t="s">
        <v>3085</v>
      </c>
      <c r="B518" s="2" t="s">
        <v>1414</v>
      </c>
      <c r="C518" s="2" t="s">
        <v>530</v>
      </c>
      <c r="D518" s="2" t="s">
        <v>1414</v>
      </c>
      <c r="E518" s="2" t="s">
        <v>1414</v>
      </c>
      <c r="F518" s="2" t="s">
        <v>3071</v>
      </c>
      <c r="G518" s="2" t="s">
        <v>3072</v>
      </c>
      <c r="H518" s="2" t="s">
        <v>3073</v>
      </c>
      <c r="I518" s="2" t="s">
        <v>3074</v>
      </c>
      <c r="J518" s="2" t="s">
        <v>3086</v>
      </c>
      <c r="K518" s="2" t="s">
        <v>255</v>
      </c>
      <c r="L518" s="3">
        <v>45.2</v>
      </c>
      <c r="M518" s="3">
        <v>47.46</v>
      </c>
      <c r="N518" s="3">
        <v>104.99</v>
      </c>
      <c r="O518" s="2" t="s">
        <v>245</v>
      </c>
      <c r="P518" s="2" t="s">
        <v>311</v>
      </c>
      <c r="Q518" s="2" t="s">
        <v>239</v>
      </c>
      <c r="R518" s="2" t="s">
        <v>233</v>
      </c>
      <c r="S518" s="2" t="s">
        <v>233</v>
      </c>
      <c r="T518" s="2" t="s">
        <v>233</v>
      </c>
      <c r="U518" s="2" t="s">
        <v>396</v>
      </c>
      <c r="V518" s="2" t="s">
        <v>241</v>
      </c>
      <c r="W518" s="2" t="s">
        <v>397</v>
      </c>
      <c r="X518" s="2" t="s">
        <v>233</v>
      </c>
      <c r="Y518" s="2" t="s">
        <v>3075</v>
      </c>
      <c r="Z518" s="4">
        <v>127</v>
      </c>
      <c r="AA518" s="4">
        <f>=ROUNDDOWN(181.428571428571,0)</f>
      </c>
      <c r="AB518" s="5">
        <v>0.7</v>
      </c>
      <c r="AC518" s="2" t="s">
        <v>233</v>
      </c>
      <c r="AD518" s="4"/>
      <c r="AE518" s="4"/>
      <c r="AF518" s="6">
        <v>63</v>
      </c>
      <c r="AG518" s="6"/>
      <c r="AH518" s="7">
        <v>1</v>
      </c>
      <c r="AI518" s="4"/>
      <c r="AJ518" s="4">
        <f>=ROUNDDOWN({0},0)</f>
      </c>
      <c r="AK518" s="5"/>
      <c r="AL518" s="2" t="s">
        <v>233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233</v>
      </c>
      <c r="AW518" s="8" t="s">
        <v>233</v>
      </c>
      <c r="AX518" s="4" t="s">
        <v>233</v>
      </c>
      <c r="AY518" s="8" t="s">
        <v>233</v>
      </c>
      <c r="AZ518" s="7" t="s">
        <v>233</v>
      </c>
      <c r="BA518" s="7" t="s">
        <v>233</v>
      </c>
      <c r="BB518" s="7"/>
      <c r="BC518" s="4" t="s">
        <v>233</v>
      </c>
      <c r="BD518" s="8" t="s">
        <v>233</v>
      </c>
      <c r="BE518" s="4" t="s">
        <v>233</v>
      </c>
      <c r="BF518" s="8" t="s">
        <v>233</v>
      </c>
      <c r="BG518" s="7" t="s">
        <v>233</v>
      </c>
      <c r="BH518" s="7" t="s">
        <v>233</v>
      </c>
      <c r="BI518" s="7"/>
      <c r="BJ518" s="4">
        <v>2</v>
      </c>
      <c r="BK518" s="8">
        <v>49.84</v>
      </c>
      <c r="BL518" s="2" t="s">
        <v>3076</v>
      </c>
      <c r="BM518" s="7"/>
      <c r="BN518" s="7"/>
      <c r="BO518" s="4"/>
      <c r="BP518" s="8"/>
      <c r="BQ518" s="4"/>
      <c r="BR518" s="8"/>
      <c r="BS518" s="7"/>
      <c r="BT518" s="7"/>
      <c r="BU518" s="2" t="s">
        <v>3087</v>
      </c>
      <c r="BV518" s="2" t="s">
        <v>233</v>
      </c>
      <c r="BW518" s="2" t="s">
        <v>233</v>
      </c>
      <c r="BX518" s="2" t="s">
        <v>233</v>
      </c>
      <c r="BY518" s="2" t="s">
        <v>280</v>
      </c>
      <c r="BZ518" s="2" t="s">
        <v>245</v>
      </c>
      <c r="CA518" s="2" t="s">
        <v>3078</v>
      </c>
      <c r="CB518" s="2" t="s">
        <v>233</v>
      </c>
      <c r="CC518" s="2" t="s">
        <v>246</v>
      </c>
      <c r="CD518" s="2" t="s">
        <v>233</v>
      </c>
      <c r="CE518" s="4"/>
      <c r="CF518" s="4">
        <v>127</v>
      </c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</row>
    <row r="519">
      <c r="A519" s="2" t="s">
        <v>3088</v>
      </c>
      <c r="B519" s="2" t="s">
        <v>1414</v>
      </c>
      <c r="C519" s="2" t="s">
        <v>530</v>
      </c>
      <c r="D519" s="2" t="s">
        <v>1414</v>
      </c>
      <c r="E519" s="2" t="s">
        <v>1414</v>
      </c>
      <c r="F519" s="2" t="s">
        <v>3071</v>
      </c>
      <c r="G519" s="2" t="s">
        <v>3072</v>
      </c>
      <c r="H519" s="2" t="s">
        <v>3073</v>
      </c>
      <c r="I519" s="2" t="s">
        <v>3074</v>
      </c>
      <c r="J519" s="2" t="s">
        <v>1418</v>
      </c>
      <c r="K519" s="2" t="s">
        <v>255</v>
      </c>
      <c r="L519" s="3">
        <v>69.98</v>
      </c>
      <c r="M519" s="3">
        <v>73.48</v>
      </c>
      <c r="N519" s="3">
        <v>159.99</v>
      </c>
      <c r="O519" s="2" t="s">
        <v>245</v>
      </c>
      <c r="P519" s="2" t="s">
        <v>311</v>
      </c>
      <c r="Q519" s="2" t="s">
        <v>239</v>
      </c>
      <c r="R519" s="2" t="s">
        <v>233</v>
      </c>
      <c r="S519" s="2" t="s">
        <v>233</v>
      </c>
      <c r="T519" s="2" t="s">
        <v>233</v>
      </c>
      <c r="U519" s="2" t="s">
        <v>396</v>
      </c>
      <c r="V519" s="2" t="s">
        <v>241</v>
      </c>
      <c r="W519" s="2" t="s">
        <v>397</v>
      </c>
      <c r="X519" s="2" t="s">
        <v>233</v>
      </c>
      <c r="Y519" s="2" t="s">
        <v>3075</v>
      </c>
      <c r="Z519" s="4">
        <v>274</v>
      </c>
      <c r="AA519" s="4">
        <f>=ROUNDDOWN(548,0)</f>
      </c>
      <c r="AB519" s="5">
        <v>0.5</v>
      </c>
      <c r="AC519" s="2" t="s">
        <v>233</v>
      </c>
      <c r="AD519" s="4"/>
      <c r="AE519" s="4"/>
      <c r="AF519" s="6">
        <v>63</v>
      </c>
      <c r="AG519" s="6"/>
      <c r="AH519" s="7">
        <v>1</v>
      </c>
      <c r="AI519" s="4"/>
      <c r="AJ519" s="4">
        <f>=ROUNDDOWN({0},0)</f>
      </c>
      <c r="AK519" s="5"/>
      <c r="AL519" s="2" t="s">
        <v>233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233</v>
      </c>
      <c r="AW519" s="8" t="s">
        <v>233</v>
      </c>
      <c r="AX519" s="4" t="s">
        <v>233</v>
      </c>
      <c r="AY519" s="8" t="s">
        <v>233</v>
      </c>
      <c r="AZ519" s="7" t="s">
        <v>233</v>
      </c>
      <c r="BA519" s="7" t="s">
        <v>233</v>
      </c>
      <c r="BB519" s="7"/>
      <c r="BC519" s="4" t="s">
        <v>233</v>
      </c>
      <c r="BD519" s="8" t="s">
        <v>233</v>
      </c>
      <c r="BE519" s="4" t="s">
        <v>233</v>
      </c>
      <c r="BF519" s="8" t="s">
        <v>233</v>
      </c>
      <c r="BG519" s="7" t="s">
        <v>233</v>
      </c>
      <c r="BH519" s="7" t="s">
        <v>233</v>
      </c>
      <c r="BI519" s="7"/>
      <c r="BJ519" s="4">
        <v>2</v>
      </c>
      <c r="BK519" s="8">
        <v>77.16</v>
      </c>
      <c r="BL519" s="2" t="s">
        <v>3076</v>
      </c>
      <c r="BM519" s="7"/>
      <c r="BN519" s="7"/>
      <c r="BO519" s="4"/>
      <c r="BP519" s="8"/>
      <c r="BQ519" s="4"/>
      <c r="BR519" s="8"/>
      <c r="BS519" s="7"/>
      <c r="BT519" s="7"/>
      <c r="BU519" s="2" t="s">
        <v>3089</v>
      </c>
      <c r="BV519" s="2" t="s">
        <v>233</v>
      </c>
      <c r="BW519" s="2" t="s">
        <v>233</v>
      </c>
      <c r="BX519" s="2" t="s">
        <v>233</v>
      </c>
      <c r="BY519" s="2" t="s">
        <v>280</v>
      </c>
      <c r="BZ519" s="2" t="s">
        <v>245</v>
      </c>
      <c r="CA519" s="2" t="s">
        <v>3078</v>
      </c>
      <c r="CB519" s="2" t="s">
        <v>2955</v>
      </c>
      <c r="CC519" s="2" t="s">
        <v>246</v>
      </c>
      <c r="CD519" s="2" t="s">
        <v>233</v>
      </c>
      <c r="CE519" s="4"/>
      <c r="CF519" s="4">
        <v>274</v>
      </c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</row>
    <row r="520">
      <c r="A520" s="2" t="s">
        <v>3090</v>
      </c>
      <c r="B520" s="2" t="s">
        <v>1414</v>
      </c>
      <c r="C520" s="2" t="s">
        <v>530</v>
      </c>
      <c r="D520" s="2" t="s">
        <v>1414</v>
      </c>
      <c r="E520" s="2" t="s">
        <v>1414</v>
      </c>
      <c r="F520" s="2" t="s">
        <v>3071</v>
      </c>
      <c r="G520" s="2" t="s">
        <v>3072</v>
      </c>
      <c r="H520" s="2" t="s">
        <v>3073</v>
      </c>
      <c r="I520" s="2" t="s">
        <v>3074</v>
      </c>
      <c r="J520" s="2" t="s">
        <v>1426</v>
      </c>
      <c r="K520" s="2" t="s">
        <v>255</v>
      </c>
      <c r="L520" s="3">
        <v>109.14</v>
      </c>
      <c r="M520" s="3">
        <v>114.6</v>
      </c>
      <c r="N520" s="3">
        <v>244.99</v>
      </c>
      <c r="O520" s="2" t="s">
        <v>245</v>
      </c>
      <c r="P520" s="2" t="s">
        <v>311</v>
      </c>
      <c r="Q520" s="2" t="s">
        <v>239</v>
      </c>
      <c r="R520" s="2" t="s">
        <v>233</v>
      </c>
      <c r="S520" s="2" t="s">
        <v>233</v>
      </c>
      <c r="T520" s="2" t="s">
        <v>233</v>
      </c>
      <c r="U520" s="2" t="s">
        <v>396</v>
      </c>
      <c r="V520" s="2" t="s">
        <v>241</v>
      </c>
      <c r="W520" s="2" t="s">
        <v>397</v>
      </c>
      <c r="X520" s="2" t="s">
        <v>233</v>
      </c>
      <c r="Y520" s="2" t="s">
        <v>3075</v>
      </c>
      <c r="Z520" s="4">
        <v>278</v>
      </c>
      <c r="AA520" s="4">
        <f>=ROUNDDOWN(278,0)</f>
      </c>
      <c r="AB520" s="5">
        <v>1</v>
      </c>
      <c r="AC520" s="2" t="s">
        <v>233</v>
      </c>
      <c r="AD520" s="4"/>
      <c r="AE520" s="4"/>
      <c r="AF520" s="6">
        <v>63</v>
      </c>
      <c r="AG520" s="6"/>
      <c r="AH520" s="7">
        <v>1</v>
      </c>
      <c r="AI520" s="4"/>
      <c r="AJ520" s="4">
        <f>=ROUNDDOWN({0},0)</f>
      </c>
      <c r="AK520" s="5"/>
      <c r="AL520" s="2" t="s">
        <v>233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233</v>
      </c>
      <c r="AW520" s="8" t="s">
        <v>233</v>
      </c>
      <c r="AX520" s="4" t="s">
        <v>233</v>
      </c>
      <c r="AY520" s="8" t="s">
        <v>233</v>
      </c>
      <c r="AZ520" s="7" t="s">
        <v>233</v>
      </c>
      <c r="BA520" s="7" t="s">
        <v>233</v>
      </c>
      <c r="BB520" s="7"/>
      <c r="BC520" s="4" t="s">
        <v>233</v>
      </c>
      <c r="BD520" s="8" t="s">
        <v>233</v>
      </c>
      <c r="BE520" s="4" t="s">
        <v>233</v>
      </c>
      <c r="BF520" s="8" t="s">
        <v>233</v>
      </c>
      <c r="BG520" s="7" t="s">
        <v>233</v>
      </c>
      <c r="BH520" s="7" t="s">
        <v>233</v>
      </c>
      <c r="BI520" s="7"/>
      <c r="BJ520" s="4">
        <v>2</v>
      </c>
      <c r="BK520" s="8">
        <v>120.34</v>
      </c>
      <c r="BL520" s="2" t="s">
        <v>3091</v>
      </c>
      <c r="BM520" s="7"/>
      <c r="BN520" s="7"/>
      <c r="BO520" s="4"/>
      <c r="BP520" s="8"/>
      <c r="BQ520" s="4"/>
      <c r="BR520" s="8"/>
      <c r="BS520" s="7"/>
      <c r="BT520" s="7"/>
      <c r="BU520" s="2" t="s">
        <v>3092</v>
      </c>
      <c r="BV520" s="2" t="s">
        <v>233</v>
      </c>
      <c r="BW520" s="2" t="s">
        <v>233</v>
      </c>
      <c r="BX520" s="2" t="s">
        <v>233</v>
      </c>
      <c r="BY520" s="2" t="s">
        <v>280</v>
      </c>
      <c r="BZ520" s="2" t="s">
        <v>245</v>
      </c>
      <c r="CA520" s="2" t="s">
        <v>3078</v>
      </c>
      <c r="CB520" s="2" t="s">
        <v>2872</v>
      </c>
      <c r="CC520" s="2" t="s">
        <v>246</v>
      </c>
      <c r="CD520" s="2" t="s">
        <v>233</v>
      </c>
      <c r="CE520" s="4"/>
      <c r="CF520" s="4">
        <v>278</v>
      </c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</row>
    <row r="521">
      <c r="A521" s="2" t="s">
        <v>3093</v>
      </c>
      <c r="B521" s="2" t="s">
        <v>1414</v>
      </c>
      <c r="C521" s="2" t="s">
        <v>530</v>
      </c>
      <c r="D521" s="2" t="s">
        <v>1414</v>
      </c>
      <c r="E521" s="2" t="s">
        <v>1414</v>
      </c>
      <c r="F521" s="2" t="s">
        <v>3071</v>
      </c>
      <c r="G521" s="2" t="s">
        <v>3072</v>
      </c>
      <c r="H521" s="2" t="s">
        <v>3073</v>
      </c>
      <c r="I521" s="2" t="s">
        <v>3074</v>
      </c>
      <c r="J521" s="2" t="s">
        <v>3083</v>
      </c>
      <c r="K521" s="2" t="s">
        <v>255</v>
      </c>
      <c r="L521" s="3">
        <v>23.53</v>
      </c>
      <c r="M521" s="3">
        <v>24.71</v>
      </c>
      <c r="N521" s="3">
        <v>54.99</v>
      </c>
      <c r="O521" s="2" t="s">
        <v>245</v>
      </c>
      <c r="P521" s="2" t="s">
        <v>311</v>
      </c>
      <c r="Q521" s="2" t="s">
        <v>239</v>
      </c>
      <c r="R521" s="2" t="s">
        <v>233</v>
      </c>
      <c r="S521" s="2" t="s">
        <v>233</v>
      </c>
      <c r="T521" s="2" t="s">
        <v>233</v>
      </c>
      <c r="U521" s="2" t="s">
        <v>396</v>
      </c>
      <c r="V521" s="2" t="s">
        <v>241</v>
      </c>
      <c r="W521" s="2" t="s">
        <v>397</v>
      </c>
      <c r="X521" s="2" t="s">
        <v>233</v>
      </c>
      <c r="Y521" s="2" t="s">
        <v>3075</v>
      </c>
      <c r="Z521" s="4">
        <v>161</v>
      </c>
      <c r="AA521" s="4">
        <f>=ROUNDDOWN({0},0)</f>
      </c>
      <c r="AB521" s="5"/>
      <c r="AC521" s="2" t="s">
        <v>233</v>
      </c>
      <c r="AD521" s="4"/>
      <c r="AE521" s="4"/>
      <c r="AF521" s="6">
        <v>63</v>
      </c>
      <c r="AG521" s="6"/>
      <c r="AH521" s="7">
        <v>1</v>
      </c>
      <c r="AI521" s="4"/>
      <c r="AJ521" s="4">
        <f>=ROUNDDOWN({0},0)</f>
      </c>
      <c r="AK521" s="5"/>
      <c r="AL521" s="2" t="s">
        <v>233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233</v>
      </c>
      <c r="AW521" s="8" t="s">
        <v>233</v>
      </c>
      <c r="AX521" s="4" t="s">
        <v>233</v>
      </c>
      <c r="AY521" s="8" t="s">
        <v>233</v>
      </c>
      <c r="AZ521" s="7" t="s">
        <v>233</v>
      </c>
      <c r="BA521" s="7" t="s">
        <v>233</v>
      </c>
      <c r="BB521" s="7"/>
      <c r="BC521" s="4" t="s">
        <v>233</v>
      </c>
      <c r="BD521" s="8" t="s">
        <v>233</v>
      </c>
      <c r="BE521" s="4" t="s">
        <v>233</v>
      </c>
      <c r="BF521" s="8" t="s">
        <v>233</v>
      </c>
      <c r="BG521" s="7" t="s">
        <v>233</v>
      </c>
      <c r="BH521" s="7" t="s">
        <v>233</v>
      </c>
      <c r="BI521" s="7"/>
      <c r="BJ521" s="4"/>
      <c r="BK521" s="8"/>
      <c r="BL521" s="2" t="s">
        <v>3094</v>
      </c>
      <c r="BM521" s="7"/>
      <c r="BN521" s="7"/>
      <c r="BO521" s="4"/>
      <c r="BP521" s="8"/>
      <c r="BQ521" s="4"/>
      <c r="BR521" s="8"/>
      <c r="BS521" s="7"/>
      <c r="BT521" s="7"/>
      <c r="BU521" s="2" t="s">
        <v>3095</v>
      </c>
      <c r="BV521" s="2" t="s">
        <v>233</v>
      </c>
      <c r="BW521" s="2" t="s">
        <v>233</v>
      </c>
      <c r="BX521" s="2" t="s">
        <v>233</v>
      </c>
      <c r="BY521" s="2" t="s">
        <v>280</v>
      </c>
      <c r="BZ521" s="2" t="s">
        <v>245</v>
      </c>
      <c r="CA521" s="2" t="s">
        <v>3078</v>
      </c>
      <c r="CB521" s="2" t="s">
        <v>233</v>
      </c>
      <c r="CC521" s="2" t="s">
        <v>246</v>
      </c>
      <c r="CD521" s="2" t="s">
        <v>233</v>
      </c>
      <c r="CE521" s="4"/>
      <c r="CF521" s="4">
        <v>161</v>
      </c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</row>
    <row r="522">
      <c r="A522" s="2" t="s">
        <v>3096</v>
      </c>
      <c r="B522" s="2" t="s">
        <v>910</v>
      </c>
      <c r="C522" s="2" t="s">
        <v>911</v>
      </c>
      <c r="D522" s="2" t="s">
        <v>969</v>
      </c>
      <c r="E522" s="2" t="s">
        <v>970</v>
      </c>
      <c r="F522" s="2" t="s">
        <v>3097</v>
      </c>
      <c r="G522" s="2" t="s">
        <v>3098</v>
      </c>
      <c r="H522" s="2" t="s">
        <v>3099</v>
      </c>
      <c r="I522" s="2" t="s">
        <v>3100</v>
      </c>
      <c r="J522" s="2" t="s">
        <v>918</v>
      </c>
      <c r="K522" s="2" t="s">
        <v>3101</v>
      </c>
      <c r="L522" s="3">
        <v>28.57</v>
      </c>
      <c r="M522" s="3">
        <v>30</v>
      </c>
      <c r="N522" s="3">
        <v>59.99</v>
      </c>
      <c r="O522" s="2" t="s">
        <v>237</v>
      </c>
      <c r="P522" s="2" t="s">
        <v>311</v>
      </c>
      <c r="Q522" s="2" t="s">
        <v>239</v>
      </c>
      <c r="R522" s="2" t="s">
        <v>233</v>
      </c>
      <c r="S522" s="2" t="s">
        <v>3102</v>
      </c>
      <c r="T522" s="2" t="s">
        <v>395</v>
      </c>
      <c r="U522" s="2" t="s">
        <v>491</v>
      </c>
      <c r="V522" s="2" t="s">
        <v>3103</v>
      </c>
      <c r="W522" s="2" t="s">
        <v>397</v>
      </c>
      <c r="X522" s="2" t="s">
        <v>3104</v>
      </c>
      <c r="Y522" s="2" t="s">
        <v>3105</v>
      </c>
      <c r="Z522" s="4">
        <v>97</v>
      </c>
      <c r="AA522" s="4">
        <f>=ROUNDDOWN(97,0)</f>
      </c>
      <c r="AB522" s="5">
        <v>1</v>
      </c>
      <c r="AC522" s="2" t="s">
        <v>233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233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233</v>
      </c>
      <c r="AW522" s="8" t="s">
        <v>233</v>
      </c>
      <c r="AX522" s="4" t="s">
        <v>233</v>
      </c>
      <c r="AY522" s="8" t="s">
        <v>233</v>
      </c>
      <c r="AZ522" s="7" t="s">
        <v>233</v>
      </c>
      <c r="BA522" s="7" t="s">
        <v>233</v>
      </c>
      <c r="BB522" s="7" t="s">
        <v>233</v>
      </c>
      <c r="BC522" s="4" t="s">
        <v>233</v>
      </c>
      <c r="BD522" s="8" t="s">
        <v>233</v>
      </c>
      <c r="BE522" s="4" t="s">
        <v>233</v>
      </c>
      <c r="BF522" s="8" t="s">
        <v>233</v>
      </c>
      <c r="BG522" s="7" t="s">
        <v>233</v>
      </c>
      <c r="BH522" s="7" t="s">
        <v>233</v>
      </c>
      <c r="BI522" s="7"/>
      <c r="BJ522" s="4">
        <v>3</v>
      </c>
      <c r="BK522" s="8">
        <v>58.32</v>
      </c>
      <c r="BL522" s="2" t="s">
        <v>3106</v>
      </c>
      <c r="BM522" s="7"/>
      <c r="BN522" s="7"/>
      <c r="BO522" s="4"/>
      <c r="BP522" s="8"/>
      <c r="BQ522" s="4"/>
      <c r="BR522" s="8"/>
      <c r="BS522" s="7"/>
      <c r="BT522" s="7"/>
      <c r="BU522" s="2" t="s">
        <v>3107</v>
      </c>
      <c r="BV522" s="2" t="s">
        <v>233</v>
      </c>
      <c r="BW522" s="2" t="s">
        <v>233</v>
      </c>
      <c r="BX522" s="2" t="s">
        <v>233</v>
      </c>
      <c r="BY522" s="2" t="s">
        <v>280</v>
      </c>
      <c r="BZ522" s="2" t="s">
        <v>245</v>
      </c>
      <c r="CA522" s="2" t="s">
        <v>3037</v>
      </c>
      <c r="CB522" s="2" t="s">
        <v>2014</v>
      </c>
      <c r="CC522" s="2" t="s">
        <v>246</v>
      </c>
      <c r="CD522" s="2" t="s">
        <v>233</v>
      </c>
      <c r="CE522" s="4">
        <v>97</v>
      </c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</row>
    <row r="523">
      <c r="A523" s="2" t="s">
        <v>3108</v>
      </c>
      <c r="B523" s="2" t="s">
        <v>910</v>
      </c>
      <c r="C523" s="2" t="s">
        <v>911</v>
      </c>
      <c r="D523" s="2" t="s">
        <v>1862</v>
      </c>
      <c r="E523" s="2" t="s">
        <v>1863</v>
      </c>
      <c r="F523" s="2" t="s">
        <v>3097</v>
      </c>
      <c r="G523" s="2" t="s">
        <v>3098</v>
      </c>
      <c r="H523" s="2" t="s">
        <v>3099</v>
      </c>
      <c r="I523" s="2" t="s">
        <v>3109</v>
      </c>
      <c r="J523" s="2" t="s">
        <v>918</v>
      </c>
      <c r="K523" s="2" t="s">
        <v>3101</v>
      </c>
      <c r="L523" s="3">
        <v>26.19</v>
      </c>
      <c r="M523" s="3">
        <v>27.5</v>
      </c>
      <c r="N523" s="3">
        <v>54.99</v>
      </c>
      <c r="O523" s="2" t="s">
        <v>245</v>
      </c>
      <c r="P523" s="2" t="s">
        <v>311</v>
      </c>
      <c r="Q523" s="2" t="s">
        <v>239</v>
      </c>
      <c r="R523" s="2" t="s">
        <v>233</v>
      </c>
      <c r="S523" s="2" t="s">
        <v>3102</v>
      </c>
      <c r="T523" s="2" t="s">
        <v>395</v>
      </c>
      <c r="U523" s="2" t="s">
        <v>491</v>
      </c>
      <c r="V523" s="2" t="s">
        <v>3103</v>
      </c>
      <c r="W523" s="2" t="s">
        <v>397</v>
      </c>
      <c r="X523" s="2" t="s">
        <v>3104</v>
      </c>
      <c r="Y523" s="2" t="s">
        <v>3105</v>
      </c>
      <c r="Z523" s="4">
        <v>21</v>
      </c>
      <c r="AA523" s="4">
        <f>=ROUNDDOWN(11.6666666666667,0)</f>
      </c>
      <c r="AB523" s="5">
        <v>1.8</v>
      </c>
      <c r="AC523" s="2" t="s">
        <v>233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233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233</v>
      </c>
      <c r="AW523" s="8" t="s">
        <v>233</v>
      </c>
      <c r="AX523" s="4" t="s">
        <v>233</v>
      </c>
      <c r="AY523" s="8" t="s">
        <v>233</v>
      </c>
      <c r="AZ523" s="7" t="s">
        <v>233</v>
      </c>
      <c r="BA523" s="7" t="s">
        <v>233</v>
      </c>
      <c r="BB523" s="7" t="s">
        <v>233</v>
      </c>
      <c r="BC523" s="4" t="s">
        <v>233</v>
      </c>
      <c r="BD523" s="8" t="s">
        <v>233</v>
      </c>
      <c r="BE523" s="4" t="s">
        <v>233</v>
      </c>
      <c r="BF523" s="8" t="s">
        <v>233</v>
      </c>
      <c r="BG523" s="7" t="s">
        <v>233</v>
      </c>
      <c r="BH523" s="7" t="s">
        <v>233</v>
      </c>
      <c r="BI523" s="7"/>
      <c r="BJ523" s="4">
        <v>3</v>
      </c>
      <c r="BK523" s="8">
        <v>76.99</v>
      </c>
      <c r="BL523" s="2" t="s">
        <v>1588</v>
      </c>
      <c r="BM523" s="7"/>
      <c r="BN523" s="7"/>
      <c r="BO523" s="4"/>
      <c r="BP523" s="8"/>
      <c r="BQ523" s="4"/>
      <c r="BR523" s="8"/>
      <c r="BS523" s="7"/>
      <c r="BT523" s="7"/>
      <c r="BU523" s="2" t="s">
        <v>3110</v>
      </c>
      <c r="BV523" s="2" t="s">
        <v>233</v>
      </c>
      <c r="BW523" s="2" t="s">
        <v>233</v>
      </c>
      <c r="BX523" s="2" t="s">
        <v>233</v>
      </c>
      <c r="BY523" s="2" t="s">
        <v>280</v>
      </c>
      <c r="BZ523" s="2" t="s">
        <v>245</v>
      </c>
      <c r="CA523" s="2" t="s">
        <v>3037</v>
      </c>
      <c r="CB523" s="2" t="s">
        <v>3111</v>
      </c>
      <c r="CC523" s="2" t="s">
        <v>246</v>
      </c>
      <c r="CD523" s="2" t="s">
        <v>233</v>
      </c>
      <c r="CE523" s="4">
        <v>21</v>
      </c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</row>
    <row r="524">
      <c r="A524" s="2" t="s">
        <v>3112</v>
      </c>
      <c r="B524" s="2" t="s">
        <v>910</v>
      </c>
      <c r="C524" s="2" t="s">
        <v>911</v>
      </c>
      <c r="D524" s="2" t="s">
        <v>912</v>
      </c>
      <c r="E524" s="2" t="s">
        <v>1139</v>
      </c>
      <c r="F524" s="2" t="s">
        <v>3097</v>
      </c>
      <c r="G524" s="2" t="s">
        <v>3098</v>
      </c>
      <c r="H524" s="2" t="s">
        <v>3099</v>
      </c>
      <c r="I524" s="2" t="s">
        <v>3113</v>
      </c>
      <c r="J524" s="2" t="s">
        <v>918</v>
      </c>
      <c r="K524" s="2" t="s">
        <v>3101</v>
      </c>
      <c r="L524" s="3">
        <v>23.8</v>
      </c>
      <c r="M524" s="3">
        <v>24.99</v>
      </c>
      <c r="N524" s="3">
        <v>49.99</v>
      </c>
      <c r="O524" s="2" t="s">
        <v>245</v>
      </c>
      <c r="P524" s="2" t="s">
        <v>311</v>
      </c>
      <c r="Q524" s="2" t="s">
        <v>239</v>
      </c>
      <c r="R524" s="2" t="s">
        <v>233</v>
      </c>
      <c r="S524" s="2" t="s">
        <v>3102</v>
      </c>
      <c r="T524" s="2" t="s">
        <v>395</v>
      </c>
      <c r="U524" s="2" t="s">
        <v>491</v>
      </c>
      <c r="V524" s="2" t="s">
        <v>3103</v>
      </c>
      <c r="W524" s="2" t="s">
        <v>397</v>
      </c>
      <c r="X524" s="2" t="s">
        <v>3104</v>
      </c>
      <c r="Y524" s="2" t="s">
        <v>3105</v>
      </c>
      <c r="Z524" s="4">
        <v>6</v>
      </c>
      <c r="AA524" s="4">
        <f>=ROUNDDOWN(6,0)</f>
      </c>
      <c r="AB524" s="5">
        <v>1</v>
      </c>
      <c r="AC524" s="2" t="s">
        <v>233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233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233</v>
      </c>
      <c r="AW524" s="8" t="s">
        <v>233</v>
      </c>
      <c r="AX524" s="4" t="s">
        <v>233</v>
      </c>
      <c r="AY524" s="8" t="s">
        <v>233</v>
      </c>
      <c r="AZ524" s="7" t="s">
        <v>233</v>
      </c>
      <c r="BA524" s="7" t="s">
        <v>233</v>
      </c>
      <c r="BB524" s="7" t="s">
        <v>233</v>
      </c>
      <c r="BC524" s="4" t="s">
        <v>233</v>
      </c>
      <c r="BD524" s="8" t="s">
        <v>233</v>
      </c>
      <c r="BE524" s="4" t="s">
        <v>233</v>
      </c>
      <c r="BF524" s="8" t="s">
        <v>233</v>
      </c>
      <c r="BG524" s="7" t="s">
        <v>233</v>
      </c>
      <c r="BH524" s="7" t="s">
        <v>233</v>
      </c>
      <c r="BI524" s="7"/>
      <c r="BJ524" s="4"/>
      <c r="BK524" s="8"/>
      <c r="BL524" s="2" t="s">
        <v>233</v>
      </c>
      <c r="BM524" s="7"/>
      <c r="BN524" s="7"/>
      <c r="BO524" s="4"/>
      <c r="BP524" s="8"/>
      <c r="BQ524" s="4"/>
      <c r="BR524" s="8"/>
      <c r="BS524" s="7"/>
      <c r="BT524" s="7"/>
      <c r="BU524" s="2" t="s">
        <v>3114</v>
      </c>
      <c r="BV524" s="2" t="s">
        <v>233</v>
      </c>
      <c r="BW524" s="2" t="s">
        <v>233</v>
      </c>
      <c r="BX524" s="2" t="s">
        <v>233</v>
      </c>
      <c r="BY524" s="2" t="s">
        <v>280</v>
      </c>
      <c r="BZ524" s="2" t="s">
        <v>245</v>
      </c>
      <c r="CA524" s="2" t="s">
        <v>3037</v>
      </c>
      <c r="CB524" s="2" t="s">
        <v>3115</v>
      </c>
      <c r="CC524" s="2" t="s">
        <v>246</v>
      </c>
      <c r="CD524" s="2" t="s">
        <v>233</v>
      </c>
      <c r="CE524" s="4">
        <v>6</v>
      </c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</row>
    <row r="525">
      <c r="A525" s="2" t="s">
        <v>3116</v>
      </c>
      <c r="B525" s="2" t="s">
        <v>910</v>
      </c>
      <c r="C525" s="2" t="s">
        <v>911</v>
      </c>
      <c r="D525" s="2" t="s">
        <v>969</v>
      </c>
      <c r="E525" s="2" t="s">
        <v>970</v>
      </c>
      <c r="F525" s="2" t="s">
        <v>3097</v>
      </c>
      <c r="G525" s="2" t="s">
        <v>3098</v>
      </c>
      <c r="H525" s="2" t="s">
        <v>3099</v>
      </c>
      <c r="I525" s="2" t="s">
        <v>3100</v>
      </c>
      <c r="J525" s="2" t="s">
        <v>981</v>
      </c>
      <c r="K525" s="2" t="s">
        <v>3101</v>
      </c>
      <c r="L525" s="3">
        <v>33.33</v>
      </c>
      <c r="M525" s="3">
        <v>35</v>
      </c>
      <c r="N525" s="3">
        <v>69.99</v>
      </c>
      <c r="O525" s="2" t="s">
        <v>237</v>
      </c>
      <c r="P525" s="2" t="s">
        <v>311</v>
      </c>
      <c r="Q525" s="2" t="s">
        <v>239</v>
      </c>
      <c r="R525" s="2" t="s">
        <v>233</v>
      </c>
      <c r="S525" s="2" t="s">
        <v>3102</v>
      </c>
      <c r="T525" s="2" t="s">
        <v>395</v>
      </c>
      <c r="U525" s="2" t="s">
        <v>475</v>
      </c>
      <c r="V525" s="2" t="s">
        <v>3103</v>
      </c>
      <c r="W525" s="2" t="s">
        <v>397</v>
      </c>
      <c r="X525" s="2" t="s">
        <v>3104</v>
      </c>
      <c r="Y525" s="2" t="s">
        <v>3105</v>
      </c>
      <c r="Z525" s="4">
        <v>379</v>
      </c>
      <c r="AA525" s="4">
        <f>=ROUNDDOWN(1895,0)</f>
      </c>
      <c r="AB525" s="5">
        <v>0.2</v>
      </c>
      <c r="AC525" s="2" t="s">
        <v>233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233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233</v>
      </c>
      <c r="AW525" s="8" t="s">
        <v>233</v>
      </c>
      <c r="AX525" s="4" t="s">
        <v>233</v>
      </c>
      <c r="AY525" s="8" t="s">
        <v>233</v>
      </c>
      <c r="AZ525" s="7" t="s">
        <v>233</v>
      </c>
      <c r="BA525" s="7" t="s">
        <v>233</v>
      </c>
      <c r="BB525" s="7" t="s">
        <v>233</v>
      </c>
      <c r="BC525" s="4" t="s">
        <v>233</v>
      </c>
      <c r="BD525" s="8" t="s">
        <v>233</v>
      </c>
      <c r="BE525" s="4" t="s">
        <v>233</v>
      </c>
      <c r="BF525" s="8" t="s">
        <v>233</v>
      </c>
      <c r="BG525" s="7" t="s">
        <v>233</v>
      </c>
      <c r="BH525" s="7" t="s">
        <v>233</v>
      </c>
      <c r="BI525" s="7"/>
      <c r="BJ525" s="4"/>
      <c r="BK525" s="8"/>
      <c r="BL525" s="2" t="s">
        <v>3117</v>
      </c>
      <c r="BM525" s="7"/>
      <c r="BN525" s="7"/>
      <c r="BO525" s="4"/>
      <c r="BP525" s="8"/>
      <c r="BQ525" s="4"/>
      <c r="BR525" s="8"/>
      <c r="BS525" s="7"/>
      <c r="BT525" s="7"/>
      <c r="BU525" s="2" t="s">
        <v>3118</v>
      </c>
      <c r="BV525" s="2" t="s">
        <v>233</v>
      </c>
      <c r="BW525" s="2" t="s">
        <v>233</v>
      </c>
      <c r="BX525" s="2" t="s">
        <v>233</v>
      </c>
      <c r="BY525" s="2" t="s">
        <v>280</v>
      </c>
      <c r="BZ525" s="2" t="s">
        <v>245</v>
      </c>
      <c r="CA525" s="2" t="s">
        <v>3037</v>
      </c>
      <c r="CB525" s="2" t="s">
        <v>3119</v>
      </c>
      <c r="CC525" s="2" t="s">
        <v>246</v>
      </c>
      <c r="CD525" s="2" t="s">
        <v>233</v>
      </c>
      <c r="CE525" s="4">
        <v>379</v>
      </c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</row>
    <row r="526">
      <c r="A526" s="2" t="s">
        <v>3120</v>
      </c>
      <c r="B526" s="2" t="s">
        <v>910</v>
      </c>
      <c r="C526" s="2" t="s">
        <v>911</v>
      </c>
      <c r="D526" s="2" t="s">
        <v>1862</v>
      </c>
      <c r="E526" s="2" t="s">
        <v>1863</v>
      </c>
      <c r="F526" s="2" t="s">
        <v>3097</v>
      </c>
      <c r="G526" s="2" t="s">
        <v>3098</v>
      </c>
      <c r="H526" s="2" t="s">
        <v>3099</v>
      </c>
      <c r="I526" s="2" t="s">
        <v>3109</v>
      </c>
      <c r="J526" s="2" t="s">
        <v>981</v>
      </c>
      <c r="K526" s="2" t="s">
        <v>3101</v>
      </c>
      <c r="L526" s="3">
        <v>30.95</v>
      </c>
      <c r="M526" s="3">
        <v>32.5</v>
      </c>
      <c r="N526" s="3">
        <v>64.99</v>
      </c>
      <c r="O526" s="2" t="s">
        <v>245</v>
      </c>
      <c r="P526" s="2" t="s">
        <v>311</v>
      </c>
      <c r="Q526" s="2" t="s">
        <v>239</v>
      </c>
      <c r="R526" s="2" t="s">
        <v>233</v>
      </c>
      <c r="S526" s="2" t="s">
        <v>3102</v>
      </c>
      <c r="T526" s="2" t="s">
        <v>395</v>
      </c>
      <c r="U526" s="2" t="s">
        <v>475</v>
      </c>
      <c r="V526" s="2" t="s">
        <v>3103</v>
      </c>
      <c r="W526" s="2" t="s">
        <v>397</v>
      </c>
      <c r="X526" s="2" t="s">
        <v>3104</v>
      </c>
      <c r="Y526" s="2" t="s">
        <v>3105</v>
      </c>
      <c r="Z526" s="4">
        <v>109</v>
      </c>
      <c r="AA526" s="4">
        <f>=ROUNDDOWN(25.9523809523809,0)</f>
      </c>
      <c r="AB526" s="5">
        <v>4.2</v>
      </c>
      <c r="AC526" s="2" t="s">
        <v>233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233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233</v>
      </c>
      <c r="AW526" s="8" t="s">
        <v>233</v>
      </c>
      <c r="AX526" s="4" t="s">
        <v>233</v>
      </c>
      <c r="AY526" s="8" t="s">
        <v>233</v>
      </c>
      <c r="AZ526" s="7" t="s">
        <v>233</v>
      </c>
      <c r="BA526" s="7" t="s">
        <v>233</v>
      </c>
      <c r="BB526" s="7" t="s">
        <v>233</v>
      </c>
      <c r="BC526" s="4" t="s">
        <v>233</v>
      </c>
      <c r="BD526" s="8" t="s">
        <v>233</v>
      </c>
      <c r="BE526" s="4" t="s">
        <v>233</v>
      </c>
      <c r="BF526" s="8" t="s">
        <v>233</v>
      </c>
      <c r="BG526" s="7" t="s">
        <v>233</v>
      </c>
      <c r="BH526" s="7" t="s">
        <v>233</v>
      </c>
      <c r="BI526" s="7"/>
      <c r="BJ526" s="4">
        <v>1</v>
      </c>
      <c r="BK526" s="8">
        <v>34.12</v>
      </c>
      <c r="BL526" s="2" t="s">
        <v>1592</v>
      </c>
      <c r="BM526" s="7"/>
      <c r="BN526" s="7"/>
      <c r="BO526" s="4"/>
      <c r="BP526" s="8"/>
      <c r="BQ526" s="4"/>
      <c r="BR526" s="8"/>
      <c r="BS526" s="7"/>
      <c r="BT526" s="7"/>
      <c r="BU526" s="2" t="s">
        <v>3121</v>
      </c>
      <c r="BV526" s="2" t="s">
        <v>233</v>
      </c>
      <c r="BW526" s="2" t="s">
        <v>233</v>
      </c>
      <c r="BX526" s="2" t="s">
        <v>233</v>
      </c>
      <c r="BY526" s="2" t="s">
        <v>280</v>
      </c>
      <c r="BZ526" s="2" t="s">
        <v>245</v>
      </c>
      <c r="CA526" s="2" t="s">
        <v>3037</v>
      </c>
      <c r="CB526" s="2" t="s">
        <v>233</v>
      </c>
      <c r="CC526" s="2" t="s">
        <v>246</v>
      </c>
      <c r="CD526" s="2" t="s">
        <v>233</v>
      </c>
      <c r="CE526" s="4">
        <v>109</v>
      </c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</row>
    <row r="527">
      <c r="A527" s="2" t="s">
        <v>3122</v>
      </c>
      <c r="B527" s="2" t="s">
        <v>910</v>
      </c>
      <c r="C527" s="2" t="s">
        <v>911</v>
      </c>
      <c r="D527" s="2" t="s">
        <v>912</v>
      </c>
      <c r="E527" s="2" t="s">
        <v>1139</v>
      </c>
      <c r="F527" s="2" t="s">
        <v>3097</v>
      </c>
      <c r="G527" s="2" t="s">
        <v>3098</v>
      </c>
      <c r="H527" s="2" t="s">
        <v>3099</v>
      </c>
      <c r="I527" s="2" t="s">
        <v>3113</v>
      </c>
      <c r="J527" s="2" t="s">
        <v>981</v>
      </c>
      <c r="K527" s="2" t="s">
        <v>3101</v>
      </c>
      <c r="L527" s="3">
        <v>28.57</v>
      </c>
      <c r="M527" s="3">
        <v>30</v>
      </c>
      <c r="N527" s="3">
        <v>59.99</v>
      </c>
      <c r="O527" s="2" t="s">
        <v>245</v>
      </c>
      <c r="P527" s="2" t="s">
        <v>311</v>
      </c>
      <c r="Q527" s="2" t="s">
        <v>239</v>
      </c>
      <c r="R527" s="2" t="s">
        <v>233</v>
      </c>
      <c r="S527" s="2" t="s">
        <v>3102</v>
      </c>
      <c r="T527" s="2" t="s">
        <v>395</v>
      </c>
      <c r="U527" s="2" t="s">
        <v>475</v>
      </c>
      <c r="V527" s="2" t="s">
        <v>3103</v>
      </c>
      <c r="W527" s="2" t="s">
        <v>397</v>
      </c>
      <c r="X527" s="2" t="s">
        <v>3104</v>
      </c>
      <c r="Y527" s="2" t="s">
        <v>3105</v>
      </c>
      <c r="Z527" s="4">
        <v>31</v>
      </c>
      <c r="AA527" s="4">
        <f>=ROUNDDOWN(31,0)</f>
      </c>
      <c r="AB527" s="5">
        <v>1</v>
      </c>
      <c r="AC527" s="2" t="s">
        <v>233</v>
      </c>
      <c r="AD527" s="4"/>
      <c r="AE527" s="4"/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233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233</v>
      </c>
      <c r="AW527" s="8" t="s">
        <v>233</v>
      </c>
      <c r="AX527" s="4" t="s">
        <v>233</v>
      </c>
      <c r="AY527" s="8" t="s">
        <v>233</v>
      </c>
      <c r="AZ527" s="7" t="s">
        <v>233</v>
      </c>
      <c r="BA527" s="7" t="s">
        <v>233</v>
      </c>
      <c r="BB527" s="7" t="s">
        <v>233</v>
      </c>
      <c r="BC527" s="4" t="s">
        <v>233</v>
      </c>
      <c r="BD527" s="8" t="s">
        <v>233</v>
      </c>
      <c r="BE527" s="4" t="s">
        <v>233</v>
      </c>
      <c r="BF527" s="8" t="s">
        <v>233</v>
      </c>
      <c r="BG527" s="7" t="s">
        <v>233</v>
      </c>
      <c r="BH527" s="7" t="s">
        <v>233</v>
      </c>
      <c r="BI527" s="7"/>
      <c r="BJ527" s="4"/>
      <c r="BK527" s="8"/>
      <c r="BL527" s="2" t="s">
        <v>233</v>
      </c>
      <c r="BM527" s="7"/>
      <c r="BN527" s="7"/>
      <c r="BO527" s="4"/>
      <c r="BP527" s="8"/>
      <c r="BQ527" s="4"/>
      <c r="BR527" s="8"/>
      <c r="BS527" s="7"/>
      <c r="BT527" s="7"/>
      <c r="BU527" s="2" t="s">
        <v>3123</v>
      </c>
      <c r="BV527" s="2" t="s">
        <v>233</v>
      </c>
      <c r="BW527" s="2" t="s">
        <v>233</v>
      </c>
      <c r="BX527" s="2" t="s">
        <v>233</v>
      </c>
      <c r="BY527" s="2" t="s">
        <v>280</v>
      </c>
      <c r="BZ527" s="2" t="s">
        <v>245</v>
      </c>
      <c r="CA527" s="2" t="s">
        <v>3037</v>
      </c>
      <c r="CB527" s="2" t="s">
        <v>2096</v>
      </c>
      <c r="CC527" s="2" t="s">
        <v>246</v>
      </c>
      <c r="CD527" s="2" t="s">
        <v>233</v>
      </c>
      <c r="CE527" s="4">
        <v>31</v>
      </c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</row>
    <row r="528">
      <c r="A528" s="2" t="s">
        <v>3124</v>
      </c>
      <c r="B528" s="2" t="s">
        <v>1174</v>
      </c>
      <c r="C528" s="2" t="s">
        <v>1447</v>
      </c>
      <c r="D528" s="2" t="s">
        <v>1175</v>
      </c>
      <c r="E528" s="2" t="s">
        <v>1448</v>
      </c>
      <c r="F528" s="2" t="s">
        <v>3125</v>
      </c>
      <c r="G528" s="2" t="s">
        <v>2731</v>
      </c>
      <c r="H528" s="2" t="s">
        <v>3126</v>
      </c>
      <c r="I528" s="2" t="s">
        <v>3127</v>
      </c>
      <c r="J528" s="2" t="s">
        <v>1490</v>
      </c>
      <c r="K528" s="2" t="s">
        <v>1083</v>
      </c>
      <c r="L528" s="3">
        <v>17.2</v>
      </c>
      <c r="M528" s="3">
        <v>18.06</v>
      </c>
      <c r="N528" s="3">
        <v>39.99</v>
      </c>
      <c r="O528" s="2" t="s">
        <v>245</v>
      </c>
      <c r="P528" s="2" t="s">
        <v>272</v>
      </c>
      <c r="Q528" s="2" t="s">
        <v>239</v>
      </c>
      <c r="R528" s="2" t="s">
        <v>233</v>
      </c>
      <c r="S528" s="2" t="s">
        <v>3128</v>
      </c>
      <c r="T528" s="2" t="s">
        <v>233</v>
      </c>
      <c r="U528" s="2" t="s">
        <v>233</v>
      </c>
      <c r="V528" s="2" t="s">
        <v>1272</v>
      </c>
      <c r="W528" s="2" t="s">
        <v>275</v>
      </c>
      <c r="X528" s="2" t="s">
        <v>3129</v>
      </c>
      <c r="Y528" s="2" t="s">
        <v>3130</v>
      </c>
      <c r="Z528" s="4">
        <v>279</v>
      </c>
      <c r="AA528" s="4">
        <f>=ROUNDDOWN(41.0294117647059,0)</f>
      </c>
      <c r="AB528" s="5">
        <v>6.8</v>
      </c>
      <c r="AC528" s="2" t="s">
        <v>233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233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>
        <v>18</v>
      </c>
      <c r="BK528" s="8">
        <v>302.84</v>
      </c>
      <c r="BL528" s="2" t="s">
        <v>3131</v>
      </c>
      <c r="BM528" s="7"/>
      <c r="BN528" s="7"/>
      <c r="BO528" s="4"/>
      <c r="BP528" s="8"/>
      <c r="BQ528" s="4"/>
      <c r="BR528" s="8"/>
      <c r="BS528" s="7"/>
      <c r="BT528" s="7"/>
      <c r="BU528" s="2" t="s">
        <v>3132</v>
      </c>
      <c r="BV528" s="2" t="s">
        <v>233</v>
      </c>
      <c r="BW528" s="2" t="s">
        <v>233</v>
      </c>
      <c r="BX528" s="2" t="s">
        <v>233</v>
      </c>
      <c r="BY528" s="2" t="s">
        <v>280</v>
      </c>
      <c r="BZ528" s="2" t="s">
        <v>245</v>
      </c>
      <c r="CA528" s="2" t="s">
        <v>3133</v>
      </c>
      <c r="CB528" s="2" t="s">
        <v>2653</v>
      </c>
      <c r="CC528" s="2" t="s">
        <v>246</v>
      </c>
      <c r="CD528" s="2" t="s">
        <v>233</v>
      </c>
      <c r="CE528" s="4">
        <v>279</v>
      </c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</row>
    <row r="529">
      <c r="A529" s="2" t="s">
        <v>3134</v>
      </c>
      <c r="B529" s="2" t="s">
        <v>1242</v>
      </c>
      <c r="C529" s="2" t="s">
        <v>3135</v>
      </c>
      <c r="D529" s="2" t="s">
        <v>1194</v>
      </c>
      <c r="E529" s="2" t="s">
        <v>1987</v>
      </c>
      <c r="F529" s="2" t="s">
        <v>3136</v>
      </c>
      <c r="G529" s="2" t="s">
        <v>3136</v>
      </c>
      <c r="H529" s="2" t="s">
        <v>3136</v>
      </c>
      <c r="I529" s="2" t="s">
        <v>1989</v>
      </c>
      <c r="J529" s="2" t="s">
        <v>3137</v>
      </c>
      <c r="K529" s="2" t="s">
        <v>297</v>
      </c>
      <c r="L529" s="3">
        <v>24.76</v>
      </c>
      <c r="M529" s="3">
        <v>26</v>
      </c>
      <c r="N529" s="3">
        <v>79.99</v>
      </c>
      <c r="O529" s="2" t="s">
        <v>245</v>
      </c>
      <c r="P529" s="2" t="s">
        <v>311</v>
      </c>
      <c r="Q529" s="2" t="s">
        <v>239</v>
      </c>
      <c r="R529" s="2" t="s">
        <v>233</v>
      </c>
      <c r="S529" s="2" t="s">
        <v>233</v>
      </c>
      <c r="T529" s="2" t="s">
        <v>341</v>
      </c>
      <c r="U529" s="2" t="s">
        <v>233</v>
      </c>
      <c r="V529" s="2" t="s">
        <v>241</v>
      </c>
      <c r="W529" s="2" t="s">
        <v>451</v>
      </c>
      <c r="X529" s="2" t="s">
        <v>233</v>
      </c>
      <c r="Y529" s="2" t="s">
        <v>3037</v>
      </c>
      <c r="Z529" s="4">
        <v>188</v>
      </c>
      <c r="AA529" s="4">
        <f>=ROUNDDOWN(188,0)</f>
      </c>
      <c r="AB529" s="5">
        <v>1</v>
      </c>
      <c r="AC529" s="2" t="s">
        <v>233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233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>
        <v>2</v>
      </c>
      <c r="BK529" s="8">
        <v>56.42</v>
      </c>
      <c r="BL529" s="2" t="s">
        <v>713</v>
      </c>
      <c r="BM529" s="7"/>
      <c r="BN529" s="7"/>
      <c r="BO529" s="4"/>
      <c r="BP529" s="8"/>
      <c r="BQ529" s="4"/>
      <c r="BR529" s="8"/>
      <c r="BS529" s="7"/>
      <c r="BT529" s="7"/>
      <c r="BU529" s="2" t="s">
        <v>3138</v>
      </c>
      <c r="BV529" s="2" t="s">
        <v>233</v>
      </c>
      <c r="BW529" s="2" t="s">
        <v>233</v>
      </c>
      <c r="BX529" s="2" t="s">
        <v>233</v>
      </c>
      <c r="BY529" s="2" t="s">
        <v>280</v>
      </c>
      <c r="BZ529" s="2" t="s">
        <v>245</v>
      </c>
      <c r="CA529" s="2" t="s">
        <v>1613</v>
      </c>
      <c r="CB529" s="2" t="s">
        <v>2423</v>
      </c>
      <c r="CC529" s="2" t="s">
        <v>246</v>
      </c>
      <c r="CD529" s="2" t="s">
        <v>233</v>
      </c>
      <c r="CE529" s="4">
        <v>188</v>
      </c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</row>
    <row r="530">
      <c r="A530" s="2" t="s">
        <v>3139</v>
      </c>
      <c r="B530" s="2" t="s">
        <v>1066</v>
      </c>
      <c r="C530" s="2" t="s">
        <v>530</v>
      </c>
      <c r="D530" s="2" t="s">
        <v>1111</v>
      </c>
      <c r="E530" s="2" t="s">
        <v>1112</v>
      </c>
      <c r="F530" s="2" t="s">
        <v>3140</v>
      </c>
      <c r="G530" s="2" t="s">
        <v>3141</v>
      </c>
      <c r="H530" s="2" t="s">
        <v>3142</v>
      </c>
      <c r="I530" s="2" t="s">
        <v>3143</v>
      </c>
      <c r="J530" s="2" t="s">
        <v>892</v>
      </c>
      <c r="K530" s="2" t="s">
        <v>984</v>
      </c>
      <c r="L530" s="3">
        <v>202.3</v>
      </c>
      <c r="M530" s="3">
        <v>212.42</v>
      </c>
      <c r="N530" s="3">
        <v>429</v>
      </c>
      <c r="O530" s="2" t="s">
        <v>245</v>
      </c>
      <c r="P530" s="2" t="s">
        <v>272</v>
      </c>
      <c r="Q530" s="2" t="s">
        <v>239</v>
      </c>
      <c r="R530" s="2" t="s">
        <v>233</v>
      </c>
      <c r="S530" s="2" t="s">
        <v>233</v>
      </c>
      <c r="T530" s="2" t="s">
        <v>233</v>
      </c>
      <c r="U530" s="2" t="s">
        <v>233</v>
      </c>
      <c r="V530" s="2" t="s">
        <v>241</v>
      </c>
      <c r="W530" s="2" t="s">
        <v>451</v>
      </c>
      <c r="X530" s="2" t="s">
        <v>776</v>
      </c>
      <c r="Y530" s="2" t="s">
        <v>2431</v>
      </c>
      <c r="Z530" s="4">
        <v>51</v>
      </c>
      <c r="AA530" s="4">
        <f>=ROUNDDOWN(3.92307692307692,0)</f>
      </c>
      <c r="AB530" s="5">
        <v>13</v>
      </c>
      <c r="AC530" s="2" t="s">
        <v>3144</v>
      </c>
      <c r="AD530" s="4">
        <v>135</v>
      </c>
      <c r="AE530" s="4">
        <v>270</v>
      </c>
      <c r="AF530" s="6">
        <v>74</v>
      </c>
      <c r="AG530" s="6"/>
      <c r="AH530" s="7">
        <v>1</v>
      </c>
      <c r="AI530" s="4"/>
      <c r="AJ530" s="4">
        <f>=ROUNDDOWN({0},0)</f>
      </c>
      <c r="AK530" s="5"/>
      <c r="AL530" s="2" t="s">
        <v>233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233</v>
      </c>
      <c r="BD530" s="8" t="s">
        <v>233</v>
      </c>
      <c r="BE530" s="4" t="s">
        <v>233</v>
      </c>
      <c r="BF530" s="8" t="s">
        <v>233</v>
      </c>
      <c r="BG530" s="7" t="s">
        <v>233</v>
      </c>
      <c r="BH530" s="7" t="s">
        <v>233</v>
      </c>
      <c r="BI530" s="7"/>
      <c r="BJ530" s="4">
        <v>81</v>
      </c>
      <c r="BK530" s="8">
        <v>15909.4</v>
      </c>
      <c r="BL530" s="2" t="s">
        <v>3145</v>
      </c>
      <c r="BM530" s="7"/>
      <c r="BN530" s="7"/>
      <c r="BO530" s="4"/>
      <c r="BP530" s="8"/>
      <c r="BQ530" s="4"/>
      <c r="BR530" s="8"/>
      <c r="BS530" s="7"/>
      <c r="BT530" s="7"/>
      <c r="BU530" s="2" t="s">
        <v>3146</v>
      </c>
      <c r="BV530" s="2" t="s">
        <v>233</v>
      </c>
      <c r="BW530" s="2" t="s">
        <v>233</v>
      </c>
      <c r="BX530" s="2" t="s">
        <v>243</v>
      </c>
      <c r="BY530" s="2" t="s">
        <v>280</v>
      </c>
      <c r="BZ530" s="2" t="s">
        <v>245</v>
      </c>
      <c r="CA530" s="2" t="s">
        <v>3147</v>
      </c>
      <c r="CB530" s="2" t="s">
        <v>747</v>
      </c>
      <c r="CC530" s="2" t="s">
        <v>246</v>
      </c>
      <c r="CD530" s="2" t="s">
        <v>233</v>
      </c>
      <c r="CE530" s="4"/>
      <c r="CF530" s="4">
        <v>51</v>
      </c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>
        <v>135</v>
      </c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>
        <v>135</v>
      </c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</row>
    <row r="531">
      <c r="A531" s="2" t="s">
        <v>3148</v>
      </c>
      <c r="B531" s="2" t="s">
        <v>1066</v>
      </c>
      <c r="C531" s="2" t="s">
        <v>530</v>
      </c>
      <c r="D531" s="2" t="s">
        <v>1111</v>
      </c>
      <c r="E531" s="2" t="s">
        <v>1112</v>
      </c>
      <c r="F531" s="2" t="s">
        <v>3140</v>
      </c>
      <c r="G531" s="2" t="s">
        <v>3141</v>
      </c>
      <c r="H531" s="2" t="s">
        <v>3142</v>
      </c>
      <c r="I531" s="2" t="s">
        <v>3143</v>
      </c>
      <c r="J531" s="2" t="s">
        <v>892</v>
      </c>
      <c r="K531" s="2" t="s">
        <v>255</v>
      </c>
      <c r="L531" s="3">
        <v>202.3</v>
      </c>
      <c r="M531" s="3">
        <v>212.42</v>
      </c>
      <c r="N531" s="3">
        <v>429</v>
      </c>
      <c r="O531" s="2" t="s">
        <v>245</v>
      </c>
      <c r="P531" s="2" t="s">
        <v>272</v>
      </c>
      <c r="Q531" s="2" t="s">
        <v>239</v>
      </c>
      <c r="R531" s="2" t="s">
        <v>233</v>
      </c>
      <c r="S531" s="2" t="s">
        <v>233</v>
      </c>
      <c r="T531" s="2" t="s">
        <v>233</v>
      </c>
      <c r="U531" s="2" t="s">
        <v>396</v>
      </c>
      <c r="V531" s="2" t="s">
        <v>241</v>
      </c>
      <c r="W531" s="2" t="s">
        <v>451</v>
      </c>
      <c r="X531" s="2" t="s">
        <v>776</v>
      </c>
      <c r="Y531" s="2" t="s">
        <v>3149</v>
      </c>
      <c r="Z531" s="4">
        <v>89</v>
      </c>
      <c r="AA531" s="4">
        <f>=ROUNDDOWN(14.8333333333333,0)</f>
      </c>
      <c r="AB531" s="5">
        <v>6</v>
      </c>
      <c r="AC531" s="2" t="s">
        <v>3150</v>
      </c>
      <c r="AD531" s="4">
        <v>100</v>
      </c>
      <c r="AE531" s="4">
        <v>100</v>
      </c>
      <c r="AF531" s="6">
        <v>74</v>
      </c>
      <c r="AG531" s="6">
        <v>60</v>
      </c>
      <c r="AH531" s="7">
        <v>1</v>
      </c>
      <c r="AI531" s="4"/>
      <c r="AJ531" s="4">
        <f>=ROUNDDOWN({0},0)</f>
      </c>
      <c r="AK531" s="5"/>
      <c r="AL531" s="2" t="s">
        <v>233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233</v>
      </c>
      <c r="BD531" s="8" t="s">
        <v>233</v>
      </c>
      <c r="BE531" s="4" t="s">
        <v>233</v>
      </c>
      <c r="BF531" s="8" t="s">
        <v>233</v>
      </c>
      <c r="BG531" s="7" t="s">
        <v>233</v>
      </c>
      <c r="BH531" s="7" t="s">
        <v>233</v>
      </c>
      <c r="BI531" s="7"/>
      <c r="BJ531" s="4">
        <v>5</v>
      </c>
      <c r="BK531" s="8">
        <v>822.6</v>
      </c>
      <c r="BL531" s="2" t="s">
        <v>1981</v>
      </c>
      <c r="BM531" s="7"/>
      <c r="BN531" s="7"/>
      <c r="BO531" s="4"/>
      <c r="BP531" s="8"/>
      <c r="BQ531" s="4"/>
      <c r="BR531" s="8"/>
      <c r="BS531" s="7"/>
      <c r="BT531" s="7"/>
      <c r="BU531" s="2" t="s">
        <v>3151</v>
      </c>
      <c r="BV531" s="2" t="s">
        <v>233</v>
      </c>
      <c r="BW531" s="2" t="s">
        <v>233</v>
      </c>
      <c r="BX531" s="2" t="s">
        <v>233</v>
      </c>
      <c r="BY531" s="2" t="s">
        <v>280</v>
      </c>
      <c r="BZ531" s="2" t="s">
        <v>245</v>
      </c>
      <c r="CA531" s="2" t="s">
        <v>3149</v>
      </c>
      <c r="CB531" s="2" t="s">
        <v>3152</v>
      </c>
      <c r="CC531" s="2" t="s">
        <v>246</v>
      </c>
      <c r="CD531" s="2" t="s">
        <v>233</v>
      </c>
      <c r="CE531" s="4"/>
      <c r="CF531" s="4">
        <v>86</v>
      </c>
      <c r="CG531" s="4"/>
      <c r="CH531" s="4"/>
      <c r="CI531" s="4">
        <v>3</v>
      </c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>
        <v>100</v>
      </c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</row>
    <row r="532">
      <c r="A532" s="2" t="s">
        <v>3153</v>
      </c>
      <c r="B532" s="2" t="s">
        <v>1242</v>
      </c>
      <c r="C532" s="2" t="s">
        <v>901</v>
      </c>
      <c r="D532" s="2" t="s">
        <v>1194</v>
      </c>
      <c r="E532" s="2" t="s">
        <v>1195</v>
      </c>
      <c r="F532" s="2" t="s">
        <v>3154</v>
      </c>
      <c r="G532" s="2" t="s">
        <v>233</v>
      </c>
      <c r="H532" s="2" t="s">
        <v>233</v>
      </c>
      <c r="I532" s="2" t="s">
        <v>3155</v>
      </c>
      <c r="J532" s="2" t="s">
        <v>2498</v>
      </c>
      <c r="K532" s="2" t="s">
        <v>2197</v>
      </c>
      <c r="L532" s="3">
        <v>14.4</v>
      </c>
      <c r="M532" s="3">
        <v>15.12</v>
      </c>
      <c r="N532" s="3">
        <v>34.99</v>
      </c>
      <c r="O532" s="2" t="s">
        <v>245</v>
      </c>
      <c r="P532" s="2" t="s">
        <v>311</v>
      </c>
      <c r="Q532" s="2" t="s">
        <v>239</v>
      </c>
      <c r="R532" s="2" t="s">
        <v>233</v>
      </c>
      <c r="S532" s="2" t="s">
        <v>3156</v>
      </c>
      <c r="T532" s="2" t="s">
        <v>233</v>
      </c>
      <c r="U532" s="2" t="s">
        <v>233</v>
      </c>
      <c r="V532" s="2" t="s">
        <v>1085</v>
      </c>
      <c r="W532" s="2" t="s">
        <v>275</v>
      </c>
      <c r="X532" s="2" t="s">
        <v>894</v>
      </c>
      <c r="Y532" s="2" t="s">
        <v>276</v>
      </c>
      <c r="Z532" s="4">
        <v>264</v>
      </c>
      <c r="AA532" s="4">
        <f>=ROUNDDOWN(42.5806451612903,0)</f>
      </c>
      <c r="AB532" s="5">
        <v>6.2</v>
      </c>
      <c r="AC532" s="2" t="s">
        <v>233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233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>
        <v>17</v>
      </c>
      <c r="BK532" s="8">
        <v>229.17</v>
      </c>
      <c r="BL532" s="2" t="s">
        <v>3157</v>
      </c>
      <c r="BM532" s="7"/>
      <c r="BN532" s="7"/>
      <c r="BO532" s="4"/>
      <c r="BP532" s="8"/>
      <c r="BQ532" s="4"/>
      <c r="BR532" s="8"/>
      <c r="BS532" s="7"/>
      <c r="BT532" s="7"/>
      <c r="BU532" s="2" t="s">
        <v>3158</v>
      </c>
      <c r="BV532" s="2" t="s">
        <v>233</v>
      </c>
      <c r="BW532" s="2" t="s">
        <v>233</v>
      </c>
      <c r="BX532" s="2" t="s">
        <v>233</v>
      </c>
      <c r="BY532" s="2" t="s">
        <v>280</v>
      </c>
      <c r="BZ532" s="2" t="s">
        <v>245</v>
      </c>
      <c r="CA532" s="2" t="s">
        <v>281</v>
      </c>
      <c r="CB532" s="2" t="s">
        <v>3159</v>
      </c>
      <c r="CC532" s="2" t="s">
        <v>246</v>
      </c>
      <c r="CD532" s="2" t="s">
        <v>233</v>
      </c>
      <c r="CE532" s="4">
        <v>264</v>
      </c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</row>
    <row r="533">
      <c r="A533" s="2" t="s">
        <v>3160</v>
      </c>
      <c r="B533" s="2" t="s">
        <v>1242</v>
      </c>
      <c r="C533" s="2" t="s">
        <v>1321</v>
      </c>
      <c r="D533" s="2" t="s">
        <v>969</v>
      </c>
      <c r="E533" s="2" t="s">
        <v>1078</v>
      </c>
      <c r="F533" s="2" t="s">
        <v>3161</v>
      </c>
      <c r="G533" s="2" t="s">
        <v>3161</v>
      </c>
      <c r="H533" s="2" t="s">
        <v>3161</v>
      </c>
      <c r="I533" s="2" t="s">
        <v>3162</v>
      </c>
      <c r="J533" s="2" t="s">
        <v>1142</v>
      </c>
      <c r="K533" s="2" t="s">
        <v>3163</v>
      </c>
      <c r="L533" s="3">
        <v>147</v>
      </c>
      <c r="M533" s="3">
        <v>154.35</v>
      </c>
      <c r="N533" s="3">
        <v>349.99</v>
      </c>
      <c r="O533" s="2" t="s">
        <v>245</v>
      </c>
      <c r="P533" s="2" t="s">
        <v>272</v>
      </c>
      <c r="Q533" s="2" t="s">
        <v>239</v>
      </c>
      <c r="R533" s="2" t="s">
        <v>233</v>
      </c>
      <c r="S533" s="2" t="s">
        <v>3164</v>
      </c>
      <c r="T533" s="2" t="s">
        <v>2188</v>
      </c>
      <c r="U533" s="2" t="s">
        <v>3165</v>
      </c>
      <c r="V533" s="2" t="s">
        <v>359</v>
      </c>
      <c r="W533" s="2" t="s">
        <v>275</v>
      </c>
      <c r="X533" s="2" t="s">
        <v>451</v>
      </c>
      <c r="Y533" s="2" t="s">
        <v>3166</v>
      </c>
      <c r="Z533" s="4"/>
      <c r="AA533" s="4">
        <f>=ROUNDDOWN({0},0)</f>
      </c>
      <c r="AB533" s="5">
        <v>5</v>
      </c>
      <c r="AC533" s="2" t="s">
        <v>1719</v>
      </c>
      <c r="AD533" s="4">
        <v>100</v>
      </c>
      <c r="AE533" s="4">
        <v>200</v>
      </c>
      <c r="AF533" s="6">
        <v>67</v>
      </c>
      <c r="AG533" s="6"/>
      <c r="AH533" s="7">
        <v>0</v>
      </c>
      <c r="AI533" s="4"/>
      <c r="AJ533" s="4">
        <f>=ROUNDDOWN({0},0)</f>
      </c>
      <c r="AK533" s="5"/>
      <c r="AL533" s="2" t="s">
        <v>233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233</v>
      </c>
      <c r="BM533" s="7"/>
      <c r="BN533" s="7"/>
      <c r="BO533" s="4"/>
      <c r="BP533" s="8"/>
      <c r="BQ533" s="4"/>
      <c r="BR533" s="8"/>
      <c r="BS533" s="7"/>
      <c r="BT533" s="7"/>
      <c r="BU533" s="2" t="s">
        <v>3167</v>
      </c>
      <c r="BV533" s="2" t="s">
        <v>233</v>
      </c>
      <c r="BW533" s="2" t="s">
        <v>233</v>
      </c>
      <c r="BX533" s="2" t="s">
        <v>243</v>
      </c>
      <c r="BY533" s="2" t="s">
        <v>280</v>
      </c>
      <c r="BZ533" s="2" t="s">
        <v>245</v>
      </c>
      <c r="CA533" s="2" t="s">
        <v>3168</v>
      </c>
      <c r="CB533" s="2" t="s">
        <v>3169</v>
      </c>
      <c r="CC533" s="2" t="s">
        <v>246</v>
      </c>
      <c r="CD533" s="2" t="s">
        <v>233</v>
      </c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>
        <v>100</v>
      </c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>
        <v>100</v>
      </c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</row>
    <row r="534">
      <c r="A534" s="2" t="s">
        <v>3170</v>
      </c>
      <c r="B534" s="2" t="s">
        <v>1066</v>
      </c>
      <c r="C534" s="2" t="s">
        <v>947</v>
      </c>
      <c r="D534" s="2" t="s">
        <v>1782</v>
      </c>
      <c r="E534" s="2" t="s">
        <v>2309</v>
      </c>
      <c r="F534" s="2" t="s">
        <v>1790</v>
      </c>
      <c r="G534" s="2" t="s">
        <v>1790</v>
      </c>
      <c r="H534" s="2" t="s">
        <v>1790</v>
      </c>
      <c r="I534" s="2" t="s">
        <v>3171</v>
      </c>
      <c r="J534" s="2" t="s">
        <v>892</v>
      </c>
      <c r="K534" s="2" t="s">
        <v>645</v>
      </c>
      <c r="L534" s="3">
        <v>160</v>
      </c>
      <c r="M534" s="3">
        <v>168</v>
      </c>
      <c r="N534" s="3">
        <v>339</v>
      </c>
      <c r="O534" s="2" t="s">
        <v>237</v>
      </c>
      <c r="P534" s="2" t="s">
        <v>311</v>
      </c>
      <c r="Q534" s="2" t="s">
        <v>239</v>
      </c>
      <c r="R534" s="2" t="s">
        <v>233</v>
      </c>
      <c r="S534" s="2" t="s">
        <v>233</v>
      </c>
      <c r="T534" s="2" t="s">
        <v>233</v>
      </c>
      <c r="U534" s="2" t="s">
        <v>396</v>
      </c>
      <c r="V534" s="2" t="s">
        <v>241</v>
      </c>
      <c r="W534" s="2" t="s">
        <v>397</v>
      </c>
      <c r="X534" s="2" t="s">
        <v>1664</v>
      </c>
      <c r="Y534" s="2" t="s">
        <v>926</v>
      </c>
      <c r="Z534" s="4">
        <v>179</v>
      </c>
      <c r="AA534" s="4">
        <f>=ROUNDDOWN(179,0)</f>
      </c>
      <c r="AB534" s="5">
        <v>1</v>
      </c>
      <c r="AC534" s="2" t="s">
        <v>233</v>
      </c>
      <c r="AD534" s="4"/>
      <c r="AE534" s="4"/>
      <c r="AF534" s="6">
        <v>74</v>
      </c>
      <c r="AG534" s="6">
        <v>60</v>
      </c>
      <c r="AH534" s="7">
        <v>1</v>
      </c>
      <c r="AI534" s="4"/>
      <c r="AJ534" s="4">
        <f>=ROUNDDOWN({0},0)</f>
      </c>
      <c r="AK534" s="5"/>
      <c r="AL534" s="2" t="s">
        <v>233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>
        <v>2</v>
      </c>
      <c r="BK534" s="8">
        <v>369.6</v>
      </c>
      <c r="BL534" s="2" t="s">
        <v>3172</v>
      </c>
      <c r="BM534" s="7"/>
      <c r="BN534" s="7"/>
      <c r="BO534" s="4"/>
      <c r="BP534" s="8"/>
      <c r="BQ534" s="4"/>
      <c r="BR534" s="8"/>
      <c r="BS534" s="7"/>
      <c r="BT534" s="7"/>
      <c r="BU534" s="2" t="s">
        <v>3173</v>
      </c>
      <c r="BV534" s="2" t="s">
        <v>233</v>
      </c>
      <c r="BW534" s="2" t="s">
        <v>233</v>
      </c>
      <c r="BX534" s="2" t="s">
        <v>233</v>
      </c>
      <c r="BY534" s="2" t="s">
        <v>280</v>
      </c>
      <c r="BZ534" s="2" t="s">
        <v>245</v>
      </c>
      <c r="CA534" s="2" t="s">
        <v>3174</v>
      </c>
      <c r="CB534" s="2" t="s">
        <v>3175</v>
      </c>
      <c r="CC534" s="2" t="s">
        <v>246</v>
      </c>
      <c r="CD534" s="2" t="s">
        <v>233</v>
      </c>
      <c r="CE534" s="4"/>
      <c r="CF534" s="4">
        <v>133</v>
      </c>
      <c r="CG534" s="4"/>
      <c r="CH534" s="4"/>
      <c r="CI534" s="4">
        <v>46</v>
      </c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</row>
    <row r="535">
      <c r="A535" s="2" t="s">
        <v>3176</v>
      </c>
      <c r="B535" s="2" t="s">
        <v>1066</v>
      </c>
      <c r="C535" s="2" t="s">
        <v>530</v>
      </c>
      <c r="D535" s="2" t="s">
        <v>1919</v>
      </c>
      <c r="E535" s="2" t="s">
        <v>1920</v>
      </c>
      <c r="F535" s="2" t="s">
        <v>3177</v>
      </c>
      <c r="G535" s="2" t="s">
        <v>3178</v>
      </c>
      <c r="H535" s="2" t="s">
        <v>3179</v>
      </c>
      <c r="I535" s="2" t="s">
        <v>3180</v>
      </c>
      <c r="J535" s="2" t="s">
        <v>892</v>
      </c>
      <c r="K535" s="2" t="s">
        <v>1191</v>
      </c>
      <c r="L535" s="3">
        <v>379.26</v>
      </c>
      <c r="M535" s="3">
        <v>398.22</v>
      </c>
      <c r="N535" s="3">
        <v>799</v>
      </c>
      <c r="O535" s="2" t="s">
        <v>245</v>
      </c>
      <c r="P535" s="2" t="s">
        <v>1118</v>
      </c>
      <c r="Q535" s="2" t="s">
        <v>239</v>
      </c>
      <c r="R535" s="2" t="s">
        <v>233</v>
      </c>
      <c r="S535" s="2" t="s">
        <v>3181</v>
      </c>
      <c r="T535" s="2" t="s">
        <v>233</v>
      </c>
      <c r="U535" s="2" t="s">
        <v>491</v>
      </c>
      <c r="V535" s="2" t="s">
        <v>241</v>
      </c>
      <c r="W535" s="2" t="s">
        <v>451</v>
      </c>
      <c r="X535" s="2" t="s">
        <v>233</v>
      </c>
      <c r="Y535" s="2" t="s">
        <v>3182</v>
      </c>
      <c r="Z535" s="4">
        <v>32</v>
      </c>
      <c r="AA535" s="4">
        <f>=ROUNDDOWN({0},0)</f>
      </c>
      <c r="AB535" s="5"/>
      <c r="AC535" s="2" t="s">
        <v>795</v>
      </c>
      <c r="AD535" s="4"/>
      <c r="AE535" s="4">
        <v>260</v>
      </c>
      <c r="AF535" s="6"/>
      <c r="AG535" s="6"/>
      <c r="AH535" s="7">
        <v>0.1935</v>
      </c>
      <c r="AI535" s="4"/>
      <c r="AJ535" s="4">
        <f>=ROUNDDOWN({0},0)</f>
      </c>
      <c r="AK535" s="5"/>
      <c r="AL535" s="2" t="s">
        <v>1947</v>
      </c>
      <c r="AM535" s="4">
        <v>115</v>
      </c>
      <c r="AN535" s="4">
        <v>115</v>
      </c>
      <c r="AO535" s="7">
        <v>0</v>
      </c>
      <c r="AP535" s="4"/>
      <c r="AQ535" s="8"/>
      <c r="AR535" s="4"/>
      <c r="AS535" s="8"/>
      <c r="AT535" s="7"/>
      <c r="AU535" s="7"/>
      <c r="AV535" s="4" t="s">
        <v>233</v>
      </c>
      <c r="AW535" s="8" t="s">
        <v>233</v>
      </c>
      <c r="AX535" s="4" t="s">
        <v>233</v>
      </c>
      <c r="AY535" s="8" t="s">
        <v>233</v>
      </c>
      <c r="AZ535" s="7" t="s">
        <v>233</v>
      </c>
      <c r="BA535" s="7" t="s">
        <v>233</v>
      </c>
      <c r="BB535" s="7" t="s">
        <v>233</v>
      </c>
      <c r="BC535" s="4" t="s">
        <v>233</v>
      </c>
      <c r="BD535" s="8" t="s">
        <v>233</v>
      </c>
      <c r="BE535" s="4" t="s">
        <v>233</v>
      </c>
      <c r="BF535" s="8" t="s">
        <v>233</v>
      </c>
      <c r="BG535" s="7" t="s">
        <v>233</v>
      </c>
      <c r="BH535" s="7" t="s">
        <v>233</v>
      </c>
      <c r="BI535" s="7"/>
      <c r="BJ535" s="4"/>
      <c r="BK535" s="8"/>
      <c r="BL535" s="2" t="s">
        <v>233</v>
      </c>
      <c r="BM535" s="7"/>
      <c r="BN535" s="7"/>
      <c r="BO535" s="4"/>
      <c r="BP535" s="8"/>
      <c r="BQ535" s="4"/>
      <c r="BR535" s="8"/>
      <c r="BS535" s="7"/>
      <c r="BT535" s="7"/>
      <c r="BU535" s="2" t="s">
        <v>243</v>
      </c>
      <c r="BV535" s="2" t="s">
        <v>233</v>
      </c>
      <c r="BW535" s="2" t="s">
        <v>233</v>
      </c>
      <c r="BX535" s="2" t="s">
        <v>243</v>
      </c>
      <c r="BY535" s="2" t="s">
        <v>244</v>
      </c>
      <c r="BZ535" s="2" t="s">
        <v>245</v>
      </c>
      <c r="CA535" s="2" t="s">
        <v>233</v>
      </c>
      <c r="CB535" s="2" t="s">
        <v>233</v>
      </c>
      <c r="CC535" s="2" t="s">
        <v>246</v>
      </c>
      <c r="CD535" s="2" t="s">
        <v>233</v>
      </c>
      <c r="CE535" s="4"/>
      <c r="CF535" s="4">
        <v>32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>
        <v>34</v>
      </c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>
        <v>36</v>
      </c>
      <c r="EZ535" s="4"/>
      <c r="FA535" s="4"/>
      <c r="FB535" s="4"/>
      <c r="FC535" s="4"/>
      <c r="FD535" s="4"/>
      <c r="FE535" s="4"/>
      <c r="FF535" s="4">
        <v>35</v>
      </c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>
        <v>25</v>
      </c>
      <c r="GL535" s="4"/>
      <c r="GM535" s="4">
        <v>130</v>
      </c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>
        <v>115</v>
      </c>
      <c r="HQ535" s="4"/>
      <c r="HR535" s="4"/>
    </row>
    <row r="536">
      <c r="A536" s="2" t="s">
        <v>3183</v>
      </c>
      <c r="B536" s="2" t="s">
        <v>1066</v>
      </c>
      <c r="C536" s="2" t="s">
        <v>530</v>
      </c>
      <c r="D536" s="2" t="s">
        <v>1923</v>
      </c>
      <c r="E536" s="2" t="s">
        <v>2543</v>
      </c>
      <c r="F536" s="2" t="s">
        <v>3177</v>
      </c>
      <c r="G536" s="2" t="s">
        <v>3178</v>
      </c>
      <c r="H536" s="2" t="s">
        <v>3179</v>
      </c>
      <c r="I536" s="2" t="s">
        <v>3184</v>
      </c>
      <c r="J536" s="2" t="s">
        <v>892</v>
      </c>
      <c r="K536" s="2" t="s">
        <v>1191</v>
      </c>
      <c r="L536" s="3">
        <v>335.16</v>
      </c>
      <c r="M536" s="3">
        <v>351.92</v>
      </c>
      <c r="N536" s="3">
        <v>699</v>
      </c>
      <c r="O536" s="2" t="s">
        <v>245</v>
      </c>
      <c r="P536" s="2" t="s">
        <v>1118</v>
      </c>
      <c r="Q536" s="2" t="s">
        <v>233</v>
      </c>
      <c r="R536" s="2" t="s">
        <v>233</v>
      </c>
      <c r="S536" s="2" t="s">
        <v>3181</v>
      </c>
      <c r="T536" s="2" t="s">
        <v>233</v>
      </c>
      <c r="U536" s="2" t="s">
        <v>491</v>
      </c>
      <c r="V536" s="2" t="s">
        <v>241</v>
      </c>
      <c r="W536" s="2" t="s">
        <v>451</v>
      </c>
      <c r="X536" s="2" t="s">
        <v>233</v>
      </c>
      <c r="Y536" s="2" t="s">
        <v>3182</v>
      </c>
      <c r="Z536" s="4">
        <v>142</v>
      </c>
      <c r="AA536" s="4">
        <f>=ROUNDDOWN({0},0)</f>
      </c>
      <c r="AB536" s="5"/>
      <c r="AC536" s="2" t="s">
        <v>3185</v>
      </c>
      <c r="AD536" s="4">
        <v>65</v>
      </c>
      <c r="AE536" s="4">
        <v>65</v>
      </c>
      <c r="AF536" s="6"/>
      <c r="AG536" s="6"/>
      <c r="AH536" s="7">
        <v>0.1935</v>
      </c>
      <c r="AI536" s="4"/>
      <c r="AJ536" s="4">
        <f>=ROUNDDOWN({0},0)</f>
      </c>
      <c r="AK536" s="5"/>
      <c r="AL536" s="2" t="s">
        <v>2902</v>
      </c>
      <c r="AM536" s="4">
        <v>87</v>
      </c>
      <c r="AN536" s="4">
        <v>267</v>
      </c>
      <c r="AO536" s="7">
        <v>0</v>
      </c>
      <c r="AP536" s="4"/>
      <c r="AQ536" s="8"/>
      <c r="AR536" s="4"/>
      <c r="AS536" s="8"/>
      <c r="AT536" s="7"/>
      <c r="AU536" s="7"/>
      <c r="AV536" s="4" t="s">
        <v>233</v>
      </c>
      <c r="AW536" s="8" t="s">
        <v>233</v>
      </c>
      <c r="AX536" s="4" t="s">
        <v>233</v>
      </c>
      <c r="AY536" s="8" t="s">
        <v>233</v>
      </c>
      <c r="AZ536" s="7" t="s">
        <v>233</v>
      </c>
      <c r="BA536" s="7" t="s">
        <v>233</v>
      </c>
      <c r="BB536" s="7" t="s">
        <v>233</v>
      </c>
      <c r="BC536" s="4" t="s">
        <v>233</v>
      </c>
      <c r="BD536" s="8" t="s">
        <v>233</v>
      </c>
      <c r="BE536" s="4" t="s">
        <v>233</v>
      </c>
      <c r="BF536" s="8" t="s">
        <v>233</v>
      </c>
      <c r="BG536" s="7" t="s">
        <v>233</v>
      </c>
      <c r="BH536" s="7" t="s">
        <v>233</v>
      </c>
      <c r="BI536" s="7"/>
      <c r="BJ536" s="4"/>
      <c r="BK536" s="8"/>
      <c r="BL536" s="2" t="s">
        <v>233</v>
      </c>
      <c r="BM536" s="7"/>
      <c r="BN536" s="7"/>
      <c r="BO536" s="4"/>
      <c r="BP536" s="8"/>
      <c r="BQ536" s="4"/>
      <c r="BR536" s="8"/>
      <c r="BS536" s="7"/>
      <c r="BT536" s="7"/>
      <c r="BU536" s="2" t="s">
        <v>243</v>
      </c>
      <c r="BV536" s="2" t="s">
        <v>233</v>
      </c>
      <c r="BW536" s="2" t="s">
        <v>233</v>
      </c>
      <c r="BX536" s="2" t="s">
        <v>243</v>
      </c>
      <c r="BY536" s="2" t="s">
        <v>244</v>
      </c>
      <c r="BZ536" s="2" t="s">
        <v>245</v>
      </c>
      <c r="CA536" s="2" t="s">
        <v>233</v>
      </c>
      <c r="CB536" s="2" t="s">
        <v>233</v>
      </c>
      <c r="CC536" s="2" t="s">
        <v>246</v>
      </c>
      <c r="CD536" s="2" t="s">
        <v>233</v>
      </c>
      <c r="CE536" s="4"/>
      <c r="CF536" s="4">
        <v>119</v>
      </c>
      <c r="CG536" s="4"/>
      <c r="CH536" s="4"/>
      <c r="CI536" s="4">
        <v>23</v>
      </c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>
        <v>65</v>
      </c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>
        <v>87</v>
      </c>
      <c r="HJ536" s="4"/>
      <c r="HK536" s="4"/>
      <c r="HL536" s="4"/>
      <c r="HM536" s="4"/>
      <c r="HN536" s="4"/>
      <c r="HO536" s="4"/>
      <c r="HP536" s="4"/>
      <c r="HQ536" s="4"/>
      <c r="HR536" s="4">
        <v>180</v>
      </c>
    </row>
    <row r="537">
      <c r="A537" s="2" t="s">
        <v>3186</v>
      </c>
      <c r="B537" s="2" t="s">
        <v>1066</v>
      </c>
      <c r="C537" s="2" t="s">
        <v>530</v>
      </c>
      <c r="D537" s="2" t="s">
        <v>1919</v>
      </c>
      <c r="E537" s="2" t="s">
        <v>1920</v>
      </c>
      <c r="F537" s="2" t="s">
        <v>3177</v>
      </c>
      <c r="G537" s="2" t="s">
        <v>3178</v>
      </c>
      <c r="H537" s="2" t="s">
        <v>3179</v>
      </c>
      <c r="I537" s="2" t="s">
        <v>3180</v>
      </c>
      <c r="J537" s="2" t="s">
        <v>892</v>
      </c>
      <c r="K537" s="2" t="s">
        <v>853</v>
      </c>
      <c r="L537" s="3">
        <v>379.26</v>
      </c>
      <c r="M537" s="3">
        <v>398.22</v>
      </c>
      <c r="N537" s="3">
        <v>799</v>
      </c>
      <c r="O537" s="2" t="s">
        <v>245</v>
      </c>
      <c r="P537" s="2" t="s">
        <v>1118</v>
      </c>
      <c r="Q537" s="2" t="s">
        <v>233</v>
      </c>
      <c r="R537" s="2" t="s">
        <v>233</v>
      </c>
      <c r="S537" s="2" t="s">
        <v>233</v>
      </c>
      <c r="T537" s="2" t="s">
        <v>233</v>
      </c>
      <c r="U537" s="2" t="s">
        <v>491</v>
      </c>
      <c r="V537" s="2" t="s">
        <v>241</v>
      </c>
      <c r="W537" s="2" t="s">
        <v>451</v>
      </c>
      <c r="X537" s="2" t="s">
        <v>233</v>
      </c>
      <c r="Y537" s="2" t="s">
        <v>3187</v>
      </c>
      <c r="Z537" s="4">
        <v>45</v>
      </c>
      <c r="AA537" s="4">
        <f>=ROUNDDOWN({0},0)</f>
      </c>
      <c r="AB537" s="5"/>
      <c r="AC537" s="2" t="s">
        <v>2519</v>
      </c>
      <c r="AD537" s="4">
        <v>75</v>
      </c>
      <c r="AE537" s="4">
        <v>75</v>
      </c>
      <c r="AF537" s="6"/>
      <c r="AG537" s="6"/>
      <c r="AH537" s="7">
        <v>0.1935</v>
      </c>
      <c r="AI537" s="4"/>
      <c r="AJ537" s="4">
        <f>=ROUNDDOWN({0},0)</f>
      </c>
      <c r="AK537" s="5"/>
      <c r="AL537" s="2" t="s">
        <v>2902</v>
      </c>
      <c r="AM537" s="4">
        <v>65</v>
      </c>
      <c r="AN537" s="4">
        <v>65</v>
      </c>
      <c r="AO537" s="7">
        <v>0</v>
      </c>
      <c r="AP537" s="4"/>
      <c r="AQ537" s="8"/>
      <c r="AR537" s="4"/>
      <c r="AS537" s="8"/>
      <c r="AT537" s="7"/>
      <c r="AU537" s="7"/>
      <c r="AV537" s="4" t="s">
        <v>233</v>
      </c>
      <c r="AW537" s="8" t="s">
        <v>233</v>
      </c>
      <c r="AX537" s="4" t="s">
        <v>233</v>
      </c>
      <c r="AY537" s="8" t="s">
        <v>233</v>
      </c>
      <c r="AZ537" s="7" t="s">
        <v>233</v>
      </c>
      <c r="BA537" s="7" t="s">
        <v>233</v>
      </c>
      <c r="BB537" s="7" t="s">
        <v>233</v>
      </c>
      <c r="BC537" s="4" t="s">
        <v>233</v>
      </c>
      <c r="BD537" s="8" t="s">
        <v>233</v>
      </c>
      <c r="BE537" s="4" t="s">
        <v>233</v>
      </c>
      <c r="BF537" s="8" t="s">
        <v>233</v>
      </c>
      <c r="BG537" s="7" t="s">
        <v>233</v>
      </c>
      <c r="BH537" s="7" t="s">
        <v>233</v>
      </c>
      <c r="BI537" s="7"/>
      <c r="BJ537" s="4"/>
      <c r="BK537" s="8"/>
      <c r="BL537" s="2" t="s">
        <v>233</v>
      </c>
      <c r="BM537" s="7"/>
      <c r="BN537" s="7"/>
      <c r="BO537" s="4"/>
      <c r="BP537" s="8"/>
      <c r="BQ537" s="4"/>
      <c r="BR537" s="8"/>
      <c r="BS537" s="7"/>
      <c r="BT537" s="7"/>
      <c r="BU537" s="2" t="s">
        <v>243</v>
      </c>
      <c r="BV537" s="2" t="s">
        <v>233</v>
      </c>
      <c r="BW537" s="2" t="s">
        <v>233</v>
      </c>
      <c r="BX537" s="2" t="s">
        <v>243</v>
      </c>
      <c r="BY537" s="2" t="s">
        <v>244</v>
      </c>
      <c r="BZ537" s="2" t="s">
        <v>245</v>
      </c>
      <c r="CA537" s="2" t="s">
        <v>233</v>
      </c>
      <c r="CB537" s="2" t="s">
        <v>233</v>
      </c>
      <c r="CC537" s="2" t="s">
        <v>246</v>
      </c>
      <c r="CD537" s="2" t="s">
        <v>233</v>
      </c>
      <c r="CE537" s="4"/>
      <c r="CF537" s="4">
        <v>44</v>
      </c>
      <c r="CG537" s="4"/>
      <c r="CH537" s="4"/>
      <c r="CI537" s="4">
        <v>1</v>
      </c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>
        <v>75</v>
      </c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>
        <v>65</v>
      </c>
      <c r="HJ537" s="4"/>
      <c r="HK537" s="4"/>
      <c r="HL537" s="4"/>
      <c r="HM537" s="4"/>
      <c r="HN537" s="4"/>
      <c r="HO537" s="4"/>
      <c r="HP537" s="4"/>
      <c r="HQ537" s="4"/>
      <c r="HR537" s="4"/>
    </row>
    <row r="538">
      <c r="A538" s="2" t="s">
        <v>3188</v>
      </c>
      <c r="B538" s="2" t="s">
        <v>1066</v>
      </c>
      <c r="C538" s="2" t="s">
        <v>530</v>
      </c>
      <c r="D538" s="2" t="s">
        <v>1923</v>
      </c>
      <c r="E538" s="2" t="s">
        <v>2543</v>
      </c>
      <c r="F538" s="2" t="s">
        <v>3177</v>
      </c>
      <c r="G538" s="2" t="s">
        <v>3178</v>
      </c>
      <c r="H538" s="2" t="s">
        <v>3179</v>
      </c>
      <c r="I538" s="2" t="s">
        <v>3184</v>
      </c>
      <c r="J538" s="2" t="s">
        <v>892</v>
      </c>
      <c r="K538" s="2" t="s">
        <v>853</v>
      </c>
      <c r="L538" s="3">
        <v>335.16</v>
      </c>
      <c r="M538" s="3">
        <v>351.92</v>
      </c>
      <c r="N538" s="3">
        <v>699</v>
      </c>
      <c r="O538" s="2" t="s">
        <v>245</v>
      </c>
      <c r="P538" s="2" t="s">
        <v>1118</v>
      </c>
      <c r="Q538" s="2" t="s">
        <v>233</v>
      </c>
      <c r="R538" s="2" t="s">
        <v>233</v>
      </c>
      <c r="S538" s="2" t="s">
        <v>233</v>
      </c>
      <c r="T538" s="2" t="s">
        <v>233</v>
      </c>
      <c r="U538" s="2" t="s">
        <v>491</v>
      </c>
      <c r="V538" s="2" t="s">
        <v>241</v>
      </c>
      <c r="W538" s="2" t="s">
        <v>451</v>
      </c>
      <c r="X538" s="2" t="s">
        <v>233</v>
      </c>
      <c r="Y538" s="2" t="s">
        <v>3187</v>
      </c>
      <c r="Z538" s="4">
        <v>19</v>
      </c>
      <c r="AA538" s="4">
        <f>=ROUNDDOWN({0},0)</f>
      </c>
      <c r="AB538" s="5"/>
      <c r="AC538" s="2" t="s">
        <v>3189</v>
      </c>
      <c r="AD538" s="4">
        <v>50</v>
      </c>
      <c r="AE538" s="4">
        <v>160</v>
      </c>
      <c r="AF538" s="6"/>
      <c r="AG538" s="6"/>
      <c r="AH538" s="7">
        <v>0.1935</v>
      </c>
      <c r="AI538" s="4"/>
      <c r="AJ538" s="4">
        <f>=ROUNDDOWN({0},0)</f>
      </c>
      <c r="AK538" s="5"/>
      <c r="AL538" s="2" t="s">
        <v>233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233</v>
      </c>
      <c r="AW538" s="8" t="s">
        <v>233</v>
      </c>
      <c r="AX538" s="4" t="s">
        <v>233</v>
      </c>
      <c r="AY538" s="8" t="s">
        <v>233</v>
      </c>
      <c r="AZ538" s="7" t="s">
        <v>233</v>
      </c>
      <c r="BA538" s="7" t="s">
        <v>233</v>
      </c>
      <c r="BB538" s="7" t="s">
        <v>233</v>
      </c>
      <c r="BC538" s="4" t="s">
        <v>233</v>
      </c>
      <c r="BD538" s="8" t="s">
        <v>233</v>
      </c>
      <c r="BE538" s="4" t="s">
        <v>233</v>
      </c>
      <c r="BF538" s="8" t="s">
        <v>233</v>
      </c>
      <c r="BG538" s="7" t="s">
        <v>233</v>
      </c>
      <c r="BH538" s="7" t="s">
        <v>233</v>
      </c>
      <c r="BI538" s="7"/>
      <c r="BJ538" s="4"/>
      <c r="BK538" s="8"/>
      <c r="BL538" s="2" t="s">
        <v>233</v>
      </c>
      <c r="BM538" s="7"/>
      <c r="BN538" s="7"/>
      <c r="BO538" s="4"/>
      <c r="BP538" s="8"/>
      <c r="BQ538" s="4"/>
      <c r="BR538" s="8"/>
      <c r="BS538" s="7"/>
      <c r="BT538" s="7"/>
      <c r="BU538" s="2" t="s">
        <v>243</v>
      </c>
      <c r="BV538" s="2" t="s">
        <v>233</v>
      </c>
      <c r="BW538" s="2" t="s">
        <v>233</v>
      </c>
      <c r="BX538" s="2" t="s">
        <v>243</v>
      </c>
      <c r="BY538" s="2" t="s">
        <v>244</v>
      </c>
      <c r="BZ538" s="2" t="s">
        <v>245</v>
      </c>
      <c r="CA538" s="2" t="s">
        <v>233</v>
      </c>
      <c r="CB538" s="2" t="s">
        <v>233</v>
      </c>
      <c r="CC538" s="2" t="s">
        <v>246</v>
      </c>
      <c r="CD538" s="2" t="s">
        <v>233</v>
      </c>
      <c r="CE538" s="4"/>
      <c r="CF538" s="4">
        <v>19</v>
      </c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>
        <v>50</v>
      </c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>
        <v>50</v>
      </c>
      <c r="GL538" s="4"/>
      <c r="GM538" s="4"/>
      <c r="GN538" s="4"/>
      <c r="GO538" s="4"/>
      <c r="GP538" s="4"/>
      <c r="GQ538" s="4"/>
      <c r="GR538" s="4"/>
      <c r="GS538" s="4">
        <v>60</v>
      </c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</row>
    <row r="539">
      <c r="A539" s="2" t="s">
        <v>3190</v>
      </c>
      <c r="B539" s="2" t="s">
        <v>1066</v>
      </c>
      <c r="C539" s="2" t="s">
        <v>530</v>
      </c>
      <c r="D539" s="2" t="s">
        <v>1923</v>
      </c>
      <c r="E539" s="2" t="s">
        <v>2543</v>
      </c>
      <c r="F539" s="2" t="s">
        <v>3177</v>
      </c>
      <c r="G539" s="2" t="s">
        <v>3178</v>
      </c>
      <c r="H539" s="2" t="s">
        <v>3179</v>
      </c>
      <c r="I539" s="2" t="s">
        <v>3184</v>
      </c>
      <c r="J539" s="2" t="s">
        <v>892</v>
      </c>
      <c r="K539" s="2" t="s">
        <v>3191</v>
      </c>
      <c r="L539" s="3">
        <v>335.16</v>
      </c>
      <c r="M539" s="3">
        <v>351.92</v>
      </c>
      <c r="N539" s="3">
        <v>699</v>
      </c>
      <c r="O539" s="2" t="s">
        <v>245</v>
      </c>
      <c r="P539" s="2" t="s">
        <v>1118</v>
      </c>
      <c r="Q539" s="2" t="s">
        <v>233</v>
      </c>
      <c r="R539" s="2" t="s">
        <v>233</v>
      </c>
      <c r="S539" s="2" t="s">
        <v>233</v>
      </c>
      <c r="T539" s="2" t="s">
        <v>233</v>
      </c>
      <c r="U539" s="2" t="s">
        <v>491</v>
      </c>
      <c r="V539" s="2" t="s">
        <v>241</v>
      </c>
      <c r="W539" s="2" t="s">
        <v>451</v>
      </c>
      <c r="X539" s="2" t="s">
        <v>275</v>
      </c>
      <c r="Y539" s="2" t="s">
        <v>3192</v>
      </c>
      <c r="Z539" s="4"/>
      <c r="AA539" s="4">
        <f>=ROUNDDOWN({0},0)</f>
      </c>
      <c r="AB539" s="5"/>
      <c r="AC539" s="2" t="s">
        <v>2519</v>
      </c>
      <c r="AD539" s="4">
        <v>50</v>
      </c>
      <c r="AE539" s="4">
        <v>50</v>
      </c>
      <c r="AF539" s="6"/>
      <c r="AG539" s="6"/>
      <c r="AH539" s="7">
        <v>0.1935</v>
      </c>
      <c r="AI539" s="4"/>
      <c r="AJ539" s="4">
        <f>=ROUNDDOWN({0},0)</f>
      </c>
      <c r="AK539" s="5"/>
      <c r="AL539" s="2" t="s">
        <v>233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233</v>
      </c>
      <c r="BD539" s="8" t="s">
        <v>233</v>
      </c>
      <c r="BE539" s="4" t="s">
        <v>233</v>
      </c>
      <c r="BF539" s="8" t="s">
        <v>233</v>
      </c>
      <c r="BG539" s="7" t="s">
        <v>233</v>
      </c>
      <c r="BH539" s="7" t="s">
        <v>233</v>
      </c>
      <c r="BI539" s="7"/>
      <c r="BJ539" s="4"/>
      <c r="BK539" s="8"/>
      <c r="BL539" s="2" t="s">
        <v>233</v>
      </c>
      <c r="BM539" s="7"/>
      <c r="BN539" s="7"/>
      <c r="BO539" s="4"/>
      <c r="BP539" s="8"/>
      <c r="BQ539" s="4"/>
      <c r="BR539" s="8"/>
      <c r="BS539" s="7"/>
      <c r="BT539" s="7"/>
      <c r="BU539" s="2" t="s">
        <v>243</v>
      </c>
      <c r="BV539" s="2" t="s">
        <v>233</v>
      </c>
      <c r="BW539" s="2" t="s">
        <v>233</v>
      </c>
      <c r="BX539" s="2" t="s">
        <v>243</v>
      </c>
      <c r="BY539" s="2" t="s">
        <v>244</v>
      </c>
      <c r="BZ539" s="2" t="s">
        <v>245</v>
      </c>
      <c r="CA539" s="2" t="s">
        <v>233</v>
      </c>
      <c r="CB539" s="2" t="s">
        <v>233</v>
      </c>
      <c r="CC539" s="2" t="s">
        <v>246</v>
      </c>
      <c r="CD539" s="2" t="s">
        <v>233</v>
      </c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>
        <v>50</v>
      </c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</row>
    <row r="540">
      <c r="A540" s="2" t="s">
        <v>3193</v>
      </c>
      <c r="B540" s="2" t="s">
        <v>1066</v>
      </c>
      <c r="C540" s="2" t="s">
        <v>530</v>
      </c>
      <c r="D540" s="2" t="s">
        <v>1919</v>
      </c>
      <c r="E540" s="2" t="s">
        <v>1920</v>
      </c>
      <c r="F540" s="2" t="s">
        <v>3177</v>
      </c>
      <c r="G540" s="2" t="s">
        <v>3178</v>
      </c>
      <c r="H540" s="2" t="s">
        <v>3179</v>
      </c>
      <c r="I540" s="2" t="s">
        <v>3180</v>
      </c>
      <c r="J540" s="2" t="s">
        <v>892</v>
      </c>
      <c r="K540" s="2" t="s">
        <v>257</v>
      </c>
      <c r="L540" s="3">
        <v>379.26</v>
      </c>
      <c r="M540" s="3">
        <v>398.22</v>
      </c>
      <c r="N540" s="3">
        <v>799</v>
      </c>
      <c r="O540" s="2" t="s">
        <v>245</v>
      </c>
      <c r="P540" s="2" t="s">
        <v>1118</v>
      </c>
      <c r="Q540" s="2" t="s">
        <v>233</v>
      </c>
      <c r="R540" s="2" t="s">
        <v>233</v>
      </c>
      <c r="S540" s="2" t="s">
        <v>233</v>
      </c>
      <c r="T540" s="2" t="s">
        <v>233</v>
      </c>
      <c r="U540" s="2" t="s">
        <v>491</v>
      </c>
      <c r="V540" s="2" t="s">
        <v>893</v>
      </c>
      <c r="W540" s="2" t="s">
        <v>451</v>
      </c>
      <c r="X540" s="2" t="s">
        <v>233</v>
      </c>
      <c r="Y540" s="2" t="s">
        <v>1404</v>
      </c>
      <c r="Z540" s="4">
        <v>46</v>
      </c>
      <c r="AA540" s="4">
        <f>=ROUNDDOWN({0},0)</f>
      </c>
      <c r="AB540" s="5"/>
      <c r="AC540" s="2" t="s">
        <v>795</v>
      </c>
      <c r="AD540" s="4">
        <v>60</v>
      </c>
      <c r="AE540" s="4">
        <v>190</v>
      </c>
      <c r="AF540" s="6"/>
      <c r="AG540" s="6"/>
      <c r="AH540" s="7">
        <v>0.1935</v>
      </c>
      <c r="AI540" s="4"/>
      <c r="AJ540" s="4">
        <f>=ROUNDDOWN({0},0)</f>
      </c>
      <c r="AK540" s="5"/>
      <c r="AL540" s="2" t="s">
        <v>233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233</v>
      </c>
      <c r="BD540" s="8" t="s">
        <v>233</v>
      </c>
      <c r="BE540" s="4" t="s">
        <v>233</v>
      </c>
      <c r="BF540" s="8" t="s">
        <v>233</v>
      </c>
      <c r="BG540" s="7" t="s">
        <v>233</v>
      </c>
      <c r="BH540" s="7" t="s">
        <v>233</v>
      </c>
      <c r="BI540" s="7"/>
      <c r="BJ540" s="4"/>
      <c r="BK540" s="8"/>
      <c r="BL540" s="2" t="s">
        <v>233</v>
      </c>
      <c r="BM540" s="7"/>
      <c r="BN540" s="7"/>
      <c r="BO540" s="4"/>
      <c r="BP540" s="8"/>
      <c r="BQ540" s="4"/>
      <c r="BR540" s="8"/>
      <c r="BS540" s="7"/>
      <c r="BT540" s="7"/>
      <c r="BU540" s="2" t="s">
        <v>243</v>
      </c>
      <c r="BV540" s="2" t="s">
        <v>233</v>
      </c>
      <c r="BW540" s="2" t="s">
        <v>233</v>
      </c>
      <c r="BX540" s="2" t="s">
        <v>243</v>
      </c>
      <c r="BY540" s="2" t="s">
        <v>244</v>
      </c>
      <c r="BZ540" s="2" t="s">
        <v>245</v>
      </c>
      <c r="CA540" s="2" t="s">
        <v>233</v>
      </c>
      <c r="CB540" s="2" t="s">
        <v>233</v>
      </c>
      <c r="CC540" s="2" t="s">
        <v>246</v>
      </c>
      <c r="CD540" s="2" t="s">
        <v>233</v>
      </c>
      <c r="CE540" s="4"/>
      <c r="CF540" s="4">
        <v>34</v>
      </c>
      <c r="CG540" s="4"/>
      <c r="CH540" s="4"/>
      <c r="CI540" s="4">
        <v>12</v>
      </c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>
        <v>60</v>
      </c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>
        <v>65</v>
      </c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>
        <v>65</v>
      </c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</row>
    <row r="541">
      <c r="A541" s="2" t="s">
        <v>3194</v>
      </c>
      <c r="B541" s="2" t="s">
        <v>228</v>
      </c>
      <c r="C541" s="2" t="s">
        <v>530</v>
      </c>
      <c r="D541" s="2" t="s">
        <v>230</v>
      </c>
      <c r="E541" s="2" t="s">
        <v>231</v>
      </c>
      <c r="F541" s="2" t="s">
        <v>3195</v>
      </c>
      <c r="G541" s="2" t="s">
        <v>3195</v>
      </c>
      <c r="H541" s="2" t="s">
        <v>3195</v>
      </c>
      <c r="I541" s="2" t="s">
        <v>231</v>
      </c>
      <c r="J541" s="2" t="s">
        <v>270</v>
      </c>
      <c r="K541" s="2" t="s">
        <v>271</v>
      </c>
      <c r="L541" s="3">
        <v>12.85</v>
      </c>
      <c r="M541" s="3">
        <v>13.49</v>
      </c>
      <c r="N541" s="3">
        <v>29.99</v>
      </c>
      <c r="O541" s="2" t="s">
        <v>245</v>
      </c>
      <c r="P541" s="2" t="s">
        <v>238</v>
      </c>
      <c r="Q541" s="2" t="s">
        <v>239</v>
      </c>
      <c r="R541" s="2" t="s">
        <v>233</v>
      </c>
      <c r="S541" s="2" t="s">
        <v>3196</v>
      </c>
      <c r="T541" s="2" t="s">
        <v>1622</v>
      </c>
      <c r="U541" s="2" t="s">
        <v>396</v>
      </c>
      <c r="V541" s="2" t="s">
        <v>1085</v>
      </c>
      <c r="W541" s="2" t="s">
        <v>776</v>
      </c>
      <c r="X541" s="2" t="s">
        <v>451</v>
      </c>
      <c r="Y541" s="2" t="s">
        <v>350</v>
      </c>
      <c r="Z541" s="4">
        <v>120</v>
      </c>
      <c r="AA541" s="4">
        <f>=ROUNDDOWN({0},0)</f>
      </c>
      <c r="AB541" s="5"/>
      <c r="AC541" s="2" t="s">
        <v>1601</v>
      </c>
      <c r="AD541" s="4">
        <v>120</v>
      </c>
      <c r="AE541" s="4">
        <v>120</v>
      </c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233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233</v>
      </c>
      <c r="AW541" s="8" t="s">
        <v>233</v>
      </c>
      <c r="AX541" s="4" t="s">
        <v>233</v>
      </c>
      <c r="AY541" s="8" t="s">
        <v>233</v>
      </c>
      <c r="AZ541" s="7" t="s">
        <v>233</v>
      </c>
      <c r="BA541" s="7" t="s">
        <v>233</v>
      </c>
      <c r="BB541" s="7"/>
      <c r="BC541" s="4" t="s">
        <v>233</v>
      </c>
      <c r="BD541" s="8" t="s">
        <v>233</v>
      </c>
      <c r="BE541" s="4" t="s">
        <v>233</v>
      </c>
      <c r="BF541" s="8" t="s">
        <v>233</v>
      </c>
      <c r="BG541" s="7" t="s">
        <v>233</v>
      </c>
      <c r="BH541" s="7" t="s">
        <v>233</v>
      </c>
      <c r="BI541" s="7"/>
      <c r="BJ541" s="4"/>
      <c r="BK541" s="8"/>
      <c r="BL541" s="2" t="s">
        <v>233</v>
      </c>
      <c r="BM541" s="7"/>
      <c r="BN541" s="7"/>
      <c r="BO541" s="4"/>
      <c r="BP541" s="8"/>
      <c r="BQ541" s="4"/>
      <c r="BR541" s="8"/>
      <c r="BS541" s="7"/>
      <c r="BT541" s="7"/>
      <c r="BU541" s="2" t="s">
        <v>3197</v>
      </c>
      <c r="BV541" s="2" t="s">
        <v>233</v>
      </c>
      <c r="BW541" s="2" t="s">
        <v>233</v>
      </c>
      <c r="BX541" s="2" t="s">
        <v>243</v>
      </c>
      <c r="BY541" s="2" t="s">
        <v>280</v>
      </c>
      <c r="BZ541" s="2" t="s">
        <v>245</v>
      </c>
      <c r="CA541" s="2" t="s">
        <v>350</v>
      </c>
      <c r="CB541" s="2" t="s">
        <v>233</v>
      </c>
      <c r="CC541" s="2" t="s">
        <v>246</v>
      </c>
      <c r="CD541" s="2" t="s">
        <v>233</v>
      </c>
      <c r="CE541" s="4">
        <v>120</v>
      </c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>
        <v>120</v>
      </c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</row>
    <row r="542">
      <c r="A542" s="2" t="s">
        <v>3198</v>
      </c>
      <c r="B542" s="2" t="s">
        <v>228</v>
      </c>
      <c r="C542" s="2" t="s">
        <v>530</v>
      </c>
      <c r="D542" s="2" t="s">
        <v>230</v>
      </c>
      <c r="E542" s="2" t="s">
        <v>231</v>
      </c>
      <c r="F542" s="2" t="s">
        <v>3195</v>
      </c>
      <c r="G542" s="2" t="s">
        <v>3195</v>
      </c>
      <c r="H542" s="2" t="s">
        <v>3195</v>
      </c>
      <c r="I542" s="2" t="s">
        <v>231</v>
      </c>
      <c r="J542" s="2" t="s">
        <v>981</v>
      </c>
      <c r="K542" s="2" t="s">
        <v>271</v>
      </c>
      <c r="L542" s="3">
        <v>16</v>
      </c>
      <c r="M542" s="3">
        <v>16.8</v>
      </c>
      <c r="N542" s="3">
        <v>34.99</v>
      </c>
      <c r="O542" s="2" t="s">
        <v>245</v>
      </c>
      <c r="P542" s="2" t="s">
        <v>238</v>
      </c>
      <c r="Q542" s="2" t="s">
        <v>239</v>
      </c>
      <c r="R542" s="2" t="s">
        <v>233</v>
      </c>
      <c r="S542" s="2" t="s">
        <v>3196</v>
      </c>
      <c r="T542" s="2" t="s">
        <v>1622</v>
      </c>
      <c r="U542" s="2" t="s">
        <v>396</v>
      </c>
      <c r="V542" s="2" t="s">
        <v>1085</v>
      </c>
      <c r="W542" s="2" t="s">
        <v>776</v>
      </c>
      <c r="X542" s="2" t="s">
        <v>451</v>
      </c>
      <c r="Y542" s="2" t="s">
        <v>3199</v>
      </c>
      <c r="Z542" s="4">
        <v>160</v>
      </c>
      <c r="AA542" s="4">
        <f>=ROUNDDOWN({0},0)</f>
      </c>
      <c r="AB542" s="5"/>
      <c r="AC542" s="2" t="s">
        <v>1601</v>
      </c>
      <c r="AD542" s="4">
        <v>160</v>
      </c>
      <c r="AE542" s="4">
        <v>160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233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233</v>
      </c>
      <c r="AW542" s="8" t="s">
        <v>233</v>
      </c>
      <c r="AX542" s="4" t="s">
        <v>233</v>
      </c>
      <c r="AY542" s="8" t="s">
        <v>233</v>
      </c>
      <c r="AZ542" s="7" t="s">
        <v>233</v>
      </c>
      <c r="BA542" s="7" t="s">
        <v>233</v>
      </c>
      <c r="BB542" s="7"/>
      <c r="BC542" s="4" t="s">
        <v>233</v>
      </c>
      <c r="BD542" s="8" t="s">
        <v>233</v>
      </c>
      <c r="BE542" s="4" t="s">
        <v>233</v>
      </c>
      <c r="BF542" s="8" t="s">
        <v>233</v>
      </c>
      <c r="BG542" s="7" t="s">
        <v>233</v>
      </c>
      <c r="BH542" s="7" t="s">
        <v>233</v>
      </c>
      <c r="BI542" s="7"/>
      <c r="BJ542" s="4"/>
      <c r="BK542" s="8"/>
      <c r="BL542" s="2" t="s">
        <v>233</v>
      </c>
      <c r="BM542" s="7"/>
      <c r="BN542" s="7"/>
      <c r="BO542" s="4"/>
      <c r="BP542" s="8"/>
      <c r="BQ542" s="4"/>
      <c r="BR542" s="8"/>
      <c r="BS542" s="7"/>
      <c r="BT542" s="7"/>
      <c r="BU542" s="2" t="s">
        <v>3200</v>
      </c>
      <c r="BV542" s="2" t="s">
        <v>233</v>
      </c>
      <c r="BW542" s="2" t="s">
        <v>233</v>
      </c>
      <c r="BX542" s="2" t="s">
        <v>243</v>
      </c>
      <c r="BY542" s="2" t="s">
        <v>280</v>
      </c>
      <c r="BZ542" s="2" t="s">
        <v>245</v>
      </c>
      <c r="CA542" s="2" t="s">
        <v>350</v>
      </c>
      <c r="CB542" s="2" t="s">
        <v>233</v>
      </c>
      <c r="CC542" s="2" t="s">
        <v>246</v>
      </c>
      <c r="CD542" s="2" t="s">
        <v>233</v>
      </c>
      <c r="CE542" s="4">
        <v>160</v>
      </c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>
        <v>160</v>
      </c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</row>
    <row r="543">
      <c r="A543" s="2" t="s">
        <v>3201</v>
      </c>
      <c r="B543" s="2" t="s">
        <v>228</v>
      </c>
      <c r="C543" s="2" t="s">
        <v>530</v>
      </c>
      <c r="D543" s="2" t="s">
        <v>230</v>
      </c>
      <c r="E543" s="2" t="s">
        <v>231</v>
      </c>
      <c r="F543" s="2" t="s">
        <v>3195</v>
      </c>
      <c r="G543" s="2" t="s">
        <v>3195</v>
      </c>
      <c r="H543" s="2" t="s">
        <v>3195</v>
      </c>
      <c r="I543" s="2" t="s">
        <v>231</v>
      </c>
      <c r="J543" s="2" t="s">
        <v>328</v>
      </c>
      <c r="K543" s="2" t="s">
        <v>271</v>
      </c>
      <c r="L543" s="3">
        <v>18.28</v>
      </c>
      <c r="M543" s="3">
        <v>19.19</v>
      </c>
      <c r="N543" s="3">
        <v>39.99</v>
      </c>
      <c r="O543" s="2" t="s">
        <v>245</v>
      </c>
      <c r="P543" s="2" t="s">
        <v>238</v>
      </c>
      <c r="Q543" s="2" t="s">
        <v>239</v>
      </c>
      <c r="R543" s="2" t="s">
        <v>233</v>
      </c>
      <c r="S543" s="2" t="s">
        <v>3196</v>
      </c>
      <c r="T543" s="2" t="s">
        <v>1622</v>
      </c>
      <c r="U543" s="2" t="s">
        <v>396</v>
      </c>
      <c r="V543" s="2" t="s">
        <v>1085</v>
      </c>
      <c r="W543" s="2" t="s">
        <v>776</v>
      </c>
      <c r="X543" s="2" t="s">
        <v>451</v>
      </c>
      <c r="Y543" s="2" t="s">
        <v>350</v>
      </c>
      <c r="Z543" s="4">
        <v>120</v>
      </c>
      <c r="AA543" s="4">
        <f>=ROUNDDOWN({0},0)</f>
      </c>
      <c r="AB543" s="5"/>
      <c r="AC543" s="2" t="s">
        <v>1601</v>
      </c>
      <c r="AD543" s="4">
        <v>120</v>
      </c>
      <c r="AE543" s="4">
        <v>120</v>
      </c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233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233</v>
      </c>
      <c r="AW543" s="8" t="s">
        <v>233</v>
      </c>
      <c r="AX543" s="4" t="s">
        <v>233</v>
      </c>
      <c r="AY543" s="8" t="s">
        <v>233</v>
      </c>
      <c r="AZ543" s="7" t="s">
        <v>233</v>
      </c>
      <c r="BA543" s="7" t="s">
        <v>233</v>
      </c>
      <c r="BB543" s="7"/>
      <c r="BC543" s="4" t="s">
        <v>233</v>
      </c>
      <c r="BD543" s="8" t="s">
        <v>233</v>
      </c>
      <c r="BE543" s="4" t="s">
        <v>233</v>
      </c>
      <c r="BF543" s="8" t="s">
        <v>233</v>
      </c>
      <c r="BG543" s="7" t="s">
        <v>233</v>
      </c>
      <c r="BH543" s="7" t="s">
        <v>233</v>
      </c>
      <c r="BI543" s="7"/>
      <c r="BJ543" s="4"/>
      <c r="BK543" s="8"/>
      <c r="BL543" s="2" t="s">
        <v>233</v>
      </c>
      <c r="BM543" s="7"/>
      <c r="BN543" s="7"/>
      <c r="BO543" s="4"/>
      <c r="BP543" s="8"/>
      <c r="BQ543" s="4"/>
      <c r="BR543" s="8"/>
      <c r="BS543" s="7"/>
      <c r="BT543" s="7"/>
      <c r="BU543" s="2" t="s">
        <v>3202</v>
      </c>
      <c r="BV543" s="2" t="s">
        <v>233</v>
      </c>
      <c r="BW543" s="2" t="s">
        <v>233</v>
      </c>
      <c r="BX543" s="2" t="s">
        <v>243</v>
      </c>
      <c r="BY543" s="2" t="s">
        <v>280</v>
      </c>
      <c r="BZ543" s="2" t="s">
        <v>245</v>
      </c>
      <c r="CA543" s="2" t="s">
        <v>350</v>
      </c>
      <c r="CB543" s="2" t="s">
        <v>233</v>
      </c>
      <c r="CC543" s="2" t="s">
        <v>246</v>
      </c>
      <c r="CD543" s="2" t="s">
        <v>233</v>
      </c>
      <c r="CE543" s="4">
        <v>120</v>
      </c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>
        <v>120</v>
      </c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</row>
    <row r="544">
      <c r="A544" s="2" t="s">
        <v>3203</v>
      </c>
      <c r="B544" s="2" t="s">
        <v>228</v>
      </c>
      <c r="C544" s="2" t="s">
        <v>530</v>
      </c>
      <c r="D544" s="2" t="s">
        <v>230</v>
      </c>
      <c r="E544" s="2" t="s">
        <v>231</v>
      </c>
      <c r="F544" s="2" t="s">
        <v>3195</v>
      </c>
      <c r="G544" s="2" t="s">
        <v>3195</v>
      </c>
      <c r="H544" s="2" t="s">
        <v>3195</v>
      </c>
      <c r="I544" s="2" t="s">
        <v>231</v>
      </c>
      <c r="J544" s="2" t="s">
        <v>270</v>
      </c>
      <c r="K544" s="2" t="s">
        <v>984</v>
      </c>
      <c r="L544" s="3">
        <v>12.85</v>
      </c>
      <c r="M544" s="3">
        <v>13.49</v>
      </c>
      <c r="N544" s="3">
        <v>29.99</v>
      </c>
      <c r="O544" s="2" t="s">
        <v>245</v>
      </c>
      <c r="P544" s="2" t="s">
        <v>238</v>
      </c>
      <c r="Q544" s="2" t="s">
        <v>239</v>
      </c>
      <c r="R544" s="2" t="s">
        <v>233</v>
      </c>
      <c r="S544" s="2" t="s">
        <v>3204</v>
      </c>
      <c r="T544" s="2" t="s">
        <v>1622</v>
      </c>
      <c r="U544" s="2" t="s">
        <v>396</v>
      </c>
      <c r="V544" s="2" t="s">
        <v>1085</v>
      </c>
      <c r="W544" s="2" t="s">
        <v>776</v>
      </c>
      <c r="X544" s="2" t="s">
        <v>451</v>
      </c>
      <c r="Y544" s="2" t="s">
        <v>3199</v>
      </c>
      <c r="Z544" s="4">
        <v>120</v>
      </c>
      <c r="AA544" s="4">
        <f>=ROUNDDOWN({0},0)</f>
      </c>
      <c r="AB544" s="5"/>
      <c r="AC544" s="2" t="s">
        <v>1601</v>
      </c>
      <c r="AD544" s="4">
        <v>120</v>
      </c>
      <c r="AE544" s="4">
        <v>120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233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233</v>
      </c>
      <c r="AW544" s="8" t="s">
        <v>233</v>
      </c>
      <c r="AX544" s="4" t="s">
        <v>233</v>
      </c>
      <c r="AY544" s="8" t="s">
        <v>233</v>
      </c>
      <c r="AZ544" s="7" t="s">
        <v>233</v>
      </c>
      <c r="BA544" s="7" t="s">
        <v>233</v>
      </c>
      <c r="BB544" s="7"/>
      <c r="BC544" s="4" t="s">
        <v>233</v>
      </c>
      <c r="BD544" s="8" t="s">
        <v>233</v>
      </c>
      <c r="BE544" s="4" t="s">
        <v>233</v>
      </c>
      <c r="BF544" s="8" t="s">
        <v>233</v>
      </c>
      <c r="BG544" s="7" t="s">
        <v>233</v>
      </c>
      <c r="BH544" s="7" t="s">
        <v>233</v>
      </c>
      <c r="BI544" s="7"/>
      <c r="BJ544" s="4"/>
      <c r="BK544" s="8"/>
      <c r="BL544" s="2" t="s">
        <v>233</v>
      </c>
      <c r="BM544" s="7"/>
      <c r="BN544" s="7"/>
      <c r="BO544" s="4"/>
      <c r="BP544" s="8"/>
      <c r="BQ544" s="4"/>
      <c r="BR544" s="8"/>
      <c r="BS544" s="7"/>
      <c r="BT544" s="7"/>
      <c r="BU544" s="2" t="s">
        <v>3205</v>
      </c>
      <c r="BV544" s="2" t="s">
        <v>233</v>
      </c>
      <c r="BW544" s="2" t="s">
        <v>233</v>
      </c>
      <c r="BX544" s="2" t="s">
        <v>243</v>
      </c>
      <c r="BY544" s="2" t="s">
        <v>280</v>
      </c>
      <c r="BZ544" s="2" t="s">
        <v>245</v>
      </c>
      <c r="CA544" s="2" t="s">
        <v>350</v>
      </c>
      <c r="CB544" s="2" t="s">
        <v>233</v>
      </c>
      <c r="CC544" s="2" t="s">
        <v>246</v>
      </c>
      <c r="CD544" s="2" t="s">
        <v>233</v>
      </c>
      <c r="CE544" s="4">
        <v>120</v>
      </c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>
        <v>120</v>
      </c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</row>
    <row r="545">
      <c r="A545" s="2" t="s">
        <v>3206</v>
      </c>
      <c r="B545" s="2" t="s">
        <v>228</v>
      </c>
      <c r="C545" s="2" t="s">
        <v>530</v>
      </c>
      <c r="D545" s="2" t="s">
        <v>230</v>
      </c>
      <c r="E545" s="2" t="s">
        <v>231</v>
      </c>
      <c r="F545" s="2" t="s">
        <v>3195</v>
      </c>
      <c r="G545" s="2" t="s">
        <v>3195</v>
      </c>
      <c r="H545" s="2" t="s">
        <v>3195</v>
      </c>
      <c r="I545" s="2" t="s">
        <v>231</v>
      </c>
      <c r="J545" s="2" t="s">
        <v>981</v>
      </c>
      <c r="K545" s="2" t="s">
        <v>984</v>
      </c>
      <c r="L545" s="3">
        <v>16</v>
      </c>
      <c r="M545" s="3">
        <v>16.8</v>
      </c>
      <c r="N545" s="3">
        <v>34.99</v>
      </c>
      <c r="O545" s="2" t="s">
        <v>245</v>
      </c>
      <c r="P545" s="2" t="s">
        <v>238</v>
      </c>
      <c r="Q545" s="2" t="s">
        <v>239</v>
      </c>
      <c r="R545" s="2" t="s">
        <v>233</v>
      </c>
      <c r="S545" s="2" t="s">
        <v>3204</v>
      </c>
      <c r="T545" s="2" t="s">
        <v>1622</v>
      </c>
      <c r="U545" s="2" t="s">
        <v>396</v>
      </c>
      <c r="V545" s="2" t="s">
        <v>1085</v>
      </c>
      <c r="W545" s="2" t="s">
        <v>776</v>
      </c>
      <c r="X545" s="2" t="s">
        <v>451</v>
      </c>
      <c r="Y545" s="2" t="s">
        <v>350</v>
      </c>
      <c r="Z545" s="4">
        <v>140</v>
      </c>
      <c r="AA545" s="4">
        <f>=ROUNDDOWN({0},0)</f>
      </c>
      <c r="AB545" s="5"/>
      <c r="AC545" s="2" t="s">
        <v>1601</v>
      </c>
      <c r="AD545" s="4">
        <v>140</v>
      </c>
      <c r="AE545" s="4">
        <v>140</v>
      </c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233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233</v>
      </c>
      <c r="AW545" s="8" t="s">
        <v>233</v>
      </c>
      <c r="AX545" s="4" t="s">
        <v>233</v>
      </c>
      <c r="AY545" s="8" t="s">
        <v>233</v>
      </c>
      <c r="AZ545" s="7" t="s">
        <v>233</v>
      </c>
      <c r="BA545" s="7" t="s">
        <v>233</v>
      </c>
      <c r="BB545" s="7"/>
      <c r="BC545" s="4" t="s">
        <v>233</v>
      </c>
      <c r="BD545" s="8" t="s">
        <v>233</v>
      </c>
      <c r="BE545" s="4" t="s">
        <v>233</v>
      </c>
      <c r="BF545" s="8" t="s">
        <v>233</v>
      </c>
      <c r="BG545" s="7" t="s">
        <v>233</v>
      </c>
      <c r="BH545" s="7" t="s">
        <v>233</v>
      </c>
      <c r="BI545" s="7"/>
      <c r="BJ545" s="4"/>
      <c r="BK545" s="8"/>
      <c r="BL545" s="2" t="s">
        <v>233</v>
      </c>
      <c r="BM545" s="7"/>
      <c r="BN545" s="7"/>
      <c r="BO545" s="4"/>
      <c r="BP545" s="8"/>
      <c r="BQ545" s="4"/>
      <c r="BR545" s="8"/>
      <c r="BS545" s="7"/>
      <c r="BT545" s="7"/>
      <c r="BU545" s="2" t="s">
        <v>3207</v>
      </c>
      <c r="BV545" s="2" t="s">
        <v>233</v>
      </c>
      <c r="BW545" s="2" t="s">
        <v>233</v>
      </c>
      <c r="BX545" s="2" t="s">
        <v>243</v>
      </c>
      <c r="BY545" s="2" t="s">
        <v>280</v>
      </c>
      <c r="BZ545" s="2" t="s">
        <v>245</v>
      </c>
      <c r="CA545" s="2" t="s">
        <v>350</v>
      </c>
      <c r="CB545" s="2" t="s">
        <v>233</v>
      </c>
      <c r="CC545" s="2" t="s">
        <v>246</v>
      </c>
      <c r="CD545" s="2" t="s">
        <v>233</v>
      </c>
      <c r="CE545" s="4">
        <v>140</v>
      </c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>
        <v>140</v>
      </c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</row>
    <row r="546">
      <c r="A546" s="2" t="s">
        <v>3208</v>
      </c>
      <c r="B546" s="2" t="s">
        <v>228</v>
      </c>
      <c r="C546" s="2" t="s">
        <v>530</v>
      </c>
      <c r="D546" s="2" t="s">
        <v>230</v>
      </c>
      <c r="E546" s="2" t="s">
        <v>231</v>
      </c>
      <c r="F546" s="2" t="s">
        <v>3195</v>
      </c>
      <c r="G546" s="2" t="s">
        <v>3195</v>
      </c>
      <c r="H546" s="2" t="s">
        <v>3195</v>
      </c>
      <c r="I546" s="2" t="s">
        <v>231</v>
      </c>
      <c r="J546" s="2" t="s">
        <v>328</v>
      </c>
      <c r="K546" s="2" t="s">
        <v>984</v>
      </c>
      <c r="L546" s="3">
        <v>18.28</v>
      </c>
      <c r="M546" s="3">
        <v>19.19</v>
      </c>
      <c r="N546" s="3">
        <v>39.99</v>
      </c>
      <c r="O546" s="2" t="s">
        <v>245</v>
      </c>
      <c r="P546" s="2" t="s">
        <v>238</v>
      </c>
      <c r="Q546" s="2" t="s">
        <v>239</v>
      </c>
      <c r="R546" s="2" t="s">
        <v>233</v>
      </c>
      <c r="S546" s="2" t="s">
        <v>3204</v>
      </c>
      <c r="T546" s="2" t="s">
        <v>1622</v>
      </c>
      <c r="U546" s="2" t="s">
        <v>396</v>
      </c>
      <c r="V546" s="2" t="s">
        <v>1085</v>
      </c>
      <c r="W546" s="2" t="s">
        <v>776</v>
      </c>
      <c r="X546" s="2" t="s">
        <v>451</v>
      </c>
      <c r="Y546" s="2" t="s">
        <v>3199</v>
      </c>
      <c r="Z546" s="4">
        <v>140</v>
      </c>
      <c r="AA546" s="4">
        <f>=ROUNDDOWN({0},0)</f>
      </c>
      <c r="AB546" s="5"/>
      <c r="AC546" s="2" t="s">
        <v>1601</v>
      </c>
      <c r="AD546" s="4">
        <v>140</v>
      </c>
      <c r="AE546" s="4">
        <v>140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233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233</v>
      </c>
      <c r="AW546" s="8" t="s">
        <v>233</v>
      </c>
      <c r="AX546" s="4" t="s">
        <v>233</v>
      </c>
      <c r="AY546" s="8" t="s">
        <v>233</v>
      </c>
      <c r="AZ546" s="7" t="s">
        <v>233</v>
      </c>
      <c r="BA546" s="7" t="s">
        <v>233</v>
      </c>
      <c r="BB546" s="7"/>
      <c r="BC546" s="4" t="s">
        <v>233</v>
      </c>
      <c r="BD546" s="8" t="s">
        <v>233</v>
      </c>
      <c r="BE546" s="4" t="s">
        <v>233</v>
      </c>
      <c r="BF546" s="8" t="s">
        <v>233</v>
      </c>
      <c r="BG546" s="7" t="s">
        <v>233</v>
      </c>
      <c r="BH546" s="7" t="s">
        <v>233</v>
      </c>
      <c r="BI546" s="7"/>
      <c r="BJ546" s="4"/>
      <c r="BK546" s="8"/>
      <c r="BL546" s="2" t="s">
        <v>233</v>
      </c>
      <c r="BM546" s="7"/>
      <c r="BN546" s="7"/>
      <c r="BO546" s="4"/>
      <c r="BP546" s="8"/>
      <c r="BQ546" s="4"/>
      <c r="BR546" s="8"/>
      <c r="BS546" s="7"/>
      <c r="BT546" s="7"/>
      <c r="BU546" s="2" t="s">
        <v>3209</v>
      </c>
      <c r="BV546" s="2" t="s">
        <v>233</v>
      </c>
      <c r="BW546" s="2" t="s">
        <v>233</v>
      </c>
      <c r="BX546" s="2" t="s">
        <v>243</v>
      </c>
      <c r="BY546" s="2" t="s">
        <v>280</v>
      </c>
      <c r="BZ546" s="2" t="s">
        <v>245</v>
      </c>
      <c r="CA546" s="2" t="s">
        <v>350</v>
      </c>
      <c r="CB546" s="2" t="s">
        <v>233</v>
      </c>
      <c r="CC546" s="2" t="s">
        <v>246</v>
      </c>
      <c r="CD546" s="2" t="s">
        <v>233</v>
      </c>
      <c r="CE546" s="4">
        <v>140</v>
      </c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>
        <v>140</v>
      </c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</row>
    <row r="547">
      <c r="A547" s="2" t="s">
        <v>3210</v>
      </c>
      <c r="B547" s="2" t="s">
        <v>228</v>
      </c>
      <c r="C547" s="2" t="s">
        <v>530</v>
      </c>
      <c r="D547" s="2" t="s">
        <v>230</v>
      </c>
      <c r="E547" s="2" t="s">
        <v>231</v>
      </c>
      <c r="F547" s="2" t="s">
        <v>3195</v>
      </c>
      <c r="G547" s="2" t="s">
        <v>3195</v>
      </c>
      <c r="H547" s="2" t="s">
        <v>3195</v>
      </c>
      <c r="I547" s="2" t="s">
        <v>231</v>
      </c>
      <c r="J547" s="2" t="s">
        <v>270</v>
      </c>
      <c r="K547" s="2" t="s">
        <v>449</v>
      </c>
      <c r="L547" s="3">
        <v>12.85</v>
      </c>
      <c r="M547" s="3">
        <v>13.49</v>
      </c>
      <c r="N547" s="3">
        <v>29.99</v>
      </c>
      <c r="O547" s="2" t="s">
        <v>245</v>
      </c>
      <c r="P547" s="2" t="s">
        <v>238</v>
      </c>
      <c r="Q547" s="2" t="s">
        <v>239</v>
      </c>
      <c r="R547" s="2" t="s">
        <v>233</v>
      </c>
      <c r="S547" s="2" t="s">
        <v>3211</v>
      </c>
      <c r="T547" s="2" t="s">
        <v>1622</v>
      </c>
      <c r="U547" s="2" t="s">
        <v>396</v>
      </c>
      <c r="V547" s="2" t="s">
        <v>1085</v>
      </c>
      <c r="W547" s="2" t="s">
        <v>776</v>
      </c>
      <c r="X547" s="2" t="s">
        <v>451</v>
      </c>
      <c r="Y547" s="2" t="s">
        <v>350</v>
      </c>
      <c r="Z547" s="4">
        <v>119</v>
      </c>
      <c r="AA547" s="4">
        <f>=ROUNDDOWN({0},0)</f>
      </c>
      <c r="AB547" s="5"/>
      <c r="AC547" s="2" t="s">
        <v>1601</v>
      </c>
      <c r="AD547" s="4">
        <v>120</v>
      </c>
      <c r="AE547" s="4">
        <v>120</v>
      </c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233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233</v>
      </c>
      <c r="AW547" s="8" t="s">
        <v>233</v>
      </c>
      <c r="AX547" s="4" t="s">
        <v>233</v>
      </c>
      <c r="AY547" s="8" t="s">
        <v>233</v>
      </c>
      <c r="AZ547" s="7" t="s">
        <v>233</v>
      </c>
      <c r="BA547" s="7" t="s">
        <v>233</v>
      </c>
      <c r="BB547" s="7"/>
      <c r="BC547" s="4" t="s">
        <v>233</v>
      </c>
      <c r="BD547" s="8" t="s">
        <v>233</v>
      </c>
      <c r="BE547" s="4" t="s">
        <v>233</v>
      </c>
      <c r="BF547" s="8" t="s">
        <v>233</v>
      </c>
      <c r="BG547" s="7" t="s">
        <v>233</v>
      </c>
      <c r="BH547" s="7" t="s">
        <v>233</v>
      </c>
      <c r="BI547" s="7"/>
      <c r="BJ547" s="4"/>
      <c r="BK547" s="8"/>
      <c r="BL547" s="2" t="s">
        <v>233</v>
      </c>
      <c r="BM547" s="7"/>
      <c r="BN547" s="7"/>
      <c r="BO547" s="4"/>
      <c r="BP547" s="8"/>
      <c r="BQ547" s="4"/>
      <c r="BR547" s="8"/>
      <c r="BS547" s="7"/>
      <c r="BT547" s="7"/>
      <c r="BU547" s="2" t="s">
        <v>3212</v>
      </c>
      <c r="BV547" s="2" t="s">
        <v>233</v>
      </c>
      <c r="BW547" s="2" t="s">
        <v>233</v>
      </c>
      <c r="BX547" s="2" t="s">
        <v>243</v>
      </c>
      <c r="BY547" s="2" t="s">
        <v>280</v>
      </c>
      <c r="BZ547" s="2" t="s">
        <v>245</v>
      </c>
      <c r="CA547" s="2" t="s">
        <v>350</v>
      </c>
      <c r="CB547" s="2" t="s">
        <v>233</v>
      </c>
      <c r="CC547" s="2" t="s">
        <v>246</v>
      </c>
      <c r="CD547" s="2" t="s">
        <v>233</v>
      </c>
      <c r="CE547" s="4">
        <v>119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>
        <v>120</v>
      </c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</row>
    <row r="548">
      <c r="A548" s="2" t="s">
        <v>3213</v>
      </c>
      <c r="B548" s="2" t="s">
        <v>228</v>
      </c>
      <c r="C548" s="2" t="s">
        <v>530</v>
      </c>
      <c r="D548" s="2" t="s">
        <v>230</v>
      </c>
      <c r="E548" s="2" t="s">
        <v>231</v>
      </c>
      <c r="F548" s="2" t="s">
        <v>3195</v>
      </c>
      <c r="G548" s="2" t="s">
        <v>3195</v>
      </c>
      <c r="H548" s="2" t="s">
        <v>3195</v>
      </c>
      <c r="I548" s="2" t="s">
        <v>231</v>
      </c>
      <c r="J548" s="2" t="s">
        <v>981</v>
      </c>
      <c r="K548" s="2" t="s">
        <v>449</v>
      </c>
      <c r="L548" s="3">
        <v>16</v>
      </c>
      <c r="M548" s="3">
        <v>16.8</v>
      </c>
      <c r="N548" s="3">
        <v>34.99</v>
      </c>
      <c r="O548" s="2" t="s">
        <v>245</v>
      </c>
      <c r="P548" s="2" t="s">
        <v>238</v>
      </c>
      <c r="Q548" s="2" t="s">
        <v>239</v>
      </c>
      <c r="R548" s="2" t="s">
        <v>233</v>
      </c>
      <c r="S548" s="2" t="s">
        <v>3211</v>
      </c>
      <c r="T548" s="2" t="s">
        <v>1622</v>
      </c>
      <c r="U548" s="2" t="s">
        <v>396</v>
      </c>
      <c r="V548" s="2" t="s">
        <v>1085</v>
      </c>
      <c r="W548" s="2" t="s">
        <v>776</v>
      </c>
      <c r="X548" s="2" t="s">
        <v>451</v>
      </c>
      <c r="Y548" s="2" t="s">
        <v>3199</v>
      </c>
      <c r="Z548" s="4">
        <v>161</v>
      </c>
      <c r="AA548" s="4">
        <f>=ROUNDDOWN({0},0)</f>
      </c>
      <c r="AB548" s="5"/>
      <c r="AC548" s="2" t="s">
        <v>1601</v>
      </c>
      <c r="AD548" s="4">
        <v>160</v>
      </c>
      <c r="AE548" s="4">
        <v>160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233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233</v>
      </c>
      <c r="AW548" s="8" t="s">
        <v>233</v>
      </c>
      <c r="AX548" s="4" t="s">
        <v>233</v>
      </c>
      <c r="AY548" s="8" t="s">
        <v>233</v>
      </c>
      <c r="AZ548" s="7" t="s">
        <v>233</v>
      </c>
      <c r="BA548" s="7" t="s">
        <v>233</v>
      </c>
      <c r="BB548" s="7"/>
      <c r="BC548" s="4" t="s">
        <v>233</v>
      </c>
      <c r="BD548" s="8" t="s">
        <v>233</v>
      </c>
      <c r="BE548" s="4" t="s">
        <v>233</v>
      </c>
      <c r="BF548" s="8" t="s">
        <v>233</v>
      </c>
      <c r="BG548" s="7" t="s">
        <v>233</v>
      </c>
      <c r="BH548" s="7" t="s">
        <v>233</v>
      </c>
      <c r="BI548" s="7"/>
      <c r="BJ548" s="4"/>
      <c r="BK548" s="8"/>
      <c r="BL548" s="2" t="s">
        <v>233</v>
      </c>
      <c r="BM548" s="7"/>
      <c r="BN548" s="7"/>
      <c r="BO548" s="4"/>
      <c r="BP548" s="8"/>
      <c r="BQ548" s="4"/>
      <c r="BR548" s="8"/>
      <c r="BS548" s="7"/>
      <c r="BT548" s="7"/>
      <c r="BU548" s="2" t="s">
        <v>3214</v>
      </c>
      <c r="BV548" s="2" t="s">
        <v>233</v>
      </c>
      <c r="BW548" s="2" t="s">
        <v>233</v>
      </c>
      <c r="BX548" s="2" t="s">
        <v>243</v>
      </c>
      <c r="BY548" s="2" t="s">
        <v>280</v>
      </c>
      <c r="BZ548" s="2" t="s">
        <v>245</v>
      </c>
      <c r="CA548" s="2" t="s">
        <v>350</v>
      </c>
      <c r="CB548" s="2" t="s">
        <v>233</v>
      </c>
      <c r="CC548" s="2" t="s">
        <v>246</v>
      </c>
      <c r="CD548" s="2" t="s">
        <v>233</v>
      </c>
      <c r="CE548" s="4">
        <v>160</v>
      </c>
      <c r="CF548" s="4"/>
      <c r="CG548" s="4"/>
      <c r="CH548" s="4"/>
      <c r="CI548" s="4"/>
      <c r="CJ548" s="4"/>
      <c r="CK548" s="4"/>
      <c r="CL548" s="4">
        <v>1</v>
      </c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>
        <v>160</v>
      </c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</row>
    <row r="549">
      <c r="A549" s="2" t="s">
        <v>3215</v>
      </c>
      <c r="B549" s="2" t="s">
        <v>228</v>
      </c>
      <c r="C549" s="2" t="s">
        <v>530</v>
      </c>
      <c r="D549" s="2" t="s">
        <v>230</v>
      </c>
      <c r="E549" s="2" t="s">
        <v>231</v>
      </c>
      <c r="F549" s="2" t="s">
        <v>3195</v>
      </c>
      <c r="G549" s="2" t="s">
        <v>3195</v>
      </c>
      <c r="H549" s="2" t="s">
        <v>3195</v>
      </c>
      <c r="I549" s="2" t="s">
        <v>231</v>
      </c>
      <c r="J549" s="2" t="s">
        <v>328</v>
      </c>
      <c r="K549" s="2" t="s">
        <v>449</v>
      </c>
      <c r="L549" s="3">
        <v>18.28</v>
      </c>
      <c r="M549" s="3">
        <v>19.19</v>
      </c>
      <c r="N549" s="3">
        <v>39.99</v>
      </c>
      <c r="O549" s="2" t="s">
        <v>245</v>
      </c>
      <c r="P549" s="2" t="s">
        <v>238</v>
      </c>
      <c r="Q549" s="2" t="s">
        <v>239</v>
      </c>
      <c r="R549" s="2" t="s">
        <v>233</v>
      </c>
      <c r="S549" s="2" t="s">
        <v>3211</v>
      </c>
      <c r="T549" s="2" t="s">
        <v>1622</v>
      </c>
      <c r="U549" s="2" t="s">
        <v>396</v>
      </c>
      <c r="V549" s="2" t="s">
        <v>1085</v>
      </c>
      <c r="W549" s="2" t="s">
        <v>776</v>
      </c>
      <c r="X549" s="2" t="s">
        <v>451</v>
      </c>
      <c r="Y549" s="2" t="s">
        <v>3199</v>
      </c>
      <c r="Z549" s="4">
        <v>120</v>
      </c>
      <c r="AA549" s="4">
        <f>=ROUNDDOWN({0},0)</f>
      </c>
      <c r="AB549" s="5"/>
      <c r="AC549" s="2" t="s">
        <v>1601</v>
      </c>
      <c r="AD549" s="4">
        <v>120</v>
      </c>
      <c r="AE549" s="4">
        <v>120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233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233</v>
      </c>
      <c r="AW549" s="8" t="s">
        <v>233</v>
      </c>
      <c r="AX549" s="4" t="s">
        <v>233</v>
      </c>
      <c r="AY549" s="8" t="s">
        <v>233</v>
      </c>
      <c r="AZ549" s="7" t="s">
        <v>233</v>
      </c>
      <c r="BA549" s="7" t="s">
        <v>233</v>
      </c>
      <c r="BB549" s="7"/>
      <c r="BC549" s="4" t="s">
        <v>233</v>
      </c>
      <c r="BD549" s="8" t="s">
        <v>233</v>
      </c>
      <c r="BE549" s="4" t="s">
        <v>233</v>
      </c>
      <c r="BF549" s="8" t="s">
        <v>233</v>
      </c>
      <c r="BG549" s="7" t="s">
        <v>233</v>
      </c>
      <c r="BH549" s="7" t="s">
        <v>233</v>
      </c>
      <c r="BI549" s="7"/>
      <c r="BJ549" s="4"/>
      <c r="BK549" s="8"/>
      <c r="BL549" s="2" t="s">
        <v>233</v>
      </c>
      <c r="BM549" s="7"/>
      <c r="BN549" s="7"/>
      <c r="BO549" s="4"/>
      <c r="BP549" s="8"/>
      <c r="BQ549" s="4"/>
      <c r="BR549" s="8"/>
      <c r="BS549" s="7"/>
      <c r="BT549" s="7"/>
      <c r="BU549" s="2" t="s">
        <v>3216</v>
      </c>
      <c r="BV549" s="2" t="s">
        <v>233</v>
      </c>
      <c r="BW549" s="2" t="s">
        <v>233</v>
      </c>
      <c r="BX549" s="2" t="s">
        <v>243</v>
      </c>
      <c r="BY549" s="2" t="s">
        <v>280</v>
      </c>
      <c r="BZ549" s="2" t="s">
        <v>245</v>
      </c>
      <c r="CA549" s="2" t="s">
        <v>350</v>
      </c>
      <c r="CB549" s="2" t="s">
        <v>233</v>
      </c>
      <c r="CC549" s="2" t="s">
        <v>246</v>
      </c>
      <c r="CD549" s="2" t="s">
        <v>233</v>
      </c>
      <c r="CE549" s="4">
        <v>120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>
        <v>120</v>
      </c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</row>
    <row r="550">
      <c r="A550" s="2" t="s">
        <v>3217</v>
      </c>
      <c r="B550" s="2" t="s">
        <v>228</v>
      </c>
      <c r="C550" s="2" t="s">
        <v>530</v>
      </c>
      <c r="D550" s="2" t="s">
        <v>230</v>
      </c>
      <c r="E550" s="2" t="s">
        <v>231</v>
      </c>
      <c r="F550" s="2" t="s">
        <v>3195</v>
      </c>
      <c r="G550" s="2" t="s">
        <v>3195</v>
      </c>
      <c r="H550" s="2" t="s">
        <v>3195</v>
      </c>
      <c r="I550" s="2" t="s">
        <v>231</v>
      </c>
      <c r="J550" s="2" t="s">
        <v>270</v>
      </c>
      <c r="K550" s="2" t="s">
        <v>255</v>
      </c>
      <c r="L550" s="3">
        <v>12.85</v>
      </c>
      <c r="M550" s="3">
        <v>13.49</v>
      </c>
      <c r="N550" s="3">
        <v>29.99</v>
      </c>
      <c r="O550" s="2" t="s">
        <v>245</v>
      </c>
      <c r="P550" s="2" t="s">
        <v>238</v>
      </c>
      <c r="Q550" s="2" t="s">
        <v>239</v>
      </c>
      <c r="R550" s="2" t="s">
        <v>233</v>
      </c>
      <c r="S550" s="2" t="s">
        <v>3218</v>
      </c>
      <c r="T550" s="2" t="s">
        <v>1622</v>
      </c>
      <c r="U550" s="2" t="s">
        <v>396</v>
      </c>
      <c r="V550" s="2" t="s">
        <v>1085</v>
      </c>
      <c r="W550" s="2" t="s">
        <v>776</v>
      </c>
      <c r="X550" s="2" t="s">
        <v>451</v>
      </c>
      <c r="Y550" s="2" t="s">
        <v>350</v>
      </c>
      <c r="Z550" s="4">
        <v>120</v>
      </c>
      <c r="AA550" s="4">
        <f>=ROUNDDOWN({0},0)</f>
      </c>
      <c r="AB550" s="5"/>
      <c r="AC550" s="2" t="s">
        <v>1601</v>
      </c>
      <c r="AD550" s="4">
        <v>120</v>
      </c>
      <c r="AE550" s="4">
        <v>120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233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233</v>
      </c>
      <c r="AW550" s="8" t="s">
        <v>233</v>
      </c>
      <c r="AX550" s="4" t="s">
        <v>233</v>
      </c>
      <c r="AY550" s="8" t="s">
        <v>233</v>
      </c>
      <c r="AZ550" s="7" t="s">
        <v>233</v>
      </c>
      <c r="BA550" s="7" t="s">
        <v>233</v>
      </c>
      <c r="BB550" s="7"/>
      <c r="BC550" s="4" t="s">
        <v>233</v>
      </c>
      <c r="BD550" s="8" t="s">
        <v>233</v>
      </c>
      <c r="BE550" s="4" t="s">
        <v>233</v>
      </c>
      <c r="BF550" s="8" t="s">
        <v>233</v>
      </c>
      <c r="BG550" s="7" t="s">
        <v>233</v>
      </c>
      <c r="BH550" s="7" t="s">
        <v>233</v>
      </c>
      <c r="BI550" s="7"/>
      <c r="BJ550" s="4"/>
      <c r="BK550" s="8"/>
      <c r="BL550" s="2" t="s">
        <v>233</v>
      </c>
      <c r="BM550" s="7"/>
      <c r="BN550" s="7"/>
      <c r="BO550" s="4"/>
      <c r="BP550" s="8"/>
      <c r="BQ550" s="4"/>
      <c r="BR550" s="8"/>
      <c r="BS550" s="7"/>
      <c r="BT550" s="7"/>
      <c r="BU550" s="2" t="s">
        <v>3219</v>
      </c>
      <c r="BV550" s="2" t="s">
        <v>233</v>
      </c>
      <c r="BW550" s="2" t="s">
        <v>233</v>
      </c>
      <c r="BX550" s="2" t="s">
        <v>243</v>
      </c>
      <c r="BY550" s="2" t="s">
        <v>280</v>
      </c>
      <c r="BZ550" s="2" t="s">
        <v>245</v>
      </c>
      <c r="CA550" s="2" t="s">
        <v>350</v>
      </c>
      <c r="CB550" s="2" t="s">
        <v>233</v>
      </c>
      <c r="CC550" s="2" t="s">
        <v>246</v>
      </c>
      <c r="CD550" s="2" t="s">
        <v>233</v>
      </c>
      <c r="CE550" s="4">
        <v>120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>
        <v>120</v>
      </c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</row>
    <row r="551">
      <c r="A551" s="2" t="s">
        <v>3220</v>
      </c>
      <c r="B551" s="2" t="s">
        <v>228</v>
      </c>
      <c r="C551" s="2" t="s">
        <v>530</v>
      </c>
      <c r="D551" s="2" t="s">
        <v>230</v>
      </c>
      <c r="E551" s="2" t="s">
        <v>231</v>
      </c>
      <c r="F551" s="2" t="s">
        <v>3195</v>
      </c>
      <c r="G551" s="2" t="s">
        <v>3195</v>
      </c>
      <c r="H551" s="2" t="s">
        <v>3195</v>
      </c>
      <c r="I551" s="2" t="s">
        <v>231</v>
      </c>
      <c r="J551" s="2" t="s">
        <v>981</v>
      </c>
      <c r="K551" s="2" t="s">
        <v>255</v>
      </c>
      <c r="L551" s="3">
        <v>16</v>
      </c>
      <c r="M551" s="3">
        <v>16.8</v>
      </c>
      <c r="N551" s="3">
        <v>34.99</v>
      </c>
      <c r="O551" s="2" t="s">
        <v>245</v>
      </c>
      <c r="P551" s="2" t="s">
        <v>238</v>
      </c>
      <c r="Q551" s="2" t="s">
        <v>239</v>
      </c>
      <c r="R551" s="2" t="s">
        <v>233</v>
      </c>
      <c r="S551" s="2" t="s">
        <v>3218</v>
      </c>
      <c r="T551" s="2" t="s">
        <v>1622</v>
      </c>
      <c r="U551" s="2" t="s">
        <v>396</v>
      </c>
      <c r="V551" s="2" t="s">
        <v>1085</v>
      </c>
      <c r="W551" s="2" t="s">
        <v>776</v>
      </c>
      <c r="X551" s="2" t="s">
        <v>451</v>
      </c>
      <c r="Y551" s="2" t="s">
        <v>350</v>
      </c>
      <c r="Z551" s="4">
        <v>140</v>
      </c>
      <c r="AA551" s="4">
        <f>=ROUNDDOWN({0},0)</f>
      </c>
      <c r="AB551" s="5"/>
      <c r="AC551" s="2" t="s">
        <v>1601</v>
      </c>
      <c r="AD551" s="4">
        <v>140</v>
      </c>
      <c r="AE551" s="4">
        <v>140</v>
      </c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233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233</v>
      </c>
      <c r="AW551" s="8" t="s">
        <v>233</v>
      </c>
      <c r="AX551" s="4" t="s">
        <v>233</v>
      </c>
      <c r="AY551" s="8" t="s">
        <v>233</v>
      </c>
      <c r="AZ551" s="7" t="s">
        <v>233</v>
      </c>
      <c r="BA551" s="7" t="s">
        <v>233</v>
      </c>
      <c r="BB551" s="7"/>
      <c r="BC551" s="4" t="s">
        <v>233</v>
      </c>
      <c r="BD551" s="8" t="s">
        <v>233</v>
      </c>
      <c r="BE551" s="4" t="s">
        <v>233</v>
      </c>
      <c r="BF551" s="8" t="s">
        <v>233</v>
      </c>
      <c r="BG551" s="7" t="s">
        <v>233</v>
      </c>
      <c r="BH551" s="7" t="s">
        <v>233</v>
      </c>
      <c r="BI551" s="7"/>
      <c r="BJ551" s="4"/>
      <c r="BK551" s="8"/>
      <c r="BL551" s="2" t="s">
        <v>233</v>
      </c>
      <c r="BM551" s="7"/>
      <c r="BN551" s="7"/>
      <c r="BO551" s="4"/>
      <c r="BP551" s="8"/>
      <c r="BQ551" s="4"/>
      <c r="BR551" s="8"/>
      <c r="BS551" s="7"/>
      <c r="BT551" s="7"/>
      <c r="BU551" s="2" t="s">
        <v>3221</v>
      </c>
      <c r="BV551" s="2" t="s">
        <v>233</v>
      </c>
      <c r="BW551" s="2" t="s">
        <v>233</v>
      </c>
      <c r="BX551" s="2" t="s">
        <v>243</v>
      </c>
      <c r="BY551" s="2" t="s">
        <v>280</v>
      </c>
      <c r="BZ551" s="2" t="s">
        <v>245</v>
      </c>
      <c r="CA551" s="2" t="s">
        <v>350</v>
      </c>
      <c r="CB551" s="2" t="s">
        <v>233</v>
      </c>
      <c r="CC551" s="2" t="s">
        <v>246</v>
      </c>
      <c r="CD551" s="2" t="s">
        <v>233</v>
      </c>
      <c r="CE551" s="4">
        <v>140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>
        <v>140</v>
      </c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</row>
    <row r="552">
      <c r="A552" s="2" t="s">
        <v>3222</v>
      </c>
      <c r="B552" s="2" t="s">
        <v>228</v>
      </c>
      <c r="C552" s="2" t="s">
        <v>530</v>
      </c>
      <c r="D552" s="2" t="s">
        <v>230</v>
      </c>
      <c r="E552" s="2" t="s">
        <v>231</v>
      </c>
      <c r="F552" s="2" t="s">
        <v>3195</v>
      </c>
      <c r="G552" s="2" t="s">
        <v>3195</v>
      </c>
      <c r="H552" s="2" t="s">
        <v>3195</v>
      </c>
      <c r="I552" s="2" t="s">
        <v>231</v>
      </c>
      <c r="J552" s="2" t="s">
        <v>328</v>
      </c>
      <c r="K552" s="2" t="s">
        <v>255</v>
      </c>
      <c r="L552" s="3">
        <v>18.28</v>
      </c>
      <c r="M552" s="3">
        <v>19.19</v>
      </c>
      <c r="N552" s="3">
        <v>39.99</v>
      </c>
      <c r="O552" s="2" t="s">
        <v>245</v>
      </c>
      <c r="P552" s="2" t="s">
        <v>238</v>
      </c>
      <c r="Q552" s="2" t="s">
        <v>239</v>
      </c>
      <c r="R552" s="2" t="s">
        <v>233</v>
      </c>
      <c r="S552" s="2" t="s">
        <v>3218</v>
      </c>
      <c r="T552" s="2" t="s">
        <v>1622</v>
      </c>
      <c r="U552" s="2" t="s">
        <v>396</v>
      </c>
      <c r="V552" s="2" t="s">
        <v>1085</v>
      </c>
      <c r="W552" s="2" t="s">
        <v>776</v>
      </c>
      <c r="X552" s="2" t="s">
        <v>451</v>
      </c>
      <c r="Y552" s="2" t="s">
        <v>3199</v>
      </c>
      <c r="Z552" s="4">
        <v>140</v>
      </c>
      <c r="AA552" s="4">
        <f>=ROUNDDOWN({0},0)</f>
      </c>
      <c r="AB552" s="5"/>
      <c r="AC552" s="2" t="s">
        <v>1601</v>
      </c>
      <c r="AD552" s="4">
        <v>140</v>
      </c>
      <c r="AE552" s="4">
        <v>140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233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233</v>
      </c>
      <c r="AW552" s="8" t="s">
        <v>233</v>
      </c>
      <c r="AX552" s="4" t="s">
        <v>233</v>
      </c>
      <c r="AY552" s="8" t="s">
        <v>233</v>
      </c>
      <c r="AZ552" s="7" t="s">
        <v>233</v>
      </c>
      <c r="BA552" s="7" t="s">
        <v>233</v>
      </c>
      <c r="BB552" s="7"/>
      <c r="BC552" s="4" t="s">
        <v>233</v>
      </c>
      <c r="BD552" s="8" t="s">
        <v>233</v>
      </c>
      <c r="BE552" s="4" t="s">
        <v>233</v>
      </c>
      <c r="BF552" s="8" t="s">
        <v>233</v>
      </c>
      <c r="BG552" s="7" t="s">
        <v>233</v>
      </c>
      <c r="BH552" s="7" t="s">
        <v>233</v>
      </c>
      <c r="BI552" s="7"/>
      <c r="BJ552" s="4"/>
      <c r="BK552" s="8"/>
      <c r="BL552" s="2" t="s">
        <v>233</v>
      </c>
      <c r="BM552" s="7"/>
      <c r="BN552" s="7"/>
      <c r="BO552" s="4"/>
      <c r="BP552" s="8"/>
      <c r="BQ552" s="4"/>
      <c r="BR552" s="8"/>
      <c r="BS552" s="7"/>
      <c r="BT552" s="7"/>
      <c r="BU552" s="2" t="s">
        <v>3223</v>
      </c>
      <c r="BV552" s="2" t="s">
        <v>233</v>
      </c>
      <c r="BW552" s="2" t="s">
        <v>233</v>
      </c>
      <c r="BX552" s="2" t="s">
        <v>243</v>
      </c>
      <c r="BY552" s="2" t="s">
        <v>280</v>
      </c>
      <c r="BZ552" s="2" t="s">
        <v>245</v>
      </c>
      <c r="CA552" s="2" t="s">
        <v>350</v>
      </c>
      <c r="CB552" s="2" t="s">
        <v>233</v>
      </c>
      <c r="CC552" s="2" t="s">
        <v>246</v>
      </c>
      <c r="CD552" s="2" t="s">
        <v>233</v>
      </c>
      <c r="CE552" s="4">
        <v>140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>
        <v>140</v>
      </c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</row>
    <row r="553">
      <c r="A553" s="2" t="s">
        <v>3224</v>
      </c>
      <c r="B553" s="2" t="s">
        <v>228</v>
      </c>
      <c r="C553" s="2" t="s">
        <v>530</v>
      </c>
      <c r="D553" s="2" t="s">
        <v>230</v>
      </c>
      <c r="E553" s="2" t="s">
        <v>231</v>
      </c>
      <c r="F553" s="2" t="s">
        <v>3195</v>
      </c>
      <c r="G553" s="2" t="s">
        <v>3195</v>
      </c>
      <c r="H553" s="2" t="s">
        <v>3195</v>
      </c>
      <c r="I553" s="2" t="s">
        <v>231</v>
      </c>
      <c r="J553" s="2" t="s">
        <v>270</v>
      </c>
      <c r="K553" s="2" t="s">
        <v>1561</v>
      </c>
      <c r="L553" s="3">
        <v>12.85</v>
      </c>
      <c r="M553" s="3">
        <v>13.49</v>
      </c>
      <c r="N553" s="3">
        <v>29.99</v>
      </c>
      <c r="O553" s="2" t="s">
        <v>245</v>
      </c>
      <c r="P553" s="2" t="s">
        <v>238</v>
      </c>
      <c r="Q553" s="2" t="s">
        <v>239</v>
      </c>
      <c r="R553" s="2" t="s">
        <v>233</v>
      </c>
      <c r="S553" s="2" t="s">
        <v>3225</v>
      </c>
      <c r="T553" s="2" t="s">
        <v>1622</v>
      </c>
      <c r="U553" s="2" t="s">
        <v>396</v>
      </c>
      <c r="V553" s="2" t="s">
        <v>1085</v>
      </c>
      <c r="W553" s="2" t="s">
        <v>776</v>
      </c>
      <c r="X553" s="2" t="s">
        <v>451</v>
      </c>
      <c r="Y553" s="2" t="s">
        <v>350</v>
      </c>
      <c r="Z553" s="4">
        <v>120</v>
      </c>
      <c r="AA553" s="4">
        <f>=ROUNDDOWN({0},0)</f>
      </c>
      <c r="AB553" s="5"/>
      <c r="AC553" s="2" t="s">
        <v>1601</v>
      </c>
      <c r="AD553" s="4">
        <v>120</v>
      </c>
      <c r="AE553" s="4">
        <v>120</v>
      </c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233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233</v>
      </c>
      <c r="AW553" s="8" t="s">
        <v>233</v>
      </c>
      <c r="AX553" s="4" t="s">
        <v>233</v>
      </c>
      <c r="AY553" s="8" t="s">
        <v>233</v>
      </c>
      <c r="AZ553" s="7" t="s">
        <v>233</v>
      </c>
      <c r="BA553" s="7" t="s">
        <v>233</v>
      </c>
      <c r="BB553" s="7"/>
      <c r="BC553" s="4" t="s">
        <v>233</v>
      </c>
      <c r="BD553" s="8" t="s">
        <v>233</v>
      </c>
      <c r="BE553" s="4" t="s">
        <v>233</v>
      </c>
      <c r="BF553" s="8" t="s">
        <v>233</v>
      </c>
      <c r="BG553" s="7" t="s">
        <v>233</v>
      </c>
      <c r="BH553" s="7" t="s">
        <v>233</v>
      </c>
      <c r="BI553" s="7"/>
      <c r="BJ553" s="4"/>
      <c r="BK553" s="8"/>
      <c r="BL553" s="2" t="s">
        <v>233</v>
      </c>
      <c r="BM553" s="7"/>
      <c r="BN553" s="7"/>
      <c r="BO553" s="4"/>
      <c r="BP553" s="8"/>
      <c r="BQ553" s="4"/>
      <c r="BR553" s="8"/>
      <c r="BS553" s="7"/>
      <c r="BT553" s="7"/>
      <c r="BU553" s="2" t="s">
        <v>3226</v>
      </c>
      <c r="BV553" s="2" t="s">
        <v>233</v>
      </c>
      <c r="BW553" s="2" t="s">
        <v>233</v>
      </c>
      <c r="BX553" s="2" t="s">
        <v>243</v>
      </c>
      <c r="BY553" s="2" t="s">
        <v>280</v>
      </c>
      <c r="BZ553" s="2" t="s">
        <v>245</v>
      </c>
      <c r="CA553" s="2" t="s">
        <v>350</v>
      </c>
      <c r="CB553" s="2" t="s">
        <v>233</v>
      </c>
      <c r="CC553" s="2" t="s">
        <v>246</v>
      </c>
      <c r="CD553" s="2" t="s">
        <v>233</v>
      </c>
      <c r="CE553" s="4">
        <v>120</v>
      </c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>
        <v>120</v>
      </c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</row>
    <row r="554">
      <c r="A554" s="2" t="s">
        <v>3227</v>
      </c>
      <c r="B554" s="2" t="s">
        <v>228</v>
      </c>
      <c r="C554" s="2" t="s">
        <v>530</v>
      </c>
      <c r="D554" s="2" t="s">
        <v>230</v>
      </c>
      <c r="E554" s="2" t="s">
        <v>231</v>
      </c>
      <c r="F554" s="2" t="s">
        <v>3195</v>
      </c>
      <c r="G554" s="2" t="s">
        <v>3195</v>
      </c>
      <c r="H554" s="2" t="s">
        <v>3195</v>
      </c>
      <c r="I554" s="2" t="s">
        <v>231</v>
      </c>
      <c r="J554" s="2" t="s">
        <v>981</v>
      </c>
      <c r="K554" s="2" t="s">
        <v>1561</v>
      </c>
      <c r="L554" s="3">
        <v>16</v>
      </c>
      <c r="M554" s="3">
        <v>16.8</v>
      </c>
      <c r="N554" s="3">
        <v>34.99</v>
      </c>
      <c r="O554" s="2" t="s">
        <v>245</v>
      </c>
      <c r="P554" s="2" t="s">
        <v>238</v>
      </c>
      <c r="Q554" s="2" t="s">
        <v>239</v>
      </c>
      <c r="R554" s="2" t="s">
        <v>233</v>
      </c>
      <c r="S554" s="2" t="s">
        <v>3225</v>
      </c>
      <c r="T554" s="2" t="s">
        <v>1622</v>
      </c>
      <c r="U554" s="2" t="s">
        <v>396</v>
      </c>
      <c r="V554" s="2" t="s">
        <v>1085</v>
      </c>
      <c r="W554" s="2" t="s">
        <v>776</v>
      </c>
      <c r="X554" s="2" t="s">
        <v>451</v>
      </c>
      <c r="Y554" s="2" t="s">
        <v>3199</v>
      </c>
      <c r="Z554" s="4">
        <v>179</v>
      </c>
      <c r="AA554" s="4">
        <f>=ROUNDDOWN({0},0)</f>
      </c>
      <c r="AB554" s="5"/>
      <c r="AC554" s="2" t="s">
        <v>1601</v>
      </c>
      <c r="AD554" s="4">
        <v>180</v>
      </c>
      <c r="AE554" s="4">
        <v>180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233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233</v>
      </c>
      <c r="AW554" s="8" t="s">
        <v>233</v>
      </c>
      <c r="AX554" s="4" t="s">
        <v>233</v>
      </c>
      <c r="AY554" s="8" t="s">
        <v>233</v>
      </c>
      <c r="AZ554" s="7" t="s">
        <v>233</v>
      </c>
      <c r="BA554" s="7" t="s">
        <v>233</v>
      </c>
      <c r="BB554" s="7"/>
      <c r="BC554" s="4" t="s">
        <v>233</v>
      </c>
      <c r="BD554" s="8" t="s">
        <v>233</v>
      </c>
      <c r="BE554" s="4" t="s">
        <v>233</v>
      </c>
      <c r="BF554" s="8" t="s">
        <v>233</v>
      </c>
      <c r="BG554" s="7" t="s">
        <v>233</v>
      </c>
      <c r="BH554" s="7" t="s">
        <v>233</v>
      </c>
      <c r="BI554" s="7"/>
      <c r="BJ554" s="4"/>
      <c r="BK554" s="8"/>
      <c r="BL554" s="2" t="s">
        <v>233</v>
      </c>
      <c r="BM554" s="7"/>
      <c r="BN554" s="7"/>
      <c r="BO554" s="4"/>
      <c r="BP554" s="8"/>
      <c r="BQ554" s="4"/>
      <c r="BR554" s="8"/>
      <c r="BS554" s="7"/>
      <c r="BT554" s="7"/>
      <c r="BU554" s="2" t="s">
        <v>3228</v>
      </c>
      <c r="BV554" s="2" t="s">
        <v>233</v>
      </c>
      <c r="BW554" s="2" t="s">
        <v>233</v>
      </c>
      <c r="BX554" s="2" t="s">
        <v>243</v>
      </c>
      <c r="BY554" s="2" t="s">
        <v>280</v>
      </c>
      <c r="BZ554" s="2" t="s">
        <v>245</v>
      </c>
      <c r="CA554" s="2" t="s">
        <v>350</v>
      </c>
      <c r="CB554" s="2" t="s">
        <v>233</v>
      </c>
      <c r="CC554" s="2" t="s">
        <v>246</v>
      </c>
      <c r="CD554" s="2" t="s">
        <v>233</v>
      </c>
      <c r="CE554" s="4">
        <v>179</v>
      </c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>
        <v>180</v>
      </c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</row>
    <row r="555">
      <c r="A555" s="2" t="s">
        <v>3229</v>
      </c>
      <c r="B555" s="2" t="s">
        <v>228</v>
      </c>
      <c r="C555" s="2" t="s">
        <v>530</v>
      </c>
      <c r="D555" s="2" t="s">
        <v>230</v>
      </c>
      <c r="E555" s="2" t="s">
        <v>231</v>
      </c>
      <c r="F555" s="2" t="s">
        <v>3195</v>
      </c>
      <c r="G555" s="2" t="s">
        <v>3195</v>
      </c>
      <c r="H555" s="2" t="s">
        <v>3195</v>
      </c>
      <c r="I555" s="2" t="s">
        <v>231</v>
      </c>
      <c r="J555" s="2" t="s">
        <v>328</v>
      </c>
      <c r="K555" s="2" t="s">
        <v>1561</v>
      </c>
      <c r="L555" s="3">
        <v>18.28</v>
      </c>
      <c r="M555" s="3">
        <v>19.19</v>
      </c>
      <c r="N555" s="3">
        <v>39.99</v>
      </c>
      <c r="O555" s="2" t="s">
        <v>245</v>
      </c>
      <c r="P555" s="2" t="s">
        <v>238</v>
      </c>
      <c r="Q555" s="2" t="s">
        <v>239</v>
      </c>
      <c r="R555" s="2" t="s">
        <v>233</v>
      </c>
      <c r="S555" s="2" t="s">
        <v>3225</v>
      </c>
      <c r="T555" s="2" t="s">
        <v>1622</v>
      </c>
      <c r="U555" s="2" t="s">
        <v>396</v>
      </c>
      <c r="V555" s="2" t="s">
        <v>1085</v>
      </c>
      <c r="W555" s="2" t="s">
        <v>776</v>
      </c>
      <c r="X555" s="2" t="s">
        <v>451</v>
      </c>
      <c r="Y555" s="2" t="s">
        <v>350</v>
      </c>
      <c r="Z555" s="4">
        <v>100</v>
      </c>
      <c r="AA555" s="4">
        <f>=ROUNDDOWN({0},0)</f>
      </c>
      <c r="AB555" s="5"/>
      <c r="AC555" s="2" t="s">
        <v>1601</v>
      </c>
      <c r="AD555" s="4">
        <v>100</v>
      </c>
      <c r="AE555" s="4">
        <v>100</v>
      </c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233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233</v>
      </c>
      <c r="AW555" s="8" t="s">
        <v>233</v>
      </c>
      <c r="AX555" s="4" t="s">
        <v>233</v>
      </c>
      <c r="AY555" s="8" t="s">
        <v>233</v>
      </c>
      <c r="AZ555" s="7" t="s">
        <v>233</v>
      </c>
      <c r="BA555" s="7" t="s">
        <v>233</v>
      </c>
      <c r="BB555" s="7"/>
      <c r="BC555" s="4" t="s">
        <v>233</v>
      </c>
      <c r="BD555" s="8" t="s">
        <v>233</v>
      </c>
      <c r="BE555" s="4" t="s">
        <v>233</v>
      </c>
      <c r="BF555" s="8" t="s">
        <v>233</v>
      </c>
      <c r="BG555" s="7" t="s">
        <v>233</v>
      </c>
      <c r="BH555" s="7" t="s">
        <v>233</v>
      </c>
      <c r="BI555" s="7"/>
      <c r="BJ555" s="4"/>
      <c r="BK555" s="8"/>
      <c r="BL555" s="2" t="s">
        <v>233</v>
      </c>
      <c r="BM555" s="7"/>
      <c r="BN555" s="7"/>
      <c r="BO555" s="4"/>
      <c r="BP555" s="8"/>
      <c r="BQ555" s="4"/>
      <c r="BR555" s="8"/>
      <c r="BS555" s="7"/>
      <c r="BT555" s="7"/>
      <c r="BU555" s="2" t="s">
        <v>3230</v>
      </c>
      <c r="BV555" s="2" t="s">
        <v>233</v>
      </c>
      <c r="BW555" s="2" t="s">
        <v>233</v>
      </c>
      <c r="BX555" s="2" t="s">
        <v>243</v>
      </c>
      <c r="BY555" s="2" t="s">
        <v>280</v>
      </c>
      <c r="BZ555" s="2" t="s">
        <v>245</v>
      </c>
      <c r="CA555" s="2" t="s">
        <v>350</v>
      </c>
      <c r="CB555" s="2" t="s">
        <v>233</v>
      </c>
      <c r="CC555" s="2" t="s">
        <v>246</v>
      </c>
      <c r="CD555" s="2" t="s">
        <v>233</v>
      </c>
      <c r="CE555" s="4">
        <v>100</v>
      </c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>
        <v>100</v>
      </c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</row>
    <row r="556">
      <c r="A556" s="2" t="s">
        <v>3231</v>
      </c>
      <c r="B556" s="2" t="s">
        <v>1066</v>
      </c>
      <c r="C556" s="2" t="s">
        <v>530</v>
      </c>
      <c r="D556" s="2" t="s">
        <v>2140</v>
      </c>
      <c r="E556" s="2" t="s">
        <v>3232</v>
      </c>
      <c r="F556" s="2" t="s">
        <v>3233</v>
      </c>
      <c r="G556" s="2" t="s">
        <v>3234</v>
      </c>
      <c r="H556" s="2" t="s">
        <v>1431</v>
      </c>
      <c r="I556" s="2" t="s">
        <v>3235</v>
      </c>
      <c r="J556" s="2" t="s">
        <v>892</v>
      </c>
      <c r="K556" s="2" t="s">
        <v>271</v>
      </c>
      <c r="L556" s="3">
        <v>226.1</v>
      </c>
      <c r="M556" s="3">
        <v>237.4</v>
      </c>
      <c r="N556" s="3">
        <v>479</v>
      </c>
      <c r="O556" s="2" t="s">
        <v>245</v>
      </c>
      <c r="P556" s="2" t="s">
        <v>311</v>
      </c>
      <c r="Q556" s="2" t="s">
        <v>239</v>
      </c>
      <c r="R556" s="2" t="s">
        <v>233</v>
      </c>
      <c r="S556" s="2" t="s">
        <v>233</v>
      </c>
      <c r="T556" s="2" t="s">
        <v>233</v>
      </c>
      <c r="U556" s="2" t="s">
        <v>396</v>
      </c>
      <c r="V556" s="2" t="s">
        <v>893</v>
      </c>
      <c r="W556" s="2" t="s">
        <v>705</v>
      </c>
      <c r="X556" s="2" t="s">
        <v>233</v>
      </c>
      <c r="Y556" s="2" t="s">
        <v>1683</v>
      </c>
      <c r="Z556" s="4">
        <v>1</v>
      </c>
      <c r="AA556" s="4">
        <f>=ROUNDDOWN(1.66666666666667,0)</f>
      </c>
      <c r="AB556" s="5">
        <v>0.6</v>
      </c>
      <c r="AC556" s="2" t="s">
        <v>233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233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>
        <v>5</v>
      </c>
      <c r="BK556" s="8">
        <v>650.09</v>
      </c>
      <c r="BL556" s="2" t="s">
        <v>1023</v>
      </c>
      <c r="BM556" s="7"/>
      <c r="BN556" s="7"/>
      <c r="BO556" s="4"/>
      <c r="BP556" s="8"/>
      <c r="BQ556" s="4"/>
      <c r="BR556" s="8"/>
      <c r="BS556" s="7"/>
      <c r="BT556" s="7"/>
      <c r="BU556" s="2" t="s">
        <v>3236</v>
      </c>
      <c r="BV556" s="2" t="s">
        <v>233</v>
      </c>
      <c r="BW556" s="2" t="s">
        <v>233</v>
      </c>
      <c r="BX556" s="2" t="s">
        <v>243</v>
      </c>
      <c r="BY556" s="2" t="s">
        <v>280</v>
      </c>
      <c r="BZ556" s="2" t="s">
        <v>245</v>
      </c>
      <c r="CA556" s="2" t="s">
        <v>3237</v>
      </c>
      <c r="CB556" s="2" t="s">
        <v>3238</v>
      </c>
      <c r="CC556" s="2" t="s">
        <v>246</v>
      </c>
      <c r="CD556" s="2" t="s">
        <v>233</v>
      </c>
      <c r="CE556" s="4"/>
      <c r="CF556" s="4">
        <v>1</v>
      </c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</row>
    <row r="557">
      <c r="A557" s="2" t="s">
        <v>3239</v>
      </c>
      <c r="B557" s="2" t="s">
        <v>928</v>
      </c>
      <c r="C557" s="2" t="s">
        <v>530</v>
      </c>
      <c r="D557" s="2" t="s">
        <v>961</v>
      </c>
      <c r="E557" s="2" t="s">
        <v>930</v>
      </c>
      <c r="F557" s="2" t="s">
        <v>3240</v>
      </c>
      <c r="G557" s="2" t="s">
        <v>3240</v>
      </c>
      <c r="H557" s="2" t="s">
        <v>3240</v>
      </c>
      <c r="I557" s="2" t="s">
        <v>3241</v>
      </c>
      <c r="J557" s="2" t="s">
        <v>892</v>
      </c>
      <c r="K557" s="2" t="s">
        <v>3101</v>
      </c>
      <c r="L557" s="3">
        <v>21.85</v>
      </c>
      <c r="M557" s="3">
        <v>22.94</v>
      </c>
      <c r="N557" s="3">
        <v>50.99</v>
      </c>
      <c r="O557" s="2" t="s">
        <v>245</v>
      </c>
      <c r="P557" s="2" t="s">
        <v>311</v>
      </c>
      <c r="Q557" s="2" t="s">
        <v>239</v>
      </c>
      <c r="R557" s="2" t="s">
        <v>233</v>
      </c>
      <c r="S557" s="2" t="s">
        <v>3242</v>
      </c>
      <c r="T557" s="2" t="s">
        <v>233</v>
      </c>
      <c r="U557" s="2" t="s">
        <v>491</v>
      </c>
      <c r="V557" s="2" t="s">
        <v>1272</v>
      </c>
      <c r="W557" s="2" t="s">
        <v>275</v>
      </c>
      <c r="X557" s="2" t="s">
        <v>397</v>
      </c>
      <c r="Y557" s="2" t="s">
        <v>3243</v>
      </c>
      <c r="Z557" s="4">
        <v>35</v>
      </c>
      <c r="AA557" s="4">
        <f>=ROUNDDOWN(12.5,0)</f>
      </c>
      <c r="AB557" s="5">
        <v>2.8</v>
      </c>
      <c r="AC557" s="2" t="s">
        <v>233</v>
      </c>
      <c r="AD557" s="4"/>
      <c r="AE557" s="4"/>
      <c r="AF557" s="6">
        <v>63</v>
      </c>
      <c r="AG557" s="6"/>
      <c r="AH557" s="7">
        <v>1</v>
      </c>
      <c r="AI557" s="4"/>
      <c r="AJ557" s="4">
        <f>=ROUNDDOWN({0},0)</f>
      </c>
      <c r="AK557" s="5"/>
      <c r="AL557" s="2" t="s">
        <v>233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>
        <v>12</v>
      </c>
      <c r="BK557" s="8">
        <v>334.39</v>
      </c>
      <c r="BL557" s="2" t="s">
        <v>3244</v>
      </c>
      <c r="BM557" s="7"/>
      <c r="BN557" s="7"/>
      <c r="BO557" s="4"/>
      <c r="BP557" s="8"/>
      <c r="BQ557" s="4"/>
      <c r="BR557" s="8"/>
      <c r="BS557" s="7"/>
      <c r="BT557" s="7"/>
      <c r="BU557" s="2" t="s">
        <v>3245</v>
      </c>
      <c r="BV557" s="2" t="s">
        <v>233</v>
      </c>
      <c r="BW557" s="2" t="s">
        <v>233</v>
      </c>
      <c r="BX557" s="2" t="s">
        <v>233</v>
      </c>
      <c r="BY557" s="2" t="s">
        <v>280</v>
      </c>
      <c r="BZ557" s="2" t="s">
        <v>245</v>
      </c>
      <c r="CA557" s="2" t="s">
        <v>3246</v>
      </c>
      <c r="CB557" s="2" t="s">
        <v>3247</v>
      </c>
      <c r="CC557" s="2" t="s">
        <v>246</v>
      </c>
      <c r="CD557" s="2" t="s">
        <v>233</v>
      </c>
      <c r="CE557" s="4"/>
      <c r="CF557" s="4">
        <v>35</v>
      </c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</row>
    <row r="558">
      <c r="A558" s="2" t="s">
        <v>3248</v>
      </c>
      <c r="B558" s="2" t="s">
        <v>910</v>
      </c>
      <c r="C558" s="2" t="s">
        <v>911</v>
      </c>
      <c r="D558" s="2" t="s">
        <v>912</v>
      </c>
      <c r="E558" s="2" t="s">
        <v>1139</v>
      </c>
      <c r="F558" s="2" t="s">
        <v>3249</v>
      </c>
      <c r="G558" s="2" t="s">
        <v>3250</v>
      </c>
      <c r="H558" s="2" t="s">
        <v>3251</v>
      </c>
      <c r="I558" s="2" t="s">
        <v>3252</v>
      </c>
      <c r="J558" s="2" t="s">
        <v>918</v>
      </c>
      <c r="K558" s="2" t="s">
        <v>3253</v>
      </c>
      <c r="L558" s="3">
        <v>23.8</v>
      </c>
      <c r="M558" s="3">
        <v>24.99</v>
      </c>
      <c r="N558" s="3">
        <v>49.99</v>
      </c>
      <c r="O558" s="2" t="s">
        <v>245</v>
      </c>
      <c r="P558" s="2" t="s">
        <v>238</v>
      </c>
      <c r="Q558" s="2" t="s">
        <v>239</v>
      </c>
      <c r="R558" s="2" t="s">
        <v>233</v>
      </c>
      <c r="S558" s="2" t="s">
        <v>3254</v>
      </c>
      <c r="T558" s="2" t="s">
        <v>976</v>
      </c>
      <c r="U558" s="2" t="s">
        <v>491</v>
      </c>
      <c r="V558" s="2" t="s">
        <v>921</v>
      </c>
      <c r="W558" s="2" t="s">
        <v>397</v>
      </c>
      <c r="X558" s="2" t="s">
        <v>233</v>
      </c>
      <c r="Y558" s="2" t="s">
        <v>1485</v>
      </c>
      <c r="Z558" s="4">
        <v>70</v>
      </c>
      <c r="AA558" s="4">
        <f>=ROUNDDOWN(14,0)</f>
      </c>
      <c r="AB558" s="5">
        <v>5</v>
      </c>
      <c r="AC558" s="2" t="s">
        <v>3255</v>
      </c>
      <c r="AD558" s="4">
        <v>70</v>
      </c>
      <c r="AE558" s="4">
        <v>70</v>
      </c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233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233</v>
      </c>
      <c r="AW558" s="8" t="s">
        <v>233</v>
      </c>
      <c r="AX558" s="4" t="s">
        <v>233</v>
      </c>
      <c r="AY558" s="8" t="s">
        <v>233</v>
      </c>
      <c r="AZ558" s="7" t="s">
        <v>233</v>
      </c>
      <c r="BA558" s="7" t="s">
        <v>233</v>
      </c>
      <c r="BB558" s="7"/>
      <c r="BC558" s="4" t="s">
        <v>233</v>
      </c>
      <c r="BD558" s="8" t="s">
        <v>233</v>
      </c>
      <c r="BE558" s="4" t="s">
        <v>233</v>
      </c>
      <c r="BF558" s="8" t="s">
        <v>233</v>
      </c>
      <c r="BG558" s="7" t="s">
        <v>233</v>
      </c>
      <c r="BH558" s="7" t="s">
        <v>233</v>
      </c>
      <c r="BI558" s="7"/>
      <c r="BJ558" s="4"/>
      <c r="BK558" s="8"/>
      <c r="BL558" s="2" t="s">
        <v>233</v>
      </c>
      <c r="BM558" s="7"/>
      <c r="BN558" s="7"/>
      <c r="BO558" s="4"/>
      <c r="BP558" s="8"/>
      <c r="BQ558" s="4"/>
      <c r="BR558" s="8"/>
      <c r="BS558" s="7"/>
      <c r="BT558" s="7"/>
      <c r="BU558" s="2" t="s">
        <v>3256</v>
      </c>
      <c r="BV558" s="2" t="s">
        <v>233</v>
      </c>
      <c r="BW558" s="2" t="s">
        <v>233</v>
      </c>
      <c r="BX558" s="2" t="s">
        <v>243</v>
      </c>
      <c r="BY558" s="2" t="s">
        <v>280</v>
      </c>
      <c r="BZ558" s="2" t="s">
        <v>245</v>
      </c>
      <c r="CA558" s="2" t="s">
        <v>3257</v>
      </c>
      <c r="CB558" s="2" t="s">
        <v>233</v>
      </c>
      <c r="CC558" s="2" t="s">
        <v>246</v>
      </c>
      <c r="CD558" s="2" t="s">
        <v>233</v>
      </c>
      <c r="CE558" s="4">
        <v>70</v>
      </c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>
        <v>70</v>
      </c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</row>
    <row r="559">
      <c r="A559" s="2" t="s">
        <v>3258</v>
      </c>
      <c r="B559" s="2" t="s">
        <v>910</v>
      </c>
      <c r="C559" s="2" t="s">
        <v>911</v>
      </c>
      <c r="D559" s="2" t="s">
        <v>912</v>
      </c>
      <c r="E559" s="2" t="s">
        <v>1139</v>
      </c>
      <c r="F559" s="2" t="s">
        <v>3249</v>
      </c>
      <c r="G559" s="2" t="s">
        <v>3250</v>
      </c>
      <c r="H559" s="2" t="s">
        <v>3251</v>
      </c>
      <c r="I559" s="2" t="s">
        <v>3252</v>
      </c>
      <c r="J559" s="2" t="s">
        <v>981</v>
      </c>
      <c r="K559" s="2" t="s">
        <v>3253</v>
      </c>
      <c r="L559" s="3">
        <v>33.33</v>
      </c>
      <c r="M559" s="3">
        <v>35</v>
      </c>
      <c r="N559" s="3">
        <v>69.99</v>
      </c>
      <c r="O559" s="2" t="s">
        <v>245</v>
      </c>
      <c r="P559" s="2" t="s">
        <v>238</v>
      </c>
      <c r="Q559" s="2" t="s">
        <v>239</v>
      </c>
      <c r="R559" s="2" t="s">
        <v>233</v>
      </c>
      <c r="S559" s="2" t="s">
        <v>3254</v>
      </c>
      <c r="T559" s="2" t="s">
        <v>976</v>
      </c>
      <c r="U559" s="2" t="s">
        <v>475</v>
      </c>
      <c r="V559" s="2" t="s">
        <v>921</v>
      </c>
      <c r="W559" s="2" t="s">
        <v>397</v>
      </c>
      <c r="X559" s="2" t="s">
        <v>233</v>
      </c>
      <c r="Y559" s="2" t="s">
        <v>1485</v>
      </c>
      <c r="Z559" s="4">
        <v>100</v>
      </c>
      <c r="AA559" s="4">
        <f>=ROUNDDOWN(14.2857142857143,0)</f>
      </c>
      <c r="AB559" s="5">
        <v>7</v>
      </c>
      <c r="AC559" s="2" t="s">
        <v>3255</v>
      </c>
      <c r="AD559" s="4">
        <v>100</v>
      </c>
      <c r="AE559" s="4">
        <v>100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233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233</v>
      </c>
      <c r="AW559" s="8" t="s">
        <v>233</v>
      </c>
      <c r="AX559" s="4" t="s">
        <v>233</v>
      </c>
      <c r="AY559" s="8" t="s">
        <v>233</v>
      </c>
      <c r="AZ559" s="7" t="s">
        <v>233</v>
      </c>
      <c r="BA559" s="7" t="s">
        <v>233</v>
      </c>
      <c r="BB559" s="7"/>
      <c r="BC559" s="4" t="s">
        <v>233</v>
      </c>
      <c r="BD559" s="8" t="s">
        <v>233</v>
      </c>
      <c r="BE559" s="4" t="s">
        <v>233</v>
      </c>
      <c r="BF559" s="8" t="s">
        <v>233</v>
      </c>
      <c r="BG559" s="7" t="s">
        <v>233</v>
      </c>
      <c r="BH559" s="7" t="s">
        <v>233</v>
      </c>
      <c r="BI559" s="7"/>
      <c r="BJ559" s="4"/>
      <c r="BK559" s="8"/>
      <c r="BL559" s="2" t="s">
        <v>233</v>
      </c>
      <c r="BM559" s="7"/>
      <c r="BN559" s="7"/>
      <c r="BO559" s="4"/>
      <c r="BP559" s="8"/>
      <c r="BQ559" s="4"/>
      <c r="BR559" s="8"/>
      <c r="BS559" s="7"/>
      <c r="BT559" s="7"/>
      <c r="BU559" s="2" t="s">
        <v>3259</v>
      </c>
      <c r="BV559" s="2" t="s">
        <v>233</v>
      </c>
      <c r="BW559" s="2" t="s">
        <v>233</v>
      </c>
      <c r="BX559" s="2" t="s">
        <v>243</v>
      </c>
      <c r="BY559" s="2" t="s">
        <v>280</v>
      </c>
      <c r="BZ559" s="2" t="s">
        <v>245</v>
      </c>
      <c r="CA559" s="2" t="s">
        <v>3257</v>
      </c>
      <c r="CB559" s="2" t="s">
        <v>233</v>
      </c>
      <c r="CC559" s="2" t="s">
        <v>246</v>
      </c>
      <c r="CD559" s="2" t="s">
        <v>233</v>
      </c>
      <c r="CE559" s="4">
        <v>100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>
        <v>100</v>
      </c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</row>
    <row r="560">
      <c r="A560" s="2" t="s">
        <v>3260</v>
      </c>
      <c r="B560" s="2" t="s">
        <v>910</v>
      </c>
      <c r="C560" s="2" t="s">
        <v>911</v>
      </c>
      <c r="D560" s="2" t="s">
        <v>969</v>
      </c>
      <c r="E560" s="2" t="s">
        <v>970</v>
      </c>
      <c r="F560" s="2" t="s">
        <v>3249</v>
      </c>
      <c r="G560" s="2" t="s">
        <v>3250</v>
      </c>
      <c r="H560" s="2" t="s">
        <v>3251</v>
      </c>
      <c r="I560" s="2" t="s">
        <v>3261</v>
      </c>
      <c r="J560" s="2" t="s">
        <v>1142</v>
      </c>
      <c r="K560" s="2" t="s">
        <v>3253</v>
      </c>
      <c r="L560" s="3">
        <v>45.23</v>
      </c>
      <c r="M560" s="3">
        <v>47.49</v>
      </c>
      <c r="N560" s="3">
        <v>94.99</v>
      </c>
      <c r="O560" s="2" t="s">
        <v>245</v>
      </c>
      <c r="P560" s="2" t="s">
        <v>741</v>
      </c>
      <c r="Q560" s="2" t="s">
        <v>239</v>
      </c>
      <c r="R560" s="2" t="s">
        <v>233</v>
      </c>
      <c r="S560" s="2" t="s">
        <v>3254</v>
      </c>
      <c r="T560" s="2" t="s">
        <v>976</v>
      </c>
      <c r="U560" s="2" t="s">
        <v>475</v>
      </c>
      <c r="V560" s="2" t="s">
        <v>921</v>
      </c>
      <c r="W560" s="2" t="s">
        <v>397</v>
      </c>
      <c r="X560" s="2" t="s">
        <v>233</v>
      </c>
      <c r="Y560" s="2" t="s">
        <v>1485</v>
      </c>
      <c r="Z560" s="4">
        <v>246</v>
      </c>
      <c r="AA560" s="4">
        <f>=ROUNDDOWN(16.4,0)</f>
      </c>
      <c r="AB560" s="5">
        <v>15</v>
      </c>
      <c r="AC560" s="2" t="s">
        <v>3255</v>
      </c>
      <c r="AD560" s="4">
        <v>250</v>
      </c>
      <c r="AE560" s="4">
        <v>250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233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233</v>
      </c>
      <c r="AW560" s="8" t="s">
        <v>233</v>
      </c>
      <c r="AX560" s="4" t="s">
        <v>233</v>
      </c>
      <c r="AY560" s="8" t="s">
        <v>233</v>
      </c>
      <c r="AZ560" s="7" t="s">
        <v>233</v>
      </c>
      <c r="BA560" s="7" t="s">
        <v>233</v>
      </c>
      <c r="BB560" s="7" t="s">
        <v>233</v>
      </c>
      <c r="BC560" s="4" t="s">
        <v>233</v>
      </c>
      <c r="BD560" s="8" t="s">
        <v>233</v>
      </c>
      <c r="BE560" s="4" t="s">
        <v>233</v>
      </c>
      <c r="BF560" s="8" t="s">
        <v>233</v>
      </c>
      <c r="BG560" s="7" t="s">
        <v>233</v>
      </c>
      <c r="BH560" s="7" t="s">
        <v>233</v>
      </c>
      <c r="BI560" s="7"/>
      <c r="BJ560" s="4">
        <v>2</v>
      </c>
      <c r="BK560" s="8">
        <v>102.11</v>
      </c>
      <c r="BL560" s="2" t="s">
        <v>3262</v>
      </c>
      <c r="BM560" s="7"/>
      <c r="BN560" s="7"/>
      <c r="BO560" s="4"/>
      <c r="BP560" s="8"/>
      <c r="BQ560" s="4"/>
      <c r="BR560" s="8"/>
      <c r="BS560" s="7"/>
      <c r="BT560" s="7"/>
      <c r="BU560" s="2" t="s">
        <v>3263</v>
      </c>
      <c r="BV560" s="2" t="s">
        <v>233</v>
      </c>
      <c r="BW560" s="2" t="s">
        <v>233</v>
      </c>
      <c r="BX560" s="2" t="s">
        <v>243</v>
      </c>
      <c r="BY560" s="2" t="s">
        <v>280</v>
      </c>
      <c r="BZ560" s="2" t="s">
        <v>245</v>
      </c>
      <c r="CA560" s="2" t="s">
        <v>3257</v>
      </c>
      <c r="CB560" s="2" t="s">
        <v>1136</v>
      </c>
      <c r="CC560" s="2" t="s">
        <v>246</v>
      </c>
      <c r="CD560" s="2" t="s">
        <v>233</v>
      </c>
      <c r="CE560" s="4">
        <v>246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>
        <v>250</v>
      </c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</row>
    <row r="561">
      <c r="A561" s="2" t="s">
        <v>3264</v>
      </c>
      <c r="B561" s="2" t="s">
        <v>910</v>
      </c>
      <c r="C561" s="2" t="s">
        <v>911</v>
      </c>
      <c r="D561" s="2" t="s">
        <v>912</v>
      </c>
      <c r="E561" s="2" t="s">
        <v>1139</v>
      </c>
      <c r="F561" s="2" t="s">
        <v>3249</v>
      </c>
      <c r="G561" s="2" t="s">
        <v>3250</v>
      </c>
      <c r="H561" s="2" t="s">
        <v>3251</v>
      </c>
      <c r="I561" s="2" t="s">
        <v>3252</v>
      </c>
      <c r="J561" s="2" t="s">
        <v>1142</v>
      </c>
      <c r="K561" s="2" t="s">
        <v>3253</v>
      </c>
      <c r="L561" s="3">
        <v>38.09</v>
      </c>
      <c r="M561" s="3">
        <v>39.99</v>
      </c>
      <c r="N561" s="3">
        <v>79.99</v>
      </c>
      <c r="O561" s="2" t="s">
        <v>245</v>
      </c>
      <c r="P561" s="2" t="s">
        <v>238</v>
      </c>
      <c r="Q561" s="2" t="s">
        <v>239</v>
      </c>
      <c r="R561" s="2" t="s">
        <v>233</v>
      </c>
      <c r="S561" s="2" t="s">
        <v>3254</v>
      </c>
      <c r="T561" s="2" t="s">
        <v>976</v>
      </c>
      <c r="U561" s="2" t="s">
        <v>475</v>
      </c>
      <c r="V561" s="2" t="s">
        <v>921</v>
      </c>
      <c r="W561" s="2" t="s">
        <v>397</v>
      </c>
      <c r="X561" s="2" t="s">
        <v>233</v>
      </c>
      <c r="Y561" s="2" t="s">
        <v>1485</v>
      </c>
      <c r="Z561" s="4">
        <v>55</v>
      </c>
      <c r="AA561" s="4">
        <f>=ROUNDDOWN(13.75,0)</f>
      </c>
      <c r="AB561" s="5">
        <v>4</v>
      </c>
      <c r="AC561" s="2" t="s">
        <v>3255</v>
      </c>
      <c r="AD561" s="4">
        <v>55</v>
      </c>
      <c r="AE561" s="4">
        <v>55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233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233</v>
      </c>
      <c r="AW561" s="8" t="s">
        <v>233</v>
      </c>
      <c r="AX561" s="4" t="s">
        <v>233</v>
      </c>
      <c r="AY561" s="8" t="s">
        <v>233</v>
      </c>
      <c r="AZ561" s="7" t="s">
        <v>233</v>
      </c>
      <c r="BA561" s="7" t="s">
        <v>233</v>
      </c>
      <c r="BB561" s="7" t="s">
        <v>233</v>
      </c>
      <c r="BC561" s="4" t="s">
        <v>233</v>
      </c>
      <c r="BD561" s="8" t="s">
        <v>233</v>
      </c>
      <c r="BE561" s="4" t="s">
        <v>233</v>
      </c>
      <c r="BF561" s="8" t="s">
        <v>233</v>
      </c>
      <c r="BG561" s="7" t="s">
        <v>233</v>
      </c>
      <c r="BH561" s="7" t="s">
        <v>233</v>
      </c>
      <c r="BI561" s="7"/>
      <c r="BJ561" s="4"/>
      <c r="BK561" s="8"/>
      <c r="BL561" s="2" t="s">
        <v>233</v>
      </c>
      <c r="BM561" s="7"/>
      <c r="BN561" s="7"/>
      <c r="BO561" s="4"/>
      <c r="BP561" s="8"/>
      <c r="BQ561" s="4"/>
      <c r="BR561" s="8"/>
      <c r="BS561" s="7"/>
      <c r="BT561" s="7"/>
      <c r="BU561" s="2" t="s">
        <v>3265</v>
      </c>
      <c r="BV561" s="2" t="s">
        <v>233</v>
      </c>
      <c r="BW561" s="2" t="s">
        <v>233</v>
      </c>
      <c r="BX561" s="2" t="s">
        <v>243</v>
      </c>
      <c r="BY561" s="2" t="s">
        <v>280</v>
      </c>
      <c r="BZ561" s="2" t="s">
        <v>245</v>
      </c>
      <c r="CA561" s="2" t="s">
        <v>3257</v>
      </c>
      <c r="CB561" s="2" t="s">
        <v>233</v>
      </c>
      <c r="CC561" s="2" t="s">
        <v>246</v>
      </c>
      <c r="CD561" s="2" t="s">
        <v>233</v>
      </c>
      <c r="CE561" s="4">
        <v>55</v>
      </c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>
        <v>55</v>
      </c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</row>
    <row r="562">
      <c r="A562" s="2" t="s">
        <v>3266</v>
      </c>
      <c r="B562" s="2" t="s">
        <v>910</v>
      </c>
      <c r="C562" s="2" t="s">
        <v>911</v>
      </c>
      <c r="D562" s="2" t="s">
        <v>912</v>
      </c>
      <c r="E562" s="2" t="s">
        <v>913</v>
      </c>
      <c r="F562" s="2" t="s">
        <v>3267</v>
      </c>
      <c r="G562" s="2" t="s">
        <v>3268</v>
      </c>
      <c r="H562" s="2" t="s">
        <v>3269</v>
      </c>
      <c r="I562" s="2" t="s">
        <v>3270</v>
      </c>
      <c r="J562" s="2" t="s">
        <v>1142</v>
      </c>
      <c r="K562" s="2" t="s">
        <v>1083</v>
      </c>
      <c r="L562" s="3">
        <v>31.5</v>
      </c>
      <c r="M562" s="3">
        <v>33.08</v>
      </c>
      <c r="N562" s="3">
        <v>74.99</v>
      </c>
      <c r="O562" s="2" t="s">
        <v>245</v>
      </c>
      <c r="P562" s="2" t="s">
        <v>741</v>
      </c>
      <c r="Q562" s="2" t="s">
        <v>239</v>
      </c>
      <c r="R562" s="2" t="s">
        <v>233</v>
      </c>
      <c r="S562" s="2" t="s">
        <v>3271</v>
      </c>
      <c r="T562" s="2" t="s">
        <v>395</v>
      </c>
      <c r="U562" s="2" t="s">
        <v>342</v>
      </c>
      <c r="V562" s="2" t="s">
        <v>921</v>
      </c>
      <c r="W562" s="2" t="s">
        <v>397</v>
      </c>
      <c r="X562" s="2" t="s">
        <v>275</v>
      </c>
      <c r="Y562" s="2" t="s">
        <v>2373</v>
      </c>
      <c r="Z562" s="4">
        <v>233</v>
      </c>
      <c r="AA562" s="4">
        <f>=ROUNDDOWN(23.3,0)</f>
      </c>
      <c r="AB562" s="5">
        <v>10</v>
      </c>
      <c r="AC562" s="2" t="s">
        <v>3255</v>
      </c>
      <c r="AD562" s="4">
        <v>80</v>
      </c>
      <c r="AE562" s="4">
        <v>80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233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233</v>
      </c>
      <c r="BD562" s="8" t="s">
        <v>233</v>
      </c>
      <c r="BE562" s="4" t="s">
        <v>233</v>
      </c>
      <c r="BF562" s="8" t="s">
        <v>233</v>
      </c>
      <c r="BG562" s="7" t="s">
        <v>233</v>
      </c>
      <c r="BH562" s="7" t="s">
        <v>233</v>
      </c>
      <c r="BI562" s="7"/>
      <c r="BJ562" s="4">
        <v>6</v>
      </c>
      <c r="BK562" s="8">
        <v>206.57</v>
      </c>
      <c r="BL562" s="2" t="s">
        <v>3272</v>
      </c>
      <c r="BM562" s="7"/>
      <c r="BN562" s="7"/>
      <c r="BO562" s="4"/>
      <c r="BP562" s="8"/>
      <c r="BQ562" s="4"/>
      <c r="BR562" s="8"/>
      <c r="BS562" s="7"/>
      <c r="BT562" s="7"/>
      <c r="BU562" s="2" t="s">
        <v>3273</v>
      </c>
      <c r="BV562" s="2" t="s">
        <v>233</v>
      </c>
      <c r="BW562" s="2" t="s">
        <v>233</v>
      </c>
      <c r="BX562" s="2" t="s">
        <v>233</v>
      </c>
      <c r="BY562" s="2" t="s">
        <v>280</v>
      </c>
      <c r="BZ562" s="2" t="s">
        <v>245</v>
      </c>
      <c r="CA562" s="2" t="s">
        <v>2373</v>
      </c>
      <c r="CB562" s="2" t="s">
        <v>503</v>
      </c>
      <c r="CC562" s="2" t="s">
        <v>246</v>
      </c>
      <c r="CD562" s="2" t="s">
        <v>233</v>
      </c>
      <c r="CE562" s="4">
        <v>233</v>
      </c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>
        <v>80</v>
      </c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</row>
    <row r="563">
      <c r="A563" s="2" t="s">
        <v>3274</v>
      </c>
      <c r="B563" s="2" t="s">
        <v>910</v>
      </c>
      <c r="C563" s="2" t="s">
        <v>911</v>
      </c>
      <c r="D563" s="2" t="s">
        <v>969</v>
      </c>
      <c r="E563" s="2" t="s">
        <v>1078</v>
      </c>
      <c r="F563" s="2" t="s">
        <v>3267</v>
      </c>
      <c r="G563" s="2" t="s">
        <v>3268</v>
      </c>
      <c r="H563" s="2" t="s">
        <v>3269</v>
      </c>
      <c r="I563" s="2" t="s">
        <v>3275</v>
      </c>
      <c r="J563" s="2" t="s">
        <v>918</v>
      </c>
      <c r="K563" s="2" t="s">
        <v>773</v>
      </c>
      <c r="L563" s="3">
        <v>31.25</v>
      </c>
      <c r="M563" s="3">
        <v>32.81</v>
      </c>
      <c r="N563" s="3">
        <v>69.99</v>
      </c>
      <c r="O563" s="2" t="s">
        <v>245</v>
      </c>
      <c r="P563" s="2" t="s">
        <v>272</v>
      </c>
      <c r="Q563" s="2" t="s">
        <v>239</v>
      </c>
      <c r="R563" s="2" t="s">
        <v>233</v>
      </c>
      <c r="S563" s="2" t="s">
        <v>3276</v>
      </c>
      <c r="T563" s="2" t="s">
        <v>395</v>
      </c>
      <c r="U563" s="2" t="s">
        <v>475</v>
      </c>
      <c r="V563" s="2" t="s">
        <v>921</v>
      </c>
      <c r="W563" s="2" t="s">
        <v>397</v>
      </c>
      <c r="X563" s="2" t="s">
        <v>275</v>
      </c>
      <c r="Y563" s="2" t="s">
        <v>233</v>
      </c>
      <c r="Z563" s="4"/>
      <c r="AA563" s="4">
        <f>=ROUNDDOWN({0},0)</f>
      </c>
      <c r="AB563" s="5"/>
      <c r="AC563" s="2" t="s">
        <v>3277</v>
      </c>
      <c r="AD563" s="4">
        <v>145</v>
      </c>
      <c r="AE563" s="4">
        <v>290</v>
      </c>
      <c r="AF563" s="6">
        <v>65</v>
      </c>
      <c r="AG563" s="6"/>
      <c r="AH563" s="7">
        <v>0</v>
      </c>
      <c r="AI563" s="4"/>
      <c r="AJ563" s="4">
        <f>=ROUNDDOWN({0},0)</f>
      </c>
      <c r="AK563" s="5"/>
      <c r="AL563" s="2" t="s">
        <v>233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233</v>
      </c>
      <c r="AW563" s="8" t="s">
        <v>233</v>
      </c>
      <c r="AX563" s="4" t="s">
        <v>233</v>
      </c>
      <c r="AY563" s="8" t="s">
        <v>233</v>
      </c>
      <c r="AZ563" s="7" t="s">
        <v>233</v>
      </c>
      <c r="BA563" s="7" t="s">
        <v>233</v>
      </c>
      <c r="BB563" s="7" t="s">
        <v>233</v>
      </c>
      <c r="BC563" s="4" t="s">
        <v>233</v>
      </c>
      <c r="BD563" s="8" t="s">
        <v>233</v>
      </c>
      <c r="BE563" s="4" t="s">
        <v>233</v>
      </c>
      <c r="BF563" s="8" t="s">
        <v>233</v>
      </c>
      <c r="BG563" s="7" t="s">
        <v>233</v>
      </c>
      <c r="BH563" s="7" t="s">
        <v>233</v>
      </c>
      <c r="BI563" s="7"/>
      <c r="BJ563" s="4"/>
      <c r="BK563" s="8"/>
      <c r="BL563" s="2" t="s">
        <v>233</v>
      </c>
      <c r="BM563" s="7"/>
      <c r="BN563" s="7"/>
      <c r="BO563" s="4"/>
      <c r="BP563" s="8"/>
      <c r="BQ563" s="4"/>
      <c r="BR563" s="8"/>
      <c r="BS563" s="7"/>
      <c r="BT563" s="7"/>
      <c r="BU563" s="2" t="s">
        <v>243</v>
      </c>
      <c r="BV563" s="2" t="s">
        <v>233</v>
      </c>
      <c r="BW563" s="2" t="s">
        <v>233</v>
      </c>
      <c r="BX563" s="2" t="s">
        <v>798</v>
      </c>
      <c r="BY563" s="2" t="s">
        <v>244</v>
      </c>
      <c r="BZ563" s="2" t="s">
        <v>245</v>
      </c>
      <c r="CA563" s="2" t="s">
        <v>233</v>
      </c>
      <c r="CB563" s="2" t="s">
        <v>233</v>
      </c>
      <c r="CC563" s="2" t="s">
        <v>246</v>
      </c>
      <c r="CD563" s="2" t="s">
        <v>233</v>
      </c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>
        <v>145</v>
      </c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>
        <v>145</v>
      </c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</row>
    <row r="564">
      <c r="A564" s="2" t="s">
        <v>3278</v>
      </c>
      <c r="B564" s="2" t="s">
        <v>910</v>
      </c>
      <c r="C564" s="2" t="s">
        <v>911</v>
      </c>
      <c r="D564" s="2" t="s">
        <v>912</v>
      </c>
      <c r="E564" s="2" t="s">
        <v>913</v>
      </c>
      <c r="F564" s="2" t="s">
        <v>3267</v>
      </c>
      <c r="G564" s="2" t="s">
        <v>3268</v>
      </c>
      <c r="H564" s="2" t="s">
        <v>3269</v>
      </c>
      <c r="I564" s="2" t="s">
        <v>3270</v>
      </c>
      <c r="J564" s="2" t="s">
        <v>918</v>
      </c>
      <c r="K564" s="2" t="s">
        <v>773</v>
      </c>
      <c r="L564" s="3">
        <v>23.96</v>
      </c>
      <c r="M564" s="3">
        <v>25.16</v>
      </c>
      <c r="N564" s="3">
        <v>54.99</v>
      </c>
      <c r="O564" s="2" t="s">
        <v>245</v>
      </c>
      <c r="P564" s="2" t="s">
        <v>238</v>
      </c>
      <c r="Q564" s="2" t="s">
        <v>239</v>
      </c>
      <c r="R564" s="2" t="s">
        <v>233</v>
      </c>
      <c r="S564" s="2" t="s">
        <v>3276</v>
      </c>
      <c r="T564" s="2" t="s">
        <v>395</v>
      </c>
      <c r="U564" s="2" t="s">
        <v>475</v>
      </c>
      <c r="V564" s="2" t="s">
        <v>921</v>
      </c>
      <c r="W564" s="2" t="s">
        <v>397</v>
      </c>
      <c r="X564" s="2" t="s">
        <v>275</v>
      </c>
      <c r="Y564" s="2" t="s">
        <v>233</v>
      </c>
      <c r="Z564" s="4"/>
      <c r="AA564" s="4">
        <f>=ROUNDDOWN({0},0)</f>
      </c>
      <c r="AB564" s="5"/>
      <c r="AC564" s="2" t="s">
        <v>3277</v>
      </c>
      <c r="AD564" s="4">
        <v>30</v>
      </c>
      <c r="AE564" s="4">
        <v>60</v>
      </c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233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233</v>
      </c>
      <c r="AW564" s="8" t="s">
        <v>233</v>
      </c>
      <c r="AX564" s="4" t="s">
        <v>233</v>
      </c>
      <c r="AY564" s="8" t="s">
        <v>233</v>
      </c>
      <c r="AZ564" s="7" t="s">
        <v>233</v>
      </c>
      <c r="BA564" s="7" t="s">
        <v>233</v>
      </c>
      <c r="BB564" s="7" t="s">
        <v>233</v>
      </c>
      <c r="BC564" s="4" t="s">
        <v>233</v>
      </c>
      <c r="BD564" s="8" t="s">
        <v>233</v>
      </c>
      <c r="BE564" s="4" t="s">
        <v>233</v>
      </c>
      <c r="BF564" s="8" t="s">
        <v>233</v>
      </c>
      <c r="BG564" s="7" t="s">
        <v>233</v>
      </c>
      <c r="BH564" s="7" t="s">
        <v>233</v>
      </c>
      <c r="BI564" s="7"/>
      <c r="BJ564" s="4"/>
      <c r="BK564" s="8"/>
      <c r="BL564" s="2" t="s">
        <v>233</v>
      </c>
      <c r="BM564" s="7"/>
      <c r="BN564" s="7"/>
      <c r="BO564" s="4"/>
      <c r="BP564" s="8"/>
      <c r="BQ564" s="4"/>
      <c r="BR564" s="8"/>
      <c r="BS564" s="7"/>
      <c r="BT564" s="7"/>
      <c r="BU564" s="2" t="s">
        <v>243</v>
      </c>
      <c r="BV564" s="2" t="s">
        <v>233</v>
      </c>
      <c r="BW564" s="2" t="s">
        <v>233</v>
      </c>
      <c r="BX564" s="2" t="s">
        <v>243</v>
      </c>
      <c r="BY564" s="2" t="s">
        <v>244</v>
      </c>
      <c r="BZ564" s="2" t="s">
        <v>245</v>
      </c>
      <c r="CA564" s="2" t="s">
        <v>233</v>
      </c>
      <c r="CB564" s="2" t="s">
        <v>233</v>
      </c>
      <c r="CC564" s="2" t="s">
        <v>246</v>
      </c>
      <c r="CD564" s="2" t="s">
        <v>233</v>
      </c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>
        <v>30</v>
      </c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>
        <v>30</v>
      </c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</row>
    <row r="565">
      <c r="A565" s="2" t="s">
        <v>3279</v>
      </c>
      <c r="B565" s="2" t="s">
        <v>910</v>
      </c>
      <c r="C565" s="2" t="s">
        <v>911</v>
      </c>
      <c r="D565" s="2" t="s">
        <v>969</v>
      </c>
      <c r="E565" s="2" t="s">
        <v>1078</v>
      </c>
      <c r="F565" s="2" t="s">
        <v>3267</v>
      </c>
      <c r="G565" s="2" t="s">
        <v>3268</v>
      </c>
      <c r="H565" s="2" t="s">
        <v>3269</v>
      </c>
      <c r="I565" s="2" t="s">
        <v>3275</v>
      </c>
      <c r="J565" s="2" t="s">
        <v>981</v>
      </c>
      <c r="K565" s="2" t="s">
        <v>773</v>
      </c>
      <c r="L565" s="3">
        <v>36.67</v>
      </c>
      <c r="M565" s="3">
        <v>38.5</v>
      </c>
      <c r="N565" s="3">
        <v>79.99</v>
      </c>
      <c r="O565" s="2" t="s">
        <v>245</v>
      </c>
      <c r="P565" s="2" t="s">
        <v>272</v>
      </c>
      <c r="Q565" s="2" t="s">
        <v>239</v>
      </c>
      <c r="R565" s="2" t="s">
        <v>233</v>
      </c>
      <c r="S565" s="2" t="s">
        <v>3276</v>
      </c>
      <c r="T565" s="2" t="s">
        <v>395</v>
      </c>
      <c r="U565" s="2" t="s">
        <v>342</v>
      </c>
      <c r="V565" s="2" t="s">
        <v>921</v>
      </c>
      <c r="W565" s="2" t="s">
        <v>397</v>
      </c>
      <c r="X565" s="2" t="s">
        <v>275</v>
      </c>
      <c r="Y565" s="2" t="s">
        <v>233</v>
      </c>
      <c r="Z565" s="4"/>
      <c r="AA565" s="4">
        <f>=ROUNDDOWN({0},0)</f>
      </c>
      <c r="AB565" s="5"/>
      <c r="AC565" s="2" t="s">
        <v>3277</v>
      </c>
      <c r="AD565" s="4">
        <v>265</v>
      </c>
      <c r="AE565" s="4">
        <v>530</v>
      </c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233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233</v>
      </c>
      <c r="AW565" s="8" t="s">
        <v>233</v>
      </c>
      <c r="AX565" s="4" t="s">
        <v>233</v>
      </c>
      <c r="AY565" s="8" t="s">
        <v>233</v>
      </c>
      <c r="AZ565" s="7" t="s">
        <v>233</v>
      </c>
      <c r="BA565" s="7" t="s">
        <v>233</v>
      </c>
      <c r="BB565" s="7" t="s">
        <v>233</v>
      </c>
      <c r="BC565" s="4" t="s">
        <v>233</v>
      </c>
      <c r="BD565" s="8" t="s">
        <v>233</v>
      </c>
      <c r="BE565" s="4" t="s">
        <v>233</v>
      </c>
      <c r="BF565" s="8" t="s">
        <v>233</v>
      </c>
      <c r="BG565" s="7" t="s">
        <v>233</v>
      </c>
      <c r="BH565" s="7" t="s">
        <v>233</v>
      </c>
      <c r="BI565" s="7"/>
      <c r="BJ565" s="4"/>
      <c r="BK565" s="8"/>
      <c r="BL565" s="2" t="s">
        <v>233</v>
      </c>
      <c r="BM565" s="7"/>
      <c r="BN565" s="7"/>
      <c r="BO565" s="4"/>
      <c r="BP565" s="8"/>
      <c r="BQ565" s="4"/>
      <c r="BR565" s="8"/>
      <c r="BS565" s="7"/>
      <c r="BT565" s="7"/>
      <c r="BU565" s="2" t="s">
        <v>243</v>
      </c>
      <c r="BV565" s="2" t="s">
        <v>233</v>
      </c>
      <c r="BW565" s="2" t="s">
        <v>233</v>
      </c>
      <c r="BX565" s="2" t="s">
        <v>798</v>
      </c>
      <c r="BY565" s="2" t="s">
        <v>244</v>
      </c>
      <c r="BZ565" s="2" t="s">
        <v>245</v>
      </c>
      <c r="CA565" s="2" t="s">
        <v>233</v>
      </c>
      <c r="CB565" s="2" t="s">
        <v>233</v>
      </c>
      <c r="CC565" s="2" t="s">
        <v>246</v>
      </c>
      <c r="CD565" s="2" t="s">
        <v>233</v>
      </c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>
        <v>265</v>
      </c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>
        <v>265</v>
      </c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</row>
    <row r="566">
      <c r="A566" s="2" t="s">
        <v>3280</v>
      </c>
      <c r="B566" s="2" t="s">
        <v>910</v>
      </c>
      <c r="C566" s="2" t="s">
        <v>911</v>
      </c>
      <c r="D566" s="2" t="s">
        <v>912</v>
      </c>
      <c r="E566" s="2" t="s">
        <v>913</v>
      </c>
      <c r="F566" s="2" t="s">
        <v>3267</v>
      </c>
      <c r="G566" s="2" t="s">
        <v>3268</v>
      </c>
      <c r="H566" s="2" t="s">
        <v>3269</v>
      </c>
      <c r="I566" s="2" t="s">
        <v>3270</v>
      </c>
      <c r="J566" s="2" t="s">
        <v>981</v>
      </c>
      <c r="K566" s="2" t="s">
        <v>773</v>
      </c>
      <c r="L566" s="3">
        <v>28.76</v>
      </c>
      <c r="M566" s="3">
        <v>30.2</v>
      </c>
      <c r="N566" s="3">
        <v>64.99</v>
      </c>
      <c r="O566" s="2" t="s">
        <v>245</v>
      </c>
      <c r="P566" s="2" t="s">
        <v>238</v>
      </c>
      <c r="Q566" s="2" t="s">
        <v>239</v>
      </c>
      <c r="R566" s="2" t="s">
        <v>233</v>
      </c>
      <c r="S566" s="2" t="s">
        <v>3276</v>
      </c>
      <c r="T566" s="2" t="s">
        <v>395</v>
      </c>
      <c r="U566" s="2" t="s">
        <v>342</v>
      </c>
      <c r="V566" s="2" t="s">
        <v>921</v>
      </c>
      <c r="W566" s="2" t="s">
        <v>397</v>
      </c>
      <c r="X566" s="2" t="s">
        <v>275</v>
      </c>
      <c r="Y566" s="2" t="s">
        <v>233</v>
      </c>
      <c r="Z566" s="4"/>
      <c r="AA566" s="4">
        <f>=ROUNDDOWN({0},0)</f>
      </c>
      <c r="AB566" s="5"/>
      <c r="AC566" s="2" t="s">
        <v>3277</v>
      </c>
      <c r="AD566" s="4">
        <v>45</v>
      </c>
      <c r="AE566" s="4">
        <v>90</v>
      </c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233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233</v>
      </c>
      <c r="AW566" s="8" t="s">
        <v>233</v>
      </c>
      <c r="AX566" s="4" t="s">
        <v>233</v>
      </c>
      <c r="AY566" s="8" t="s">
        <v>233</v>
      </c>
      <c r="AZ566" s="7" t="s">
        <v>233</v>
      </c>
      <c r="BA566" s="7" t="s">
        <v>233</v>
      </c>
      <c r="BB566" s="7" t="s">
        <v>233</v>
      </c>
      <c r="BC566" s="4" t="s">
        <v>233</v>
      </c>
      <c r="BD566" s="8" t="s">
        <v>233</v>
      </c>
      <c r="BE566" s="4" t="s">
        <v>233</v>
      </c>
      <c r="BF566" s="8" t="s">
        <v>233</v>
      </c>
      <c r="BG566" s="7" t="s">
        <v>233</v>
      </c>
      <c r="BH566" s="7" t="s">
        <v>233</v>
      </c>
      <c r="BI566" s="7"/>
      <c r="BJ566" s="4"/>
      <c r="BK566" s="8"/>
      <c r="BL566" s="2" t="s">
        <v>233</v>
      </c>
      <c r="BM566" s="7"/>
      <c r="BN566" s="7"/>
      <c r="BO566" s="4"/>
      <c r="BP566" s="8"/>
      <c r="BQ566" s="4"/>
      <c r="BR566" s="8"/>
      <c r="BS566" s="7"/>
      <c r="BT566" s="7"/>
      <c r="BU566" s="2" t="s">
        <v>243</v>
      </c>
      <c r="BV566" s="2" t="s">
        <v>233</v>
      </c>
      <c r="BW566" s="2" t="s">
        <v>233</v>
      </c>
      <c r="BX566" s="2" t="s">
        <v>243</v>
      </c>
      <c r="BY566" s="2" t="s">
        <v>244</v>
      </c>
      <c r="BZ566" s="2" t="s">
        <v>245</v>
      </c>
      <c r="CA566" s="2" t="s">
        <v>233</v>
      </c>
      <c r="CB566" s="2" t="s">
        <v>233</v>
      </c>
      <c r="CC566" s="2" t="s">
        <v>246</v>
      </c>
      <c r="CD566" s="2" t="s">
        <v>233</v>
      </c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>
        <v>45</v>
      </c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>
        <v>45</v>
      </c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</row>
    <row r="567">
      <c r="A567" s="2" t="s">
        <v>3281</v>
      </c>
      <c r="B567" s="2" t="s">
        <v>910</v>
      </c>
      <c r="C567" s="2" t="s">
        <v>911</v>
      </c>
      <c r="D567" s="2" t="s">
        <v>969</v>
      </c>
      <c r="E567" s="2" t="s">
        <v>1078</v>
      </c>
      <c r="F567" s="2" t="s">
        <v>3267</v>
      </c>
      <c r="G567" s="2" t="s">
        <v>3268</v>
      </c>
      <c r="H567" s="2" t="s">
        <v>3269</v>
      </c>
      <c r="I567" s="2" t="s">
        <v>3275</v>
      </c>
      <c r="J567" s="2" t="s">
        <v>1142</v>
      </c>
      <c r="K567" s="2" t="s">
        <v>773</v>
      </c>
      <c r="L567" s="3">
        <v>39.5</v>
      </c>
      <c r="M567" s="3">
        <v>41.48</v>
      </c>
      <c r="N567" s="3">
        <v>89.99</v>
      </c>
      <c r="O567" s="2" t="s">
        <v>245</v>
      </c>
      <c r="P567" s="2" t="s">
        <v>272</v>
      </c>
      <c r="Q567" s="2" t="s">
        <v>239</v>
      </c>
      <c r="R567" s="2" t="s">
        <v>233</v>
      </c>
      <c r="S567" s="2" t="s">
        <v>3276</v>
      </c>
      <c r="T567" s="2" t="s">
        <v>395</v>
      </c>
      <c r="U567" s="2" t="s">
        <v>342</v>
      </c>
      <c r="V567" s="2" t="s">
        <v>921</v>
      </c>
      <c r="W567" s="2" t="s">
        <v>397</v>
      </c>
      <c r="X567" s="2" t="s">
        <v>275</v>
      </c>
      <c r="Y567" s="2" t="s">
        <v>233</v>
      </c>
      <c r="Z567" s="4"/>
      <c r="AA567" s="4">
        <f>=ROUNDDOWN({0},0)</f>
      </c>
      <c r="AB567" s="5"/>
      <c r="AC567" s="2" t="s">
        <v>3277</v>
      </c>
      <c r="AD567" s="4">
        <v>90</v>
      </c>
      <c r="AE567" s="4">
        <v>180</v>
      </c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233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233</v>
      </c>
      <c r="AW567" s="8" t="s">
        <v>233</v>
      </c>
      <c r="AX567" s="4" t="s">
        <v>233</v>
      </c>
      <c r="AY567" s="8" t="s">
        <v>233</v>
      </c>
      <c r="AZ567" s="7" t="s">
        <v>233</v>
      </c>
      <c r="BA567" s="7" t="s">
        <v>233</v>
      </c>
      <c r="BB567" s="7" t="s">
        <v>233</v>
      </c>
      <c r="BC567" s="4" t="s">
        <v>233</v>
      </c>
      <c r="BD567" s="8" t="s">
        <v>233</v>
      </c>
      <c r="BE567" s="4" t="s">
        <v>233</v>
      </c>
      <c r="BF567" s="8" t="s">
        <v>233</v>
      </c>
      <c r="BG567" s="7" t="s">
        <v>233</v>
      </c>
      <c r="BH567" s="7" t="s">
        <v>233</v>
      </c>
      <c r="BI567" s="7"/>
      <c r="BJ567" s="4"/>
      <c r="BK567" s="8"/>
      <c r="BL567" s="2" t="s">
        <v>233</v>
      </c>
      <c r="BM567" s="7"/>
      <c r="BN567" s="7"/>
      <c r="BO567" s="4"/>
      <c r="BP567" s="8"/>
      <c r="BQ567" s="4"/>
      <c r="BR567" s="8"/>
      <c r="BS567" s="7"/>
      <c r="BT567" s="7"/>
      <c r="BU567" s="2" t="s">
        <v>243</v>
      </c>
      <c r="BV567" s="2" t="s">
        <v>233</v>
      </c>
      <c r="BW567" s="2" t="s">
        <v>233</v>
      </c>
      <c r="BX567" s="2" t="s">
        <v>798</v>
      </c>
      <c r="BY567" s="2" t="s">
        <v>244</v>
      </c>
      <c r="BZ567" s="2" t="s">
        <v>245</v>
      </c>
      <c r="CA567" s="2" t="s">
        <v>233</v>
      </c>
      <c r="CB567" s="2" t="s">
        <v>233</v>
      </c>
      <c r="CC567" s="2" t="s">
        <v>246</v>
      </c>
      <c r="CD567" s="2" t="s">
        <v>233</v>
      </c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>
        <v>90</v>
      </c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>
        <v>90</v>
      </c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</row>
    <row r="568">
      <c r="A568" s="2" t="s">
        <v>3282</v>
      </c>
      <c r="B568" s="2" t="s">
        <v>910</v>
      </c>
      <c r="C568" s="2" t="s">
        <v>911</v>
      </c>
      <c r="D568" s="2" t="s">
        <v>912</v>
      </c>
      <c r="E568" s="2" t="s">
        <v>913</v>
      </c>
      <c r="F568" s="2" t="s">
        <v>3267</v>
      </c>
      <c r="G568" s="2" t="s">
        <v>3268</v>
      </c>
      <c r="H568" s="2" t="s">
        <v>3269</v>
      </c>
      <c r="I568" s="2" t="s">
        <v>3270</v>
      </c>
      <c r="J568" s="2" t="s">
        <v>1142</v>
      </c>
      <c r="K568" s="2" t="s">
        <v>773</v>
      </c>
      <c r="L568" s="3">
        <v>31.5</v>
      </c>
      <c r="M568" s="3">
        <v>33.08</v>
      </c>
      <c r="N568" s="3">
        <v>74.99</v>
      </c>
      <c r="O568" s="2" t="s">
        <v>245</v>
      </c>
      <c r="P568" s="2" t="s">
        <v>238</v>
      </c>
      <c r="Q568" s="2" t="s">
        <v>239</v>
      </c>
      <c r="R568" s="2" t="s">
        <v>233</v>
      </c>
      <c r="S568" s="2" t="s">
        <v>3276</v>
      </c>
      <c r="T568" s="2" t="s">
        <v>395</v>
      </c>
      <c r="U568" s="2" t="s">
        <v>342</v>
      </c>
      <c r="V568" s="2" t="s">
        <v>921</v>
      </c>
      <c r="W568" s="2" t="s">
        <v>397</v>
      </c>
      <c r="X568" s="2" t="s">
        <v>275</v>
      </c>
      <c r="Y568" s="2" t="s">
        <v>233</v>
      </c>
      <c r="Z568" s="4"/>
      <c r="AA568" s="4">
        <f>=ROUNDDOWN({0},0)</f>
      </c>
      <c r="AB568" s="5"/>
      <c r="AC568" s="2" t="s">
        <v>3277</v>
      </c>
      <c r="AD568" s="4">
        <v>25</v>
      </c>
      <c r="AE568" s="4">
        <v>50</v>
      </c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233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233</v>
      </c>
      <c r="AW568" s="8" t="s">
        <v>233</v>
      </c>
      <c r="AX568" s="4" t="s">
        <v>233</v>
      </c>
      <c r="AY568" s="8" t="s">
        <v>233</v>
      </c>
      <c r="AZ568" s="7" t="s">
        <v>233</v>
      </c>
      <c r="BA568" s="7" t="s">
        <v>233</v>
      </c>
      <c r="BB568" s="7" t="s">
        <v>233</v>
      </c>
      <c r="BC568" s="4" t="s">
        <v>233</v>
      </c>
      <c r="BD568" s="8" t="s">
        <v>233</v>
      </c>
      <c r="BE568" s="4" t="s">
        <v>233</v>
      </c>
      <c r="BF568" s="8" t="s">
        <v>233</v>
      </c>
      <c r="BG568" s="7" t="s">
        <v>233</v>
      </c>
      <c r="BH568" s="7" t="s">
        <v>233</v>
      </c>
      <c r="BI568" s="7"/>
      <c r="BJ568" s="4"/>
      <c r="BK568" s="8"/>
      <c r="BL568" s="2" t="s">
        <v>233</v>
      </c>
      <c r="BM568" s="7"/>
      <c r="BN568" s="7"/>
      <c r="BO568" s="4"/>
      <c r="BP568" s="8"/>
      <c r="BQ568" s="4"/>
      <c r="BR568" s="8"/>
      <c r="BS568" s="7"/>
      <c r="BT568" s="7"/>
      <c r="BU568" s="2" t="s">
        <v>243</v>
      </c>
      <c r="BV568" s="2" t="s">
        <v>233</v>
      </c>
      <c r="BW568" s="2" t="s">
        <v>233</v>
      </c>
      <c r="BX568" s="2" t="s">
        <v>243</v>
      </c>
      <c r="BY568" s="2" t="s">
        <v>244</v>
      </c>
      <c r="BZ568" s="2" t="s">
        <v>245</v>
      </c>
      <c r="CA568" s="2" t="s">
        <v>233</v>
      </c>
      <c r="CB568" s="2" t="s">
        <v>233</v>
      </c>
      <c r="CC568" s="2" t="s">
        <v>246</v>
      </c>
      <c r="CD568" s="2" t="s">
        <v>233</v>
      </c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>
        <v>25</v>
      </c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>
        <v>25</v>
      </c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</row>
    <row r="569">
      <c r="A569" s="2" t="s">
        <v>3283</v>
      </c>
      <c r="B569" s="2" t="s">
        <v>910</v>
      </c>
      <c r="C569" s="2" t="s">
        <v>911</v>
      </c>
      <c r="D569" s="2" t="s">
        <v>969</v>
      </c>
      <c r="E569" s="2" t="s">
        <v>1078</v>
      </c>
      <c r="F569" s="2" t="s">
        <v>3267</v>
      </c>
      <c r="G569" s="2" t="s">
        <v>3268</v>
      </c>
      <c r="H569" s="2" t="s">
        <v>3269</v>
      </c>
      <c r="I569" s="2" t="s">
        <v>3275</v>
      </c>
      <c r="J569" s="2" t="s">
        <v>981</v>
      </c>
      <c r="K569" s="2" t="s">
        <v>3284</v>
      </c>
      <c r="L569" s="3">
        <v>36.67</v>
      </c>
      <c r="M569" s="3">
        <v>38.5</v>
      </c>
      <c r="N569" s="3">
        <v>79.99</v>
      </c>
      <c r="O569" s="2" t="s">
        <v>245</v>
      </c>
      <c r="P569" s="2" t="s">
        <v>741</v>
      </c>
      <c r="Q569" s="2" t="s">
        <v>239</v>
      </c>
      <c r="R569" s="2" t="s">
        <v>233</v>
      </c>
      <c r="S569" s="2" t="s">
        <v>3285</v>
      </c>
      <c r="T569" s="2" t="s">
        <v>395</v>
      </c>
      <c r="U569" s="2" t="s">
        <v>342</v>
      </c>
      <c r="V569" s="2" t="s">
        <v>921</v>
      </c>
      <c r="W569" s="2" t="s">
        <v>397</v>
      </c>
      <c r="X569" s="2" t="s">
        <v>275</v>
      </c>
      <c r="Y569" s="2" t="s">
        <v>2423</v>
      </c>
      <c r="Z569" s="4">
        <v>681</v>
      </c>
      <c r="AA569" s="4">
        <f>=ROUNDDOWN(22.7,0)</f>
      </c>
      <c r="AB569" s="5">
        <v>30</v>
      </c>
      <c r="AC569" s="2" t="s">
        <v>1514</v>
      </c>
      <c r="AD569" s="4">
        <v>300</v>
      </c>
      <c r="AE569" s="4">
        <v>1200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233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233</v>
      </c>
      <c r="AW569" s="8" t="s">
        <v>233</v>
      </c>
      <c r="AX569" s="4" t="s">
        <v>233</v>
      </c>
      <c r="AY569" s="8" t="s">
        <v>233</v>
      </c>
      <c r="AZ569" s="7" t="s">
        <v>233</v>
      </c>
      <c r="BA569" s="7" t="s">
        <v>233</v>
      </c>
      <c r="BB569" s="7"/>
      <c r="BC569" s="4" t="s">
        <v>233</v>
      </c>
      <c r="BD569" s="8" t="s">
        <v>233</v>
      </c>
      <c r="BE569" s="4" t="s">
        <v>233</v>
      </c>
      <c r="BF569" s="8" t="s">
        <v>233</v>
      </c>
      <c r="BG569" s="7" t="s">
        <v>233</v>
      </c>
      <c r="BH569" s="7" t="s">
        <v>233</v>
      </c>
      <c r="BI569" s="7"/>
      <c r="BJ569" s="4">
        <v>49</v>
      </c>
      <c r="BK569" s="8">
        <v>2050.57</v>
      </c>
      <c r="BL569" s="2" t="s">
        <v>3286</v>
      </c>
      <c r="BM569" s="7"/>
      <c r="BN569" s="7"/>
      <c r="BO569" s="4"/>
      <c r="BP569" s="8"/>
      <c r="BQ569" s="4"/>
      <c r="BR569" s="8"/>
      <c r="BS569" s="7"/>
      <c r="BT569" s="7"/>
      <c r="BU569" s="2" t="s">
        <v>3287</v>
      </c>
      <c r="BV569" s="2" t="s">
        <v>233</v>
      </c>
      <c r="BW569" s="2" t="s">
        <v>233</v>
      </c>
      <c r="BX569" s="2" t="s">
        <v>798</v>
      </c>
      <c r="BY569" s="2" t="s">
        <v>280</v>
      </c>
      <c r="BZ569" s="2" t="s">
        <v>245</v>
      </c>
      <c r="CA569" s="2" t="s">
        <v>2119</v>
      </c>
      <c r="CB569" s="2" t="s">
        <v>3288</v>
      </c>
      <c r="CC569" s="2" t="s">
        <v>246</v>
      </c>
      <c r="CD569" s="2" t="s">
        <v>233</v>
      </c>
      <c r="CE569" s="4">
        <v>263</v>
      </c>
      <c r="CF569" s="4"/>
      <c r="CG569" s="4"/>
      <c r="CH569" s="4"/>
      <c r="CI569" s="4">
        <v>418</v>
      </c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>
        <v>300</v>
      </c>
      <c r="EG569" s="4"/>
      <c r="EH569" s="4"/>
      <c r="EI569" s="4"/>
      <c r="EJ569" s="4"/>
      <c r="EK569" s="4"/>
      <c r="EL569" s="4"/>
      <c r="EM569" s="4"/>
      <c r="EN569" s="4"/>
      <c r="EO569" s="4">
        <v>480</v>
      </c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>
        <v>420</v>
      </c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</row>
    <row r="570">
      <c r="A570" s="2" t="s">
        <v>3289</v>
      </c>
      <c r="B570" s="2" t="s">
        <v>910</v>
      </c>
      <c r="C570" s="2" t="s">
        <v>911</v>
      </c>
      <c r="D570" s="2" t="s">
        <v>969</v>
      </c>
      <c r="E570" s="2" t="s">
        <v>1078</v>
      </c>
      <c r="F570" s="2" t="s">
        <v>3267</v>
      </c>
      <c r="G570" s="2" t="s">
        <v>3268</v>
      </c>
      <c r="H570" s="2" t="s">
        <v>3269</v>
      </c>
      <c r="I570" s="2" t="s">
        <v>3275</v>
      </c>
      <c r="J570" s="2" t="s">
        <v>1142</v>
      </c>
      <c r="K570" s="2" t="s">
        <v>3284</v>
      </c>
      <c r="L570" s="3">
        <v>39.5</v>
      </c>
      <c r="M570" s="3">
        <v>41.48</v>
      </c>
      <c r="N570" s="3">
        <v>89.99</v>
      </c>
      <c r="O570" s="2" t="s">
        <v>245</v>
      </c>
      <c r="P570" s="2" t="s">
        <v>741</v>
      </c>
      <c r="Q570" s="2" t="s">
        <v>239</v>
      </c>
      <c r="R570" s="2" t="s">
        <v>233</v>
      </c>
      <c r="S570" s="2" t="s">
        <v>3285</v>
      </c>
      <c r="T570" s="2" t="s">
        <v>395</v>
      </c>
      <c r="U570" s="2" t="s">
        <v>342</v>
      </c>
      <c r="V570" s="2" t="s">
        <v>921</v>
      </c>
      <c r="W570" s="2" t="s">
        <v>397</v>
      </c>
      <c r="X570" s="2" t="s">
        <v>275</v>
      </c>
      <c r="Y570" s="2" t="s">
        <v>2423</v>
      </c>
      <c r="Z570" s="4">
        <v>433</v>
      </c>
      <c r="AA570" s="4">
        <f>=ROUNDDOWN(39.3636363636364,0)</f>
      </c>
      <c r="AB570" s="5">
        <v>11</v>
      </c>
      <c r="AC570" s="2" t="s">
        <v>1514</v>
      </c>
      <c r="AD570" s="4">
        <v>150</v>
      </c>
      <c r="AE570" s="4">
        <v>370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233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233</v>
      </c>
      <c r="AW570" s="8" t="s">
        <v>233</v>
      </c>
      <c r="AX570" s="4" t="s">
        <v>233</v>
      </c>
      <c r="AY570" s="8" t="s">
        <v>233</v>
      </c>
      <c r="AZ570" s="7" t="s">
        <v>233</v>
      </c>
      <c r="BA570" s="7" t="s">
        <v>233</v>
      </c>
      <c r="BB570" s="7"/>
      <c r="BC570" s="4" t="s">
        <v>233</v>
      </c>
      <c r="BD570" s="8" t="s">
        <v>233</v>
      </c>
      <c r="BE570" s="4" t="s">
        <v>233</v>
      </c>
      <c r="BF570" s="8" t="s">
        <v>233</v>
      </c>
      <c r="BG570" s="7" t="s">
        <v>233</v>
      </c>
      <c r="BH570" s="7" t="s">
        <v>233</v>
      </c>
      <c r="BI570" s="7"/>
      <c r="BJ570" s="4">
        <v>9</v>
      </c>
      <c r="BK570" s="8">
        <v>382.04</v>
      </c>
      <c r="BL570" s="2" t="s">
        <v>3290</v>
      </c>
      <c r="BM570" s="7"/>
      <c r="BN570" s="7"/>
      <c r="BO570" s="4"/>
      <c r="BP570" s="8"/>
      <c r="BQ570" s="4"/>
      <c r="BR570" s="8"/>
      <c r="BS570" s="7"/>
      <c r="BT570" s="7"/>
      <c r="BU570" s="2" t="s">
        <v>3291</v>
      </c>
      <c r="BV570" s="2" t="s">
        <v>233</v>
      </c>
      <c r="BW570" s="2" t="s">
        <v>233</v>
      </c>
      <c r="BX570" s="2" t="s">
        <v>798</v>
      </c>
      <c r="BY570" s="2" t="s">
        <v>280</v>
      </c>
      <c r="BZ570" s="2" t="s">
        <v>245</v>
      </c>
      <c r="CA570" s="2" t="s">
        <v>2119</v>
      </c>
      <c r="CB570" s="2" t="s">
        <v>3288</v>
      </c>
      <c r="CC570" s="2" t="s">
        <v>246</v>
      </c>
      <c r="CD570" s="2" t="s">
        <v>233</v>
      </c>
      <c r="CE570" s="4">
        <v>224</v>
      </c>
      <c r="CF570" s="4"/>
      <c r="CG570" s="4"/>
      <c r="CH570" s="4"/>
      <c r="CI570" s="4">
        <v>209</v>
      </c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>
        <v>150</v>
      </c>
      <c r="EG570" s="4"/>
      <c r="EH570" s="4"/>
      <c r="EI570" s="4"/>
      <c r="EJ570" s="4"/>
      <c r="EK570" s="4"/>
      <c r="EL570" s="4"/>
      <c r="EM570" s="4"/>
      <c r="EN570" s="4"/>
      <c r="EO570" s="4">
        <v>100</v>
      </c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>
        <v>120</v>
      </c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</row>
    <row r="571">
      <c r="A571" s="2" t="s">
        <v>3292</v>
      </c>
      <c r="B571" s="2" t="s">
        <v>1174</v>
      </c>
      <c r="C571" s="2" t="s">
        <v>1447</v>
      </c>
      <c r="D571" s="2" t="s">
        <v>1175</v>
      </c>
      <c r="E571" s="2" t="s">
        <v>1448</v>
      </c>
      <c r="F571" s="2" t="s">
        <v>3293</v>
      </c>
      <c r="G571" s="2" t="s">
        <v>3294</v>
      </c>
      <c r="H571" s="2" t="s">
        <v>3295</v>
      </c>
      <c r="I571" s="2" t="s">
        <v>3296</v>
      </c>
      <c r="J571" s="2" t="s">
        <v>1490</v>
      </c>
      <c r="K571" s="2" t="s">
        <v>297</v>
      </c>
      <c r="L571" s="3">
        <v>24.75</v>
      </c>
      <c r="M571" s="3">
        <v>25.99</v>
      </c>
      <c r="N571" s="3">
        <v>54.99</v>
      </c>
      <c r="O571" s="2" t="s">
        <v>245</v>
      </c>
      <c r="P571" s="2" t="s">
        <v>311</v>
      </c>
      <c r="Q571" s="2" t="s">
        <v>239</v>
      </c>
      <c r="R571" s="2" t="s">
        <v>233</v>
      </c>
      <c r="S571" s="2" t="s">
        <v>3297</v>
      </c>
      <c r="T571" s="2" t="s">
        <v>233</v>
      </c>
      <c r="U571" s="2" t="s">
        <v>396</v>
      </c>
      <c r="V571" s="2" t="s">
        <v>921</v>
      </c>
      <c r="W571" s="2" t="s">
        <v>705</v>
      </c>
      <c r="X571" s="2" t="s">
        <v>1457</v>
      </c>
      <c r="Y571" s="2" t="s">
        <v>1610</v>
      </c>
      <c r="Z571" s="4">
        <v>40</v>
      </c>
      <c r="AA571" s="4">
        <f>=ROUNDDOWN(13.3333333333333,0)</f>
      </c>
      <c r="AB571" s="5">
        <v>3</v>
      </c>
      <c r="AC571" s="2" t="s">
        <v>233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233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233</v>
      </c>
      <c r="AW571" s="8" t="s">
        <v>233</v>
      </c>
      <c r="AX571" s="4" t="s">
        <v>233</v>
      </c>
      <c r="AY571" s="8" t="s">
        <v>233</v>
      </c>
      <c r="AZ571" s="7" t="s">
        <v>233</v>
      </c>
      <c r="BA571" s="7" t="s">
        <v>233</v>
      </c>
      <c r="BB571" s="7"/>
      <c r="BC571" s="4" t="s">
        <v>233</v>
      </c>
      <c r="BD571" s="8" t="s">
        <v>233</v>
      </c>
      <c r="BE571" s="4" t="s">
        <v>233</v>
      </c>
      <c r="BF571" s="8" t="s">
        <v>233</v>
      </c>
      <c r="BG571" s="7" t="s">
        <v>233</v>
      </c>
      <c r="BH571" s="7" t="s">
        <v>233</v>
      </c>
      <c r="BI571" s="7"/>
      <c r="BJ571" s="4">
        <v>13</v>
      </c>
      <c r="BK571" s="8">
        <v>371.22</v>
      </c>
      <c r="BL571" s="2" t="s">
        <v>3298</v>
      </c>
      <c r="BM571" s="7"/>
      <c r="BN571" s="7"/>
      <c r="BO571" s="4"/>
      <c r="BP571" s="8"/>
      <c r="BQ571" s="4"/>
      <c r="BR571" s="8"/>
      <c r="BS571" s="7"/>
      <c r="BT571" s="7"/>
      <c r="BU571" s="2" t="s">
        <v>3299</v>
      </c>
      <c r="BV571" s="2" t="s">
        <v>233</v>
      </c>
      <c r="BW571" s="2" t="s">
        <v>233</v>
      </c>
      <c r="BX571" s="2" t="s">
        <v>233</v>
      </c>
      <c r="BY571" s="2" t="s">
        <v>280</v>
      </c>
      <c r="BZ571" s="2" t="s">
        <v>245</v>
      </c>
      <c r="CA571" s="2" t="s">
        <v>3247</v>
      </c>
      <c r="CB571" s="2" t="s">
        <v>3300</v>
      </c>
      <c r="CC571" s="2" t="s">
        <v>246</v>
      </c>
      <c r="CD571" s="2" t="s">
        <v>233</v>
      </c>
      <c r="CE571" s="4">
        <v>40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</row>
    <row r="572">
      <c r="A572" s="2" t="s">
        <v>3301</v>
      </c>
      <c r="B572" s="2" t="s">
        <v>1174</v>
      </c>
      <c r="C572" s="2" t="s">
        <v>1447</v>
      </c>
      <c r="D572" s="2" t="s">
        <v>1175</v>
      </c>
      <c r="E572" s="2" t="s">
        <v>1448</v>
      </c>
      <c r="F572" s="2" t="s">
        <v>3293</v>
      </c>
      <c r="G572" s="2" t="s">
        <v>3294</v>
      </c>
      <c r="H572" s="2" t="s">
        <v>3295</v>
      </c>
      <c r="I572" s="2" t="s">
        <v>3296</v>
      </c>
      <c r="J572" s="2" t="s">
        <v>1453</v>
      </c>
      <c r="K572" s="2" t="s">
        <v>297</v>
      </c>
      <c r="L572" s="3">
        <v>27</v>
      </c>
      <c r="M572" s="3">
        <v>28.35</v>
      </c>
      <c r="N572" s="3">
        <v>59.99</v>
      </c>
      <c r="O572" s="2" t="s">
        <v>245</v>
      </c>
      <c r="P572" s="2" t="s">
        <v>311</v>
      </c>
      <c r="Q572" s="2" t="s">
        <v>239</v>
      </c>
      <c r="R572" s="2" t="s">
        <v>233</v>
      </c>
      <c r="S572" s="2" t="s">
        <v>3297</v>
      </c>
      <c r="T572" s="2" t="s">
        <v>233</v>
      </c>
      <c r="U572" s="2" t="s">
        <v>396</v>
      </c>
      <c r="V572" s="2" t="s">
        <v>921</v>
      </c>
      <c r="W572" s="2" t="s">
        <v>705</v>
      </c>
      <c r="X572" s="2" t="s">
        <v>1457</v>
      </c>
      <c r="Y572" s="2" t="s">
        <v>1610</v>
      </c>
      <c r="Z572" s="4">
        <v>100</v>
      </c>
      <c r="AA572" s="4">
        <f>=ROUNDDOWN(50,0)</f>
      </c>
      <c r="AB572" s="5">
        <v>2</v>
      </c>
      <c r="AC572" s="2" t="s">
        <v>233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233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233</v>
      </c>
      <c r="AW572" s="8" t="s">
        <v>233</v>
      </c>
      <c r="AX572" s="4" t="s">
        <v>233</v>
      </c>
      <c r="AY572" s="8" t="s">
        <v>233</v>
      </c>
      <c r="AZ572" s="7" t="s">
        <v>233</v>
      </c>
      <c r="BA572" s="7" t="s">
        <v>233</v>
      </c>
      <c r="BB572" s="7"/>
      <c r="BC572" s="4" t="s">
        <v>233</v>
      </c>
      <c r="BD572" s="8" t="s">
        <v>233</v>
      </c>
      <c r="BE572" s="4" t="s">
        <v>233</v>
      </c>
      <c r="BF572" s="8" t="s">
        <v>233</v>
      </c>
      <c r="BG572" s="7" t="s">
        <v>233</v>
      </c>
      <c r="BH572" s="7" t="s">
        <v>233</v>
      </c>
      <c r="BI572" s="7"/>
      <c r="BJ572" s="4">
        <v>22</v>
      </c>
      <c r="BK572" s="8">
        <v>343.66</v>
      </c>
      <c r="BL572" s="2" t="s">
        <v>1588</v>
      </c>
      <c r="BM572" s="7"/>
      <c r="BN572" s="7"/>
      <c r="BO572" s="4"/>
      <c r="BP572" s="8"/>
      <c r="BQ572" s="4"/>
      <c r="BR572" s="8"/>
      <c r="BS572" s="7"/>
      <c r="BT572" s="7"/>
      <c r="BU572" s="2" t="s">
        <v>3302</v>
      </c>
      <c r="BV572" s="2" t="s">
        <v>233</v>
      </c>
      <c r="BW572" s="2" t="s">
        <v>233</v>
      </c>
      <c r="BX572" s="2" t="s">
        <v>233</v>
      </c>
      <c r="BY572" s="2" t="s">
        <v>280</v>
      </c>
      <c r="BZ572" s="2" t="s">
        <v>245</v>
      </c>
      <c r="CA572" s="2" t="s">
        <v>3247</v>
      </c>
      <c r="CB572" s="2" t="s">
        <v>1680</v>
      </c>
      <c r="CC572" s="2" t="s">
        <v>246</v>
      </c>
      <c r="CD572" s="2" t="s">
        <v>233</v>
      </c>
      <c r="CE572" s="4">
        <v>100</v>
      </c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</row>
    <row r="573">
      <c r="A573" s="2" t="s">
        <v>3303</v>
      </c>
      <c r="B573" s="2" t="s">
        <v>1174</v>
      </c>
      <c r="C573" s="2" t="s">
        <v>1447</v>
      </c>
      <c r="D573" s="2" t="s">
        <v>3304</v>
      </c>
      <c r="E573" s="2" t="s">
        <v>3305</v>
      </c>
      <c r="F573" s="2" t="s">
        <v>3293</v>
      </c>
      <c r="G573" s="2" t="s">
        <v>3294</v>
      </c>
      <c r="H573" s="2" t="s">
        <v>3295</v>
      </c>
      <c r="I573" s="2" t="s">
        <v>3306</v>
      </c>
      <c r="J573" s="2" t="s">
        <v>3307</v>
      </c>
      <c r="K573" s="2" t="s">
        <v>297</v>
      </c>
      <c r="L573" s="3">
        <v>17.1</v>
      </c>
      <c r="M573" s="3">
        <v>17.96</v>
      </c>
      <c r="N573" s="3">
        <v>37.99</v>
      </c>
      <c r="O573" s="2" t="s">
        <v>245</v>
      </c>
      <c r="P573" s="2" t="s">
        <v>311</v>
      </c>
      <c r="Q573" s="2" t="s">
        <v>239</v>
      </c>
      <c r="R573" s="2" t="s">
        <v>233</v>
      </c>
      <c r="S573" s="2" t="s">
        <v>3297</v>
      </c>
      <c r="T573" s="2" t="s">
        <v>233</v>
      </c>
      <c r="U573" s="2" t="s">
        <v>396</v>
      </c>
      <c r="V573" s="2" t="s">
        <v>921</v>
      </c>
      <c r="W573" s="2" t="s">
        <v>705</v>
      </c>
      <c r="X573" s="2" t="s">
        <v>233</v>
      </c>
      <c r="Y573" s="2" t="s">
        <v>1610</v>
      </c>
      <c r="Z573" s="4">
        <v>33</v>
      </c>
      <c r="AA573" s="4">
        <f>=ROUNDDOWN(14.3478260869565,0)</f>
      </c>
      <c r="AB573" s="5">
        <v>2.3</v>
      </c>
      <c r="AC573" s="2" t="s">
        <v>233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233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233</v>
      </c>
      <c r="AW573" s="8" t="s">
        <v>233</v>
      </c>
      <c r="AX573" s="4" t="s">
        <v>233</v>
      </c>
      <c r="AY573" s="8" t="s">
        <v>233</v>
      </c>
      <c r="AZ573" s="7" t="s">
        <v>233</v>
      </c>
      <c r="BA573" s="7" t="s">
        <v>233</v>
      </c>
      <c r="BB573" s="7"/>
      <c r="BC573" s="4" t="s">
        <v>233</v>
      </c>
      <c r="BD573" s="8" t="s">
        <v>233</v>
      </c>
      <c r="BE573" s="4" t="s">
        <v>233</v>
      </c>
      <c r="BF573" s="8" t="s">
        <v>233</v>
      </c>
      <c r="BG573" s="7" t="s">
        <v>233</v>
      </c>
      <c r="BH573" s="7" t="s">
        <v>233</v>
      </c>
      <c r="BI573" s="7"/>
      <c r="BJ573" s="4">
        <v>3</v>
      </c>
      <c r="BK573" s="8">
        <v>54.93</v>
      </c>
      <c r="BL573" s="2" t="s">
        <v>1588</v>
      </c>
      <c r="BM573" s="7"/>
      <c r="BN573" s="7"/>
      <c r="BO573" s="4"/>
      <c r="BP573" s="8"/>
      <c r="BQ573" s="4"/>
      <c r="BR573" s="8"/>
      <c r="BS573" s="7"/>
      <c r="BT573" s="7"/>
      <c r="BU573" s="2" t="s">
        <v>3308</v>
      </c>
      <c r="BV573" s="2" t="s">
        <v>233</v>
      </c>
      <c r="BW573" s="2" t="s">
        <v>233</v>
      </c>
      <c r="BX573" s="2" t="s">
        <v>233</v>
      </c>
      <c r="BY573" s="2" t="s">
        <v>280</v>
      </c>
      <c r="BZ573" s="2" t="s">
        <v>245</v>
      </c>
      <c r="CA573" s="2" t="s">
        <v>3247</v>
      </c>
      <c r="CB573" s="2" t="s">
        <v>827</v>
      </c>
      <c r="CC573" s="2" t="s">
        <v>246</v>
      </c>
      <c r="CD573" s="2" t="s">
        <v>233</v>
      </c>
      <c r="CE573" s="4">
        <v>33</v>
      </c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</row>
    <row r="574">
      <c r="A574" s="2" t="s">
        <v>3309</v>
      </c>
      <c r="B574" s="2" t="s">
        <v>1174</v>
      </c>
      <c r="C574" s="2" t="s">
        <v>530</v>
      </c>
      <c r="D574" s="2" t="s">
        <v>1175</v>
      </c>
      <c r="E574" s="2" t="s">
        <v>1176</v>
      </c>
      <c r="F574" s="2" t="s">
        <v>3310</v>
      </c>
      <c r="G574" s="2" t="s">
        <v>3311</v>
      </c>
      <c r="H574" s="2" t="s">
        <v>3312</v>
      </c>
      <c r="I574" s="2" t="s">
        <v>3313</v>
      </c>
      <c r="J574" s="2" t="s">
        <v>3314</v>
      </c>
      <c r="K574" s="2" t="s">
        <v>255</v>
      </c>
      <c r="L574" s="3">
        <v>23.77</v>
      </c>
      <c r="M574" s="3">
        <v>24.96</v>
      </c>
      <c r="N574" s="3">
        <v>54.99</v>
      </c>
      <c r="O574" s="2" t="s">
        <v>245</v>
      </c>
      <c r="P574" s="2" t="s">
        <v>272</v>
      </c>
      <c r="Q574" s="2" t="s">
        <v>239</v>
      </c>
      <c r="R574" s="2" t="s">
        <v>233</v>
      </c>
      <c r="S574" s="2" t="s">
        <v>3315</v>
      </c>
      <c r="T574" s="2" t="s">
        <v>233</v>
      </c>
      <c r="U574" s="2" t="s">
        <v>491</v>
      </c>
      <c r="V574" s="2" t="s">
        <v>379</v>
      </c>
      <c r="W574" s="2" t="s">
        <v>397</v>
      </c>
      <c r="X574" s="2" t="s">
        <v>2069</v>
      </c>
      <c r="Y574" s="2" t="s">
        <v>2795</v>
      </c>
      <c r="Z574" s="4">
        <v>1</v>
      </c>
      <c r="AA574" s="4">
        <f>=ROUNDDOWN(0.0321543408360129,0)</f>
      </c>
      <c r="AB574" s="5">
        <v>31.1</v>
      </c>
      <c r="AC574" s="2" t="s">
        <v>3316</v>
      </c>
      <c r="AD574" s="4">
        <v>220</v>
      </c>
      <c r="AE574" s="4">
        <v>552</v>
      </c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233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233</v>
      </c>
      <c r="BM574" s="7"/>
      <c r="BN574" s="7"/>
      <c r="BO574" s="4"/>
      <c r="BP574" s="8"/>
      <c r="BQ574" s="4"/>
      <c r="BR574" s="8"/>
      <c r="BS574" s="7"/>
      <c r="BT574" s="7"/>
      <c r="BU574" s="2" t="s">
        <v>3317</v>
      </c>
      <c r="BV574" s="2" t="s">
        <v>233</v>
      </c>
      <c r="BW574" s="2" t="s">
        <v>233</v>
      </c>
      <c r="BX574" s="2" t="s">
        <v>243</v>
      </c>
      <c r="BY574" s="2" t="s">
        <v>280</v>
      </c>
      <c r="BZ574" s="2" t="s">
        <v>245</v>
      </c>
      <c r="CA574" s="2" t="s">
        <v>2795</v>
      </c>
      <c r="CB574" s="2" t="s">
        <v>3318</v>
      </c>
      <c r="CC574" s="2" t="s">
        <v>246</v>
      </c>
      <c r="CD574" s="2" t="s">
        <v>233</v>
      </c>
      <c r="CE574" s="4">
        <v>1</v>
      </c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>
        <v>220</v>
      </c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>
        <v>212</v>
      </c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>
        <v>120</v>
      </c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</row>
    <row r="575">
      <c r="A575" s="2" t="s">
        <v>3319</v>
      </c>
      <c r="B575" s="2" t="s">
        <v>910</v>
      </c>
      <c r="C575" s="2" t="s">
        <v>3320</v>
      </c>
      <c r="D575" s="2" t="s">
        <v>969</v>
      </c>
      <c r="E575" s="2" t="s">
        <v>1078</v>
      </c>
      <c r="F575" s="2" t="s">
        <v>3321</v>
      </c>
      <c r="G575" s="2" t="s">
        <v>3322</v>
      </c>
      <c r="H575" s="2" t="s">
        <v>3323</v>
      </c>
      <c r="I575" s="2" t="s">
        <v>3324</v>
      </c>
      <c r="J575" s="2" t="s">
        <v>270</v>
      </c>
      <c r="K575" s="2" t="s">
        <v>3325</v>
      </c>
      <c r="L575" s="3">
        <v>34.18</v>
      </c>
      <c r="M575" s="3">
        <v>35.89</v>
      </c>
      <c r="N575" s="3">
        <v>59.99</v>
      </c>
      <c r="O575" s="2" t="s">
        <v>245</v>
      </c>
      <c r="P575" s="2" t="s">
        <v>238</v>
      </c>
      <c r="Q575" s="2" t="s">
        <v>239</v>
      </c>
      <c r="R575" s="2" t="s">
        <v>233</v>
      </c>
      <c r="S575" s="2" t="s">
        <v>3326</v>
      </c>
      <c r="T575" s="2" t="s">
        <v>395</v>
      </c>
      <c r="U575" s="2" t="s">
        <v>475</v>
      </c>
      <c r="V575" s="2" t="s">
        <v>1658</v>
      </c>
      <c r="W575" s="2" t="s">
        <v>397</v>
      </c>
      <c r="X575" s="2" t="s">
        <v>275</v>
      </c>
      <c r="Y575" s="2" t="s">
        <v>3327</v>
      </c>
      <c r="Z575" s="4">
        <v>398</v>
      </c>
      <c r="AA575" s="4">
        <f>=ROUNDDOWN(24.875,0)</f>
      </c>
      <c r="AB575" s="5">
        <v>16</v>
      </c>
      <c r="AC575" s="2" t="s">
        <v>233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233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233</v>
      </c>
      <c r="AW575" s="8" t="s">
        <v>233</v>
      </c>
      <c r="AX575" s="4" t="s">
        <v>233</v>
      </c>
      <c r="AY575" s="8" t="s">
        <v>233</v>
      </c>
      <c r="AZ575" s="7" t="s">
        <v>233</v>
      </c>
      <c r="BA575" s="7" t="s">
        <v>233</v>
      </c>
      <c r="BB575" s="7"/>
      <c r="BC575" s="4" t="s">
        <v>233</v>
      </c>
      <c r="BD575" s="8" t="s">
        <v>233</v>
      </c>
      <c r="BE575" s="4" t="s">
        <v>233</v>
      </c>
      <c r="BF575" s="8" t="s">
        <v>233</v>
      </c>
      <c r="BG575" s="7" t="s">
        <v>233</v>
      </c>
      <c r="BH575" s="7" t="s">
        <v>233</v>
      </c>
      <c r="BI575" s="7"/>
      <c r="BJ575" s="4"/>
      <c r="BK575" s="8"/>
      <c r="BL575" s="2" t="s">
        <v>233</v>
      </c>
      <c r="BM575" s="7"/>
      <c r="BN575" s="7"/>
      <c r="BO575" s="4"/>
      <c r="BP575" s="8"/>
      <c r="BQ575" s="4"/>
      <c r="BR575" s="8"/>
      <c r="BS575" s="7"/>
      <c r="BT575" s="7"/>
      <c r="BU575" s="2" t="s">
        <v>3328</v>
      </c>
      <c r="BV575" s="2" t="s">
        <v>233</v>
      </c>
      <c r="BW575" s="2" t="s">
        <v>233</v>
      </c>
      <c r="BX575" s="2" t="s">
        <v>243</v>
      </c>
      <c r="BY575" s="2" t="s">
        <v>280</v>
      </c>
      <c r="BZ575" s="2" t="s">
        <v>245</v>
      </c>
      <c r="CA575" s="2" t="s">
        <v>3329</v>
      </c>
      <c r="CB575" s="2" t="s">
        <v>1136</v>
      </c>
      <c r="CC575" s="2" t="s">
        <v>246</v>
      </c>
      <c r="CD575" s="2" t="s">
        <v>233</v>
      </c>
      <c r="CE575" s="4">
        <v>398</v>
      </c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</row>
    <row r="576">
      <c r="A576" s="2" t="s">
        <v>3330</v>
      </c>
      <c r="B576" s="2" t="s">
        <v>910</v>
      </c>
      <c r="C576" s="2" t="s">
        <v>3320</v>
      </c>
      <c r="D576" s="2" t="s">
        <v>969</v>
      </c>
      <c r="E576" s="2" t="s">
        <v>1078</v>
      </c>
      <c r="F576" s="2" t="s">
        <v>3321</v>
      </c>
      <c r="G576" s="2" t="s">
        <v>3322</v>
      </c>
      <c r="H576" s="2" t="s">
        <v>3323</v>
      </c>
      <c r="I576" s="2" t="s">
        <v>3324</v>
      </c>
      <c r="J576" s="2" t="s">
        <v>981</v>
      </c>
      <c r="K576" s="2" t="s">
        <v>3325</v>
      </c>
      <c r="L576" s="3">
        <v>39.06</v>
      </c>
      <c r="M576" s="3">
        <v>41.01</v>
      </c>
      <c r="N576" s="3">
        <v>69.99</v>
      </c>
      <c r="O576" s="2" t="s">
        <v>245</v>
      </c>
      <c r="P576" s="2" t="s">
        <v>238</v>
      </c>
      <c r="Q576" s="2" t="s">
        <v>239</v>
      </c>
      <c r="R576" s="2" t="s">
        <v>233</v>
      </c>
      <c r="S576" s="2" t="s">
        <v>3326</v>
      </c>
      <c r="T576" s="2" t="s">
        <v>395</v>
      </c>
      <c r="U576" s="2" t="s">
        <v>342</v>
      </c>
      <c r="V576" s="2" t="s">
        <v>1658</v>
      </c>
      <c r="W576" s="2" t="s">
        <v>397</v>
      </c>
      <c r="X576" s="2" t="s">
        <v>275</v>
      </c>
      <c r="Y576" s="2" t="s">
        <v>3327</v>
      </c>
      <c r="Z576" s="4">
        <v>297</v>
      </c>
      <c r="AA576" s="4">
        <f>=ROUNDDOWN(27,0)</f>
      </c>
      <c r="AB576" s="5">
        <v>11</v>
      </c>
      <c r="AC576" s="2" t="s">
        <v>233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233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233</v>
      </c>
      <c r="AW576" s="8" t="s">
        <v>233</v>
      </c>
      <c r="AX576" s="4" t="s">
        <v>233</v>
      </c>
      <c r="AY576" s="8" t="s">
        <v>233</v>
      </c>
      <c r="AZ576" s="7" t="s">
        <v>233</v>
      </c>
      <c r="BA576" s="7" t="s">
        <v>233</v>
      </c>
      <c r="BB576" s="7"/>
      <c r="BC576" s="4" t="s">
        <v>233</v>
      </c>
      <c r="BD576" s="8" t="s">
        <v>233</v>
      </c>
      <c r="BE576" s="4" t="s">
        <v>233</v>
      </c>
      <c r="BF576" s="8" t="s">
        <v>233</v>
      </c>
      <c r="BG576" s="7" t="s">
        <v>233</v>
      </c>
      <c r="BH576" s="7" t="s">
        <v>233</v>
      </c>
      <c r="BI576" s="7"/>
      <c r="BJ576" s="4">
        <v>1</v>
      </c>
      <c r="BK576" s="8">
        <v>43.06</v>
      </c>
      <c r="BL576" s="2" t="s">
        <v>3331</v>
      </c>
      <c r="BM576" s="7"/>
      <c r="BN576" s="7"/>
      <c r="BO576" s="4"/>
      <c r="BP576" s="8"/>
      <c r="BQ576" s="4"/>
      <c r="BR576" s="8"/>
      <c r="BS576" s="7"/>
      <c r="BT576" s="7"/>
      <c r="BU576" s="2" t="s">
        <v>3332</v>
      </c>
      <c r="BV576" s="2" t="s">
        <v>233</v>
      </c>
      <c r="BW576" s="2" t="s">
        <v>233</v>
      </c>
      <c r="BX576" s="2" t="s">
        <v>243</v>
      </c>
      <c r="BY576" s="2" t="s">
        <v>280</v>
      </c>
      <c r="BZ576" s="2" t="s">
        <v>245</v>
      </c>
      <c r="CA576" s="2" t="s">
        <v>3329</v>
      </c>
      <c r="CB576" s="2" t="s">
        <v>233</v>
      </c>
      <c r="CC576" s="2" t="s">
        <v>246</v>
      </c>
      <c r="CD576" s="2" t="s">
        <v>233</v>
      </c>
      <c r="CE576" s="4">
        <v>297</v>
      </c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</row>
    <row r="577">
      <c r="A577" s="2" t="s">
        <v>3333</v>
      </c>
      <c r="B577" s="2" t="s">
        <v>1242</v>
      </c>
      <c r="C577" s="2" t="s">
        <v>334</v>
      </c>
      <c r="D577" s="2" t="s">
        <v>969</v>
      </c>
      <c r="E577" s="2" t="s">
        <v>3334</v>
      </c>
      <c r="F577" s="2" t="s">
        <v>3335</v>
      </c>
      <c r="G577" s="2" t="s">
        <v>3336</v>
      </c>
      <c r="H577" s="2" t="s">
        <v>3337</v>
      </c>
      <c r="I577" s="2" t="s">
        <v>3338</v>
      </c>
      <c r="J577" s="2" t="s">
        <v>270</v>
      </c>
      <c r="K577" s="2" t="s">
        <v>3339</v>
      </c>
      <c r="L577" s="3">
        <v>49.39</v>
      </c>
      <c r="M577" s="3">
        <v>51.86</v>
      </c>
      <c r="N577" s="3">
        <v>89.99</v>
      </c>
      <c r="O577" s="2" t="s">
        <v>237</v>
      </c>
      <c r="P577" s="2" t="s">
        <v>311</v>
      </c>
      <c r="Q577" s="2" t="s">
        <v>239</v>
      </c>
      <c r="R577" s="2" t="s">
        <v>233</v>
      </c>
      <c r="S577" s="2" t="s">
        <v>3340</v>
      </c>
      <c r="T577" s="2" t="s">
        <v>233</v>
      </c>
      <c r="U577" s="2" t="s">
        <v>1507</v>
      </c>
      <c r="V577" s="2" t="s">
        <v>379</v>
      </c>
      <c r="W577" s="2" t="s">
        <v>275</v>
      </c>
      <c r="X577" s="2" t="s">
        <v>2082</v>
      </c>
      <c r="Y577" s="2" t="s">
        <v>276</v>
      </c>
      <c r="Z577" s="4">
        <v>33</v>
      </c>
      <c r="AA577" s="4">
        <f>=ROUNDDOWN(82.5,0)</f>
      </c>
      <c r="AB577" s="5">
        <v>0.4</v>
      </c>
      <c r="AC577" s="2" t="s">
        <v>233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233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>
        <v>3</v>
      </c>
      <c r="BK577" s="8">
        <v>126.9</v>
      </c>
      <c r="BL577" s="2" t="s">
        <v>3341</v>
      </c>
      <c r="BM577" s="7"/>
      <c r="BN577" s="7"/>
      <c r="BO577" s="4"/>
      <c r="BP577" s="8"/>
      <c r="BQ577" s="4"/>
      <c r="BR577" s="8"/>
      <c r="BS577" s="7"/>
      <c r="BT577" s="7"/>
      <c r="BU577" s="2" t="s">
        <v>3342</v>
      </c>
      <c r="BV577" s="2" t="s">
        <v>233</v>
      </c>
      <c r="BW577" s="2" t="s">
        <v>233</v>
      </c>
      <c r="BX577" s="2" t="s">
        <v>233</v>
      </c>
      <c r="BY577" s="2" t="s">
        <v>280</v>
      </c>
      <c r="BZ577" s="2" t="s">
        <v>245</v>
      </c>
      <c r="CA577" s="2" t="s">
        <v>3343</v>
      </c>
      <c r="CB577" s="2" t="s">
        <v>2186</v>
      </c>
      <c r="CC577" s="2" t="s">
        <v>246</v>
      </c>
      <c r="CD577" s="2" t="s">
        <v>233</v>
      </c>
      <c r="CE577" s="4">
        <v>33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</row>
    <row r="578">
      <c r="A578" s="2" t="s">
        <v>3344</v>
      </c>
      <c r="B578" s="2" t="s">
        <v>1414</v>
      </c>
      <c r="C578" s="2" t="s">
        <v>530</v>
      </c>
      <c r="D578" s="2" t="s">
        <v>1414</v>
      </c>
      <c r="E578" s="2" t="s">
        <v>1414</v>
      </c>
      <c r="F578" s="2" t="s">
        <v>3345</v>
      </c>
      <c r="G578" s="2" t="s">
        <v>3346</v>
      </c>
      <c r="H578" s="2" t="s">
        <v>3347</v>
      </c>
      <c r="I578" s="2" t="s">
        <v>3348</v>
      </c>
      <c r="J578" s="2" t="s">
        <v>1793</v>
      </c>
      <c r="K578" s="2" t="s">
        <v>2055</v>
      </c>
      <c r="L578" s="3">
        <v>28</v>
      </c>
      <c r="M578" s="3">
        <v>29.4</v>
      </c>
      <c r="N578" s="3">
        <v>59.99</v>
      </c>
      <c r="O578" s="2" t="s">
        <v>245</v>
      </c>
      <c r="P578" s="2" t="s">
        <v>311</v>
      </c>
      <c r="Q578" s="2" t="s">
        <v>239</v>
      </c>
      <c r="R578" s="2" t="s">
        <v>233</v>
      </c>
      <c r="S578" s="2" t="s">
        <v>3349</v>
      </c>
      <c r="T578" s="2" t="s">
        <v>233</v>
      </c>
      <c r="U578" s="2" t="s">
        <v>396</v>
      </c>
      <c r="V578" s="2" t="s">
        <v>1869</v>
      </c>
      <c r="W578" s="2" t="s">
        <v>1763</v>
      </c>
      <c r="X578" s="2" t="s">
        <v>275</v>
      </c>
      <c r="Y578" s="2" t="s">
        <v>518</v>
      </c>
      <c r="Z578" s="4">
        <v>22</v>
      </c>
      <c r="AA578" s="4">
        <f>=ROUNDDOWN(10,0)</f>
      </c>
      <c r="AB578" s="5">
        <v>2.2</v>
      </c>
      <c r="AC578" s="2" t="s">
        <v>233</v>
      </c>
      <c r="AD578" s="4"/>
      <c r="AE578" s="4"/>
      <c r="AF578" s="6">
        <v>63</v>
      </c>
      <c r="AG578" s="6"/>
      <c r="AH578" s="7">
        <v>1</v>
      </c>
      <c r="AI578" s="4"/>
      <c r="AJ578" s="4">
        <f>=ROUNDDOWN({0},0)</f>
      </c>
      <c r="AK578" s="5"/>
      <c r="AL578" s="2" t="s">
        <v>233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233</v>
      </c>
      <c r="AW578" s="8" t="s">
        <v>233</v>
      </c>
      <c r="AX578" s="4" t="s">
        <v>233</v>
      </c>
      <c r="AY578" s="8" t="s">
        <v>233</v>
      </c>
      <c r="AZ578" s="7" t="s">
        <v>233</v>
      </c>
      <c r="BA578" s="7" t="s">
        <v>233</v>
      </c>
      <c r="BB578" s="7"/>
      <c r="BC578" s="4" t="s">
        <v>233</v>
      </c>
      <c r="BD578" s="8" t="s">
        <v>233</v>
      </c>
      <c r="BE578" s="4" t="s">
        <v>233</v>
      </c>
      <c r="BF578" s="8" t="s">
        <v>233</v>
      </c>
      <c r="BG578" s="7" t="s">
        <v>233</v>
      </c>
      <c r="BH578" s="7" t="s">
        <v>233</v>
      </c>
      <c r="BI578" s="7"/>
      <c r="BJ578" s="4">
        <v>4</v>
      </c>
      <c r="BK578" s="8">
        <v>123.19</v>
      </c>
      <c r="BL578" s="2" t="s">
        <v>3350</v>
      </c>
      <c r="BM578" s="7"/>
      <c r="BN578" s="7"/>
      <c r="BO578" s="4"/>
      <c r="BP578" s="8"/>
      <c r="BQ578" s="4"/>
      <c r="BR578" s="8"/>
      <c r="BS578" s="7"/>
      <c r="BT578" s="7"/>
      <c r="BU578" s="2" t="s">
        <v>3351</v>
      </c>
      <c r="BV578" s="2" t="s">
        <v>233</v>
      </c>
      <c r="BW578" s="2" t="s">
        <v>233</v>
      </c>
      <c r="BX578" s="2" t="s">
        <v>233</v>
      </c>
      <c r="BY578" s="2" t="s">
        <v>280</v>
      </c>
      <c r="BZ578" s="2" t="s">
        <v>245</v>
      </c>
      <c r="CA578" s="2" t="s">
        <v>2059</v>
      </c>
      <c r="CB578" s="2" t="s">
        <v>3257</v>
      </c>
      <c r="CC578" s="2" t="s">
        <v>246</v>
      </c>
      <c r="CD578" s="2" t="s">
        <v>233</v>
      </c>
      <c r="CE578" s="4"/>
      <c r="CF578" s="4">
        <v>22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</row>
    <row r="579">
      <c r="A579" s="2" t="s">
        <v>3352</v>
      </c>
      <c r="B579" s="2" t="s">
        <v>1414</v>
      </c>
      <c r="C579" s="2" t="s">
        <v>530</v>
      </c>
      <c r="D579" s="2" t="s">
        <v>1414</v>
      </c>
      <c r="E579" s="2" t="s">
        <v>1414</v>
      </c>
      <c r="F579" s="2" t="s">
        <v>3345</v>
      </c>
      <c r="G579" s="2" t="s">
        <v>3346</v>
      </c>
      <c r="H579" s="2" t="s">
        <v>3347</v>
      </c>
      <c r="I579" s="2" t="s">
        <v>3348</v>
      </c>
      <c r="J579" s="2" t="s">
        <v>1418</v>
      </c>
      <c r="K579" s="2" t="s">
        <v>2055</v>
      </c>
      <c r="L579" s="3">
        <v>59</v>
      </c>
      <c r="M579" s="3">
        <v>61.95</v>
      </c>
      <c r="N579" s="3">
        <v>139.99</v>
      </c>
      <c r="O579" s="2" t="s">
        <v>245</v>
      </c>
      <c r="P579" s="2" t="s">
        <v>311</v>
      </c>
      <c r="Q579" s="2" t="s">
        <v>239</v>
      </c>
      <c r="R579" s="2" t="s">
        <v>233</v>
      </c>
      <c r="S579" s="2" t="s">
        <v>3349</v>
      </c>
      <c r="T579" s="2" t="s">
        <v>233</v>
      </c>
      <c r="U579" s="2" t="s">
        <v>396</v>
      </c>
      <c r="V579" s="2" t="s">
        <v>1869</v>
      </c>
      <c r="W579" s="2" t="s">
        <v>1763</v>
      </c>
      <c r="X579" s="2" t="s">
        <v>233</v>
      </c>
      <c r="Y579" s="2" t="s">
        <v>518</v>
      </c>
      <c r="Z579" s="4">
        <v>51</v>
      </c>
      <c r="AA579" s="4">
        <f>=ROUNDDOWN(56.6666666666667,0)</f>
      </c>
      <c r="AB579" s="5">
        <v>0.9</v>
      </c>
      <c r="AC579" s="2" t="s">
        <v>233</v>
      </c>
      <c r="AD579" s="4"/>
      <c r="AE579" s="4"/>
      <c r="AF579" s="6">
        <v>63</v>
      </c>
      <c r="AG579" s="6"/>
      <c r="AH579" s="7">
        <v>1</v>
      </c>
      <c r="AI579" s="4"/>
      <c r="AJ579" s="4">
        <f>=ROUNDDOWN({0},0)</f>
      </c>
      <c r="AK579" s="5"/>
      <c r="AL579" s="2" t="s">
        <v>233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233</v>
      </c>
      <c r="AW579" s="8" t="s">
        <v>233</v>
      </c>
      <c r="AX579" s="4" t="s">
        <v>233</v>
      </c>
      <c r="AY579" s="8" t="s">
        <v>233</v>
      </c>
      <c r="AZ579" s="7" t="s">
        <v>233</v>
      </c>
      <c r="BA579" s="7" t="s">
        <v>233</v>
      </c>
      <c r="BB579" s="7"/>
      <c r="BC579" s="4" t="s">
        <v>233</v>
      </c>
      <c r="BD579" s="8" t="s">
        <v>233</v>
      </c>
      <c r="BE579" s="4" t="s">
        <v>233</v>
      </c>
      <c r="BF579" s="8" t="s">
        <v>233</v>
      </c>
      <c r="BG579" s="7" t="s">
        <v>233</v>
      </c>
      <c r="BH579" s="7" t="s">
        <v>233</v>
      </c>
      <c r="BI579" s="7"/>
      <c r="BJ579" s="4"/>
      <c r="BK579" s="8"/>
      <c r="BL579" s="2" t="s">
        <v>744</v>
      </c>
      <c r="BM579" s="7"/>
      <c r="BN579" s="7"/>
      <c r="BO579" s="4"/>
      <c r="BP579" s="8"/>
      <c r="BQ579" s="4"/>
      <c r="BR579" s="8"/>
      <c r="BS579" s="7"/>
      <c r="BT579" s="7"/>
      <c r="BU579" s="2" t="s">
        <v>3353</v>
      </c>
      <c r="BV579" s="2" t="s">
        <v>233</v>
      </c>
      <c r="BW579" s="2" t="s">
        <v>233</v>
      </c>
      <c r="BX579" s="2" t="s">
        <v>233</v>
      </c>
      <c r="BY579" s="2" t="s">
        <v>280</v>
      </c>
      <c r="BZ579" s="2" t="s">
        <v>245</v>
      </c>
      <c r="CA579" s="2" t="s">
        <v>2059</v>
      </c>
      <c r="CB579" s="2" t="s">
        <v>233</v>
      </c>
      <c r="CC579" s="2" t="s">
        <v>246</v>
      </c>
      <c r="CD579" s="2" t="s">
        <v>233</v>
      </c>
      <c r="CE579" s="4"/>
      <c r="CF579" s="4">
        <v>51</v>
      </c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</row>
    <row r="580">
      <c r="A580" s="2" t="s">
        <v>3354</v>
      </c>
      <c r="B580" s="2" t="s">
        <v>1414</v>
      </c>
      <c r="C580" s="2" t="s">
        <v>530</v>
      </c>
      <c r="D580" s="2" t="s">
        <v>1414</v>
      </c>
      <c r="E580" s="2" t="s">
        <v>1414</v>
      </c>
      <c r="F580" s="2" t="s">
        <v>3345</v>
      </c>
      <c r="G580" s="2" t="s">
        <v>3346</v>
      </c>
      <c r="H580" s="2" t="s">
        <v>3347</v>
      </c>
      <c r="I580" s="2" t="s">
        <v>3348</v>
      </c>
      <c r="J580" s="2" t="s">
        <v>1426</v>
      </c>
      <c r="K580" s="2" t="s">
        <v>2055</v>
      </c>
      <c r="L580" s="3">
        <v>94</v>
      </c>
      <c r="M580" s="3">
        <v>98.7</v>
      </c>
      <c r="N580" s="3">
        <v>209.99</v>
      </c>
      <c r="O580" s="2" t="s">
        <v>245</v>
      </c>
      <c r="P580" s="2" t="s">
        <v>311</v>
      </c>
      <c r="Q580" s="2" t="s">
        <v>239</v>
      </c>
      <c r="R580" s="2" t="s">
        <v>233</v>
      </c>
      <c r="S580" s="2" t="s">
        <v>3349</v>
      </c>
      <c r="T580" s="2" t="s">
        <v>233</v>
      </c>
      <c r="U580" s="2" t="s">
        <v>396</v>
      </c>
      <c r="V580" s="2" t="s">
        <v>1869</v>
      </c>
      <c r="W580" s="2" t="s">
        <v>1763</v>
      </c>
      <c r="X580" s="2" t="s">
        <v>233</v>
      </c>
      <c r="Y580" s="2" t="s">
        <v>518</v>
      </c>
      <c r="Z580" s="4">
        <v>55</v>
      </c>
      <c r="AA580" s="4">
        <f>=ROUNDDOWN(275,0)</f>
      </c>
      <c r="AB580" s="5">
        <v>0.2</v>
      </c>
      <c r="AC580" s="2" t="s">
        <v>233</v>
      </c>
      <c r="AD580" s="4"/>
      <c r="AE580" s="4"/>
      <c r="AF580" s="6">
        <v>63</v>
      </c>
      <c r="AG580" s="6"/>
      <c r="AH580" s="7">
        <v>1</v>
      </c>
      <c r="AI580" s="4"/>
      <c r="AJ580" s="4">
        <f>=ROUNDDOWN({0},0)</f>
      </c>
      <c r="AK580" s="5"/>
      <c r="AL580" s="2" t="s">
        <v>233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233</v>
      </c>
      <c r="AW580" s="8" t="s">
        <v>233</v>
      </c>
      <c r="AX580" s="4" t="s">
        <v>233</v>
      </c>
      <c r="AY580" s="8" t="s">
        <v>233</v>
      </c>
      <c r="AZ580" s="7" t="s">
        <v>233</v>
      </c>
      <c r="BA580" s="7" t="s">
        <v>233</v>
      </c>
      <c r="BB580" s="7"/>
      <c r="BC580" s="4" t="s">
        <v>233</v>
      </c>
      <c r="BD580" s="8" t="s">
        <v>233</v>
      </c>
      <c r="BE580" s="4" t="s">
        <v>233</v>
      </c>
      <c r="BF580" s="8" t="s">
        <v>233</v>
      </c>
      <c r="BG580" s="7" t="s">
        <v>233</v>
      </c>
      <c r="BH580" s="7" t="s">
        <v>233</v>
      </c>
      <c r="BI580" s="7"/>
      <c r="BJ580" s="4">
        <v>1</v>
      </c>
      <c r="BK580" s="8">
        <v>88.43</v>
      </c>
      <c r="BL580" s="2" t="s">
        <v>3355</v>
      </c>
      <c r="BM580" s="7"/>
      <c r="BN580" s="7"/>
      <c r="BO580" s="4"/>
      <c r="BP580" s="8"/>
      <c r="BQ580" s="4"/>
      <c r="BR580" s="8"/>
      <c r="BS580" s="7"/>
      <c r="BT580" s="7"/>
      <c r="BU580" s="2" t="s">
        <v>3356</v>
      </c>
      <c r="BV580" s="2" t="s">
        <v>233</v>
      </c>
      <c r="BW580" s="2" t="s">
        <v>233</v>
      </c>
      <c r="BX580" s="2" t="s">
        <v>233</v>
      </c>
      <c r="BY580" s="2" t="s">
        <v>280</v>
      </c>
      <c r="BZ580" s="2" t="s">
        <v>245</v>
      </c>
      <c r="CA580" s="2" t="s">
        <v>2059</v>
      </c>
      <c r="CB580" s="2" t="s">
        <v>233</v>
      </c>
      <c r="CC580" s="2" t="s">
        <v>246</v>
      </c>
      <c r="CD580" s="2" t="s">
        <v>233</v>
      </c>
      <c r="CE580" s="4"/>
      <c r="CF580" s="4">
        <v>55</v>
      </c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</row>
    <row r="581">
      <c r="A581" s="2" t="s">
        <v>3357</v>
      </c>
      <c r="B581" s="2" t="s">
        <v>1414</v>
      </c>
      <c r="C581" s="2" t="s">
        <v>530</v>
      </c>
      <c r="D581" s="2" t="s">
        <v>1414</v>
      </c>
      <c r="E581" s="2" t="s">
        <v>1414</v>
      </c>
      <c r="F581" s="2" t="s">
        <v>3345</v>
      </c>
      <c r="G581" s="2" t="s">
        <v>3346</v>
      </c>
      <c r="H581" s="2" t="s">
        <v>3347</v>
      </c>
      <c r="I581" s="2" t="s">
        <v>3348</v>
      </c>
      <c r="J581" s="2" t="s">
        <v>1808</v>
      </c>
      <c r="K581" s="2" t="s">
        <v>2055</v>
      </c>
      <c r="L581" s="3">
        <v>125</v>
      </c>
      <c r="M581" s="3">
        <v>131.25</v>
      </c>
      <c r="N581" s="3">
        <v>279.98</v>
      </c>
      <c r="O581" s="2" t="s">
        <v>245</v>
      </c>
      <c r="P581" s="2" t="s">
        <v>311</v>
      </c>
      <c r="Q581" s="2" t="s">
        <v>239</v>
      </c>
      <c r="R581" s="2" t="s">
        <v>233</v>
      </c>
      <c r="S581" s="2" t="s">
        <v>3349</v>
      </c>
      <c r="T581" s="2" t="s">
        <v>233</v>
      </c>
      <c r="U581" s="2" t="s">
        <v>396</v>
      </c>
      <c r="V581" s="2" t="s">
        <v>1869</v>
      </c>
      <c r="W581" s="2" t="s">
        <v>1763</v>
      </c>
      <c r="X581" s="2" t="s">
        <v>233</v>
      </c>
      <c r="Y581" s="2" t="s">
        <v>518</v>
      </c>
      <c r="Z581" s="4">
        <v>104</v>
      </c>
      <c r="AA581" s="4">
        <f>=ROUNDDOWN(86.6666666666667,0)</f>
      </c>
      <c r="AB581" s="5">
        <v>1.2</v>
      </c>
      <c r="AC581" s="2" t="s">
        <v>233</v>
      </c>
      <c r="AD581" s="4"/>
      <c r="AE581" s="4"/>
      <c r="AF581" s="6">
        <v>63</v>
      </c>
      <c r="AG581" s="6"/>
      <c r="AH581" s="7">
        <v>1</v>
      </c>
      <c r="AI581" s="4"/>
      <c r="AJ581" s="4">
        <f>=ROUNDDOWN({0},0)</f>
      </c>
      <c r="AK581" s="5"/>
      <c r="AL581" s="2" t="s">
        <v>233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233</v>
      </c>
      <c r="AW581" s="8" t="s">
        <v>233</v>
      </c>
      <c r="AX581" s="4" t="s">
        <v>233</v>
      </c>
      <c r="AY581" s="8" t="s">
        <v>233</v>
      </c>
      <c r="AZ581" s="7" t="s">
        <v>233</v>
      </c>
      <c r="BA581" s="7" t="s">
        <v>233</v>
      </c>
      <c r="BB581" s="7"/>
      <c r="BC581" s="4" t="s">
        <v>233</v>
      </c>
      <c r="BD581" s="8" t="s">
        <v>233</v>
      </c>
      <c r="BE581" s="4" t="s">
        <v>233</v>
      </c>
      <c r="BF581" s="8" t="s">
        <v>233</v>
      </c>
      <c r="BG581" s="7" t="s">
        <v>233</v>
      </c>
      <c r="BH581" s="7" t="s">
        <v>233</v>
      </c>
      <c r="BI581" s="7"/>
      <c r="BJ581" s="4">
        <v>1</v>
      </c>
      <c r="BK581" s="8">
        <v>162.99</v>
      </c>
      <c r="BL581" s="2" t="s">
        <v>3358</v>
      </c>
      <c r="BM581" s="7"/>
      <c r="BN581" s="7"/>
      <c r="BO581" s="4"/>
      <c r="BP581" s="8"/>
      <c r="BQ581" s="4"/>
      <c r="BR581" s="8"/>
      <c r="BS581" s="7"/>
      <c r="BT581" s="7"/>
      <c r="BU581" s="2" t="s">
        <v>3359</v>
      </c>
      <c r="BV581" s="2" t="s">
        <v>233</v>
      </c>
      <c r="BW581" s="2" t="s">
        <v>233</v>
      </c>
      <c r="BX581" s="2" t="s">
        <v>233</v>
      </c>
      <c r="BY581" s="2" t="s">
        <v>280</v>
      </c>
      <c r="BZ581" s="2" t="s">
        <v>245</v>
      </c>
      <c r="CA581" s="2" t="s">
        <v>2059</v>
      </c>
      <c r="CB581" s="2" t="s">
        <v>3257</v>
      </c>
      <c r="CC581" s="2" t="s">
        <v>246</v>
      </c>
      <c r="CD581" s="2" t="s">
        <v>233</v>
      </c>
      <c r="CE581" s="4"/>
      <c r="CF581" s="4">
        <v>104</v>
      </c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</row>
    <row r="582">
      <c r="A582" s="2" t="s">
        <v>3360</v>
      </c>
      <c r="B582" s="2" t="s">
        <v>1066</v>
      </c>
      <c r="C582" s="2" t="s">
        <v>530</v>
      </c>
      <c r="D582" s="2" t="s">
        <v>1923</v>
      </c>
      <c r="E582" s="2" t="s">
        <v>1924</v>
      </c>
      <c r="F582" s="2" t="s">
        <v>1928</v>
      </c>
      <c r="G582" s="2" t="s">
        <v>1209</v>
      </c>
      <c r="H582" s="2" t="s">
        <v>3361</v>
      </c>
      <c r="I582" s="2" t="s">
        <v>3362</v>
      </c>
      <c r="J582" s="2" t="s">
        <v>892</v>
      </c>
      <c r="K582" s="2" t="s">
        <v>271</v>
      </c>
      <c r="L582" s="3">
        <v>190</v>
      </c>
      <c r="M582" s="3">
        <v>199.5</v>
      </c>
      <c r="N582" s="3">
        <v>399</v>
      </c>
      <c r="O582" s="2" t="s">
        <v>245</v>
      </c>
      <c r="P582" s="2" t="s">
        <v>238</v>
      </c>
      <c r="Q582" s="2" t="s">
        <v>239</v>
      </c>
      <c r="R582" s="2" t="s">
        <v>233</v>
      </c>
      <c r="S582" s="2" t="s">
        <v>233</v>
      </c>
      <c r="T582" s="2" t="s">
        <v>233</v>
      </c>
      <c r="U582" s="2" t="s">
        <v>396</v>
      </c>
      <c r="V582" s="2" t="s">
        <v>241</v>
      </c>
      <c r="W582" s="2" t="s">
        <v>451</v>
      </c>
      <c r="X582" s="2" t="s">
        <v>977</v>
      </c>
      <c r="Y582" s="2" t="s">
        <v>3329</v>
      </c>
      <c r="Z582" s="4">
        <v>99</v>
      </c>
      <c r="AA582" s="4">
        <f>=ROUNDDOWN(247.5,0)</f>
      </c>
      <c r="AB582" s="5">
        <v>0.4</v>
      </c>
      <c r="AC582" s="2" t="s">
        <v>233</v>
      </c>
      <c r="AD582" s="4"/>
      <c r="AE582" s="4"/>
      <c r="AF582" s="6">
        <v>67</v>
      </c>
      <c r="AG582" s="6"/>
      <c r="AH582" s="7">
        <v>0.2258</v>
      </c>
      <c r="AI582" s="4"/>
      <c r="AJ582" s="4">
        <f>=ROUNDDOWN({0},0)</f>
      </c>
      <c r="AK582" s="5"/>
      <c r="AL582" s="2" t="s">
        <v>233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233</v>
      </c>
      <c r="BD582" s="8" t="s">
        <v>233</v>
      </c>
      <c r="BE582" s="4" t="s">
        <v>233</v>
      </c>
      <c r="BF582" s="8" t="s">
        <v>233</v>
      </c>
      <c r="BG582" s="7" t="s">
        <v>233</v>
      </c>
      <c r="BH582" s="7" t="s">
        <v>233</v>
      </c>
      <c r="BI582" s="7"/>
      <c r="BJ582" s="4"/>
      <c r="BK582" s="8"/>
      <c r="BL582" s="2" t="s">
        <v>233</v>
      </c>
      <c r="BM582" s="7"/>
      <c r="BN582" s="7"/>
      <c r="BO582" s="4"/>
      <c r="BP582" s="8"/>
      <c r="BQ582" s="4"/>
      <c r="BR582" s="8"/>
      <c r="BS582" s="7"/>
      <c r="BT582" s="7"/>
      <c r="BU582" s="2" t="s">
        <v>3363</v>
      </c>
      <c r="BV582" s="2" t="s">
        <v>233</v>
      </c>
      <c r="BW582" s="2" t="s">
        <v>233</v>
      </c>
      <c r="BX582" s="2" t="s">
        <v>243</v>
      </c>
      <c r="BY582" s="2" t="s">
        <v>280</v>
      </c>
      <c r="BZ582" s="2" t="s">
        <v>245</v>
      </c>
      <c r="CA582" s="2" t="s">
        <v>3257</v>
      </c>
      <c r="CB582" s="2" t="s">
        <v>233</v>
      </c>
      <c r="CC582" s="2" t="s">
        <v>246</v>
      </c>
      <c r="CD582" s="2" t="s">
        <v>233</v>
      </c>
      <c r="CE582" s="4"/>
      <c r="CF582" s="4">
        <v>99</v>
      </c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</row>
    <row r="583">
      <c r="A583" s="2" t="s">
        <v>3364</v>
      </c>
      <c r="B583" s="2" t="s">
        <v>1066</v>
      </c>
      <c r="C583" s="2" t="s">
        <v>530</v>
      </c>
      <c r="D583" s="2" t="s">
        <v>1923</v>
      </c>
      <c r="E583" s="2" t="s">
        <v>1924</v>
      </c>
      <c r="F583" s="2" t="s">
        <v>1928</v>
      </c>
      <c r="G583" s="2" t="s">
        <v>1209</v>
      </c>
      <c r="H583" s="2" t="s">
        <v>3361</v>
      </c>
      <c r="I583" s="2" t="s">
        <v>3362</v>
      </c>
      <c r="J583" s="2" t="s">
        <v>892</v>
      </c>
      <c r="K583" s="2" t="s">
        <v>1191</v>
      </c>
      <c r="L583" s="3">
        <v>190</v>
      </c>
      <c r="M583" s="3">
        <v>199.5</v>
      </c>
      <c r="N583" s="3">
        <v>399</v>
      </c>
      <c r="O583" s="2" t="s">
        <v>245</v>
      </c>
      <c r="P583" s="2" t="s">
        <v>238</v>
      </c>
      <c r="Q583" s="2" t="s">
        <v>239</v>
      </c>
      <c r="R583" s="2" t="s">
        <v>233</v>
      </c>
      <c r="S583" s="2" t="s">
        <v>233</v>
      </c>
      <c r="T583" s="2" t="s">
        <v>233</v>
      </c>
      <c r="U583" s="2" t="s">
        <v>396</v>
      </c>
      <c r="V583" s="2" t="s">
        <v>241</v>
      </c>
      <c r="W583" s="2" t="s">
        <v>451</v>
      </c>
      <c r="X583" s="2" t="s">
        <v>977</v>
      </c>
      <c r="Y583" s="2" t="s">
        <v>3329</v>
      </c>
      <c r="Z583" s="4"/>
      <c r="AA583" s="4">
        <f>=ROUNDDOWN({0},0)</f>
      </c>
      <c r="AB583" s="5">
        <v>0.5</v>
      </c>
      <c r="AC583" s="2" t="s">
        <v>795</v>
      </c>
      <c r="AD583" s="4">
        <v>287</v>
      </c>
      <c r="AE583" s="4">
        <v>287</v>
      </c>
      <c r="AF583" s="6">
        <v>66</v>
      </c>
      <c r="AG583" s="6"/>
      <c r="AH583" s="7">
        <v>0.0323</v>
      </c>
      <c r="AI583" s="4"/>
      <c r="AJ583" s="4">
        <f>=ROUNDDOWN({0},0)</f>
      </c>
      <c r="AK583" s="5"/>
      <c r="AL583" s="2" t="s">
        <v>233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233</v>
      </c>
      <c r="BD583" s="8" t="s">
        <v>233</v>
      </c>
      <c r="BE583" s="4" t="s">
        <v>233</v>
      </c>
      <c r="BF583" s="8" t="s">
        <v>233</v>
      </c>
      <c r="BG583" s="7" t="s">
        <v>233</v>
      </c>
      <c r="BH583" s="7" t="s">
        <v>233</v>
      </c>
      <c r="BI583" s="7"/>
      <c r="BJ583" s="4"/>
      <c r="BK583" s="8"/>
      <c r="BL583" s="2" t="s">
        <v>233</v>
      </c>
      <c r="BM583" s="7"/>
      <c r="BN583" s="7"/>
      <c r="BO583" s="4"/>
      <c r="BP583" s="8"/>
      <c r="BQ583" s="4"/>
      <c r="BR583" s="8"/>
      <c r="BS583" s="7"/>
      <c r="BT583" s="7"/>
      <c r="BU583" s="2" t="s">
        <v>243</v>
      </c>
      <c r="BV583" s="2" t="s">
        <v>233</v>
      </c>
      <c r="BW583" s="2" t="s">
        <v>233</v>
      </c>
      <c r="BX583" s="2" t="s">
        <v>243</v>
      </c>
      <c r="BY583" s="2" t="s">
        <v>244</v>
      </c>
      <c r="BZ583" s="2" t="s">
        <v>245</v>
      </c>
      <c r="CA583" s="2" t="s">
        <v>233</v>
      </c>
      <c r="CB583" s="2" t="s">
        <v>233</v>
      </c>
      <c r="CC583" s="2" t="s">
        <v>246</v>
      </c>
      <c r="CD583" s="2" t="s">
        <v>233</v>
      </c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>
        <v>287</v>
      </c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</row>
    <row r="584">
      <c r="A584" s="2" t="s">
        <v>3365</v>
      </c>
      <c r="B584" s="2" t="s">
        <v>1414</v>
      </c>
      <c r="C584" s="2" t="s">
        <v>530</v>
      </c>
      <c r="D584" s="2" t="s">
        <v>1414</v>
      </c>
      <c r="E584" s="2" t="s">
        <v>1414</v>
      </c>
      <c r="F584" s="2" t="s">
        <v>1928</v>
      </c>
      <c r="G584" s="2" t="s">
        <v>3366</v>
      </c>
      <c r="H584" s="2" t="s">
        <v>3367</v>
      </c>
      <c r="I584" s="2" t="s">
        <v>3368</v>
      </c>
      <c r="J584" s="2" t="s">
        <v>1808</v>
      </c>
      <c r="K584" s="2" t="s">
        <v>236</v>
      </c>
      <c r="L584" s="3">
        <v>223.23</v>
      </c>
      <c r="M584" s="3">
        <v>234.39</v>
      </c>
      <c r="N584" s="3">
        <v>499.99</v>
      </c>
      <c r="O584" s="2" t="s">
        <v>252</v>
      </c>
      <c r="P584" s="2" t="s">
        <v>311</v>
      </c>
      <c r="Q584" s="2" t="s">
        <v>239</v>
      </c>
      <c r="R584" s="2" t="s">
        <v>233</v>
      </c>
      <c r="S584" s="2" t="s">
        <v>233</v>
      </c>
      <c r="T584" s="2" t="s">
        <v>233</v>
      </c>
      <c r="U584" s="2" t="s">
        <v>396</v>
      </c>
      <c r="V584" s="2" t="s">
        <v>1085</v>
      </c>
      <c r="W584" s="2" t="s">
        <v>397</v>
      </c>
      <c r="X584" s="2" t="s">
        <v>233</v>
      </c>
      <c r="Y584" s="2" t="s">
        <v>1831</v>
      </c>
      <c r="Z584" s="4">
        <v>65</v>
      </c>
      <c r="AA584" s="4">
        <f>=ROUNDDOWN(325,0)</f>
      </c>
      <c r="AB584" s="5">
        <v>0.2</v>
      </c>
      <c r="AC584" s="2" t="s">
        <v>233</v>
      </c>
      <c r="AD584" s="4"/>
      <c r="AE584" s="4"/>
      <c r="AF584" s="6">
        <v>63</v>
      </c>
      <c r="AG584" s="6"/>
      <c r="AH584" s="7">
        <v>1</v>
      </c>
      <c r="AI584" s="4"/>
      <c r="AJ584" s="4">
        <f>=ROUNDDOWN({0},0)</f>
      </c>
      <c r="AK584" s="5"/>
      <c r="AL584" s="2" t="s">
        <v>233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233</v>
      </c>
      <c r="BD584" s="8" t="s">
        <v>233</v>
      </c>
      <c r="BE584" s="4" t="s">
        <v>233</v>
      </c>
      <c r="BF584" s="8" t="s">
        <v>233</v>
      </c>
      <c r="BG584" s="7" t="s">
        <v>233</v>
      </c>
      <c r="BH584" s="7" t="s">
        <v>233</v>
      </c>
      <c r="BI584" s="7"/>
      <c r="BJ584" s="4">
        <v>1</v>
      </c>
      <c r="BK584" s="8">
        <v>147.67</v>
      </c>
      <c r="BL584" s="2" t="s">
        <v>2750</v>
      </c>
      <c r="BM584" s="7"/>
      <c r="BN584" s="7"/>
      <c r="BO584" s="4"/>
      <c r="BP584" s="8"/>
      <c r="BQ584" s="4"/>
      <c r="BR584" s="8"/>
      <c r="BS584" s="7"/>
      <c r="BT584" s="7"/>
      <c r="BU584" s="2" t="s">
        <v>3369</v>
      </c>
      <c r="BV584" s="2" t="s">
        <v>233</v>
      </c>
      <c r="BW584" s="2" t="s">
        <v>233</v>
      </c>
      <c r="BX584" s="2" t="s">
        <v>233</v>
      </c>
      <c r="BY584" s="2" t="s">
        <v>280</v>
      </c>
      <c r="BZ584" s="2" t="s">
        <v>245</v>
      </c>
      <c r="CA584" s="2" t="s">
        <v>1833</v>
      </c>
      <c r="CB584" s="2" t="s">
        <v>3370</v>
      </c>
      <c r="CC584" s="2" t="s">
        <v>246</v>
      </c>
      <c r="CD584" s="2" t="s">
        <v>233</v>
      </c>
      <c r="CE584" s="4"/>
      <c r="CF584" s="4">
        <v>65</v>
      </c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</row>
    <row r="585">
      <c r="A585" s="2" t="s">
        <v>3371</v>
      </c>
      <c r="B585" s="2" t="s">
        <v>886</v>
      </c>
      <c r="C585" s="2" t="s">
        <v>947</v>
      </c>
      <c r="D585" s="2" t="s">
        <v>1326</v>
      </c>
      <c r="E585" s="2" t="s">
        <v>1327</v>
      </c>
      <c r="F585" s="2" t="s">
        <v>3372</v>
      </c>
      <c r="G585" s="2" t="s">
        <v>3372</v>
      </c>
      <c r="H585" s="2" t="s">
        <v>3372</v>
      </c>
      <c r="I585" s="2" t="s">
        <v>3373</v>
      </c>
      <c r="J585" s="2" t="s">
        <v>892</v>
      </c>
      <c r="K585" s="2" t="s">
        <v>645</v>
      </c>
      <c r="L585" s="3">
        <v>121.5</v>
      </c>
      <c r="M585" s="3">
        <v>127.58</v>
      </c>
      <c r="N585" s="3">
        <v>279.99</v>
      </c>
      <c r="O585" s="2" t="s">
        <v>245</v>
      </c>
      <c r="P585" s="2" t="s">
        <v>311</v>
      </c>
      <c r="Q585" s="2" t="s">
        <v>239</v>
      </c>
      <c r="R585" s="2" t="s">
        <v>233</v>
      </c>
      <c r="S585" s="2" t="s">
        <v>233</v>
      </c>
      <c r="T585" s="2" t="s">
        <v>233</v>
      </c>
      <c r="U585" s="2" t="s">
        <v>396</v>
      </c>
      <c r="V585" s="2" t="s">
        <v>893</v>
      </c>
      <c r="W585" s="2" t="s">
        <v>397</v>
      </c>
      <c r="X585" s="2" t="s">
        <v>1664</v>
      </c>
      <c r="Y585" s="2" t="s">
        <v>2012</v>
      </c>
      <c r="Z585" s="4">
        <v>85</v>
      </c>
      <c r="AA585" s="4">
        <f>=ROUNDDOWN(85,0)</f>
      </c>
      <c r="AB585" s="5">
        <v>1</v>
      </c>
      <c r="AC585" s="2" t="s">
        <v>233</v>
      </c>
      <c r="AD585" s="4"/>
      <c r="AE585" s="4"/>
      <c r="AF585" s="6">
        <v>63</v>
      </c>
      <c r="AG585" s="6"/>
      <c r="AH585" s="7">
        <v>1</v>
      </c>
      <c r="AI585" s="4"/>
      <c r="AJ585" s="4">
        <f>=ROUNDDOWN({0},0)</f>
      </c>
      <c r="AK585" s="5"/>
      <c r="AL585" s="2" t="s">
        <v>233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233</v>
      </c>
      <c r="BM585" s="7"/>
      <c r="BN585" s="7"/>
      <c r="BO585" s="4"/>
      <c r="BP585" s="8"/>
      <c r="BQ585" s="4"/>
      <c r="BR585" s="8"/>
      <c r="BS585" s="7"/>
      <c r="BT585" s="7"/>
      <c r="BU585" s="2" t="s">
        <v>3374</v>
      </c>
      <c r="BV585" s="2" t="s">
        <v>233</v>
      </c>
      <c r="BW585" s="2" t="s">
        <v>233</v>
      </c>
      <c r="BX585" s="2" t="s">
        <v>243</v>
      </c>
      <c r="BY585" s="2" t="s">
        <v>280</v>
      </c>
      <c r="BZ585" s="2" t="s">
        <v>245</v>
      </c>
      <c r="CA585" s="2" t="s">
        <v>3375</v>
      </c>
      <c r="CB585" s="2" t="s">
        <v>1500</v>
      </c>
      <c r="CC585" s="2" t="s">
        <v>246</v>
      </c>
      <c r="CD585" s="2" t="s">
        <v>233</v>
      </c>
      <c r="CE585" s="4"/>
      <c r="CF585" s="4">
        <v>85</v>
      </c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</row>
    <row r="586">
      <c r="A586" s="2" t="s">
        <v>3376</v>
      </c>
      <c r="B586" s="2" t="s">
        <v>228</v>
      </c>
      <c r="C586" s="2" t="s">
        <v>530</v>
      </c>
      <c r="D586" s="2" t="s">
        <v>1616</v>
      </c>
      <c r="E586" s="2" t="s">
        <v>2599</v>
      </c>
      <c r="F586" s="2" t="s">
        <v>3377</v>
      </c>
      <c r="G586" s="2" t="s">
        <v>3377</v>
      </c>
      <c r="H586" s="2" t="s">
        <v>3377</v>
      </c>
      <c r="I586" s="2" t="s">
        <v>2599</v>
      </c>
      <c r="J586" s="2" t="s">
        <v>1736</v>
      </c>
      <c r="K586" s="2" t="s">
        <v>1561</v>
      </c>
      <c r="L586" s="3">
        <v>42.34</v>
      </c>
      <c r="M586" s="3">
        <v>44.46</v>
      </c>
      <c r="N586" s="3">
        <v>84.99</v>
      </c>
      <c r="O586" s="2" t="s">
        <v>245</v>
      </c>
      <c r="P586" s="2" t="s">
        <v>272</v>
      </c>
      <c r="Q586" s="2" t="s">
        <v>239</v>
      </c>
      <c r="R586" s="2" t="s">
        <v>233</v>
      </c>
      <c r="S586" s="2" t="s">
        <v>3378</v>
      </c>
      <c r="T586" s="2" t="s">
        <v>233</v>
      </c>
      <c r="U586" s="2" t="s">
        <v>396</v>
      </c>
      <c r="V586" s="2" t="s">
        <v>241</v>
      </c>
      <c r="W586" s="2" t="s">
        <v>275</v>
      </c>
      <c r="X586" s="2" t="s">
        <v>705</v>
      </c>
      <c r="Y586" s="2" t="s">
        <v>3379</v>
      </c>
      <c r="Z586" s="4">
        <v>666</v>
      </c>
      <c r="AA586" s="4">
        <f>=ROUNDDOWN(83.25,0)</f>
      </c>
      <c r="AB586" s="5">
        <v>8</v>
      </c>
      <c r="AC586" s="2" t="s">
        <v>233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233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233</v>
      </c>
      <c r="BD586" s="8" t="s">
        <v>233</v>
      </c>
      <c r="BE586" s="4" t="s">
        <v>233</v>
      </c>
      <c r="BF586" s="8" t="s">
        <v>233</v>
      </c>
      <c r="BG586" s="7" t="s">
        <v>233</v>
      </c>
      <c r="BH586" s="7" t="s">
        <v>233</v>
      </c>
      <c r="BI586" s="7"/>
      <c r="BJ586" s="4">
        <v>7</v>
      </c>
      <c r="BK586" s="8">
        <v>304.77</v>
      </c>
      <c r="BL586" s="2" t="s">
        <v>3380</v>
      </c>
      <c r="BM586" s="7"/>
      <c r="BN586" s="7"/>
      <c r="BO586" s="4"/>
      <c r="BP586" s="8"/>
      <c r="BQ586" s="4"/>
      <c r="BR586" s="8"/>
      <c r="BS586" s="7"/>
      <c r="BT586" s="7"/>
      <c r="BU586" s="2" t="s">
        <v>3381</v>
      </c>
      <c r="BV586" s="2" t="s">
        <v>233</v>
      </c>
      <c r="BW586" s="2" t="s">
        <v>233</v>
      </c>
      <c r="BX586" s="2" t="s">
        <v>233</v>
      </c>
      <c r="BY586" s="2" t="s">
        <v>280</v>
      </c>
      <c r="BZ586" s="2" t="s">
        <v>245</v>
      </c>
      <c r="CA586" s="2" t="s">
        <v>1998</v>
      </c>
      <c r="CB586" s="2" t="s">
        <v>3382</v>
      </c>
      <c r="CC586" s="2" t="s">
        <v>246</v>
      </c>
      <c r="CD586" s="2" t="s">
        <v>233</v>
      </c>
      <c r="CE586" s="4">
        <v>666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</row>
    <row r="587">
      <c r="A587" s="2" t="s">
        <v>3383</v>
      </c>
      <c r="B587" s="2" t="s">
        <v>228</v>
      </c>
      <c r="C587" s="2" t="s">
        <v>530</v>
      </c>
      <c r="D587" s="2" t="s">
        <v>1616</v>
      </c>
      <c r="E587" s="2" t="s">
        <v>2599</v>
      </c>
      <c r="F587" s="2" t="s">
        <v>3377</v>
      </c>
      <c r="G587" s="2" t="s">
        <v>3377</v>
      </c>
      <c r="H587" s="2" t="s">
        <v>3377</v>
      </c>
      <c r="I587" s="2" t="s">
        <v>2599</v>
      </c>
      <c r="J587" s="2" t="s">
        <v>1736</v>
      </c>
      <c r="K587" s="2" t="s">
        <v>3384</v>
      </c>
      <c r="L587" s="3">
        <v>42.34</v>
      </c>
      <c r="M587" s="3">
        <v>44.46</v>
      </c>
      <c r="N587" s="3">
        <v>84.99</v>
      </c>
      <c r="O587" s="2" t="s">
        <v>245</v>
      </c>
      <c r="P587" s="2" t="s">
        <v>272</v>
      </c>
      <c r="Q587" s="2" t="s">
        <v>239</v>
      </c>
      <c r="R587" s="2" t="s">
        <v>233</v>
      </c>
      <c r="S587" s="2" t="s">
        <v>3385</v>
      </c>
      <c r="T587" s="2" t="s">
        <v>233</v>
      </c>
      <c r="U587" s="2" t="s">
        <v>396</v>
      </c>
      <c r="V587" s="2" t="s">
        <v>241</v>
      </c>
      <c r="W587" s="2" t="s">
        <v>275</v>
      </c>
      <c r="X587" s="2" t="s">
        <v>705</v>
      </c>
      <c r="Y587" s="2" t="s">
        <v>3379</v>
      </c>
      <c r="Z587" s="4">
        <v>478</v>
      </c>
      <c r="AA587" s="4">
        <f>=ROUNDDOWN(28.1176470588235,0)</f>
      </c>
      <c r="AB587" s="5">
        <v>17</v>
      </c>
      <c r="AC587" s="2" t="s">
        <v>233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233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233</v>
      </c>
      <c r="BD587" s="8" t="s">
        <v>233</v>
      </c>
      <c r="BE587" s="4" t="s">
        <v>233</v>
      </c>
      <c r="BF587" s="8" t="s">
        <v>233</v>
      </c>
      <c r="BG587" s="7" t="s">
        <v>233</v>
      </c>
      <c r="BH587" s="7" t="s">
        <v>233</v>
      </c>
      <c r="BI587" s="7"/>
      <c r="BJ587" s="4">
        <v>43</v>
      </c>
      <c r="BK587" s="8">
        <v>1923.72</v>
      </c>
      <c r="BL587" s="2" t="s">
        <v>3386</v>
      </c>
      <c r="BM587" s="7"/>
      <c r="BN587" s="7"/>
      <c r="BO587" s="4"/>
      <c r="BP587" s="8"/>
      <c r="BQ587" s="4"/>
      <c r="BR587" s="8"/>
      <c r="BS587" s="7"/>
      <c r="BT587" s="7"/>
      <c r="BU587" s="2" t="s">
        <v>3387</v>
      </c>
      <c r="BV587" s="2" t="s">
        <v>233</v>
      </c>
      <c r="BW587" s="2" t="s">
        <v>233</v>
      </c>
      <c r="BX587" s="2" t="s">
        <v>233</v>
      </c>
      <c r="BY587" s="2" t="s">
        <v>280</v>
      </c>
      <c r="BZ587" s="2" t="s">
        <v>245</v>
      </c>
      <c r="CA587" s="2" t="s">
        <v>1998</v>
      </c>
      <c r="CB587" s="2" t="s">
        <v>3388</v>
      </c>
      <c r="CC587" s="2" t="s">
        <v>246</v>
      </c>
      <c r="CD587" s="2" t="s">
        <v>233</v>
      </c>
      <c r="CE587" s="4">
        <v>478</v>
      </c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</row>
    <row r="588">
      <c r="A588" s="2" t="s">
        <v>3389</v>
      </c>
      <c r="B588" s="2" t="s">
        <v>333</v>
      </c>
      <c r="C588" s="2" t="s">
        <v>911</v>
      </c>
      <c r="D588" s="2" t="s">
        <v>335</v>
      </c>
      <c r="E588" s="2" t="s">
        <v>336</v>
      </c>
      <c r="F588" s="2" t="s">
        <v>3390</v>
      </c>
      <c r="G588" s="2" t="s">
        <v>3390</v>
      </c>
      <c r="H588" s="2" t="s">
        <v>3390</v>
      </c>
      <c r="I588" s="2" t="s">
        <v>3391</v>
      </c>
      <c r="J588" s="2" t="s">
        <v>270</v>
      </c>
      <c r="K588" s="2" t="s">
        <v>255</v>
      </c>
      <c r="L588" s="3">
        <v>12.96</v>
      </c>
      <c r="M588" s="3">
        <v>13.61</v>
      </c>
      <c r="N588" s="3">
        <v>26.99</v>
      </c>
      <c r="O588" s="2" t="s">
        <v>252</v>
      </c>
      <c r="P588" s="2" t="s">
        <v>311</v>
      </c>
      <c r="Q588" s="2" t="s">
        <v>239</v>
      </c>
      <c r="R588" s="2" t="s">
        <v>233</v>
      </c>
      <c r="S588" s="2" t="s">
        <v>3392</v>
      </c>
      <c r="T588" s="2" t="s">
        <v>395</v>
      </c>
      <c r="U588" s="2" t="s">
        <v>233</v>
      </c>
      <c r="V588" s="2" t="s">
        <v>1085</v>
      </c>
      <c r="W588" s="2" t="s">
        <v>275</v>
      </c>
      <c r="X588" s="2" t="s">
        <v>233</v>
      </c>
      <c r="Y588" s="2" t="s">
        <v>276</v>
      </c>
      <c r="Z588" s="4">
        <v>294</v>
      </c>
      <c r="AA588" s="4">
        <f>=ROUNDDOWN(48.1967213114754,0)</f>
      </c>
      <c r="AB588" s="5">
        <v>6.1</v>
      </c>
      <c r="AC588" s="2" t="s">
        <v>233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233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233</v>
      </c>
      <c r="BD588" s="8" t="s">
        <v>233</v>
      </c>
      <c r="BE588" s="4" t="s">
        <v>233</v>
      </c>
      <c r="BF588" s="8" t="s">
        <v>233</v>
      </c>
      <c r="BG588" s="7" t="s">
        <v>233</v>
      </c>
      <c r="BH588" s="7" t="s">
        <v>233</v>
      </c>
      <c r="BI588" s="7"/>
      <c r="BJ588" s="4">
        <v>24</v>
      </c>
      <c r="BK588" s="8">
        <v>306.69</v>
      </c>
      <c r="BL588" s="2" t="s">
        <v>3393</v>
      </c>
      <c r="BM588" s="7"/>
      <c r="BN588" s="7"/>
      <c r="BO588" s="4"/>
      <c r="BP588" s="8"/>
      <c r="BQ588" s="4"/>
      <c r="BR588" s="8"/>
      <c r="BS588" s="7"/>
      <c r="BT588" s="7"/>
      <c r="BU588" s="2" t="s">
        <v>3394</v>
      </c>
      <c r="BV588" s="2" t="s">
        <v>233</v>
      </c>
      <c r="BW588" s="2" t="s">
        <v>233</v>
      </c>
      <c r="BX588" s="2" t="s">
        <v>233</v>
      </c>
      <c r="BY588" s="2" t="s">
        <v>280</v>
      </c>
      <c r="BZ588" s="2" t="s">
        <v>245</v>
      </c>
      <c r="CA588" s="2" t="s">
        <v>281</v>
      </c>
      <c r="CB588" s="2" t="s">
        <v>3395</v>
      </c>
      <c r="CC588" s="2" t="s">
        <v>246</v>
      </c>
      <c r="CD588" s="2" t="s">
        <v>233</v>
      </c>
      <c r="CE588" s="4">
        <v>294</v>
      </c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</row>
    <row r="589">
      <c r="A589" s="2" t="s">
        <v>3396</v>
      </c>
      <c r="B589" s="2" t="s">
        <v>333</v>
      </c>
      <c r="C589" s="2" t="s">
        <v>911</v>
      </c>
      <c r="D589" s="2" t="s">
        <v>335</v>
      </c>
      <c r="E589" s="2" t="s">
        <v>336</v>
      </c>
      <c r="F589" s="2" t="s">
        <v>3390</v>
      </c>
      <c r="G589" s="2" t="s">
        <v>3390</v>
      </c>
      <c r="H589" s="2" t="s">
        <v>3390</v>
      </c>
      <c r="I589" s="2" t="s">
        <v>3391</v>
      </c>
      <c r="J589" s="2" t="s">
        <v>270</v>
      </c>
      <c r="K589" s="2" t="s">
        <v>2942</v>
      </c>
      <c r="L589" s="3">
        <v>12</v>
      </c>
      <c r="M589" s="3">
        <v>12.6</v>
      </c>
      <c r="N589" s="3">
        <v>24.99</v>
      </c>
      <c r="O589" s="2" t="s">
        <v>252</v>
      </c>
      <c r="P589" s="2" t="s">
        <v>311</v>
      </c>
      <c r="Q589" s="2" t="s">
        <v>239</v>
      </c>
      <c r="R589" s="2" t="s">
        <v>233</v>
      </c>
      <c r="S589" s="2" t="s">
        <v>3397</v>
      </c>
      <c r="T589" s="2" t="s">
        <v>395</v>
      </c>
      <c r="U589" s="2" t="s">
        <v>233</v>
      </c>
      <c r="V589" s="2" t="s">
        <v>1085</v>
      </c>
      <c r="W589" s="2" t="s">
        <v>275</v>
      </c>
      <c r="X589" s="2" t="s">
        <v>233</v>
      </c>
      <c r="Y589" s="2" t="s">
        <v>276</v>
      </c>
      <c r="Z589" s="4">
        <v>46</v>
      </c>
      <c r="AA589" s="4">
        <f>=ROUNDDOWN(115,0)</f>
      </c>
      <c r="AB589" s="5">
        <v>0.4</v>
      </c>
      <c r="AC589" s="2" t="s">
        <v>233</v>
      </c>
      <c r="AD589" s="4"/>
      <c r="AE589" s="4"/>
      <c r="AF589" s="6"/>
      <c r="AG589" s="6"/>
      <c r="AH589" s="7">
        <v>1</v>
      </c>
      <c r="AI589" s="4"/>
      <c r="AJ589" s="4">
        <f>=ROUNDDOWN({0},0)</f>
      </c>
      <c r="AK589" s="5"/>
      <c r="AL589" s="2" t="s">
        <v>233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233</v>
      </c>
      <c r="BD589" s="8" t="s">
        <v>233</v>
      </c>
      <c r="BE589" s="4" t="s">
        <v>233</v>
      </c>
      <c r="BF589" s="8" t="s">
        <v>233</v>
      </c>
      <c r="BG589" s="7" t="s">
        <v>233</v>
      </c>
      <c r="BH589" s="7" t="s">
        <v>233</v>
      </c>
      <c r="BI589" s="7"/>
      <c r="BJ589" s="4">
        <v>1</v>
      </c>
      <c r="BK589" s="8">
        <v>13.31</v>
      </c>
      <c r="BL589" s="2" t="s">
        <v>3398</v>
      </c>
      <c r="BM589" s="7"/>
      <c r="BN589" s="7"/>
      <c r="BO589" s="4"/>
      <c r="BP589" s="8"/>
      <c r="BQ589" s="4"/>
      <c r="BR589" s="8"/>
      <c r="BS589" s="7"/>
      <c r="BT589" s="7"/>
      <c r="BU589" s="2" t="s">
        <v>3399</v>
      </c>
      <c r="BV589" s="2" t="s">
        <v>233</v>
      </c>
      <c r="BW589" s="2" t="s">
        <v>233</v>
      </c>
      <c r="BX589" s="2" t="s">
        <v>233</v>
      </c>
      <c r="BY589" s="2" t="s">
        <v>280</v>
      </c>
      <c r="BZ589" s="2" t="s">
        <v>245</v>
      </c>
      <c r="CA589" s="2" t="s">
        <v>281</v>
      </c>
      <c r="CB589" s="2" t="s">
        <v>3400</v>
      </c>
      <c r="CC589" s="2" t="s">
        <v>246</v>
      </c>
      <c r="CD589" s="2" t="s">
        <v>233</v>
      </c>
      <c r="CE589" s="4">
        <v>46</v>
      </c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</row>
    <row r="590">
      <c r="A590" s="2" t="s">
        <v>3401</v>
      </c>
      <c r="B590" s="2" t="s">
        <v>333</v>
      </c>
      <c r="C590" s="2" t="s">
        <v>911</v>
      </c>
      <c r="D590" s="2" t="s">
        <v>335</v>
      </c>
      <c r="E590" s="2" t="s">
        <v>336</v>
      </c>
      <c r="F590" s="2" t="s">
        <v>3390</v>
      </c>
      <c r="G590" s="2" t="s">
        <v>3390</v>
      </c>
      <c r="H590" s="2" t="s">
        <v>3390</v>
      </c>
      <c r="I590" s="2" t="s">
        <v>3391</v>
      </c>
      <c r="J590" s="2" t="s">
        <v>270</v>
      </c>
      <c r="K590" s="2" t="s">
        <v>1218</v>
      </c>
      <c r="L590" s="3">
        <v>12.96</v>
      </c>
      <c r="M590" s="3">
        <v>13.61</v>
      </c>
      <c r="N590" s="3">
        <v>26.99</v>
      </c>
      <c r="O590" s="2" t="s">
        <v>252</v>
      </c>
      <c r="P590" s="2" t="s">
        <v>311</v>
      </c>
      <c r="Q590" s="2" t="s">
        <v>239</v>
      </c>
      <c r="R590" s="2" t="s">
        <v>233</v>
      </c>
      <c r="S590" s="2" t="s">
        <v>3402</v>
      </c>
      <c r="T590" s="2" t="s">
        <v>395</v>
      </c>
      <c r="U590" s="2" t="s">
        <v>233</v>
      </c>
      <c r="V590" s="2" t="s">
        <v>1085</v>
      </c>
      <c r="W590" s="2" t="s">
        <v>275</v>
      </c>
      <c r="X590" s="2" t="s">
        <v>233</v>
      </c>
      <c r="Y590" s="2" t="s">
        <v>276</v>
      </c>
      <c r="Z590" s="4">
        <v>427</v>
      </c>
      <c r="AA590" s="4">
        <f>=ROUNDDOWN(142.333333333333,0)</f>
      </c>
      <c r="AB590" s="5">
        <v>3</v>
      </c>
      <c r="AC590" s="2" t="s">
        <v>233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233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233</v>
      </c>
      <c r="AW590" s="8" t="s">
        <v>233</v>
      </c>
      <c r="AX590" s="4" t="s">
        <v>233</v>
      </c>
      <c r="AY590" s="8" t="s">
        <v>233</v>
      </c>
      <c r="AZ590" s="7" t="s">
        <v>233</v>
      </c>
      <c r="BA590" s="7" t="s">
        <v>233</v>
      </c>
      <c r="BB590" s="7"/>
      <c r="BC590" s="4" t="s">
        <v>233</v>
      </c>
      <c r="BD590" s="8" t="s">
        <v>233</v>
      </c>
      <c r="BE590" s="4" t="s">
        <v>233</v>
      </c>
      <c r="BF590" s="8" t="s">
        <v>233</v>
      </c>
      <c r="BG590" s="7" t="s">
        <v>233</v>
      </c>
      <c r="BH590" s="7" t="s">
        <v>233</v>
      </c>
      <c r="BI590" s="7"/>
      <c r="BJ590" s="4">
        <v>1</v>
      </c>
      <c r="BK590" s="8">
        <v>13.31</v>
      </c>
      <c r="BL590" s="2" t="s">
        <v>3403</v>
      </c>
      <c r="BM590" s="7"/>
      <c r="BN590" s="7"/>
      <c r="BO590" s="4"/>
      <c r="BP590" s="8"/>
      <c r="BQ590" s="4"/>
      <c r="BR590" s="8"/>
      <c r="BS590" s="7"/>
      <c r="BT590" s="7"/>
      <c r="BU590" s="2" t="s">
        <v>3404</v>
      </c>
      <c r="BV590" s="2" t="s">
        <v>233</v>
      </c>
      <c r="BW590" s="2" t="s">
        <v>233</v>
      </c>
      <c r="BX590" s="2" t="s">
        <v>233</v>
      </c>
      <c r="BY590" s="2" t="s">
        <v>280</v>
      </c>
      <c r="BZ590" s="2" t="s">
        <v>245</v>
      </c>
      <c r="CA590" s="2" t="s">
        <v>281</v>
      </c>
      <c r="CB590" s="2" t="s">
        <v>3395</v>
      </c>
      <c r="CC590" s="2" t="s">
        <v>246</v>
      </c>
      <c r="CD590" s="2" t="s">
        <v>233</v>
      </c>
      <c r="CE590" s="4">
        <v>427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</row>
    <row r="591">
      <c r="A591" s="2" t="s">
        <v>3405</v>
      </c>
      <c r="B591" s="2" t="s">
        <v>333</v>
      </c>
      <c r="C591" s="2" t="s">
        <v>911</v>
      </c>
      <c r="D591" s="2" t="s">
        <v>335</v>
      </c>
      <c r="E591" s="2" t="s">
        <v>336</v>
      </c>
      <c r="F591" s="2" t="s">
        <v>3390</v>
      </c>
      <c r="G591" s="2" t="s">
        <v>3390</v>
      </c>
      <c r="H591" s="2" t="s">
        <v>3390</v>
      </c>
      <c r="I591" s="2" t="s">
        <v>3391</v>
      </c>
      <c r="J591" s="2" t="s">
        <v>290</v>
      </c>
      <c r="K591" s="2" t="s">
        <v>1218</v>
      </c>
      <c r="L591" s="3">
        <v>14.7</v>
      </c>
      <c r="M591" s="3">
        <v>15.44</v>
      </c>
      <c r="N591" s="3">
        <v>29.99</v>
      </c>
      <c r="O591" s="2" t="s">
        <v>252</v>
      </c>
      <c r="P591" s="2" t="s">
        <v>311</v>
      </c>
      <c r="Q591" s="2" t="s">
        <v>239</v>
      </c>
      <c r="R591" s="2" t="s">
        <v>233</v>
      </c>
      <c r="S591" s="2" t="s">
        <v>3402</v>
      </c>
      <c r="T591" s="2" t="s">
        <v>395</v>
      </c>
      <c r="U591" s="2" t="s">
        <v>233</v>
      </c>
      <c r="V591" s="2" t="s">
        <v>1085</v>
      </c>
      <c r="W591" s="2" t="s">
        <v>275</v>
      </c>
      <c r="X591" s="2" t="s">
        <v>233</v>
      </c>
      <c r="Y591" s="2" t="s">
        <v>276</v>
      </c>
      <c r="Z591" s="4">
        <v>19</v>
      </c>
      <c r="AA591" s="4">
        <f>=ROUNDDOWN(9.04761904761905,0)</f>
      </c>
      <c r="AB591" s="5">
        <v>2.1</v>
      </c>
      <c r="AC591" s="2" t="s">
        <v>233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233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233</v>
      </c>
      <c r="AW591" s="8" t="s">
        <v>233</v>
      </c>
      <c r="AX591" s="4" t="s">
        <v>233</v>
      </c>
      <c r="AY591" s="8" t="s">
        <v>233</v>
      </c>
      <c r="AZ591" s="7" t="s">
        <v>233</v>
      </c>
      <c r="BA591" s="7" t="s">
        <v>233</v>
      </c>
      <c r="BB591" s="7"/>
      <c r="BC591" s="4" t="s">
        <v>233</v>
      </c>
      <c r="BD591" s="8" t="s">
        <v>233</v>
      </c>
      <c r="BE591" s="4" t="s">
        <v>233</v>
      </c>
      <c r="BF591" s="8" t="s">
        <v>233</v>
      </c>
      <c r="BG591" s="7" t="s">
        <v>233</v>
      </c>
      <c r="BH591" s="7" t="s">
        <v>233</v>
      </c>
      <c r="BI591" s="7"/>
      <c r="BJ591" s="4">
        <v>9</v>
      </c>
      <c r="BK591" s="8">
        <v>132.53</v>
      </c>
      <c r="BL591" s="2" t="s">
        <v>3406</v>
      </c>
      <c r="BM591" s="7"/>
      <c r="BN591" s="7"/>
      <c r="BO591" s="4"/>
      <c r="BP591" s="8"/>
      <c r="BQ591" s="4"/>
      <c r="BR591" s="8"/>
      <c r="BS591" s="7"/>
      <c r="BT591" s="7"/>
      <c r="BU591" s="2" t="s">
        <v>3407</v>
      </c>
      <c r="BV591" s="2" t="s">
        <v>233</v>
      </c>
      <c r="BW591" s="2" t="s">
        <v>233</v>
      </c>
      <c r="BX591" s="2" t="s">
        <v>233</v>
      </c>
      <c r="BY591" s="2" t="s">
        <v>280</v>
      </c>
      <c r="BZ591" s="2" t="s">
        <v>245</v>
      </c>
      <c r="CA591" s="2" t="s">
        <v>281</v>
      </c>
      <c r="CB591" s="2" t="s">
        <v>3395</v>
      </c>
      <c r="CC591" s="2" t="s">
        <v>246</v>
      </c>
      <c r="CD591" s="2" t="s">
        <v>233</v>
      </c>
      <c r="CE591" s="4">
        <v>19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</row>
    <row r="592">
      <c r="A592" s="2" t="s">
        <v>3408</v>
      </c>
      <c r="B592" s="2" t="s">
        <v>886</v>
      </c>
      <c r="C592" s="2" t="s">
        <v>1157</v>
      </c>
      <c r="D592" s="2" t="s">
        <v>1167</v>
      </c>
      <c r="E592" s="2" t="s">
        <v>1168</v>
      </c>
      <c r="F592" s="2" t="s">
        <v>3409</v>
      </c>
      <c r="G592" s="2" t="s">
        <v>3409</v>
      </c>
      <c r="H592" s="2" t="s">
        <v>3409</v>
      </c>
      <c r="I592" s="2" t="s">
        <v>3410</v>
      </c>
      <c r="J592" s="2" t="s">
        <v>892</v>
      </c>
      <c r="K592" s="2" t="s">
        <v>1105</v>
      </c>
      <c r="L592" s="3">
        <v>24.8</v>
      </c>
      <c r="M592" s="3">
        <v>26.04</v>
      </c>
      <c r="N592" s="3">
        <v>49.99</v>
      </c>
      <c r="O592" s="2" t="s">
        <v>245</v>
      </c>
      <c r="P592" s="2" t="s">
        <v>238</v>
      </c>
      <c r="Q592" s="2" t="s">
        <v>239</v>
      </c>
      <c r="R592" s="2" t="s">
        <v>233</v>
      </c>
      <c r="S592" s="2" t="s">
        <v>233</v>
      </c>
      <c r="T592" s="2" t="s">
        <v>233</v>
      </c>
      <c r="U592" s="2" t="s">
        <v>396</v>
      </c>
      <c r="V592" s="2" t="s">
        <v>893</v>
      </c>
      <c r="W592" s="2" t="s">
        <v>451</v>
      </c>
      <c r="X592" s="2" t="s">
        <v>275</v>
      </c>
      <c r="Y592" s="2" t="s">
        <v>233</v>
      </c>
      <c r="Z592" s="4"/>
      <c r="AA592" s="4">
        <f>=ROUNDDOWN({0},0)</f>
      </c>
      <c r="AB592" s="5"/>
      <c r="AC592" s="2" t="s">
        <v>1701</v>
      </c>
      <c r="AD592" s="4">
        <v>100</v>
      </c>
      <c r="AE592" s="4">
        <v>100</v>
      </c>
      <c r="AF592" s="6"/>
      <c r="AG592" s="6"/>
      <c r="AH592" s="7">
        <v>0</v>
      </c>
      <c r="AI592" s="4"/>
      <c r="AJ592" s="4">
        <f>=ROUNDDOWN({0},0)</f>
      </c>
      <c r="AK592" s="5"/>
      <c r="AL592" s="2" t="s">
        <v>233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233</v>
      </c>
      <c r="BM592" s="7"/>
      <c r="BN592" s="7"/>
      <c r="BO592" s="4"/>
      <c r="BP592" s="8"/>
      <c r="BQ592" s="4"/>
      <c r="BR592" s="8"/>
      <c r="BS592" s="7"/>
      <c r="BT592" s="7"/>
      <c r="BU592" s="2" t="s">
        <v>243</v>
      </c>
      <c r="BV592" s="2" t="s">
        <v>233</v>
      </c>
      <c r="BW592" s="2" t="s">
        <v>233</v>
      </c>
      <c r="BX592" s="2" t="s">
        <v>243</v>
      </c>
      <c r="BY592" s="2" t="s">
        <v>244</v>
      </c>
      <c r="BZ592" s="2" t="s">
        <v>245</v>
      </c>
      <c r="CA592" s="2" t="s">
        <v>233</v>
      </c>
      <c r="CB592" s="2" t="s">
        <v>233</v>
      </c>
      <c r="CC592" s="2" t="s">
        <v>246</v>
      </c>
      <c r="CD592" s="2" t="s">
        <v>233</v>
      </c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>
        <v>100</v>
      </c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</row>
    <row r="593">
      <c r="A593" s="2" t="s">
        <v>3411</v>
      </c>
      <c r="B593" s="2" t="s">
        <v>910</v>
      </c>
      <c r="C593" s="2" t="s">
        <v>911</v>
      </c>
      <c r="D593" s="2" t="s">
        <v>969</v>
      </c>
      <c r="E593" s="2" t="s">
        <v>1078</v>
      </c>
      <c r="F593" s="2" t="s">
        <v>3412</v>
      </c>
      <c r="G593" s="2" t="s">
        <v>3413</v>
      </c>
      <c r="H593" s="2" t="s">
        <v>3414</v>
      </c>
      <c r="I593" s="2" t="s">
        <v>3415</v>
      </c>
      <c r="J593" s="2" t="s">
        <v>918</v>
      </c>
      <c r="K593" s="2" t="s">
        <v>271</v>
      </c>
      <c r="L593" s="3">
        <v>23.8</v>
      </c>
      <c r="M593" s="3">
        <v>24.99</v>
      </c>
      <c r="N593" s="3">
        <v>49.99</v>
      </c>
      <c r="O593" s="2" t="s">
        <v>245</v>
      </c>
      <c r="P593" s="2" t="s">
        <v>238</v>
      </c>
      <c r="Q593" s="2" t="s">
        <v>239</v>
      </c>
      <c r="R593" s="2" t="s">
        <v>233</v>
      </c>
      <c r="S593" s="2" t="s">
        <v>3416</v>
      </c>
      <c r="T593" s="2" t="s">
        <v>395</v>
      </c>
      <c r="U593" s="2" t="s">
        <v>342</v>
      </c>
      <c r="V593" s="2" t="s">
        <v>1869</v>
      </c>
      <c r="W593" s="2" t="s">
        <v>1056</v>
      </c>
      <c r="X593" s="2" t="s">
        <v>233</v>
      </c>
      <c r="Y593" s="2" t="s">
        <v>1580</v>
      </c>
      <c r="Z593" s="4">
        <v>120</v>
      </c>
      <c r="AA593" s="4">
        <f>=ROUNDDOWN({0},0)</f>
      </c>
      <c r="AB593" s="5"/>
      <c r="AC593" s="2" t="s">
        <v>1492</v>
      </c>
      <c r="AD593" s="4">
        <v>110</v>
      </c>
      <c r="AE593" s="4">
        <v>110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233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233</v>
      </c>
      <c r="AW593" s="8" t="s">
        <v>233</v>
      </c>
      <c r="AX593" s="4" t="s">
        <v>233</v>
      </c>
      <c r="AY593" s="8" t="s">
        <v>233</v>
      </c>
      <c r="AZ593" s="7" t="s">
        <v>233</v>
      </c>
      <c r="BA593" s="7" t="s">
        <v>233</v>
      </c>
      <c r="BB593" s="7" t="s">
        <v>233</v>
      </c>
      <c r="BC593" s="4" t="s">
        <v>233</v>
      </c>
      <c r="BD593" s="8" t="s">
        <v>233</v>
      </c>
      <c r="BE593" s="4" t="s">
        <v>233</v>
      </c>
      <c r="BF593" s="8" t="s">
        <v>233</v>
      </c>
      <c r="BG593" s="7" t="s">
        <v>233</v>
      </c>
      <c r="BH593" s="7" t="s">
        <v>233</v>
      </c>
      <c r="BI593" s="7"/>
      <c r="BJ593" s="4"/>
      <c r="BK593" s="8"/>
      <c r="BL593" s="2" t="s">
        <v>233</v>
      </c>
      <c r="BM593" s="7"/>
      <c r="BN593" s="7"/>
      <c r="BO593" s="4"/>
      <c r="BP593" s="8"/>
      <c r="BQ593" s="4"/>
      <c r="BR593" s="8"/>
      <c r="BS593" s="7"/>
      <c r="BT593" s="7"/>
      <c r="BU593" s="2" t="s">
        <v>3417</v>
      </c>
      <c r="BV593" s="2" t="s">
        <v>233</v>
      </c>
      <c r="BW593" s="2" t="s">
        <v>233</v>
      </c>
      <c r="BX593" s="2" t="s">
        <v>243</v>
      </c>
      <c r="BY593" s="2" t="s">
        <v>280</v>
      </c>
      <c r="BZ593" s="2" t="s">
        <v>245</v>
      </c>
      <c r="CA593" s="2" t="s">
        <v>350</v>
      </c>
      <c r="CB593" s="2" t="s">
        <v>233</v>
      </c>
      <c r="CC593" s="2" t="s">
        <v>246</v>
      </c>
      <c r="CD593" s="2" t="s">
        <v>233</v>
      </c>
      <c r="CE593" s="4">
        <v>120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>
        <v>110</v>
      </c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</row>
    <row r="594">
      <c r="A594" s="2" t="s">
        <v>3418</v>
      </c>
      <c r="B594" s="2" t="s">
        <v>910</v>
      </c>
      <c r="C594" s="2" t="s">
        <v>911</v>
      </c>
      <c r="D594" s="2" t="s">
        <v>912</v>
      </c>
      <c r="E594" s="2" t="s">
        <v>1139</v>
      </c>
      <c r="F594" s="2" t="s">
        <v>3412</v>
      </c>
      <c r="G594" s="2" t="s">
        <v>3413</v>
      </c>
      <c r="H594" s="2" t="s">
        <v>3414</v>
      </c>
      <c r="I594" s="2" t="s">
        <v>3419</v>
      </c>
      <c r="J594" s="2" t="s">
        <v>918</v>
      </c>
      <c r="K594" s="2" t="s">
        <v>271</v>
      </c>
      <c r="L594" s="3">
        <v>14.28</v>
      </c>
      <c r="M594" s="3">
        <v>14.99</v>
      </c>
      <c r="N594" s="3">
        <v>29.99</v>
      </c>
      <c r="O594" s="2" t="s">
        <v>245</v>
      </c>
      <c r="P594" s="2" t="s">
        <v>238</v>
      </c>
      <c r="Q594" s="2" t="s">
        <v>239</v>
      </c>
      <c r="R594" s="2" t="s">
        <v>233</v>
      </c>
      <c r="S594" s="2" t="s">
        <v>3416</v>
      </c>
      <c r="T594" s="2" t="s">
        <v>395</v>
      </c>
      <c r="U594" s="2" t="s">
        <v>491</v>
      </c>
      <c r="V594" s="2" t="s">
        <v>1869</v>
      </c>
      <c r="W594" s="2" t="s">
        <v>1056</v>
      </c>
      <c r="X594" s="2" t="s">
        <v>233</v>
      </c>
      <c r="Y594" s="2" t="s">
        <v>1580</v>
      </c>
      <c r="Z594" s="4">
        <v>50</v>
      </c>
      <c r="AA594" s="4">
        <f>=ROUNDDOWN({0},0)</f>
      </c>
      <c r="AB594" s="5"/>
      <c r="AC594" s="2" t="s">
        <v>1492</v>
      </c>
      <c r="AD594" s="4">
        <v>50</v>
      </c>
      <c r="AE594" s="4">
        <v>50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233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233</v>
      </c>
      <c r="AW594" s="8" t="s">
        <v>233</v>
      </c>
      <c r="AX594" s="4" t="s">
        <v>233</v>
      </c>
      <c r="AY594" s="8" t="s">
        <v>233</v>
      </c>
      <c r="AZ594" s="7" t="s">
        <v>233</v>
      </c>
      <c r="BA594" s="7" t="s">
        <v>233</v>
      </c>
      <c r="BB594" s="7" t="s">
        <v>233</v>
      </c>
      <c r="BC594" s="4" t="s">
        <v>233</v>
      </c>
      <c r="BD594" s="8" t="s">
        <v>233</v>
      </c>
      <c r="BE594" s="4" t="s">
        <v>233</v>
      </c>
      <c r="BF594" s="8" t="s">
        <v>233</v>
      </c>
      <c r="BG594" s="7" t="s">
        <v>233</v>
      </c>
      <c r="BH594" s="7" t="s">
        <v>233</v>
      </c>
      <c r="BI594" s="7"/>
      <c r="BJ594" s="4"/>
      <c r="BK594" s="8"/>
      <c r="BL594" s="2" t="s">
        <v>233</v>
      </c>
      <c r="BM594" s="7"/>
      <c r="BN594" s="7"/>
      <c r="BO594" s="4"/>
      <c r="BP594" s="8"/>
      <c r="BQ594" s="4"/>
      <c r="BR594" s="8"/>
      <c r="BS594" s="7"/>
      <c r="BT594" s="7"/>
      <c r="BU594" s="2" t="s">
        <v>3420</v>
      </c>
      <c r="BV594" s="2" t="s">
        <v>233</v>
      </c>
      <c r="BW594" s="2" t="s">
        <v>233</v>
      </c>
      <c r="BX594" s="2" t="s">
        <v>243</v>
      </c>
      <c r="BY594" s="2" t="s">
        <v>280</v>
      </c>
      <c r="BZ594" s="2" t="s">
        <v>245</v>
      </c>
      <c r="CA594" s="2" t="s">
        <v>3257</v>
      </c>
      <c r="CB594" s="2" t="s">
        <v>233</v>
      </c>
      <c r="CC594" s="2" t="s">
        <v>246</v>
      </c>
      <c r="CD594" s="2" t="s">
        <v>233</v>
      </c>
      <c r="CE594" s="4">
        <v>50</v>
      </c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>
        <v>50</v>
      </c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</row>
    <row r="595">
      <c r="A595" s="2" t="s">
        <v>3421</v>
      </c>
      <c r="B595" s="2" t="s">
        <v>910</v>
      </c>
      <c r="C595" s="2" t="s">
        <v>911</v>
      </c>
      <c r="D595" s="2" t="s">
        <v>969</v>
      </c>
      <c r="E595" s="2" t="s">
        <v>1078</v>
      </c>
      <c r="F595" s="2" t="s">
        <v>3412</v>
      </c>
      <c r="G595" s="2" t="s">
        <v>3413</v>
      </c>
      <c r="H595" s="2" t="s">
        <v>3414</v>
      </c>
      <c r="I595" s="2" t="s">
        <v>3415</v>
      </c>
      <c r="J595" s="2" t="s">
        <v>981</v>
      </c>
      <c r="K595" s="2" t="s">
        <v>271</v>
      </c>
      <c r="L595" s="3">
        <v>28.57</v>
      </c>
      <c r="M595" s="3">
        <v>30</v>
      </c>
      <c r="N595" s="3">
        <v>59.99</v>
      </c>
      <c r="O595" s="2" t="s">
        <v>245</v>
      </c>
      <c r="P595" s="2" t="s">
        <v>238</v>
      </c>
      <c r="Q595" s="2" t="s">
        <v>239</v>
      </c>
      <c r="R595" s="2" t="s">
        <v>233</v>
      </c>
      <c r="S595" s="2" t="s">
        <v>3416</v>
      </c>
      <c r="T595" s="2" t="s">
        <v>395</v>
      </c>
      <c r="U595" s="2" t="s">
        <v>1482</v>
      </c>
      <c r="V595" s="2" t="s">
        <v>1869</v>
      </c>
      <c r="W595" s="2" t="s">
        <v>1056</v>
      </c>
      <c r="X595" s="2" t="s">
        <v>233</v>
      </c>
      <c r="Y595" s="2" t="s">
        <v>1580</v>
      </c>
      <c r="Z595" s="4">
        <v>178</v>
      </c>
      <c r="AA595" s="4">
        <f>=ROUNDDOWN({0},0)</f>
      </c>
      <c r="AB595" s="5"/>
      <c r="AC595" s="2" t="s">
        <v>1492</v>
      </c>
      <c r="AD595" s="4">
        <v>170</v>
      </c>
      <c r="AE595" s="4">
        <v>170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233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233</v>
      </c>
      <c r="AW595" s="8" t="s">
        <v>233</v>
      </c>
      <c r="AX595" s="4" t="s">
        <v>233</v>
      </c>
      <c r="AY595" s="8" t="s">
        <v>233</v>
      </c>
      <c r="AZ595" s="7" t="s">
        <v>233</v>
      </c>
      <c r="BA595" s="7" t="s">
        <v>233</v>
      </c>
      <c r="BB595" s="7" t="s">
        <v>233</v>
      </c>
      <c r="BC595" s="4" t="s">
        <v>233</v>
      </c>
      <c r="BD595" s="8" t="s">
        <v>233</v>
      </c>
      <c r="BE595" s="4" t="s">
        <v>233</v>
      </c>
      <c r="BF595" s="8" t="s">
        <v>233</v>
      </c>
      <c r="BG595" s="7" t="s">
        <v>233</v>
      </c>
      <c r="BH595" s="7" t="s">
        <v>233</v>
      </c>
      <c r="BI595" s="7"/>
      <c r="BJ595" s="4"/>
      <c r="BK595" s="8"/>
      <c r="BL595" s="2" t="s">
        <v>233</v>
      </c>
      <c r="BM595" s="7"/>
      <c r="BN595" s="7"/>
      <c r="BO595" s="4"/>
      <c r="BP595" s="8"/>
      <c r="BQ595" s="4"/>
      <c r="BR595" s="8"/>
      <c r="BS595" s="7"/>
      <c r="BT595" s="7"/>
      <c r="BU595" s="2" t="s">
        <v>3422</v>
      </c>
      <c r="BV595" s="2" t="s">
        <v>233</v>
      </c>
      <c r="BW595" s="2" t="s">
        <v>233</v>
      </c>
      <c r="BX595" s="2" t="s">
        <v>243</v>
      </c>
      <c r="BY595" s="2" t="s">
        <v>280</v>
      </c>
      <c r="BZ595" s="2" t="s">
        <v>245</v>
      </c>
      <c r="CA595" s="2" t="s">
        <v>350</v>
      </c>
      <c r="CB595" s="2" t="s">
        <v>233</v>
      </c>
      <c r="CC595" s="2" t="s">
        <v>246</v>
      </c>
      <c r="CD595" s="2" t="s">
        <v>233</v>
      </c>
      <c r="CE595" s="4">
        <v>178</v>
      </c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>
        <v>170</v>
      </c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</row>
    <row r="596">
      <c r="A596" s="2" t="s">
        <v>3423</v>
      </c>
      <c r="B596" s="2" t="s">
        <v>910</v>
      </c>
      <c r="C596" s="2" t="s">
        <v>911</v>
      </c>
      <c r="D596" s="2" t="s">
        <v>912</v>
      </c>
      <c r="E596" s="2" t="s">
        <v>1139</v>
      </c>
      <c r="F596" s="2" t="s">
        <v>3412</v>
      </c>
      <c r="G596" s="2" t="s">
        <v>3413</v>
      </c>
      <c r="H596" s="2" t="s">
        <v>3414</v>
      </c>
      <c r="I596" s="2" t="s">
        <v>3419</v>
      </c>
      <c r="J596" s="2" t="s">
        <v>981</v>
      </c>
      <c r="K596" s="2" t="s">
        <v>271</v>
      </c>
      <c r="L596" s="3">
        <v>19.04</v>
      </c>
      <c r="M596" s="3">
        <v>19.99</v>
      </c>
      <c r="N596" s="3">
        <v>39.99</v>
      </c>
      <c r="O596" s="2" t="s">
        <v>245</v>
      </c>
      <c r="P596" s="2" t="s">
        <v>238</v>
      </c>
      <c r="Q596" s="2" t="s">
        <v>239</v>
      </c>
      <c r="R596" s="2" t="s">
        <v>233</v>
      </c>
      <c r="S596" s="2" t="s">
        <v>3416</v>
      </c>
      <c r="T596" s="2" t="s">
        <v>395</v>
      </c>
      <c r="U596" s="2" t="s">
        <v>475</v>
      </c>
      <c r="V596" s="2" t="s">
        <v>1869</v>
      </c>
      <c r="W596" s="2" t="s">
        <v>1056</v>
      </c>
      <c r="X596" s="2" t="s">
        <v>233</v>
      </c>
      <c r="Y596" s="2" t="s">
        <v>1485</v>
      </c>
      <c r="Z596" s="4">
        <v>60</v>
      </c>
      <c r="AA596" s="4">
        <f>=ROUNDDOWN({0},0)</f>
      </c>
      <c r="AB596" s="5"/>
      <c r="AC596" s="2" t="s">
        <v>1492</v>
      </c>
      <c r="AD596" s="4">
        <v>60</v>
      </c>
      <c r="AE596" s="4">
        <v>60</v>
      </c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233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233</v>
      </c>
      <c r="AW596" s="8" t="s">
        <v>233</v>
      </c>
      <c r="AX596" s="4" t="s">
        <v>233</v>
      </c>
      <c r="AY596" s="8" t="s">
        <v>233</v>
      </c>
      <c r="AZ596" s="7" t="s">
        <v>233</v>
      </c>
      <c r="BA596" s="7" t="s">
        <v>233</v>
      </c>
      <c r="BB596" s="7" t="s">
        <v>233</v>
      </c>
      <c r="BC596" s="4" t="s">
        <v>233</v>
      </c>
      <c r="BD596" s="8" t="s">
        <v>233</v>
      </c>
      <c r="BE596" s="4" t="s">
        <v>233</v>
      </c>
      <c r="BF596" s="8" t="s">
        <v>233</v>
      </c>
      <c r="BG596" s="7" t="s">
        <v>233</v>
      </c>
      <c r="BH596" s="7" t="s">
        <v>233</v>
      </c>
      <c r="BI596" s="7"/>
      <c r="BJ596" s="4"/>
      <c r="BK596" s="8"/>
      <c r="BL596" s="2" t="s">
        <v>233</v>
      </c>
      <c r="BM596" s="7"/>
      <c r="BN596" s="7"/>
      <c r="BO596" s="4"/>
      <c r="BP596" s="8"/>
      <c r="BQ596" s="4"/>
      <c r="BR596" s="8"/>
      <c r="BS596" s="7"/>
      <c r="BT596" s="7"/>
      <c r="BU596" s="2" t="s">
        <v>3424</v>
      </c>
      <c r="BV596" s="2" t="s">
        <v>233</v>
      </c>
      <c r="BW596" s="2" t="s">
        <v>233</v>
      </c>
      <c r="BX596" s="2" t="s">
        <v>243</v>
      </c>
      <c r="BY596" s="2" t="s">
        <v>280</v>
      </c>
      <c r="BZ596" s="2" t="s">
        <v>245</v>
      </c>
      <c r="CA596" s="2" t="s">
        <v>3257</v>
      </c>
      <c r="CB596" s="2" t="s">
        <v>233</v>
      </c>
      <c r="CC596" s="2" t="s">
        <v>246</v>
      </c>
      <c r="CD596" s="2" t="s">
        <v>233</v>
      </c>
      <c r="CE596" s="4">
        <v>60</v>
      </c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>
        <v>60</v>
      </c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</row>
    <row r="597">
      <c r="A597" s="2" t="s">
        <v>3425</v>
      </c>
      <c r="B597" s="2" t="s">
        <v>1066</v>
      </c>
      <c r="C597" s="2" t="s">
        <v>947</v>
      </c>
      <c r="D597" s="2" t="s">
        <v>1111</v>
      </c>
      <c r="E597" s="2" t="s">
        <v>1112</v>
      </c>
      <c r="F597" s="2" t="s">
        <v>3426</v>
      </c>
      <c r="G597" s="2" t="s">
        <v>3426</v>
      </c>
      <c r="H597" s="2" t="s">
        <v>3426</v>
      </c>
      <c r="I597" s="2" t="s">
        <v>3427</v>
      </c>
      <c r="J597" s="2" t="s">
        <v>892</v>
      </c>
      <c r="K597" s="2" t="s">
        <v>1537</v>
      </c>
      <c r="L597" s="3">
        <v>255</v>
      </c>
      <c r="M597" s="3">
        <v>267.75</v>
      </c>
      <c r="N597" s="3">
        <v>549</v>
      </c>
      <c r="O597" s="2" t="s">
        <v>245</v>
      </c>
      <c r="P597" s="2" t="s">
        <v>238</v>
      </c>
      <c r="Q597" s="2" t="s">
        <v>239</v>
      </c>
      <c r="R597" s="2" t="s">
        <v>233</v>
      </c>
      <c r="S597" s="2" t="s">
        <v>233</v>
      </c>
      <c r="T597" s="2" t="s">
        <v>233</v>
      </c>
      <c r="U597" s="2" t="s">
        <v>396</v>
      </c>
      <c r="V597" s="2" t="s">
        <v>893</v>
      </c>
      <c r="W597" s="2" t="s">
        <v>977</v>
      </c>
      <c r="X597" s="2" t="s">
        <v>953</v>
      </c>
      <c r="Y597" s="2" t="s">
        <v>1580</v>
      </c>
      <c r="Z597" s="4">
        <v>154</v>
      </c>
      <c r="AA597" s="4">
        <f>=ROUNDDOWN(25.6666666666667,0)</f>
      </c>
      <c r="AB597" s="5">
        <v>6</v>
      </c>
      <c r="AC597" s="2" t="s">
        <v>233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233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233</v>
      </c>
      <c r="BM597" s="7"/>
      <c r="BN597" s="7"/>
      <c r="BO597" s="4"/>
      <c r="BP597" s="8"/>
      <c r="BQ597" s="4"/>
      <c r="BR597" s="8"/>
      <c r="BS597" s="7"/>
      <c r="BT597" s="7"/>
      <c r="BU597" s="2" t="s">
        <v>3428</v>
      </c>
      <c r="BV597" s="2" t="s">
        <v>233</v>
      </c>
      <c r="BW597" s="2" t="s">
        <v>233</v>
      </c>
      <c r="BX597" s="2" t="s">
        <v>243</v>
      </c>
      <c r="BY597" s="2" t="s">
        <v>280</v>
      </c>
      <c r="BZ597" s="2" t="s">
        <v>245</v>
      </c>
      <c r="CA597" s="2" t="s">
        <v>3257</v>
      </c>
      <c r="CB597" s="2" t="s">
        <v>233</v>
      </c>
      <c r="CC597" s="2" t="s">
        <v>246</v>
      </c>
      <c r="CD597" s="2" t="s">
        <v>233</v>
      </c>
      <c r="CE597" s="4"/>
      <c r="CF597" s="4">
        <v>154</v>
      </c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</row>
    <row r="598">
      <c r="A598" s="2" t="s">
        <v>3429</v>
      </c>
      <c r="B598" s="2" t="s">
        <v>1066</v>
      </c>
      <c r="C598" s="2" t="s">
        <v>530</v>
      </c>
      <c r="D598" s="2" t="s">
        <v>1111</v>
      </c>
      <c r="E598" s="2" t="s">
        <v>1112</v>
      </c>
      <c r="F598" s="2" t="s">
        <v>3430</v>
      </c>
      <c r="G598" s="2" t="s">
        <v>3431</v>
      </c>
      <c r="H598" s="2" t="s">
        <v>3432</v>
      </c>
      <c r="I598" s="2" t="s">
        <v>3433</v>
      </c>
      <c r="J598" s="2" t="s">
        <v>892</v>
      </c>
      <c r="K598" s="2" t="s">
        <v>255</v>
      </c>
      <c r="L598" s="3">
        <v>262.5</v>
      </c>
      <c r="M598" s="3">
        <v>275.63</v>
      </c>
      <c r="N598" s="3">
        <v>549</v>
      </c>
      <c r="O598" s="2" t="s">
        <v>237</v>
      </c>
      <c r="P598" s="2" t="s">
        <v>311</v>
      </c>
      <c r="Q598" s="2" t="s">
        <v>239</v>
      </c>
      <c r="R598" s="2" t="s">
        <v>233</v>
      </c>
      <c r="S598" s="2" t="s">
        <v>233</v>
      </c>
      <c r="T598" s="2" t="s">
        <v>233</v>
      </c>
      <c r="U598" s="2" t="s">
        <v>233</v>
      </c>
      <c r="V598" s="2" t="s">
        <v>893</v>
      </c>
      <c r="W598" s="2" t="s">
        <v>451</v>
      </c>
      <c r="X598" s="2" t="s">
        <v>397</v>
      </c>
      <c r="Y598" s="2" t="s">
        <v>1707</v>
      </c>
      <c r="Z598" s="4">
        <v>54</v>
      </c>
      <c r="AA598" s="4">
        <f>=ROUNDDOWN({0},0)</f>
      </c>
      <c r="AB598" s="5"/>
      <c r="AC598" s="2" t="s">
        <v>233</v>
      </c>
      <c r="AD598" s="4"/>
      <c r="AE598" s="4"/>
      <c r="AF598" s="6">
        <v>74</v>
      </c>
      <c r="AG598" s="6"/>
      <c r="AH598" s="7">
        <v>1</v>
      </c>
      <c r="AI598" s="4"/>
      <c r="AJ598" s="4">
        <f>=ROUNDDOWN({0},0)</f>
      </c>
      <c r="AK598" s="5"/>
      <c r="AL598" s="2" t="s">
        <v>233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>
        <v>2</v>
      </c>
      <c r="BK598" s="8">
        <v>578.82</v>
      </c>
      <c r="BL598" s="2" t="s">
        <v>3434</v>
      </c>
      <c r="BM598" s="7"/>
      <c r="BN598" s="7"/>
      <c r="BO598" s="4"/>
      <c r="BP598" s="8"/>
      <c r="BQ598" s="4"/>
      <c r="BR598" s="8"/>
      <c r="BS598" s="7"/>
      <c r="BT598" s="7"/>
      <c r="BU598" s="2" t="s">
        <v>3435</v>
      </c>
      <c r="BV598" s="2" t="s">
        <v>233</v>
      </c>
      <c r="BW598" s="2" t="s">
        <v>233</v>
      </c>
      <c r="BX598" s="2" t="s">
        <v>233</v>
      </c>
      <c r="BY598" s="2" t="s">
        <v>280</v>
      </c>
      <c r="BZ598" s="2" t="s">
        <v>245</v>
      </c>
      <c r="CA598" s="2" t="s">
        <v>1128</v>
      </c>
      <c r="CB598" s="2" t="s">
        <v>2697</v>
      </c>
      <c r="CC598" s="2" t="s">
        <v>246</v>
      </c>
      <c r="CD598" s="2" t="s">
        <v>233</v>
      </c>
      <c r="CE598" s="4"/>
      <c r="CF598" s="4">
        <v>54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</row>
    <row r="599">
      <c r="A599" s="2" t="s">
        <v>3436</v>
      </c>
      <c r="B599" s="2" t="s">
        <v>1066</v>
      </c>
      <c r="C599" s="2" t="s">
        <v>530</v>
      </c>
      <c r="D599" s="2" t="s">
        <v>2333</v>
      </c>
      <c r="E599" s="2" t="s">
        <v>2334</v>
      </c>
      <c r="F599" s="2" t="s">
        <v>3437</v>
      </c>
      <c r="G599" s="2" t="s">
        <v>2585</v>
      </c>
      <c r="H599" s="2" t="s">
        <v>3438</v>
      </c>
      <c r="I599" s="2" t="s">
        <v>3439</v>
      </c>
      <c r="J599" s="2" t="s">
        <v>892</v>
      </c>
      <c r="K599" s="2" t="s">
        <v>255</v>
      </c>
      <c r="L599" s="3">
        <v>319</v>
      </c>
      <c r="M599" s="3">
        <v>334.95</v>
      </c>
      <c r="N599" s="3">
        <v>669</v>
      </c>
      <c r="O599" s="2" t="s">
        <v>237</v>
      </c>
      <c r="P599" s="2" t="s">
        <v>311</v>
      </c>
      <c r="Q599" s="2" t="s">
        <v>239</v>
      </c>
      <c r="R599" s="2" t="s">
        <v>233</v>
      </c>
      <c r="S599" s="2" t="s">
        <v>3440</v>
      </c>
      <c r="T599" s="2" t="s">
        <v>233</v>
      </c>
      <c r="U599" s="2" t="s">
        <v>233</v>
      </c>
      <c r="V599" s="2" t="s">
        <v>241</v>
      </c>
      <c r="W599" s="2" t="s">
        <v>2652</v>
      </c>
      <c r="X599" s="2" t="s">
        <v>233</v>
      </c>
      <c r="Y599" s="2" t="s">
        <v>276</v>
      </c>
      <c r="Z599" s="4"/>
      <c r="AA599" s="4">
        <f>=ROUNDDOWN({0},0)</f>
      </c>
      <c r="AB599" s="5">
        <v>0.8</v>
      </c>
      <c r="AC599" s="2" t="s">
        <v>233</v>
      </c>
      <c r="AD599" s="4"/>
      <c r="AE599" s="4"/>
      <c r="AF599" s="6">
        <v>65</v>
      </c>
      <c r="AG599" s="6">
        <v>48</v>
      </c>
      <c r="AH599" s="7">
        <v>0</v>
      </c>
      <c r="AI599" s="4"/>
      <c r="AJ599" s="4">
        <f>=ROUNDDOWN({0},0)</f>
      </c>
      <c r="AK599" s="5"/>
      <c r="AL599" s="2" t="s">
        <v>233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233</v>
      </c>
      <c r="BD599" s="8" t="s">
        <v>233</v>
      </c>
      <c r="BE599" s="4" t="s">
        <v>233</v>
      </c>
      <c r="BF599" s="8" t="s">
        <v>233</v>
      </c>
      <c r="BG599" s="7" t="s">
        <v>233</v>
      </c>
      <c r="BH599" s="7" t="s">
        <v>233</v>
      </c>
      <c r="BI599" s="7"/>
      <c r="BJ599" s="4"/>
      <c r="BK599" s="8"/>
      <c r="BL599" s="2" t="s">
        <v>1809</v>
      </c>
      <c r="BM599" s="7"/>
      <c r="BN599" s="7"/>
      <c r="BO599" s="4"/>
      <c r="BP599" s="8"/>
      <c r="BQ599" s="4"/>
      <c r="BR599" s="8"/>
      <c r="BS599" s="7"/>
      <c r="BT599" s="7"/>
      <c r="BU599" s="2" t="s">
        <v>3441</v>
      </c>
      <c r="BV599" s="2" t="s">
        <v>233</v>
      </c>
      <c r="BW599" s="2" t="s">
        <v>233</v>
      </c>
      <c r="BX599" s="2" t="s">
        <v>233</v>
      </c>
      <c r="BY599" s="2" t="s">
        <v>280</v>
      </c>
      <c r="BZ599" s="2" t="s">
        <v>245</v>
      </c>
      <c r="CA599" s="2" t="s">
        <v>1625</v>
      </c>
      <c r="CB599" s="2" t="s">
        <v>3442</v>
      </c>
      <c r="CC599" s="2" t="s">
        <v>246</v>
      </c>
      <c r="CD599" s="2" t="s">
        <v>233</v>
      </c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</row>
    <row r="600">
      <c r="A600" s="2" t="s">
        <v>3443</v>
      </c>
      <c r="B600" s="2" t="s">
        <v>1066</v>
      </c>
      <c r="C600" s="2" t="s">
        <v>530</v>
      </c>
      <c r="D600" s="2" t="s">
        <v>1919</v>
      </c>
      <c r="E600" s="2" t="s">
        <v>1920</v>
      </c>
      <c r="F600" s="2" t="s">
        <v>3437</v>
      </c>
      <c r="G600" s="2" t="s">
        <v>2585</v>
      </c>
      <c r="H600" s="2" t="s">
        <v>3438</v>
      </c>
      <c r="I600" s="2" t="s">
        <v>3444</v>
      </c>
      <c r="J600" s="2" t="s">
        <v>892</v>
      </c>
      <c r="K600" s="2" t="s">
        <v>257</v>
      </c>
      <c r="L600" s="3">
        <v>123.5</v>
      </c>
      <c r="M600" s="3">
        <v>129.68</v>
      </c>
      <c r="N600" s="3">
        <v>259</v>
      </c>
      <c r="O600" s="2" t="s">
        <v>245</v>
      </c>
      <c r="P600" s="2" t="s">
        <v>272</v>
      </c>
      <c r="Q600" s="2" t="s">
        <v>239</v>
      </c>
      <c r="R600" s="2" t="s">
        <v>233</v>
      </c>
      <c r="S600" s="2" t="s">
        <v>3445</v>
      </c>
      <c r="T600" s="2" t="s">
        <v>233</v>
      </c>
      <c r="U600" s="2" t="s">
        <v>491</v>
      </c>
      <c r="V600" s="2" t="s">
        <v>241</v>
      </c>
      <c r="W600" s="2" t="s">
        <v>2652</v>
      </c>
      <c r="X600" s="2" t="s">
        <v>233</v>
      </c>
      <c r="Y600" s="2" t="s">
        <v>276</v>
      </c>
      <c r="Z600" s="4">
        <v>185</v>
      </c>
      <c r="AA600" s="4">
        <f>=ROUNDDOWN(30.8333333333333,0)</f>
      </c>
      <c r="AB600" s="5">
        <v>6</v>
      </c>
      <c r="AC600" s="2" t="s">
        <v>2721</v>
      </c>
      <c r="AD600" s="4">
        <v>130</v>
      </c>
      <c r="AE600" s="4">
        <v>130</v>
      </c>
      <c r="AF600" s="6">
        <v>76</v>
      </c>
      <c r="AG600" s="6"/>
      <c r="AH600" s="7">
        <v>1</v>
      </c>
      <c r="AI600" s="4"/>
      <c r="AJ600" s="4">
        <f>=ROUNDDOWN({0},0)</f>
      </c>
      <c r="AK600" s="5"/>
      <c r="AL600" s="2" t="s">
        <v>233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233</v>
      </c>
      <c r="AW600" s="8" t="s">
        <v>233</v>
      </c>
      <c r="AX600" s="4" t="s">
        <v>233</v>
      </c>
      <c r="AY600" s="8" t="s">
        <v>233</v>
      </c>
      <c r="AZ600" s="7" t="s">
        <v>233</v>
      </c>
      <c r="BA600" s="7" t="s">
        <v>233</v>
      </c>
      <c r="BB600" s="7" t="s">
        <v>233</v>
      </c>
      <c r="BC600" s="4" t="s">
        <v>233</v>
      </c>
      <c r="BD600" s="8" t="s">
        <v>233</v>
      </c>
      <c r="BE600" s="4" t="s">
        <v>233</v>
      </c>
      <c r="BF600" s="8" t="s">
        <v>233</v>
      </c>
      <c r="BG600" s="7" t="s">
        <v>233</v>
      </c>
      <c r="BH600" s="7" t="s">
        <v>233</v>
      </c>
      <c r="BI600" s="7"/>
      <c r="BJ600" s="4">
        <v>18</v>
      </c>
      <c r="BK600" s="8">
        <v>2075.06</v>
      </c>
      <c r="BL600" s="2" t="s">
        <v>3446</v>
      </c>
      <c r="BM600" s="7"/>
      <c r="BN600" s="7"/>
      <c r="BO600" s="4"/>
      <c r="BP600" s="8"/>
      <c r="BQ600" s="4"/>
      <c r="BR600" s="8"/>
      <c r="BS600" s="7"/>
      <c r="BT600" s="7"/>
      <c r="BU600" s="2" t="s">
        <v>3447</v>
      </c>
      <c r="BV600" s="2" t="s">
        <v>233</v>
      </c>
      <c r="BW600" s="2" t="s">
        <v>233</v>
      </c>
      <c r="BX600" s="2" t="s">
        <v>233</v>
      </c>
      <c r="BY600" s="2" t="s">
        <v>280</v>
      </c>
      <c r="BZ600" s="2" t="s">
        <v>245</v>
      </c>
      <c r="CA600" s="2" t="s">
        <v>687</v>
      </c>
      <c r="CB600" s="2" t="s">
        <v>554</v>
      </c>
      <c r="CC600" s="2" t="s">
        <v>246</v>
      </c>
      <c r="CD600" s="2" t="s">
        <v>233</v>
      </c>
      <c r="CE600" s="4"/>
      <c r="CF600" s="4">
        <v>185</v>
      </c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>
        <v>130</v>
      </c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</row>
    <row r="601">
      <c r="A601" s="2" t="s">
        <v>3448</v>
      </c>
      <c r="B601" s="2" t="s">
        <v>1066</v>
      </c>
      <c r="C601" s="2" t="s">
        <v>530</v>
      </c>
      <c r="D601" s="2" t="s">
        <v>1923</v>
      </c>
      <c r="E601" s="2" t="s">
        <v>1924</v>
      </c>
      <c r="F601" s="2" t="s">
        <v>3437</v>
      </c>
      <c r="G601" s="2" t="s">
        <v>2585</v>
      </c>
      <c r="H601" s="2" t="s">
        <v>3438</v>
      </c>
      <c r="I601" s="2" t="s">
        <v>3449</v>
      </c>
      <c r="J601" s="2" t="s">
        <v>892</v>
      </c>
      <c r="K601" s="2" t="s">
        <v>257</v>
      </c>
      <c r="L601" s="3">
        <v>237.5</v>
      </c>
      <c r="M601" s="3">
        <v>249.38</v>
      </c>
      <c r="N601" s="3">
        <v>499</v>
      </c>
      <c r="O601" s="2" t="s">
        <v>245</v>
      </c>
      <c r="P601" s="2" t="s">
        <v>311</v>
      </c>
      <c r="Q601" s="2" t="s">
        <v>239</v>
      </c>
      <c r="R601" s="2" t="s">
        <v>233</v>
      </c>
      <c r="S601" s="2" t="s">
        <v>233</v>
      </c>
      <c r="T601" s="2" t="s">
        <v>233</v>
      </c>
      <c r="U601" s="2" t="s">
        <v>491</v>
      </c>
      <c r="V601" s="2" t="s">
        <v>241</v>
      </c>
      <c r="W601" s="2" t="s">
        <v>2652</v>
      </c>
      <c r="X601" s="2" t="s">
        <v>397</v>
      </c>
      <c r="Y601" s="2" t="s">
        <v>3450</v>
      </c>
      <c r="Z601" s="4">
        <v>24</v>
      </c>
      <c r="AA601" s="4">
        <f>=ROUNDDOWN(6,0)</f>
      </c>
      <c r="AB601" s="5">
        <v>4</v>
      </c>
      <c r="AC601" s="2" t="s">
        <v>233</v>
      </c>
      <c r="AD601" s="4"/>
      <c r="AE601" s="4"/>
      <c r="AF601" s="6">
        <v>75</v>
      </c>
      <c r="AG601" s="6"/>
      <c r="AH601" s="7">
        <v>1</v>
      </c>
      <c r="AI601" s="4"/>
      <c r="AJ601" s="4">
        <f>=ROUNDDOWN({0},0)</f>
      </c>
      <c r="AK601" s="5"/>
      <c r="AL601" s="2" t="s">
        <v>233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233</v>
      </c>
      <c r="AW601" s="8" t="s">
        <v>233</v>
      </c>
      <c r="AX601" s="4" t="s">
        <v>233</v>
      </c>
      <c r="AY601" s="8" t="s">
        <v>233</v>
      </c>
      <c r="AZ601" s="7" t="s">
        <v>233</v>
      </c>
      <c r="BA601" s="7" t="s">
        <v>233</v>
      </c>
      <c r="BB601" s="7" t="s">
        <v>233</v>
      </c>
      <c r="BC601" s="4" t="s">
        <v>233</v>
      </c>
      <c r="BD601" s="8" t="s">
        <v>233</v>
      </c>
      <c r="BE601" s="4" t="s">
        <v>233</v>
      </c>
      <c r="BF601" s="8" t="s">
        <v>233</v>
      </c>
      <c r="BG601" s="7" t="s">
        <v>233</v>
      </c>
      <c r="BH601" s="7" t="s">
        <v>233</v>
      </c>
      <c r="BI601" s="7"/>
      <c r="BJ601" s="4">
        <v>14</v>
      </c>
      <c r="BK601" s="8">
        <v>2250.54</v>
      </c>
      <c r="BL601" s="2" t="s">
        <v>1023</v>
      </c>
      <c r="BM601" s="7"/>
      <c r="BN601" s="7"/>
      <c r="BO601" s="4"/>
      <c r="BP601" s="8"/>
      <c r="BQ601" s="4"/>
      <c r="BR601" s="8"/>
      <c r="BS601" s="7"/>
      <c r="BT601" s="7"/>
      <c r="BU601" s="2" t="s">
        <v>3451</v>
      </c>
      <c r="BV601" s="2" t="s">
        <v>233</v>
      </c>
      <c r="BW601" s="2" t="s">
        <v>233</v>
      </c>
      <c r="BX601" s="2" t="s">
        <v>233</v>
      </c>
      <c r="BY601" s="2" t="s">
        <v>280</v>
      </c>
      <c r="BZ601" s="2" t="s">
        <v>245</v>
      </c>
      <c r="CA601" s="2" t="s">
        <v>3450</v>
      </c>
      <c r="CB601" s="2" t="s">
        <v>3452</v>
      </c>
      <c r="CC601" s="2" t="s">
        <v>246</v>
      </c>
      <c r="CD601" s="2" t="s">
        <v>233</v>
      </c>
      <c r="CE601" s="4"/>
      <c r="CF601" s="4">
        <v>24</v>
      </c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</row>
    <row r="602">
      <c r="A602" s="2" t="s">
        <v>3453</v>
      </c>
      <c r="B602" s="2" t="s">
        <v>1066</v>
      </c>
      <c r="C602" s="2" t="s">
        <v>530</v>
      </c>
      <c r="D602" s="2" t="s">
        <v>1919</v>
      </c>
      <c r="E602" s="2" t="s">
        <v>1920</v>
      </c>
      <c r="F602" s="2" t="s">
        <v>3437</v>
      </c>
      <c r="G602" s="2" t="s">
        <v>2585</v>
      </c>
      <c r="H602" s="2" t="s">
        <v>3438</v>
      </c>
      <c r="I602" s="2" t="s">
        <v>3444</v>
      </c>
      <c r="J602" s="2" t="s">
        <v>892</v>
      </c>
      <c r="K602" s="2" t="s">
        <v>823</v>
      </c>
      <c r="L602" s="3">
        <v>123.5</v>
      </c>
      <c r="M602" s="3">
        <v>129.68</v>
      </c>
      <c r="N602" s="3">
        <v>259</v>
      </c>
      <c r="O602" s="2" t="s">
        <v>245</v>
      </c>
      <c r="P602" s="2" t="s">
        <v>272</v>
      </c>
      <c r="Q602" s="2" t="s">
        <v>239</v>
      </c>
      <c r="R602" s="2" t="s">
        <v>233</v>
      </c>
      <c r="S602" s="2" t="s">
        <v>3454</v>
      </c>
      <c r="T602" s="2" t="s">
        <v>233</v>
      </c>
      <c r="U602" s="2" t="s">
        <v>491</v>
      </c>
      <c r="V602" s="2" t="s">
        <v>241</v>
      </c>
      <c r="W602" s="2" t="s">
        <v>2652</v>
      </c>
      <c r="X602" s="2" t="s">
        <v>233</v>
      </c>
      <c r="Y602" s="2" t="s">
        <v>276</v>
      </c>
      <c r="Z602" s="4">
        <v>110</v>
      </c>
      <c r="AA602" s="4">
        <f>=ROUNDDOWN(27.5,0)</f>
      </c>
      <c r="AB602" s="5">
        <v>4</v>
      </c>
      <c r="AC602" s="2" t="s">
        <v>3455</v>
      </c>
      <c r="AD602" s="4">
        <v>100</v>
      </c>
      <c r="AE602" s="4">
        <v>100</v>
      </c>
      <c r="AF602" s="6">
        <v>76</v>
      </c>
      <c r="AG602" s="6"/>
      <c r="AH602" s="7">
        <v>1</v>
      </c>
      <c r="AI602" s="4"/>
      <c r="AJ602" s="4">
        <f>=ROUNDDOWN({0},0)</f>
      </c>
      <c r="AK602" s="5"/>
      <c r="AL602" s="2" t="s">
        <v>233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233</v>
      </c>
      <c r="BD602" s="8" t="s">
        <v>233</v>
      </c>
      <c r="BE602" s="4" t="s">
        <v>233</v>
      </c>
      <c r="BF602" s="8" t="s">
        <v>233</v>
      </c>
      <c r="BG602" s="7" t="s">
        <v>233</v>
      </c>
      <c r="BH602" s="7" t="s">
        <v>233</v>
      </c>
      <c r="BI602" s="7"/>
      <c r="BJ602" s="4">
        <v>10</v>
      </c>
      <c r="BK602" s="8">
        <v>1144.63</v>
      </c>
      <c r="BL602" s="2" t="s">
        <v>3446</v>
      </c>
      <c r="BM602" s="7"/>
      <c r="BN602" s="7"/>
      <c r="BO602" s="4"/>
      <c r="BP602" s="8"/>
      <c r="BQ602" s="4"/>
      <c r="BR602" s="8"/>
      <c r="BS602" s="7"/>
      <c r="BT602" s="7"/>
      <c r="BU602" s="2" t="s">
        <v>3456</v>
      </c>
      <c r="BV602" s="2" t="s">
        <v>233</v>
      </c>
      <c r="BW602" s="2" t="s">
        <v>233</v>
      </c>
      <c r="BX602" s="2" t="s">
        <v>233</v>
      </c>
      <c r="BY602" s="2" t="s">
        <v>280</v>
      </c>
      <c r="BZ602" s="2" t="s">
        <v>245</v>
      </c>
      <c r="CA602" s="2" t="s">
        <v>1625</v>
      </c>
      <c r="CB602" s="2" t="s">
        <v>3457</v>
      </c>
      <c r="CC602" s="2" t="s">
        <v>246</v>
      </c>
      <c r="CD602" s="2" t="s">
        <v>233</v>
      </c>
      <c r="CE602" s="4"/>
      <c r="CF602" s="4">
        <v>110</v>
      </c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>
        <v>100</v>
      </c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</row>
    <row r="603">
      <c r="A603" s="2" t="s">
        <v>3458</v>
      </c>
      <c r="B603" s="2" t="s">
        <v>228</v>
      </c>
      <c r="C603" s="2" t="s">
        <v>530</v>
      </c>
      <c r="D603" s="2" t="s">
        <v>1616</v>
      </c>
      <c r="E603" s="2" t="s">
        <v>2599</v>
      </c>
      <c r="F603" s="2" t="s">
        <v>3459</v>
      </c>
      <c r="G603" s="2" t="s">
        <v>3460</v>
      </c>
      <c r="H603" s="2" t="s">
        <v>3460</v>
      </c>
      <c r="I603" s="2" t="s">
        <v>3461</v>
      </c>
      <c r="J603" s="2" t="s">
        <v>1736</v>
      </c>
      <c r="K603" s="2" t="s">
        <v>569</v>
      </c>
      <c r="L603" s="3">
        <v>20.57</v>
      </c>
      <c r="M603" s="3">
        <v>21.6</v>
      </c>
      <c r="N603" s="3">
        <v>44.99</v>
      </c>
      <c r="O603" s="2" t="s">
        <v>237</v>
      </c>
      <c r="P603" s="2" t="s">
        <v>311</v>
      </c>
      <c r="Q603" s="2" t="s">
        <v>239</v>
      </c>
      <c r="R603" s="2" t="s">
        <v>233</v>
      </c>
      <c r="S603" s="2" t="s">
        <v>3462</v>
      </c>
      <c r="T603" s="2" t="s">
        <v>976</v>
      </c>
      <c r="U603" s="2" t="s">
        <v>396</v>
      </c>
      <c r="V603" s="2" t="s">
        <v>241</v>
      </c>
      <c r="W603" s="2" t="s">
        <v>705</v>
      </c>
      <c r="X603" s="2" t="s">
        <v>1056</v>
      </c>
      <c r="Y603" s="2" t="s">
        <v>1429</v>
      </c>
      <c r="Z603" s="4"/>
      <c r="AA603" s="4">
        <f>=ROUNDDOWN({0},0)</f>
      </c>
      <c r="AB603" s="5">
        <v>3.6</v>
      </c>
      <c r="AC603" s="2" t="s">
        <v>233</v>
      </c>
      <c r="AD603" s="4"/>
      <c r="AE603" s="4"/>
      <c r="AF603" s="6">
        <v>64</v>
      </c>
      <c r="AG603" s="6"/>
      <c r="AH603" s="7">
        <v>0</v>
      </c>
      <c r="AI603" s="4"/>
      <c r="AJ603" s="4">
        <f>=ROUNDDOWN({0},0)</f>
      </c>
      <c r="AK603" s="5"/>
      <c r="AL603" s="2" t="s">
        <v>233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492</v>
      </c>
      <c r="BM603" s="7"/>
      <c r="BN603" s="7"/>
      <c r="BO603" s="4"/>
      <c r="BP603" s="8"/>
      <c r="BQ603" s="4"/>
      <c r="BR603" s="8"/>
      <c r="BS603" s="7"/>
      <c r="BT603" s="7"/>
      <c r="BU603" s="2" t="s">
        <v>3463</v>
      </c>
      <c r="BV603" s="2" t="s">
        <v>233</v>
      </c>
      <c r="BW603" s="2" t="s">
        <v>233</v>
      </c>
      <c r="BX603" s="2" t="s">
        <v>233</v>
      </c>
      <c r="BY603" s="2" t="s">
        <v>280</v>
      </c>
      <c r="BZ603" s="2" t="s">
        <v>245</v>
      </c>
      <c r="CA603" s="2" t="s">
        <v>3464</v>
      </c>
      <c r="CB603" s="2" t="s">
        <v>3465</v>
      </c>
      <c r="CC603" s="2" t="s">
        <v>246</v>
      </c>
      <c r="CD603" s="2" t="s">
        <v>233</v>
      </c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</row>
    <row r="604">
      <c r="A604" s="2" t="s">
        <v>3466</v>
      </c>
      <c r="B604" s="2" t="s">
        <v>1066</v>
      </c>
      <c r="C604" s="2" t="s">
        <v>530</v>
      </c>
      <c r="D604" s="2" t="s">
        <v>1919</v>
      </c>
      <c r="E604" s="2" t="s">
        <v>3467</v>
      </c>
      <c r="F604" s="2" t="s">
        <v>3468</v>
      </c>
      <c r="G604" s="2" t="s">
        <v>1177</v>
      </c>
      <c r="H604" s="2" t="s">
        <v>3469</v>
      </c>
      <c r="I604" s="2" t="s">
        <v>1920</v>
      </c>
      <c r="J604" s="2" t="s">
        <v>892</v>
      </c>
      <c r="K604" s="2" t="s">
        <v>271</v>
      </c>
      <c r="L604" s="3">
        <v>138</v>
      </c>
      <c r="M604" s="3">
        <v>144.9</v>
      </c>
      <c r="N604" s="3">
        <v>289</v>
      </c>
      <c r="O604" s="2" t="s">
        <v>252</v>
      </c>
      <c r="P604" s="2" t="s">
        <v>311</v>
      </c>
      <c r="Q604" s="2" t="s">
        <v>239</v>
      </c>
      <c r="R604" s="2" t="s">
        <v>233</v>
      </c>
      <c r="S604" s="2" t="s">
        <v>3470</v>
      </c>
      <c r="T604" s="2" t="s">
        <v>233</v>
      </c>
      <c r="U604" s="2" t="s">
        <v>233</v>
      </c>
      <c r="V604" s="2" t="s">
        <v>241</v>
      </c>
      <c r="W604" s="2" t="s">
        <v>397</v>
      </c>
      <c r="X604" s="2" t="s">
        <v>233</v>
      </c>
      <c r="Y604" s="2" t="s">
        <v>276</v>
      </c>
      <c r="Z604" s="4"/>
      <c r="AA604" s="4">
        <f>=ROUNDDOWN({0},0)</f>
      </c>
      <c r="AB604" s="5"/>
      <c r="AC604" s="2" t="s">
        <v>233</v>
      </c>
      <c r="AD604" s="4"/>
      <c r="AE604" s="4"/>
      <c r="AF604" s="6">
        <v>65</v>
      </c>
      <c r="AG604" s="6"/>
      <c r="AH604" s="7">
        <v>0.8387</v>
      </c>
      <c r="AI604" s="4"/>
      <c r="AJ604" s="4">
        <f>=ROUNDDOWN({0},0)</f>
      </c>
      <c r="AK604" s="5"/>
      <c r="AL604" s="2" t="s">
        <v>233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3471</v>
      </c>
      <c r="BM604" s="7"/>
      <c r="BN604" s="7"/>
      <c r="BO604" s="4"/>
      <c r="BP604" s="8"/>
      <c r="BQ604" s="4"/>
      <c r="BR604" s="8"/>
      <c r="BS604" s="7"/>
      <c r="BT604" s="7"/>
      <c r="BU604" s="2" t="s">
        <v>3472</v>
      </c>
      <c r="BV604" s="2" t="s">
        <v>233</v>
      </c>
      <c r="BW604" s="2" t="s">
        <v>233</v>
      </c>
      <c r="BX604" s="2" t="s">
        <v>233</v>
      </c>
      <c r="BY604" s="2" t="s">
        <v>280</v>
      </c>
      <c r="BZ604" s="2" t="s">
        <v>245</v>
      </c>
      <c r="CA604" s="2" t="s">
        <v>281</v>
      </c>
      <c r="CB604" s="2" t="s">
        <v>1076</v>
      </c>
      <c r="CC604" s="2" t="s">
        <v>246</v>
      </c>
      <c r="CD604" s="2" t="s">
        <v>233</v>
      </c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</row>
    <row r="605">
      <c r="A605" s="2" t="s">
        <v>3473</v>
      </c>
      <c r="B605" s="2" t="s">
        <v>1242</v>
      </c>
      <c r="C605" s="2" t="s">
        <v>1986</v>
      </c>
      <c r="D605" s="2" t="s">
        <v>3474</v>
      </c>
      <c r="E605" s="2" t="s">
        <v>3475</v>
      </c>
      <c r="F605" s="2" t="s">
        <v>3476</v>
      </c>
      <c r="G605" s="2" t="s">
        <v>3476</v>
      </c>
      <c r="H605" s="2" t="s">
        <v>3476</v>
      </c>
      <c r="I605" s="2" t="s">
        <v>3477</v>
      </c>
      <c r="J605" s="2" t="s">
        <v>2757</v>
      </c>
      <c r="K605" s="2" t="s">
        <v>984</v>
      </c>
      <c r="L605" s="3">
        <v>24.76</v>
      </c>
      <c r="M605" s="3">
        <v>26</v>
      </c>
      <c r="N605" s="3">
        <v>79.99</v>
      </c>
      <c r="O605" s="2" t="s">
        <v>245</v>
      </c>
      <c r="P605" s="2" t="s">
        <v>393</v>
      </c>
      <c r="Q605" s="2" t="s">
        <v>239</v>
      </c>
      <c r="R605" s="2" t="s">
        <v>233</v>
      </c>
      <c r="S605" s="2" t="s">
        <v>233</v>
      </c>
      <c r="T605" s="2" t="s">
        <v>233</v>
      </c>
      <c r="U605" s="2" t="s">
        <v>396</v>
      </c>
      <c r="V605" s="2" t="s">
        <v>1085</v>
      </c>
      <c r="W605" s="2" t="s">
        <v>776</v>
      </c>
      <c r="X605" s="2" t="s">
        <v>233</v>
      </c>
      <c r="Y605" s="2" t="s">
        <v>1995</v>
      </c>
      <c r="Z605" s="4">
        <v>195</v>
      </c>
      <c r="AA605" s="4">
        <f>=ROUNDDOWN(97.5,0)</f>
      </c>
      <c r="AB605" s="5">
        <v>2</v>
      </c>
      <c r="AC605" s="2" t="s">
        <v>233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233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233</v>
      </c>
      <c r="BD605" s="8" t="s">
        <v>233</v>
      </c>
      <c r="BE605" s="4" t="s">
        <v>233</v>
      </c>
      <c r="BF605" s="8" t="s">
        <v>233</v>
      </c>
      <c r="BG605" s="7" t="s">
        <v>233</v>
      </c>
      <c r="BH605" s="7" t="s">
        <v>233</v>
      </c>
      <c r="BI605" s="7"/>
      <c r="BJ605" s="4">
        <v>6</v>
      </c>
      <c r="BK605" s="8">
        <v>180</v>
      </c>
      <c r="BL605" s="2" t="s">
        <v>2501</v>
      </c>
      <c r="BM605" s="7"/>
      <c r="BN605" s="7"/>
      <c r="BO605" s="4"/>
      <c r="BP605" s="8"/>
      <c r="BQ605" s="4"/>
      <c r="BR605" s="8"/>
      <c r="BS605" s="7"/>
      <c r="BT605" s="7"/>
      <c r="BU605" s="2" t="s">
        <v>3478</v>
      </c>
      <c r="BV605" s="2" t="s">
        <v>233</v>
      </c>
      <c r="BW605" s="2" t="s">
        <v>233</v>
      </c>
      <c r="BX605" s="2" t="s">
        <v>233</v>
      </c>
      <c r="BY605" s="2" t="s">
        <v>280</v>
      </c>
      <c r="BZ605" s="2" t="s">
        <v>245</v>
      </c>
      <c r="CA605" s="2" t="s">
        <v>1613</v>
      </c>
      <c r="CB605" s="2" t="s">
        <v>3479</v>
      </c>
      <c r="CC605" s="2" t="s">
        <v>246</v>
      </c>
      <c r="CD605" s="2" t="s">
        <v>233</v>
      </c>
      <c r="CE605" s="4">
        <v>195</v>
      </c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</row>
    <row r="606">
      <c r="A606" s="2" t="s">
        <v>3480</v>
      </c>
      <c r="B606" s="2" t="s">
        <v>1242</v>
      </c>
      <c r="C606" s="2" t="s">
        <v>1986</v>
      </c>
      <c r="D606" s="2" t="s">
        <v>3474</v>
      </c>
      <c r="E606" s="2" t="s">
        <v>3475</v>
      </c>
      <c r="F606" s="2" t="s">
        <v>3476</v>
      </c>
      <c r="G606" s="2" t="s">
        <v>3476</v>
      </c>
      <c r="H606" s="2" t="s">
        <v>3476</v>
      </c>
      <c r="I606" s="2" t="s">
        <v>3477</v>
      </c>
      <c r="J606" s="2" t="s">
        <v>2757</v>
      </c>
      <c r="K606" s="2" t="s">
        <v>1994</v>
      </c>
      <c r="L606" s="3">
        <v>24.76</v>
      </c>
      <c r="M606" s="3">
        <v>26</v>
      </c>
      <c r="N606" s="3">
        <v>79.99</v>
      </c>
      <c r="O606" s="2" t="s">
        <v>245</v>
      </c>
      <c r="P606" s="2" t="s">
        <v>393</v>
      </c>
      <c r="Q606" s="2" t="s">
        <v>239</v>
      </c>
      <c r="R606" s="2" t="s">
        <v>233</v>
      </c>
      <c r="S606" s="2" t="s">
        <v>233</v>
      </c>
      <c r="T606" s="2" t="s">
        <v>233</v>
      </c>
      <c r="U606" s="2" t="s">
        <v>396</v>
      </c>
      <c r="V606" s="2" t="s">
        <v>1085</v>
      </c>
      <c r="W606" s="2" t="s">
        <v>776</v>
      </c>
      <c r="X606" s="2" t="s">
        <v>233</v>
      </c>
      <c r="Y606" s="2" t="s">
        <v>1995</v>
      </c>
      <c r="Z606" s="4">
        <v>94</v>
      </c>
      <c r="AA606" s="4">
        <f>=ROUNDDOWN(94,0)</f>
      </c>
      <c r="AB606" s="5">
        <v>1</v>
      </c>
      <c r="AC606" s="2" t="s">
        <v>233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233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233</v>
      </c>
      <c r="BD606" s="8" t="s">
        <v>233</v>
      </c>
      <c r="BE606" s="4" t="s">
        <v>233</v>
      </c>
      <c r="BF606" s="8" t="s">
        <v>233</v>
      </c>
      <c r="BG606" s="7" t="s">
        <v>233</v>
      </c>
      <c r="BH606" s="7" t="s">
        <v>233</v>
      </c>
      <c r="BI606" s="7"/>
      <c r="BJ606" s="4">
        <v>2</v>
      </c>
      <c r="BK606" s="8">
        <v>60</v>
      </c>
      <c r="BL606" s="2" t="s">
        <v>2501</v>
      </c>
      <c r="BM606" s="7"/>
      <c r="BN606" s="7"/>
      <c r="BO606" s="4"/>
      <c r="BP606" s="8"/>
      <c r="BQ606" s="4"/>
      <c r="BR606" s="8"/>
      <c r="BS606" s="7"/>
      <c r="BT606" s="7"/>
      <c r="BU606" s="2" t="s">
        <v>3481</v>
      </c>
      <c r="BV606" s="2" t="s">
        <v>233</v>
      </c>
      <c r="BW606" s="2" t="s">
        <v>233</v>
      </c>
      <c r="BX606" s="2" t="s">
        <v>233</v>
      </c>
      <c r="BY606" s="2" t="s">
        <v>280</v>
      </c>
      <c r="BZ606" s="2" t="s">
        <v>245</v>
      </c>
      <c r="CA606" s="2" t="s">
        <v>1613</v>
      </c>
      <c r="CB606" s="2" t="s">
        <v>233</v>
      </c>
      <c r="CC606" s="2" t="s">
        <v>246</v>
      </c>
      <c r="CD606" s="2" t="s">
        <v>233</v>
      </c>
      <c r="CE606" s="4">
        <v>94</v>
      </c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</row>
    <row r="607">
      <c r="A607" s="2" t="s">
        <v>3482</v>
      </c>
      <c r="B607" s="2" t="s">
        <v>1242</v>
      </c>
      <c r="C607" s="2" t="s">
        <v>1986</v>
      </c>
      <c r="D607" s="2" t="s">
        <v>3474</v>
      </c>
      <c r="E607" s="2" t="s">
        <v>3475</v>
      </c>
      <c r="F607" s="2" t="s">
        <v>3476</v>
      </c>
      <c r="G607" s="2" t="s">
        <v>3476</v>
      </c>
      <c r="H607" s="2" t="s">
        <v>3476</v>
      </c>
      <c r="I607" s="2" t="s">
        <v>3477</v>
      </c>
      <c r="J607" s="2" t="s">
        <v>2757</v>
      </c>
      <c r="K607" s="2" t="s">
        <v>1105</v>
      </c>
      <c r="L607" s="3">
        <v>24.76</v>
      </c>
      <c r="M607" s="3">
        <v>26</v>
      </c>
      <c r="N607" s="3">
        <v>79.99</v>
      </c>
      <c r="O607" s="2" t="s">
        <v>245</v>
      </c>
      <c r="P607" s="2" t="s">
        <v>393</v>
      </c>
      <c r="Q607" s="2" t="s">
        <v>239</v>
      </c>
      <c r="R607" s="2" t="s">
        <v>233</v>
      </c>
      <c r="S607" s="2" t="s">
        <v>233</v>
      </c>
      <c r="T607" s="2" t="s">
        <v>233</v>
      </c>
      <c r="U607" s="2" t="s">
        <v>396</v>
      </c>
      <c r="V607" s="2" t="s">
        <v>1085</v>
      </c>
      <c r="W607" s="2" t="s">
        <v>776</v>
      </c>
      <c r="X607" s="2" t="s">
        <v>233</v>
      </c>
      <c r="Y607" s="2" t="s">
        <v>1995</v>
      </c>
      <c r="Z607" s="4">
        <v>169</v>
      </c>
      <c r="AA607" s="4">
        <f>=ROUNDDOWN(84.5,0)</f>
      </c>
      <c r="AB607" s="5">
        <v>2</v>
      </c>
      <c r="AC607" s="2" t="s">
        <v>233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233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233</v>
      </c>
      <c r="BD607" s="8" t="s">
        <v>233</v>
      </c>
      <c r="BE607" s="4" t="s">
        <v>233</v>
      </c>
      <c r="BF607" s="8" t="s">
        <v>233</v>
      </c>
      <c r="BG607" s="7" t="s">
        <v>233</v>
      </c>
      <c r="BH607" s="7" t="s">
        <v>233</v>
      </c>
      <c r="BI607" s="7"/>
      <c r="BJ607" s="4">
        <v>9</v>
      </c>
      <c r="BK607" s="8">
        <v>277.2</v>
      </c>
      <c r="BL607" s="2" t="s">
        <v>744</v>
      </c>
      <c r="BM607" s="7"/>
      <c r="BN607" s="7"/>
      <c r="BO607" s="4"/>
      <c r="BP607" s="8"/>
      <c r="BQ607" s="4"/>
      <c r="BR607" s="8"/>
      <c r="BS607" s="7"/>
      <c r="BT607" s="7"/>
      <c r="BU607" s="2" t="s">
        <v>3483</v>
      </c>
      <c r="BV607" s="2" t="s">
        <v>233</v>
      </c>
      <c r="BW607" s="2" t="s">
        <v>233</v>
      </c>
      <c r="BX607" s="2" t="s">
        <v>233</v>
      </c>
      <c r="BY607" s="2" t="s">
        <v>280</v>
      </c>
      <c r="BZ607" s="2" t="s">
        <v>245</v>
      </c>
      <c r="CA607" s="2" t="s">
        <v>1613</v>
      </c>
      <c r="CB607" s="2" t="s">
        <v>908</v>
      </c>
      <c r="CC607" s="2" t="s">
        <v>246</v>
      </c>
      <c r="CD607" s="2" t="s">
        <v>233</v>
      </c>
      <c r="CE607" s="4">
        <v>169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</row>
    <row r="608">
      <c r="A608" s="2" t="s">
        <v>3484</v>
      </c>
      <c r="B608" s="2" t="s">
        <v>1242</v>
      </c>
      <c r="C608" s="2" t="s">
        <v>1986</v>
      </c>
      <c r="D608" s="2" t="s">
        <v>3474</v>
      </c>
      <c r="E608" s="2" t="s">
        <v>3475</v>
      </c>
      <c r="F608" s="2" t="s">
        <v>3476</v>
      </c>
      <c r="G608" s="2" t="s">
        <v>3476</v>
      </c>
      <c r="H608" s="2" t="s">
        <v>3476</v>
      </c>
      <c r="I608" s="2" t="s">
        <v>3477</v>
      </c>
      <c r="J608" s="2" t="s">
        <v>2757</v>
      </c>
      <c r="K608" s="2" t="s">
        <v>257</v>
      </c>
      <c r="L608" s="3">
        <v>24.76</v>
      </c>
      <c r="M608" s="3">
        <v>26</v>
      </c>
      <c r="N608" s="3">
        <v>79.99</v>
      </c>
      <c r="O608" s="2" t="s">
        <v>245</v>
      </c>
      <c r="P608" s="2" t="s">
        <v>272</v>
      </c>
      <c r="Q608" s="2" t="s">
        <v>239</v>
      </c>
      <c r="R608" s="2" t="s">
        <v>233</v>
      </c>
      <c r="S608" s="2" t="s">
        <v>233</v>
      </c>
      <c r="T608" s="2" t="s">
        <v>233</v>
      </c>
      <c r="U608" s="2" t="s">
        <v>396</v>
      </c>
      <c r="V608" s="2" t="s">
        <v>1085</v>
      </c>
      <c r="W608" s="2" t="s">
        <v>776</v>
      </c>
      <c r="X608" s="2" t="s">
        <v>233</v>
      </c>
      <c r="Y608" s="2" t="s">
        <v>1995</v>
      </c>
      <c r="Z608" s="4">
        <v>7</v>
      </c>
      <c r="AA608" s="4">
        <f>=ROUNDDOWN(2.33333333333333,0)</f>
      </c>
      <c r="AB608" s="5">
        <v>3</v>
      </c>
      <c r="AC608" s="2" t="s">
        <v>825</v>
      </c>
      <c r="AD608" s="4">
        <v>280</v>
      </c>
      <c r="AE608" s="4">
        <v>280</v>
      </c>
      <c r="AF608" s="6">
        <v>65</v>
      </c>
      <c r="AG608" s="6"/>
      <c r="AH608" s="7">
        <v>0.871</v>
      </c>
      <c r="AI608" s="4"/>
      <c r="AJ608" s="4">
        <f>=ROUNDDOWN({0},0)</f>
      </c>
      <c r="AK608" s="5"/>
      <c r="AL608" s="2" t="s">
        <v>233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233</v>
      </c>
      <c r="BD608" s="8" t="s">
        <v>233</v>
      </c>
      <c r="BE608" s="4" t="s">
        <v>233</v>
      </c>
      <c r="BF608" s="8" t="s">
        <v>233</v>
      </c>
      <c r="BG608" s="7" t="s">
        <v>233</v>
      </c>
      <c r="BH608" s="7" t="s">
        <v>233</v>
      </c>
      <c r="BI608" s="7"/>
      <c r="BJ608" s="4">
        <v>4</v>
      </c>
      <c r="BK608" s="8">
        <v>109.2</v>
      </c>
      <c r="BL608" s="2" t="s">
        <v>2117</v>
      </c>
      <c r="BM608" s="7"/>
      <c r="BN608" s="7"/>
      <c r="BO608" s="4"/>
      <c r="BP608" s="8"/>
      <c r="BQ608" s="4"/>
      <c r="BR608" s="8"/>
      <c r="BS608" s="7"/>
      <c r="BT608" s="7"/>
      <c r="BU608" s="2" t="s">
        <v>3485</v>
      </c>
      <c r="BV608" s="2" t="s">
        <v>233</v>
      </c>
      <c r="BW608" s="2" t="s">
        <v>233</v>
      </c>
      <c r="BX608" s="2" t="s">
        <v>233</v>
      </c>
      <c r="BY608" s="2" t="s">
        <v>280</v>
      </c>
      <c r="BZ608" s="2" t="s">
        <v>245</v>
      </c>
      <c r="CA608" s="2" t="s">
        <v>1613</v>
      </c>
      <c r="CB608" s="2" t="s">
        <v>2002</v>
      </c>
      <c r="CC608" s="2" t="s">
        <v>246</v>
      </c>
      <c r="CD608" s="2" t="s">
        <v>233</v>
      </c>
      <c r="CE608" s="4">
        <v>7</v>
      </c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>
        <v>280</v>
      </c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</row>
    <row r="609">
      <c r="A609" s="2" t="s">
        <v>3486</v>
      </c>
      <c r="B609" s="2" t="s">
        <v>1242</v>
      </c>
      <c r="C609" s="2" t="s">
        <v>1781</v>
      </c>
      <c r="D609" s="2" t="s">
        <v>912</v>
      </c>
      <c r="E609" s="2" t="s">
        <v>913</v>
      </c>
      <c r="F609" s="2" t="s">
        <v>3487</v>
      </c>
      <c r="G609" s="2" t="s">
        <v>3487</v>
      </c>
      <c r="H609" s="2" t="s">
        <v>3487</v>
      </c>
      <c r="I609" s="2" t="s">
        <v>3488</v>
      </c>
      <c r="J609" s="2" t="s">
        <v>1142</v>
      </c>
      <c r="K609" s="2" t="s">
        <v>582</v>
      </c>
      <c r="L609" s="3">
        <v>96.89</v>
      </c>
      <c r="M609" s="3">
        <v>101.74</v>
      </c>
      <c r="N609" s="3">
        <v>204.99</v>
      </c>
      <c r="O609" s="2" t="s">
        <v>245</v>
      </c>
      <c r="P609" s="2" t="s">
        <v>741</v>
      </c>
      <c r="Q609" s="2" t="s">
        <v>239</v>
      </c>
      <c r="R609" s="2" t="s">
        <v>233</v>
      </c>
      <c r="S609" s="2" t="s">
        <v>3489</v>
      </c>
      <c r="T609" s="2" t="s">
        <v>233</v>
      </c>
      <c r="U609" s="2" t="s">
        <v>233</v>
      </c>
      <c r="V609" s="2" t="s">
        <v>343</v>
      </c>
      <c r="W609" s="2" t="s">
        <v>343</v>
      </c>
      <c r="X609" s="2" t="s">
        <v>1056</v>
      </c>
      <c r="Y609" s="2" t="s">
        <v>276</v>
      </c>
      <c r="Z609" s="4">
        <v>14</v>
      </c>
      <c r="AA609" s="4">
        <f>=ROUNDDOWN(7,0)</f>
      </c>
      <c r="AB609" s="5">
        <v>2</v>
      </c>
      <c r="AC609" s="2" t="s">
        <v>345</v>
      </c>
      <c r="AD609" s="4">
        <v>20</v>
      </c>
      <c r="AE609" s="4">
        <v>50</v>
      </c>
      <c r="AF609" s="6">
        <v>68</v>
      </c>
      <c r="AG609" s="6"/>
      <c r="AH609" s="7">
        <v>1</v>
      </c>
      <c r="AI609" s="4"/>
      <c r="AJ609" s="4">
        <f>=ROUNDDOWN({0},0)</f>
      </c>
      <c r="AK609" s="5"/>
      <c r="AL609" s="2" t="s">
        <v>233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>
        <v>5</v>
      </c>
      <c r="BK609" s="8">
        <v>627.19</v>
      </c>
      <c r="BL609" s="2" t="s">
        <v>3490</v>
      </c>
      <c r="BM609" s="7"/>
      <c r="BN609" s="7"/>
      <c r="BO609" s="4"/>
      <c r="BP609" s="8"/>
      <c r="BQ609" s="4"/>
      <c r="BR609" s="8"/>
      <c r="BS609" s="7"/>
      <c r="BT609" s="7"/>
      <c r="BU609" s="2" t="s">
        <v>3491</v>
      </c>
      <c r="BV609" s="2" t="s">
        <v>233</v>
      </c>
      <c r="BW609" s="2" t="s">
        <v>233</v>
      </c>
      <c r="BX609" s="2" t="s">
        <v>233</v>
      </c>
      <c r="BY609" s="2" t="s">
        <v>280</v>
      </c>
      <c r="BZ609" s="2" t="s">
        <v>245</v>
      </c>
      <c r="CA609" s="2" t="s">
        <v>281</v>
      </c>
      <c r="CB609" s="2" t="s">
        <v>3492</v>
      </c>
      <c r="CC609" s="2" t="s">
        <v>246</v>
      </c>
      <c r="CD609" s="2" t="s">
        <v>233</v>
      </c>
      <c r="CE609" s="4">
        <v>14</v>
      </c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>
        <v>20</v>
      </c>
      <c r="FE609" s="4"/>
      <c r="FF609" s="4"/>
      <c r="FG609" s="4"/>
      <c r="FH609" s="4"/>
      <c r="FI609" s="4"/>
      <c r="FJ609" s="4"/>
      <c r="FK609" s="4"/>
      <c r="FL609" s="4"/>
      <c r="FM609" s="4"/>
      <c r="FN609" s="4">
        <v>30</v>
      </c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</row>
    <row r="610">
      <c r="A610" s="2" t="s">
        <v>3493</v>
      </c>
      <c r="B610" s="2" t="s">
        <v>910</v>
      </c>
      <c r="C610" s="2" t="s">
        <v>911</v>
      </c>
      <c r="D610" s="2" t="s">
        <v>969</v>
      </c>
      <c r="E610" s="2" t="s">
        <v>970</v>
      </c>
      <c r="F610" s="2" t="s">
        <v>3494</v>
      </c>
      <c r="G610" s="2" t="s">
        <v>3495</v>
      </c>
      <c r="H610" s="2" t="s">
        <v>2070</v>
      </c>
      <c r="I610" s="2" t="s">
        <v>3496</v>
      </c>
      <c r="J610" s="2" t="s">
        <v>918</v>
      </c>
      <c r="K610" s="2" t="s">
        <v>257</v>
      </c>
      <c r="L610" s="3">
        <v>28.57</v>
      </c>
      <c r="M610" s="3">
        <v>30</v>
      </c>
      <c r="N610" s="3">
        <v>59.99</v>
      </c>
      <c r="O610" s="2" t="s">
        <v>245</v>
      </c>
      <c r="P610" s="2" t="s">
        <v>311</v>
      </c>
      <c r="Q610" s="2" t="s">
        <v>239</v>
      </c>
      <c r="R610" s="2" t="s">
        <v>233</v>
      </c>
      <c r="S610" s="2" t="s">
        <v>3497</v>
      </c>
      <c r="T610" s="2" t="s">
        <v>395</v>
      </c>
      <c r="U610" s="2" t="s">
        <v>491</v>
      </c>
      <c r="V610" s="2" t="s">
        <v>359</v>
      </c>
      <c r="W610" s="2" t="s">
        <v>977</v>
      </c>
      <c r="X610" s="2" t="s">
        <v>275</v>
      </c>
      <c r="Y610" s="2" t="s">
        <v>3498</v>
      </c>
      <c r="Z610" s="4">
        <v>285</v>
      </c>
      <c r="AA610" s="4">
        <f>=ROUNDDOWN(71.25,0)</f>
      </c>
      <c r="AB610" s="5">
        <v>4</v>
      </c>
      <c r="AC610" s="2" t="s">
        <v>233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233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>
        <v>16</v>
      </c>
      <c r="BK610" s="8">
        <v>434.4</v>
      </c>
      <c r="BL610" s="2" t="s">
        <v>778</v>
      </c>
      <c r="BM610" s="7"/>
      <c r="BN610" s="7"/>
      <c r="BO610" s="4"/>
      <c r="BP610" s="8"/>
      <c r="BQ610" s="4"/>
      <c r="BR610" s="8"/>
      <c r="BS610" s="7"/>
      <c r="BT610" s="7"/>
      <c r="BU610" s="2" t="s">
        <v>3499</v>
      </c>
      <c r="BV610" s="2" t="s">
        <v>233</v>
      </c>
      <c r="BW610" s="2" t="s">
        <v>233</v>
      </c>
      <c r="BX610" s="2" t="s">
        <v>233</v>
      </c>
      <c r="BY610" s="2" t="s">
        <v>280</v>
      </c>
      <c r="BZ610" s="2" t="s">
        <v>245</v>
      </c>
      <c r="CA610" s="2" t="s">
        <v>1881</v>
      </c>
      <c r="CB610" s="2" t="s">
        <v>2485</v>
      </c>
      <c r="CC610" s="2" t="s">
        <v>246</v>
      </c>
      <c r="CD610" s="2" t="s">
        <v>233</v>
      </c>
      <c r="CE610" s="4">
        <v>285</v>
      </c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</row>
    <row r="611">
      <c r="A611" s="2" t="s">
        <v>3500</v>
      </c>
      <c r="B611" s="2" t="s">
        <v>1242</v>
      </c>
      <c r="C611" s="2" t="s">
        <v>3501</v>
      </c>
      <c r="D611" s="2" t="s">
        <v>912</v>
      </c>
      <c r="E611" s="2" t="s">
        <v>1139</v>
      </c>
      <c r="F611" s="2" t="s">
        <v>3502</v>
      </c>
      <c r="G611" s="2" t="s">
        <v>3502</v>
      </c>
      <c r="H611" s="2" t="s">
        <v>3502</v>
      </c>
      <c r="I611" s="2" t="s">
        <v>3503</v>
      </c>
      <c r="J611" s="2" t="s">
        <v>981</v>
      </c>
      <c r="K611" s="2" t="s">
        <v>255</v>
      </c>
      <c r="L611" s="3">
        <v>67.5</v>
      </c>
      <c r="M611" s="3">
        <v>70.88</v>
      </c>
      <c r="N611" s="3">
        <v>149.99</v>
      </c>
      <c r="O611" s="2" t="s">
        <v>245</v>
      </c>
      <c r="P611" s="2" t="s">
        <v>311</v>
      </c>
      <c r="Q611" s="2" t="s">
        <v>239</v>
      </c>
      <c r="R611" s="2" t="s">
        <v>233</v>
      </c>
      <c r="S611" s="2" t="s">
        <v>3504</v>
      </c>
      <c r="T611" s="2" t="s">
        <v>395</v>
      </c>
      <c r="U611" s="2" t="s">
        <v>475</v>
      </c>
      <c r="V611" s="2" t="s">
        <v>241</v>
      </c>
      <c r="W611" s="2" t="s">
        <v>275</v>
      </c>
      <c r="X611" s="2" t="s">
        <v>397</v>
      </c>
      <c r="Y611" s="2" t="s">
        <v>3505</v>
      </c>
      <c r="Z611" s="4">
        <v>24</v>
      </c>
      <c r="AA611" s="4">
        <f>=ROUNDDOWN(60,0)</f>
      </c>
      <c r="AB611" s="5">
        <v>0.4</v>
      </c>
      <c r="AC611" s="2" t="s">
        <v>233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233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233</v>
      </c>
      <c r="BD611" s="8" t="s">
        <v>233</v>
      </c>
      <c r="BE611" s="4" t="s">
        <v>233</v>
      </c>
      <c r="BF611" s="8" t="s">
        <v>233</v>
      </c>
      <c r="BG611" s="7" t="s">
        <v>233</v>
      </c>
      <c r="BH611" s="7" t="s">
        <v>233</v>
      </c>
      <c r="BI611" s="7"/>
      <c r="BJ611" s="4">
        <v>2</v>
      </c>
      <c r="BK611" s="8">
        <v>156.64</v>
      </c>
      <c r="BL611" s="2" t="s">
        <v>3506</v>
      </c>
      <c r="BM611" s="7"/>
      <c r="BN611" s="7"/>
      <c r="BO611" s="4"/>
      <c r="BP611" s="8"/>
      <c r="BQ611" s="4"/>
      <c r="BR611" s="8"/>
      <c r="BS611" s="7"/>
      <c r="BT611" s="7"/>
      <c r="BU611" s="2" t="s">
        <v>3507</v>
      </c>
      <c r="BV611" s="2" t="s">
        <v>233</v>
      </c>
      <c r="BW611" s="2" t="s">
        <v>233</v>
      </c>
      <c r="BX611" s="2" t="s">
        <v>233</v>
      </c>
      <c r="BY611" s="2" t="s">
        <v>280</v>
      </c>
      <c r="BZ611" s="2" t="s">
        <v>245</v>
      </c>
      <c r="CA611" s="2" t="s">
        <v>3508</v>
      </c>
      <c r="CB611" s="2" t="s">
        <v>3509</v>
      </c>
      <c r="CC611" s="2" t="s">
        <v>246</v>
      </c>
      <c r="CD611" s="2" t="s">
        <v>233</v>
      </c>
      <c r="CE611" s="4">
        <v>24</v>
      </c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</row>
    <row r="612">
      <c r="A612" s="2" t="s">
        <v>3510</v>
      </c>
      <c r="B612" s="2" t="s">
        <v>1242</v>
      </c>
      <c r="C612" s="2" t="s">
        <v>3501</v>
      </c>
      <c r="D612" s="2" t="s">
        <v>969</v>
      </c>
      <c r="E612" s="2" t="s">
        <v>970</v>
      </c>
      <c r="F612" s="2" t="s">
        <v>3502</v>
      </c>
      <c r="G612" s="2" t="s">
        <v>3502</v>
      </c>
      <c r="H612" s="2" t="s">
        <v>3502</v>
      </c>
      <c r="I612" s="2" t="s">
        <v>3511</v>
      </c>
      <c r="J612" s="2" t="s">
        <v>981</v>
      </c>
      <c r="K612" s="2" t="s">
        <v>297</v>
      </c>
      <c r="L612" s="3">
        <v>72</v>
      </c>
      <c r="M612" s="3">
        <v>75.6</v>
      </c>
      <c r="N612" s="3">
        <v>159.99</v>
      </c>
      <c r="O612" s="2" t="s">
        <v>245</v>
      </c>
      <c r="P612" s="2" t="s">
        <v>272</v>
      </c>
      <c r="Q612" s="2" t="s">
        <v>239</v>
      </c>
      <c r="R612" s="2" t="s">
        <v>233</v>
      </c>
      <c r="S612" s="2" t="s">
        <v>3512</v>
      </c>
      <c r="T612" s="2" t="s">
        <v>395</v>
      </c>
      <c r="U612" s="2" t="s">
        <v>475</v>
      </c>
      <c r="V612" s="2" t="s">
        <v>241</v>
      </c>
      <c r="W612" s="2" t="s">
        <v>275</v>
      </c>
      <c r="X612" s="2" t="s">
        <v>397</v>
      </c>
      <c r="Y612" s="2" t="s">
        <v>3505</v>
      </c>
      <c r="Z612" s="4">
        <v>27</v>
      </c>
      <c r="AA612" s="4">
        <f>=ROUNDDOWN(13.5,0)</f>
      </c>
      <c r="AB612" s="5">
        <v>2</v>
      </c>
      <c r="AC612" s="2" t="s">
        <v>2388</v>
      </c>
      <c r="AD612" s="4">
        <v>25</v>
      </c>
      <c r="AE612" s="4">
        <v>63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233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233</v>
      </c>
      <c r="AW612" s="8" t="s">
        <v>233</v>
      </c>
      <c r="AX612" s="4" t="s">
        <v>233</v>
      </c>
      <c r="AY612" s="8" t="s">
        <v>233</v>
      </c>
      <c r="AZ612" s="7" t="s">
        <v>233</v>
      </c>
      <c r="BA612" s="7" t="s">
        <v>233</v>
      </c>
      <c r="BB612" s="7"/>
      <c r="BC612" s="4" t="s">
        <v>233</v>
      </c>
      <c r="BD612" s="8" t="s">
        <v>233</v>
      </c>
      <c r="BE612" s="4" t="s">
        <v>233</v>
      </c>
      <c r="BF612" s="8" t="s">
        <v>233</v>
      </c>
      <c r="BG612" s="7" t="s">
        <v>233</v>
      </c>
      <c r="BH612" s="7" t="s">
        <v>233</v>
      </c>
      <c r="BI612" s="7"/>
      <c r="BJ612" s="4">
        <v>7</v>
      </c>
      <c r="BK612" s="8">
        <v>542.45</v>
      </c>
      <c r="BL612" s="2" t="s">
        <v>3513</v>
      </c>
      <c r="BM612" s="7"/>
      <c r="BN612" s="7"/>
      <c r="BO612" s="4"/>
      <c r="BP612" s="8"/>
      <c r="BQ612" s="4"/>
      <c r="BR612" s="8"/>
      <c r="BS612" s="7"/>
      <c r="BT612" s="7"/>
      <c r="BU612" s="2" t="s">
        <v>3514</v>
      </c>
      <c r="BV612" s="2" t="s">
        <v>233</v>
      </c>
      <c r="BW612" s="2" t="s">
        <v>233</v>
      </c>
      <c r="BX612" s="2" t="s">
        <v>233</v>
      </c>
      <c r="BY612" s="2" t="s">
        <v>280</v>
      </c>
      <c r="BZ612" s="2" t="s">
        <v>245</v>
      </c>
      <c r="CA612" s="2" t="s">
        <v>3508</v>
      </c>
      <c r="CB612" s="2" t="s">
        <v>3515</v>
      </c>
      <c r="CC612" s="2" t="s">
        <v>246</v>
      </c>
      <c r="CD612" s="2" t="s">
        <v>233</v>
      </c>
      <c r="CE612" s="4">
        <v>27</v>
      </c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>
        <v>25</v>
      </c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>
        <v>38</v>
      </c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</row>
    <row r="613">
      <c r="A613" s="2" t="s">
        <v>3516</v>
      </c>
      <c r="B613" s="2" t="s">
        <v>1242</v>
      </c>
      <c r="C613" s="2" t="s">
        <v>3501</v>
      </c>
      <c r="D613" s="2" t="s">
        <v>3474</v>
      </c>
      <c r="E613" s="2" t="s">
        <v>3475</v>
      </c>
      <c r="F613" s="2" t="s">
        <v>3502</v>
      </c>
      <c r="G613" s="2" t="s">
        <v>3502</v>
      </c>
      <c r="H613" s="2" t="s">
        <v>3502</v>
      </c>
      <c r="I613" s="2" t="s">
        <v>3517</v>
      </c>
      <c r="J613" s="2" t="s">
        <v>3518</v>
      </c>
      <c r="K613" s="2" t="s">
        <v>297</v>
      </c>
      <c r="L613" s="3">
        <v>18</v>
      </c>
      <c r="M613" s="3">
        <v>18.9</v>
      </c>
      <c r="N613" s="3">
        <v>39.99</v>
      </c>
      <c r="O613" s="2" t="s">
        <v>245</v>
      </c>
      <c r="P613" s="2" t="s">
        <v>272</v>
      </c>
      <c r="Q613" s="2" t="s">
        <v>239</v>
      </c>
      <c r="R613" s="2" t="s">
        <v>233</v>
      </c>
      <c r="S613" s="2" t="s">
        <v>3512</v>
      </c>
      <c r="T613" s="2" t="s">
        <v>395</v>
      </c>
      <c r="U613" s="2" t="s">
        <v>396</v>
      </c>
      <c r="V613" s="2" t="s">
        <v>241</v>
      </c>
      <c r="W613" s="2" t="s">
        <v>275</v>
      </c>
      <c r="X613" s="2" t="s">
        <v>397</v>
      </c>
      <c r="Y613" s="2" t="s">
        <v>3505</v>
      </c>
      <c r="Z613" s="4">
        <v>133</v>
      </c>
      <c r="AA613" s="4">
        <f>=ROUNDDOWN(33.25,0)</f>
      </c>
      <c r="AB613" s="5">
        <v>4</v>
      </c>
      <c r="AC613" s="2" t="s">
        <v>233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233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233</v>
      </c>
      <c r="AW613" s="8" t="s">
        <v>233</v>
      </c>
      <c r="AX613" s="4" t="s">
        <v>233</v>
      </c>
      <c r="AY613" s="8" t="s">
        <v>233</v>
      </c>
      <c r="AZ613" s="7" t="s">
        <v>233</v>
      </c>
      <c r="BA613" s="7" t="s">
        <v>233</v>
      </c>
      <c r="BB613" s="7"/>
      <c r="BC613" s="4" t="s">
        <v>233</v>
      </c>
      <c r="BD613" s="8" t="s">
        <v>233</v>
      </c>
      <c r="BE613" s="4" t="s">
        <v>233</v>
      </c>
      <c r="BF613" s="8" t="s">
        <v>233</v>
      </c>
      <c r="BG613" s="7" t="s">
        <v>233</v>
      </c>
      <c r="BH613" s="7" t="s">
        <v>233</v>
      </c>
      <c r="BI613" s="7"/>
      <c r="BJ613" s="4">
        <v>28</v>
      </c>
      <c r="BK613" s="8">
        <v>566.73</v>
      </c>
      <c r="BL613" s="2" t="s">
        <v>3519</v>
      </c>
      <c r="BM613" s="7"/>
      <c r="BN613" s="7"/>
      <c r="BO613" s="4"/>
      <c r="BP613" s="8"/>
      <c r="BQ613" s="4"/>
      <c r="BR613" s="8"/>
      <c r="BS613" s="7"/>
      <c r="BT613" s="7"/>
      <c r="BU613" s="2" t="s">
        <v>3520</v>
      </c>
      <c r="BV613" s="2" t="s">
        <v>233</v>
      </c>
      <c r="BW613" s="2" t="s">
        <v>233</v>
      </c>
      <c r="BX613" s="2" t="s">
        <v>233</v>
      </c>
      <c r="BY613" s="2" t="s">
        <v>280</v>
      </c>
      <c r="BZ613" s="2" t="s">
        <v>245</v>
      </c>
      <c r="CA613" s="2" t="s">
        <v>3508</v>
      </c>
      <c r="CB613" s="2" t="s">
        <v>371</v>
      </c>
      <c r="CC613" s="2" t="s">
        <v>246</v>
      </c>
      <c r="CD613" s="2" t="s">
        <v>233</v>
      </c>
      <c r="CE613" s="4">
        <v>133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</row>
    <row r="614">
      <c r="A614" s="2" t="s">
        <v>3521</v>
      </c>
      <c r="B614" s="2" t="s">
        <v>264</v>
      </c>
      <c r="C614" s="2" t="s">
        <v>530</v>
      </c>
      <c r="D614" s="2" t="s">
        <v>230</v>
      </c>
      <c r="E614" s="2" t="s">
        <v>3058</v>
      </c>
      <c r="F614" s="2" t="s">
        <v>3522</v>
      </c>
      <c r="G614" s="2" t="s">
        <v>3523</v>
      </c>
      <c r="H614" s="2" t="s">
        <v>3523</v>
      </c>
      <c r="I614" s="2" t="s">
        <v>3524</v>
      </c>
      <c r="J614" s="2" t="s">
        <v>918</v>
      </c>
      <c r="K614" s="2" t="s">
        <v>645</v>
      </c>
      <c r="L614" s="3">
        <v>20.47</v>
      </c>
      <c r="M614" s="3">
        <v>21.49</v>
      </c>
      <c r="N614" s="3">
        <v>44.99</v>
      </c>
      <c r="O614" s="2" t="s">
        <v>245</v>
      </c>
      <c r="P614" s="2" t="s">
        <v>272</v>
      </c>
      <c r="Q614" s="2" t="s">
        <v>239</v>
      </c>
      <c r="R614" s="2" t="s">
        <v>233</v>
      </c>
      <c r="S614" s="2" t="s">
        <v>3525</v>
      </c>
      <c r="T614" s="2" t="s">
        <v>395</v>
      </c>
      <c r="U614" s="2" t="s">
        <v>396</v>
      </c>
      <c r="V614" s="2" t="s">
        <v>241</v>
      </c>
      <c r="W614" s="2" t="s">
        <v>275</v>
      </c>
      <c r="X614" s="2" t="s">
        <v>1056</v>
      </c>
      <c r="Y614" s="2" t="s">
        <v>1674</v>
      </c>
      <c r="Z614" s="4">
        <v>113</v>
      </c>
      <c r="AA614" s="4">
        <f>=ROUNDDOWN(18.8333333333333,0)</f>
      </c>
      <c r="AB614" s="5">
        <v>6</v>
      </c>
      <c r="AC614" s="2" t="s">
        <v>813</v>
      </c>
      <c r="AD614" s="4">
        <v>60</v>
      </c>
      <c r="AE614" s="4">
        <v>60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233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233</v>
      </c>
      <c r="BD614" s="8" t="s">
        <v>233</v>
      </c>
      <c r="BE614" s="4" t="s">
        <v>233</v>
      </c>
      <c r="BF614" s="8" t="s">
        <v>233</v>
      </c>
      <c r="BG614" s="7" t="s">
        <v>233</v>
      </c>
      <c r="BH614" s="7" t="s">
        <v>233</v>
      </c>
      <c r="BI614" s="7"/>
      <c r="BJ614" s="4">
        <v>18</v>
      </c>
      <c r="BK614" s="8">
        <v>392.6</v>
      </c>
      <c r="BL614" s="2" t="s">
        <v>3526</v>
      </c>
      <c r="BM614" s="7"/>
      <c r="BN614" s="7"/>
      <c r="BO614" s="4"/>
      <c r="BP614" s="8"/>
      <c r="BQ614" s="4"/>
      <c r="BR614" s="8"/>
      <c r="BS614" s="7"/>
      <c r="BT614" s="7"/>
      <c r="BU614" s="2" t="s">
        <v>3527</v>
      </c>
      <c r="BV614" s="2" t="s">
        <v>233</v>
      </c>
      <c r="BW614" s="2" t="s">
        <v>233</v>
      </c>
      <c r="BX614" s="2" t="s">
        <v>233</v>
      </c>
      <c r="BY614" s="2" t="s">
        <v>280</v>
      </c>
      <c r="BZ614" s="2" t="s">
        <v>245</v>
      </c>
      <c r="CA614" s="2" t="s">
        <v>1806</v>
      </c>
      <c r="CB614" s="2" t="s">
        <v>3528</v>
      </c>
      <c r="CC614" s="2" t="s">
        <v>246</v>
      </c>
      <c r="CD614" s="2" t="s">
        <v>233</v>
      </c>
      <c r="CE614" s="4">
        <v>113</v>
      </c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>
        <v>60</v>
      </c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</row>
    <row r="615">
      <c r="A615" s="2" t="s">
        <v>3529</v>
      </c>
      <c r="B615" s="2" t="s">
        <v>1066</v>
      </c>
      <c r="C615" s="2" t="s">
        <v>530</v>
      </c>
      <c r="D615" s="2" t="s">
        <v>1111</v>
      </c>
      <c r="E615" s="2" t="s">
        <v>1723</v>
      </c>
      <c r="F615" s="2" t="s">
        <v>3522</v>
      </c>
      <c r="G615" s="2" t="s">
        <v>3530</v>
      </c>
      <c r="H615" s="2" t="s">
        <v>3531</v>
      </c>
      <c r="I615" s="2" t="s">
        <v>3532</v>
      </c>
      <c r="J615" s="2" t="s">
        <v>892</v>
      </c>
      <c r="K615" s="2" t="s">
        <v>569</v>
      </c>
      <c r="L615" s="3">
        <v>243.68</v>
      </c>
      <c r="M615" s="3">
        <v>255.86</v>
      </c>
      <c r="N615" s="3">
        <v>509</v>
      </c>
      <c r="O615" s="2" t="s">
        <v>245</v>
      </c>
      <c r="P615" s="2" t="s">
        <v>238</v>
      </c>
      <c r="Q615" s="2" t="s">
        <v>239</v>
      </c>
      <c r="R615" s="2" t="s">
        <v>233</v>
      </c>
      <c r="S615" s="2" t="s">
        <v>233</v>
      </c>
      <c r="T615" s="2" t="s">
        <v>233</v>
      </c>
      <c r="U615" s="2" t="s">
        <v>396</v>
      </c>
      <c r="V615" s="2" t="s">
        <v>893</v>
      </c>
      <c r="W615" s="2" t="s">
        <v>397</v>
      </c>
      <c r="X615" s="2" t="s">
        <v>275</v>
      </c>
      <c r="Y615" s="2" t="s">
        <v>3533</v>
      </c>
      <c r="Z615" s="4">
        <v>1</v>
      </c>
      <c r="AA615" s="4">
        <f>=ROUNDDOWN(0.303030303030303,0)</f>
      </c>
      <c r="AB615" s="5">
        <v>3.3</v>
      </c>
      <c r="AC615" s="2" t="s">
        <v>3255</v>
      </c>
      <c r="AD615" s="4">
        <v>70</v>
      </c>
      <c r="AE615" s="4">
        <v>97</v>
      </c>
      <c r="AF615" s="6">
        <v>66</v>
      </c>
      <c r="AG615" s="6"/>
      <c r="AH615" s="7">
        <v>0</v>
      </c>
      <c r="AI615" s="4"/>
      <c r="AJ615" s="4">
        <f>=ROUNDDOWN({0},0)</f>
      </c>
      <c r="AK615" s="5"/>
      <c r="AL615" s="2" t="s">
        <v>233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233</v>
      </c>
      <c r="BD615" s="8" t="s">
        <v>233</v>
      </c>
      <c r="BE615" s="4" t="s">
        <v>233</v>
      </c>
      <c r="BF615" s="8" t="s">
        <v>233</v>
      </c>
      <c r="BG615" s="7" t="s">
        <v>233</v>
      </c>
      <c r="BH615" s="7" t="s">
        <v>233</v>
      </c>
      <c r="BI615" s="7"/>
      <c r="BJ615" s="4">
        <v>2</v>
      </c>
      <c r="BK615" s="8">
        <v>683.1</v>
      </c>
      <c r="BL615" s="2" t="s">
        <v>744</v>
      </c>
      <c r="BM615" s="7"/>
      <c r="BN615" s="7"/>
      <c r="BO615" s="4"/>
      <c r="BP615" s="8"/>
      <c r="BQ615" s="4"/>
      <c r="BR615" s="8"/>
      <c r="BS615" s="7"/>
      <c r="BT615" s="7"/>
      <c r="BU615" s="2" t="s">
        <v>3534</v>
      </c>
      <c r="BV615" s="2" t="s">
        <v>233</v>
      </c>
      <c r="BW615" s="2" t="s">
        <v>233</v>
      </c>
      <c r="BX615" s="2" t="s">
        <v>243</v>
      </c>
      <c r="BY615" s="2" t="s">
        <v>280</v>
      </c>
      <c r="BZ615" s="2" t="s">
        <v>245</v>
      </c>
      <c r="CA615" s="2" t="s">
        <v>3535</v>
      </c>
      <c r="CB615" s="2" t="s">
        <v>3169</v>
      </c>
      <c r="CC615" s="2" t="s">
        <v>246</v>
      </c>
      <c r="CD615" s="2" t="s">
        <v>233</v>
      </c>
      <c r="CE615" s="4"/>
      <c r="CF615" s="4">
        <v>1</v>
      </c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>
        <v>70</v>
      </c>
      <c r="EP615" s="4">
        <v>27</v>
      </c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</row>
    <row r="616">
      <c r="A616" s="2" t="s">
        <v>3536</v>
      </c>
      <c r="B616" s="2" t="s">
        <v>1066</v>
      </c>
      <c r="C616" s="2" t="s">
        <v>530</v>
      </c>
      <c r="D616" s="2" t="s">
        <v>1067</v>
      </c>
      <c r="E616" s="2" t="s">
        <v>1068</v>
      </c>
      <c r="F616" s="2" t="s">
        <v>2175</v>
      </c>
      <c r="G616" s="2" t="s">
        <v>3537</v>
      </c>
      <c r="H616" s="2" t="s">
        <v>3538</v>
      </c>
      <c r="I616" s="2" t="s">
        <v>3539</v>
      </c>
      <c r="J616" s="2" t="s">
        <v>892</v>
      </c>
      <c r="K616" s="2" t="s">
        <v>1191</v>
      </c>
      <c r="L616" s="3">
        <v>370.44</v>
      </c>
      <c r="M616" s="3">
        <v>388.96</v>
      </c>
      <c r="N616" s="3">
        <v>779</v>
      </c>
      <c r="O616" s="2" t="s">
        <v>245</v>
      </c>
      <c r="P616" s="2" t="s">
        <v>1118</v>
      </c>
      <c r="Q616" s="2" t="s">
        <v>239</v>
      </c>
      <c r="R616" s="2" t="s">
        <v>16</v>
      </c>
      <c r="S616" s="2" t="s">
        <v>3540</v>
      </c>
      <c r="T616" s="2" t="s">
        <v>233</v>
      </c>
      <c r="U616" s="2" t="s">
        <v>491</v>
      </c>
      <c r="V616" s="2" t="s">
        <v>1658</v>
      </c>
      <c r="W616" s="2" t="s">
        <v>451</v>
      </c>
      <c r="X616" s="2" t="s">
        <v>233</v>
      </c>
      <c r="Y616" s="2" t="s">
        <v>3541</v>
      </c>
      <c r="Z616" s="4">
        <v>72</v>
      </c>
      <c r="AA616" s="4">
        <f>=ROUNDDOWN({0},0)</f>
      </c>
      <c r="AB616" s="5"/>
      <c r="AC616" s="2" t="s">
        <v>1947</v>
      </c>
      <c r="AD616" s="4">
        <v>55</v>
      </c>
      <c r="AE616" s="4">
        <v>55</v>
      </c>
      <c r="AF616" s="6"/>
      <c r="AG616" s="6"/>
      <c r="AH616" s="7">
        <v>1</v>
      </c>
      <c r="AI616" s="4"/>
      <c r="AJ616" s="4">
        <f>=ROUNDDOWN({0},0)</f>
      </c>
      <c r="AK616" s="5"/>
      <c r="AL616" s="2" t="s">
        <v>233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233</v>
      </c>
      <c r="BM616" s="7"/>
      <c r="BN616" s="7"/>
      <c r="BO616" s="4"/>
      <c r="BP616" s="8"/>
      <c r="BQ616" s="4"/>
      <c r="BR616" s="8"/>
      <c r="BS616" s="7"/>
      <c r="BT616" s="7"/>
      <c r="BU616" s="2" t="s">
        <v>3542</v>
      </c>
      <c r="BV616" s="2" t="s">
        <v>233</v>
      </c>
      <c r="BW616" s="2" t="s">
        <v>233</v>
      </c>
      <c r="BX616" s="2" t="s">
        <v>233</v>
      </c>
      <c r="BY616" s="2" t="s">
        <v>280</v>
      </c>
      <c r="BZ616" s="2" t="s">
        <v>245</v>
      </c>
      <c r="CA616" s="2" t="s">
        <v>1674</v>
      </c>
      <c r="CB616" s="2" t="s">
        <v>3543</v>
      </c>
      <c r="CC616" s="2" t="s">
        <v>246</v>
      </c>
      <c r="CD616" s="2" t="s">
        <v>233</v>
      </c>
      <c r="CE616" s="4"/>
      <c r="CF616" s="4">
        <v>72</v>
      </c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>
        <v>55</v>
      </c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</row>
    <row r="617">
      <c r="A617" s="2" t="s">
        <v>3544</v>
      </c>
      <c r="B617" s="2" t="s">
        <v>1066</v>
      </c>
      <c r="C617" s="2" t="s">
        <v>530</v>
      </c>
      <c r="D617" s="2" t="s">
        <v>1919</v>
      </c>
      <c r="E617" s="2" t="s">
        <v>3467</v>
      </c>
      <c r="F617" s="2" t="s">
        <v>3545</v>
      </c>
      <c r="G617" s="2" t="s">
        <v>3546</v>
      </c>
      <c r="H617" s="2" t="s">
        <v>3547</v>
      </c>
      <c r="I617" s="2" t="s">
        <v>3548</v>
      </c>
      <c r="J617" s="2" t="s">
        <v>892</v>
      </c>
      <c r="K617" s="2" t="s">
        <v>271</v>
      </c>
      <c r="L617" s="3">
        <v>99.75</v>
      </c>
      <c r="M617" s="3">
        <v>104.74</v>
      </c>
      <c r="N617" s="3">
        <v>209</v>
      </c>
      <c r="O617" s="2" t="s">
        <v>252</v>
      </c>
      <c r="P617" s="2" t="s">
        <v>311</v>
      </c>
      <c r="Q617" s="2" t="s">
        <v>239</v>
      </c>
      <c r="R617" s="2" t="s">
        <v>233</v>
      </c>
      <c r="S617" s="2" t="s">
        <v>3549</v>
      </c>
      <c r="T617" s="2" t="s">
        <v>233</v>
      </c>
      <c r="U617" s="2" t="s">
        <v>233</v>
      </c>
      <c r="V617" s="2" t="s">
        <v>241</v>
      </c>
      <c r="W617" s="2" t="s">
        <v>451</v>
      </c>
      <c r="X617" s="2" t="s">
        <v>233</v>
      </c>
      <c r="Y617" s="2" t="s">
        <v>2048</v>
      </c>
      <c r="Z617" s="4"/>
      <c r="AA617" s="4">
        <f>=ROUNDDOWN({0},0)</f>
      </c>
      <c r="AB617" s="5">
        <v>4.4</v>
      </c>
      <c r="AC617" s="2" t="s">
        <v>233</v>
      </c>
      <c r="AD617" s="4"/>
      <c r="AE617" s="4"/>
      <c r="AF617" s="6">
        <v>75</v>
      </c>
      <c r="AG617" s="6">
        <v>66</v>
      </c>
      <c r="AH617" s="7">
        <v>0</v>
      </c>
      <c r="AI617" s="4"/>
      <c r="AJ617" s="4">
        <f>=ROUNDDOWN({0},0)</f>
      </c>
      <c r="AK617" s="5"/>
      <c r="AL617" s="2" t="s">
        <v>233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233</v>
      </c>
      <c r="BD617" s="8" t="s">
        <v>233</v>
      </c>
      <c r="BE617" s="4" t="s">
        <v>233</v>
      </c>
      <c r="BF617" s="8" t="s">
        <v>233</v>
      </c>
      <c r="BG617" s="7" t="s">
        <v>233</v>
      </c>
      <c r="BH617" s="7" t="s">
        <v>233</v>
      </c>
      <c r="BI617" s="7"/>
      <c r="BJ617" s="4"/>
      <c r="BK617" s="8"/>
      <c r="BL617" s="2" t="s">
        <v>2064</v>
      </c>
      <c r="BM617" s="7"/>
      <c r="BN617" s="7"/>
      <c r="BO617" s="4"/>
      <c r="BP617" s="8"/>
      <c r="BQ617" s="4"/>
      <c r="BR617" s="8"/>
      <c r="BS617" s="7"/>
      <c r="BT617" s="7"/>
      <c r="BU617" s="2" t="s">
        <v>3550</v>
      </c>
      <c r="BV617" s="2" t="s">
        <v>233</v>
      </c>
      <c r="BW617" s="2" t="s">
        <v>233</v>
      </c>
      <c r="BX617" s="2" t="s">
        <v>233</v>
      </c>
      <c r="BY617" s="2" t="s">
        <v>280</v>
      </c>
      <c r="BZ617" s="2" t="s">
        <v>245</v>
      </c>
      <c r="CA617" s="2" t="s">
        <v>433</v>
      </c>
      <c r="CB617" s="2" t="s">
        <v>3551</v>
      </c>
      <c r="CC617" s="2" t="s">
        <v>246</v>
      </c>
      <c r="CD617" s="2" t="s">
        <v>233</v>
      </c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</row>
    <row r="618">
      <c r="A618" s="2" t="s">
        <v>3552</v>
      </c>
      <c r="B618" s="2" t="s">
        <v>1066</v>
      </c>
      <c r="C618" s="2" t="s">
        <v>530</v>
      </c>
      <c r="D618" s="2" t="s">
        <v>1923</v>
      </c>
      <c r="E618" s="2" t="s">
        <v>1924</v>
      </c>
      <c r="F618" s="2" t="s">
        <v>3545</v>
      </c>
      <c r="G618" s="2" t="s">
        <v>3546</v>
      </c>
      <c r="H618" s="2" t="s">
        <v>3547</v>
      </c>
      <c r="I618" s="2" t="s">
        <v>3553</v>
      </c>
      <c r="J618" s="2" t="s">
        <v>892</v>
      </c>
      <c r="K618" s="2" t="s">
        <v>1191</v>
      </c>
      <c r="L618" s="3">
        <v>173.25</v>
      </c>
      <c r="M618" s="3">
        <v>181.91</v>
      </c>
      <c r="N618" s="3">
        <v>369</v>
      </c>
      <c r="O618" s="2" t="s">
        <v>245</v>
      </c>
      <c r="P618" s="2" t="s">
        <v>272</v>
      </c>
      <c r="Q618" s="2" t="s">
        <v>239</v>
      </c>
      <c r="R618" s="2" t="s">
        <v>233</v>
      </c>
      <c r="S618" s="2" t="s">
        <v>3554</v>
      </c>
      <c r="T618" s="2" t="s">
        <v>233</v>
      </c>
      <c r="U618" s="2" t="s">
        <v>233</v>
      </c>
      <c r="V618" s="2" t="s">
        <v>241</v>
      </c>
      <c r="W618" s="2" t="s">
        <v>451</v>
      </c>
      <c r="X618" s="2" t="s">
        <v>233</v>
      </c>
      <c r="Y618" s="2" t="s">
        <v>3555</v>
      </c>
      <c r="Z618" s="4">
        <v>70</v>
      </c>
      <c r="AA618" s="4">
        <f>=ROUNDDOWN(5.83333333333333,0)</f>
      </c>
      <c r="AB618" s="5">
        <v>12</v>
      </c>
      <c r="AC618" s="2" t="s">
        <v>3556</v>
      </c>
      <c r="AD618" s="4">
        <v>57</v>
      </c>
      <c r="AE618" s="4">
        <v>282</v>
      </c>
      <c r="AF618" s="6">
        <v>76</v>
      </c>
      <c r="AG618" s="6">
        <v>67</v>
      </c>
      <c r="AH618" s="7">
        <v>1</v>
      </c>
      <c r="AI618" s="4"/>
      <c r="AJ618" s="4">
        <f>=ROUNDDOWN({0},0)</f>
      </c>
      <c r="AK618" s="5"/>
      <c r="AL618" s="2" t="s">
        <v>233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233</v>
      </c>
      <c r="BD618" s="8" t="s">
        <v>233</v>
      </c>
      <c r="BE618" s="4" t="s">
        <v>233</v>
      </c>
      <c r="BF618" s="8" t="s">
        <v>233</v>
      </c>
      <c r="BG618" s="7" t="s">
        <v>233</v>
      </c>
      <c r="BH618" s="7" t="s">
        <v>233</v>
      </c>
      <c r="BI618" s="7"/>
      <c r="BJ618" s="4">
        <v>5</v>
      </c>
      <c r="BK618" s="8">
        <v>849.86</v>
      </c>
      <c r="BL618" s="2" t="s">
        <v>3557</v>
      </c>
      <c r="BM618" s="7"/>
      <c r="BN618" s="7"/>
      <c r="BO618" s="4"/>
      <c r="BP618" s="8"/>
      <c r="BQ618" s="4"/>
      <c r="BR618" s="8"/>
      <c r="BS618" s="7"/>
      <c r="BT618" s="7"/>
      <c r="BU618" s="2" t="s">
        <v>3558</v>
      </c>
      <c r="BV618" s="2" t="s">
        <v>233</v>
      </c>
      <c r="BW618" s="2" t="s">
        <v>233</v>
      </c>
      <c r="BX618" s="2" t="s">
        <v>233</v>
      </c>
      <c r="BY618" s="2" t="s">
        <v>280</v>
      </c>
      <c r="BZ618" s="2" t="s">
        <v>245</v>
      </c>
      <c r="CA618" s="2" t="s">
        <v>281</v>
      </c>
      <c r="CB618" s="2" t="s">
        <v>288</v>
      </c>
      <c r="CC618" s="2" t="s">
        <v>246</v>
      </c>
      <c r="CD618" s="2" t="s">
        <v>233</v>
      </c>
      <c r="CE618" s="4"/>
      <c r="CF618" s="4">
        <v>70</v>
      </c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>
        <v>57</v>
      </c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>
        <v>225</v>
      </c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</row>
    <row r="619">
      <c r="A619" s="2" t="s">
        <v>3559</v>
      </c>
      <c r="B619" s="2" t="s">
        <v>1066</v>
      </c>
      <c r="C619" s="2" t="s">
        <v>530</v>
      </c>
      <c r="D619" s="2" t="s">
        <v>1919</v>
      </c>
      <c r="E619" s="2" t="s">
        <v>3467</v>
      </c>
      <c r="F619" s="2" t="s">
        <v>3545</v>
      </c>
      <c r="G619" s="2" t="s">
        <v>3546</v>
      </c>
      <c r="H619" s="2" t="s">
        <v>3547</v>
      </c>
      <c r="I619" s="2" t="s">
        <v>3548</v>
      </c>
      <c r="J619" s="2" t="s">
        <v>892</v>
      </c>
      <c r="K619" s="2" t="s">
        <v>255</v>
      </c>
      <c r="L619" s="3">
        <v>99.75</v>
      </c>
      <c r="M619" s="3">
        <v>104.74</v>
      </c>
      <c r="N619" s="3">
        <v>209</v>
      </c>
      <c r="O619" s="2" t="s">
        <v>237</v>
      </c>
      <c r="P619" s="2" t="s">
        <v>311</v>
      </c>
      <c r="Q619" s="2" t="s">
        <v>239</v>
      </c>
      <c r="R619" s="2" t="s">
        <v>233</v>
      </c>
      <c r="S619" s="2" t="s">
        <v>3560</v>
      </c>
      <c r="T619" s="2" t="s">
        <v>233</v>
      </c>
      <c r="U619" s="2" t="s">
        <v>233</v>
      </c>
      <c r="V619" s="2" t="s">
        <v>241</v>
      </c>
      <c r="W619" s="2" t="s">
        <v>451</v>
      </c>
      <c r="X619" s="2" t="s">
        <v>233</v>
      </c>
      <c r="Y619" s="2" t="s">
        <v>276</v>
      </c>
      <c r="Z619" s="4">
        <v>44</v>
      </c>
      <c r="AA619" s="4">
        <f>=ROUNDDOWN(40,0)</f>
      </c>
      <c r="AB619" s="5">
        <v>1.1</v>
      </c>
      <c r="AC619" s="2" t="s">
        <v>233</v>
      </c>
      <c r="AD619" s="4"/>
      <c r="AE619" s="4"/>
      <c r="AF619" s="6">
        <v>75</v>
      </c>
      <c r="AG619" s="6">
        <v>66</v>
      </c>
      <c r="AH619" s="7">
        <v>1</v>
      </c>
      <c r="AI619" s="4"/>
      <c r="AJ619" s="4">
        <f>=ROUNDDOWN({0},0)</f>
      </c>
      <c r="AK619" s="5"/>
      <c r="AL619" s="2" t="s">
        <v>233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233</v>
      </c>
      <c r="BD619" s="8" t="s">
        <v>233</v>
      </c>
      <c r="BE619" s="4" t="s">
        <v>233</v>
      </c>
      <c r="BF619" s="8" t="s">
        <v>233</v>
      </c>
      <c r="BG619" s="7" t="s">
        <v>233</v>
      </c>
      <c r="BH619" s="7" t="s">
        <v>233</v>
      </c>
      <c r="BI619" s="7"/>
      <c r="BJ619" s="4">
        <v>3</v>
      </c>
      <c r="BK619" s="8">
        <v>154.86</v>
      </c>
      <c r="BL619" s="2" t="s">
        <v>3561</v>
      </c>
      <c r="BM619" s="7"/>
      <c r="BN619" s="7"/>
      <c r="BO619" s="4"/>
      <c r="BP619" s="8"/>
      <c r="BQ619" s="4"/>
      <c r="BR619" s="8"/>
      <c r="BS619" s="7"/>
      <c r="BT619" s="7"/>
      <c r="BU619" s="2" t="s">
        <v>3562</v>
      </c>
      <c r="BV619" s="2" t="s">
        <v>233</v>
      </c>
      <c r="BW619" s="2" t="s">
        <v>233</v>
      </c>
      <c r="BX619" s="2" t="s">
        <v>233</v>
      </c>
      <c r="BY619" s="2" t="s">
        <v>280</v>
      </c>
      <c r="BZ619" s="2" t="s">
        <v>245</v>
      </c>
      <c r="CA619" s="2" t="s">
        <v>433</v>
      </c>
      <c r="CB619" s="2" t="s">
        <v>326</v>
      </c>
      <c r="CC619" s="2" t="s">
        <v>246</v>
      </c>
      <c r="CD619" s="2" t="s">
        <v>233</v>
      </c>
      <c r="CE619" s="4"/>
      <c r="CF619" s="4">
        <v>44</v>
      </c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</row>
    <row r="620">
      <c r="A620" s="2" t="s">
        <v>3563</v>
      </c>
      <c r="B620" s="2" t="s">
        <v>1174</v>
      </c>
      <c r="C620" s="2" t="s">
        <v>1157</v>
      </c>
      <c r="D620" s="2" t="s">
        <v>1175</v>
      </c>
      <c r="E620" s="2" t="s">
        <v>1206</v>
      </c>
      <c r="F620" s="2" t="s">
        <v>3564</v>
      </c>
      <c r="G620" s="2" t="s">
        <v>3565</v>
      </c>
      <c r="H620" s="2" t="s">
        <v>3566</v>
      </c>
      <c r="I620" s="2" t="s">
        <v>3567</v>
      </c>
      <c r="J620" s="2" t="s">
        <v>3568</v>
      </c>
      <c r="K620" s="2" t="s">
        <v>773</v>
      </c>
      <c r="L620" s="3">
        <v>17.02</v>
      </c>
      <c r="M620" s="3">
        <v>17.87</v>
      </c>
      <c r="N620" s="3">
        <v>36.99</v>
      </c>
      <c r="O620" s="2" t="s">
        <v>245</v>
      </c>
      <c r="P620" s="2" t="s">
        <v>272</v>
      </c>
      <c r="Q620" s="2" t="s">
        <v>239</v>
      </c>
      <c r="R620" s="2" t="s">
        <v>233</v>
      </c>
      <c r="S620" s="2" t="s">
        <v>3569</v>
      </c>
      <c r="T620" s="2" t="s">
        <v>3570</v>
      </c>
      <c r="U620" s="2" t="s">
        <v>491</v>
      </c>
      <c r="V620" s="2" t="s">
        <v>241</v>
      </c>
      <c r="W620" s="2" t="s">
        <v>397</v>
      </c>
      <c r="X620" s="2" t="s">
        <v>3129</v>
      </c>
      <c r="Y620" s="2" t="s">
        <v>3571</v>
      </c>
      <c r="Z620" s="4">
        <v>102</v>
      </c>
      <c r="AA620" s="4">
        <f>=ROUNDDOWN(36.4285714285714,0)</f>
      </c>
      <c r="AB620" s="5">
        <v>2.8</v>
      </c>
      <c r="AC620" s="2" t="s">
        <v>233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233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233</v>
      </c>
      <c r="BD620" s="8" t="s">
        <v>233</v>
      </c>
      <c r="BE620" s="4" t="s">
        <v>233</v>
      </c>
      <c r="BF620" s="8" t="s">
        <v>233</v>
      </c>
      <c r="BG620" s="7" t="s">
        <v>233</v>
      </c>
      <c r="BH620" s="7" t="s">
        <v>233</v>
      </c>
      <c r="BI620" s="7"/>
      <c r="BJ620" s="4">
        <v>10</v>
      </c>
      <c r="BK620" s="8">
        <v>169.1</v>
      </c>
      <c r="BL620" s="2" t="s">
        <v>453</v>
      </c>
      <c r="BM620" s="7"/>
      <c r="BN620" s="7"/>
      <c r="BO620" s="4"/>
      <c r="BP620" s="8"/>
      <c r="BQ620" s="4"/>
      <c r="BR620" s="8"/>
      <c r="BS620" s="7"/>
      <c r="BT620" s="7"/>
      <c r="BU620" s="2" t="s">
        <v>3572</v>
      </c>
      <c r="BV620" s="2" t="s">
        <v>233</v>
      </c>
      <c r="BW620" s="2" t="s">
        <v>233</v>
      </c>
      <c r="BX620" s="2" t="s">
        <v>243</v>
      </c>
      <c r="BY620" s="2" t="s">
        <v>280</v>
      </c>
      <c r="BZ620" s="2" t="s">
        <v>245</v>
      </c>
      <c r="CA620" s="2" t="s">
        <v>3571</v>
      </c>
      <c r="CB620" s="2" t="s">
        <v>3573</v>
      </c>
      <c r="CC620" s="2" t="s">
        <v>246</v>
      </c>
      <c r="CD620" s="2" t="s">
        <v>233</v>
      </c>
      <c r="CE620" s="4">
        <v>102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</row>
    <row r="621">
      <c r="A621" s="2" t="s">
        <v>3574</v>
      </c>
      <c r="B621" s="2" t="s">
        <v>1174</v>
      </c>
      <c r="C621" s="2" t="s">
        <v>1157</v>
      </c>
      <c r="D621" s="2" t="s">
        <v>1175</v>
      </c>
      <c r="E621" s="2" t="s">
        <v>1206</v>
      </c>
      <c r="F621" s="2" t="s">
        <v>3564</v>
      </c>
      <c r="G621" s="2" t="s">
        <v>3565</v>
      </c>
      <c r="H621" s="2" t="s">
        <v>3566</v>
      </c>
      <c r="I621" s="2" t="s">
        <v>3567</v>
      </c>
      <c r="J621" s="2" t="s">
        <v>3575</v>
      </c>
      <c r="K621" s="2" t="s">
        <v>449</v>
      </c>
      <c r="L621" s="3">
        <v>19.32</v>
      </c>
      <c r="M621" s="3">
        <v>20.29</v>
      </c>
      <c r="N621" s="3">
        <v>41.99</v>
      </c>
      <c r="O621" s="2" t="s">
        <v>245</v>
      </c>
      <c r="P621" s="2" t="s">
        <v>238</v>
      </c>
      <c r="Q621" s="2" t="s">
        <v>239</v>
      </c>
      <c r="R621" s="2" t="s">
        <v>233</v>
      </c>
      <c r="S621" s="2" t="s">
        <v>3576</v>
      </c>
      <c r="T621" s="2" t="s">
        <v>3570</v>
      </c>
      <c r="U621" s="2" t="s">
        <v>491</v>
      </c>
      <c r="V621" s="2" t="s">
        <v>241</v>
      </c>
      <c r="W621" s="2" t="s">
        <v>397</v>
      </c>
      <c r="X621" s="2" t="s">
        <v>3129</v>
      </c>
      <c r="Y621" s="2" t="s">
        <v>3021</v>
      </c>
      <c r="Z621" s="4">
        <v>123</v>
      </c>
      <c r="AA621" s="4">
        <f>=ROUNDDOWN(102.5,0)</f>
      </c>
      <c r="AB621" s="5">
        <v>1.2</v>
      </c>
      <c r="AC621" s="2" t="s">
        <v>233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233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233</v>
      </c>
      <c r="AW621" s="8" t="s">
        <v>233</v>
      </c>
      <c r="AX621" s="4" t="s">
        <v>233</v>
      </c>
      <c r="AY621" s="8" t="s">
        <v>233</v>
      </c>
      <c r="AZ621" s="7" t="s">
        <v>233</v>
      </c>
      <c r="BA621" s="7" t="s">
        <v>233</v>
      </c>
      <c r="BB621" s="7"/>
      <c r="BC621" s="4" t="s">
        <v>233</v>
      </c>
      <c r="BD621" s="8" t="s">
        <v>233</v>
      </c>
      <c r="BE621" s="4" t="s">
        <v>233</v>
      </c>
      <c r="BF621" s="8" t="s">
        <v>233</v>
      </c>
      <c r="BG621" s="7" t="s">
        <v>233</v>
      </c>
      <c r="BH621" s="7" t="s">
        <v>233</v>
      </c>
      <c r="BI621" s="7"/>
      <c r="BJ621" s="4">
        <v>5</v>
      </c>
      <c r="BK621" s="8">
        <v>99.88</v>
      </c>
      <c r="BL621" s="2" t="s">
        <v>1588</v>
      </c>
      <c r="BM621" s="7"/>
      <c r="BN621" s="7"/>
      <c r="BO621" s="4"/>
      <c r="BP621" s="8"/>
      <c r="BQ621" s="4"/>
      <c r="BR621" s="8"/>
      <c r="BS621" s="7"/>
      <c r="BT621" s="7"/>
      <c r="BU621" s="2" t="s">
        <v>3577</v>
      </c>
      <c r="BV621" s="2" t="s">
        <v>233</v>
      </c>
      <c r="BW621" s="2" t="s">
        <v>233</v>
      </c>
      <c r="BX621" s="2" t="s">
        <v>233</v>
      </c>
      <c r="BY621" s="2" t="s">
        <v>280</v>
      </c>
      <c r="BZ621" s="2" t="s">
        <v>245</v>
      </c>
      <c r="CA621" s="2" t="s">
        <v>3578</v>
      </c>
      <c r="CB621" s="2" t="s">
        <v>401</v>
      </c>
      <c r="CC621" s="2" t="s">
        <v>246</v>
      </c>
      <c r="CD621" s="2" t="s">
        <v>233</v>
      </c>
      <c r="CE621" s="4">
        <v>123</v>
      </c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</row>
    <row r="622">
      <c r="A622" s="2" t="s">
        <v>3579</v>
      </c>
      <c r="B622" s="2" t="s">
        <v>1174</v>
      </c>
      <c r="C622" s="2" t="s">
        <v>1157</v>
      </c>
      <c r="D622" s="2" t="s">
        <v>1175</v>
      </c>
      <c r="E622" s="2" t="s">
        <v>1206</v>
      </c>
      <c r="F622" s="2" t="s">
        <v>3564</v>
      </c>
      <c r="G622" s="2" t="s">
        <v>3565</v>
      </c>
      <c r="H622" s="2" t="s">
        <v>3566</v>
      </c>
      <c r="I622" s="2" t="s">
        <v>3567</v>
      </c>
      <c r="J622" s="2" t="s">
        <v>3580</v>
      </c>
      <c r="K622" s="2" t="s">
        <v>449</v>
      </c>
      <c r="L622" s="3">
        <v>22.09</v>
      </c>
      <c r="M622" s="3">
        <v>23.19</v>
      </c>
      <c r="N622" s="3">
        <v>46.99</v>
      </c>
      <c r="O622" s="2" t="s">
        <v>245</v>
      </c>
      <c r="P622" s="2" t="s">
        <v>238</v>
      </c>
      <c r="Q622" s="2" t="s">
        <v>239</v>
      </c>
      <c r="R622" s="2" t="s">
        <v>233</v>
      </c>
      <c r="S622" s="2" t="s">
        <v>3581</v>
      </c>
      <c r="T622" s="2" t="s">
        <v>3570</v>
      </c>
      <c r="U622" s="2" t="s">
        <v>491</v>
      </c>
      <c r="V622" s="2" t="s">
        <v>241</v>
      </c>
      <c r="W622" s="2" t="s">
        <v>397</v>
      </c>
      <c r="X622" s="2" t="s">
        <v>3129</v>
      </c>
      <c r="Y622" s="2" t="s">
        <v>3021</v>
      </c>
      <c r="Z622" s="4">
        <v>147</v>
      </c>
      <c r="AA622" s="4">
        <f>=ROUNDDOWN(147,0)</f>
      </c>
      <c r="AB622" s="5">
        <v>1</v>
      </c>
      <c r="AC622" s="2" t="s">
        <v>233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233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233</v>
      </c>
      <c r="AW622" s="8" t="s">
        <v>233</v>
      </c>
      <c r="AX622" s="4" t="s">
        <v>233</v>
      </c>
      <c r="AY622" s="8" t="s">
        <v>233</v>
      </c>
      <c r="AZ622" s="7" t="s">
        <v>233</v>
      </c>
      <c r="BA622" s="7" t="s">
        <v>233</v>
      </c>
      <c r="BB622" s="7"/>
      <c r="BC622" s="4" t="s">
        <v>233</v>
      </c>
      <c r="BD622" s="8" t="s">
        <v>233</v>
      </c>
      <c r="BE622" s="4" t="s">
        <v>233</v>
      </c>
      <c r="BF622" s="8" t="s">
        <v>233</v>
      </c>
      <c r="BG622" s="7" t="s">
        <v>233</v>
      </c>
      <c r="BH622" s="7" t="s">
        <v>233</v>
      </c>
      <c r="BI622" s="7"/>
      <c r="BJ622" s="4">
        <v>6</v>
      </c>
      <c r="BK622" s="8">
        <v>245.12</v>
      </c>
      <c r="BL622" s="2" t="s">
        <v>3582</v>
      </c>
      <c r="BM622" s="7"/>
      <c r="BN622" s="7"/>
      <c r="BO622" s="4"/>
      <c r="BP622" s="8"/>
      <c r="BQ622" s="4"/>
      <c r="BR622" s="8"/>
      <c r="BS622" s="7"/>
      <c r="BT622" s="7"/>
      <c r="BU622" s="2" t="s">
        <v>3583</v>
      </c>
      <c r="BV622" s="2" t="s">
        <v>233</v>
      </c>
      <c r="BW622" s="2" t="s">
        <v>233</v>
      </c>
      <c r="BX622" s="2" t="s">
        <v>233</v>
      </c>
      <c r="BY622" s="2" t="s">
        <v>280</v>
      </c>
      <c r="BZ622" s="2" t="s">
        <v>245</v>
      </c>
      <c r="CA622" s="2" t="s">
        <v>3578</v>
      </c>
      <c r="CB622" s="2" t="s">
        <v>3584</v>
      </c>
      <c r="CC622" s="2" t="s">
        <v>246</v>
      </c>
      <c r="CD622" s="2" t="s">
        <v>233</v>
      </c>
      <c r="CE622" s="4">
        <v>147</v>
      </c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</row>
    <row r="623">
      <c r="A623" s="2" t="s">
        <v>3585</v>
      </c>
      <c r="B623" s="2" t="s">
        <v>1174</v>
      </c>
      <c r="C623" s="2" t="s">
        <v>1157</v>
      </c>
      <c r="D623" s="2" t="s">
        <v>1175</v>
      </c>
      <c r="E623" s="2" t="s">
        <v>1206</v>
      </c>
      <c r="F623" s="2" t="s">
        <v>3564</v>
      </c>
      <c r="G623" s="2" t="s">
        <v>3565</v>
      </c>
      <c r="H623" s="2" t="s">
        <v>3566</v>
      </c>
      <c r="I623" s="2" t="s">
        <v>3567</v>
      </c>
      <c r="J623" s="2" t="s">
        <v>3575</v>
      </c>
      <c r="K623" s="2" t="s">
        <v>3586</v>
      </c>
      <c r="L623" s="3">
        <v>19.32</v>
      </c>
      <c r="M623" s="3">
        <v>20.29</v>
      </c>
      <c r="N623" s="3">
        <v>41.99</v>
      </c>
      <c r="O623" s="2" t="s">
        <v>245</v>
      </c>
      <c r="P623" s="2" t="s">
        <v>238</v>
      </c>
      <c r="Q623" s="2" t="s">
        <v>239</v>
      </c>
      <c r="R623" s="2" t="s">
        <v>233</v>
      </c>
      <c r="S623" s="2" t="s">
        <v>3587</v>
      </c>
      <c r="T623" s="2" t="s">
        <v>3570</v>
      </c>
      <c r="U623" s="2" t="s">
        <v>491</v>
      </c>
      <c r="V623" s="2" t="s">
        <v>241</v>
      </c>
      <c r="W623" s="2" t="s">
        <v>397</v>
      </c>
      <c r="X623" s="2" t="s">
        <v>3129</v>
      </c>
      <c r="Y623" s="2" t="s">
        <v>233</v>
      </c>
      <c r="Z623" s="4"/>
      <c r="AA623" s="4">
        <f>=ROUNDDOWN({0},0)</f>
      </c>
      <c r="AB623" s="5"/>
      <c r="AC623" s="2" t="s">
        <v>2721</v>
      </c>
      <c r="AD623" s="4">
        <v>100</v>
      </c>
      <c r="AE623" s="4">
        <v>260</v>
      </c>
      <c r="AF623" s="6">
        <v>64</v>
      </c>
      <c r="AG623" s="6"/>
      <c r="AH623" s="7">
        <v>0</v>
      </c>
      <c r="AI623" s="4"/>
      <c r="AJ623" s="4">
        <f>=ROUNDDOWN({0},0)</f>
      </c>
      <c r="AK623" s="5"/>
      <c r="AL623" s="2" t="s">
        <v>233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233</v>
      </c>
      <c r="AW623" s="8" t="s">
        <v>233</v>
      </c>
      <c r="AX623" s="4" t="s">
        <v>233</v>
      </c>
      <c r="AY623" s="8" t="s">
        <v>233</v>
      </c>
      <c r="AZ623" s="7" t="s">
        <v>233</v>
      </c>
      <c r="BA623" s="7" t="s">
        <v>233</v>
      </c>
      <c r="BB623" s="7"/>
      <c r="BC623" s="4" t="s">
        <v>233</v>
      </c>
      <c r="BD623" s="8" t="s">
        <v>233</v>
      </c>
      <c r="BE623" s="4" t="s">
        <v>233</v>
      </c>
      <c r="BF623" s="8" t="s">
        <v>233</v>
      </c>
      <c r="BG623" s="7" t="s">
        <v>233</v>
      </c>
      <c r="BH623" s="7" t="s">
        <v>233</v>
      </c>
      <c r="BI623" s="7"/>
      <c r="BJ623" s="4"/>
      <c r="BK623" s="8"/>
      <c r="BL623" s="2" t="s">
        <v>233</v>
      </c>
      <c r="BM623" s="7"/>
      <c r="BN623" s="7"/>
      <c r="BO623" s="4"/>
      <c r="BP623" s="8"/>
      <c r="BQ623" s="4"/>
      <c r="BR623" s="8"/>
      <c r="BS623" s="7"/>
      <c r="BT623" s="7"/>
      <c r="BU623" s="2" t="s">
        <v>243</v>
      </c>
      <c r="BV623" s="2" t="s">
        <v>233</v>
      </c>
      <c r="BW623" s="2" t="s">
        <v>233</v>
      </c>
      <c r="BX623" s="2" t="s">
        <v>243</v>
      </c>
      <c r="BY623" s="2" t="s">
        <v>244</v>
      </c>
      <c r="BZ623" s="2" t="s">
        <v>245</v>
      </c>
      <c r="CA623" s="2" t="s">
        <v>233</v>
      </c>
      <c r="CB623" s="2" t="s">
        <v>233</v>
      </c>
      <c r="CC623" s="2" t="s">
        <v>246</v>
      </c>
      <c r="CD623" s="2" t="s">
        <v>233</v>
      </c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>
        <v>100</v>
      </c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>
        <v>160</v>
      </c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</row>
    <row r="624">
      <c r="A624" s="2" t="s">
        <v>3588</v>
      </c>
      <c r="B624" s="2" t="s">
        <v>1174</v>
      </c>
      <c r="C624" s="2" t="s">
        <v>1157</v>
      </c>
      <c r="D624" s="2" t="s">
        <v>1175</v>
      </c>
      <c r="E624" s="2" t="s">
        <v>1206</v>
      </c>
      <c r="F624" s="2" t="s">
        <v>3564</v>
      </c>
      <c r="G624" s="2" t="s">
        <v>3565</v>
      </c>
      <c r="H624" s="2" t="s">
        <v>3566</v>
      </c>
      <c r="I624" s="2" t="s">
        <v>3567</v>
      </c>
      <c r="J624" s="2" t="s">
        <v>3580</v>
      </c>
      <c r="K624" s="2" t="s">
        <v>3586</v>
      </c>
      <c r="L624" s="3">
        <v>22.09</v>
      </c>
      <c r="M624" s="3">
        <v>23.19</v>
      </c>
      <c r="N624" s="3">
        <v>46.99</v>
      </c>
      <c r="O624" s="2" t="s">
        <v>245</v>
      </c>
      <c r="P624" s="2" t="s">
        <v>238</v>
      </c>
      <c r="Q624" s="2" t="s">
        <v>239</v>
      </c>
      <c r="R624" s="2" t="s">
        <v>233</v>
      </c>
      <c r="S624" s="2" t="s">
        <v>3587</v>
      </c>
      <c r="T624" s="2" t="s">
        <v>3570</v>
      </c>
      <c r="U624" s="2" t="s">
        <v>491</v>
      </c>
      <c r="V624" s="2" t="s">
        <v>241</v>
      </c>
      <c r="W624" s="2" t="s">
        <v>397</v>
      </c>
      <c r="X624" s="2" t="s">
        <v>3129</v>
      </c>
      <c r="Y624" s="2" t="s">
        <v>233</v>
      </c>
      <c r="Z624" s="4"/>
      <c r="AA624" s="4">
        <f>=ROUNDDOWN({0},0)</f>
      </c>
      <c r="AB624" s="5"/>
      <c r="AC624" s="2" t="s">
        <v>2721</v>
      </c>
      <c r="AD624" s="4">
        <v>92</v>
      </c>
      <c r="AE624" s="4">
        <v>242</v>
      </c>
      <c r="AF624" s="6">
        <v>64</v>
      </c>
      <c r="AG624" s="6"/>
      <c r="AH624" s="7">
        <v>0</v>
      </c>
      <c r="AI624" s="4"/>
      <c r="AJ624" s="4">
        <f>=ROUNDDOWN({0},0)</f>
      </c>
      <c r="AK624" s="5"/>
      <c r="AL624" s="2" t="s">
        <v>233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233</v>
      </c>
      <c r="AW624" s="8" t="s">
        <v>233</v>
      </c>
      <c r="AX624" s="4" t="s">
        <v>233</v>
      </c>
      <c r="AY624" s="8" t="s">
        <v>233</v>
      </c>
      <c r="AZ624" s="7" t="s">
        <v>233</v>
      </c>
      <c r="BA624" s="7" t="s">
        <v>233</v>
      </c>
      <c r="BB624" s="7"/>
      <c r="BC624" s="4" t="s">
        <v>233</v>
      </c>
      <c r="BD624" s="8" t="s">
        <v>233</v>
      </c>
      <c r="BE624" s="4" t="s">
        <v>233</v>
      </c>
      <c r="BF624" s="8" t="s">
        <v>233</v>
      </c>
      <c r="BG624" s="7" t="s">
        <v>233</v>
      </c>
      <c r="BH624" s="7" t="s">
        <v>233</v>
      </c>
      <c r="BI624" s="7"/>
      <c r="BJ624" s="4"/>
      <c r="BK624" s="8"/>
      <c r="BL624" s="2" t="s">
        <v>233</v>
      </c>
      <c r="BM624" s="7"/>
      <c r="BN624" s="7"/>
      <c r="BO624" s="4"/>
      <c r="BP624" s="8"/>
      <c r="BQ624" s="4"/>
      <c r="BR624" s="8"/>
      <c r="BS624" s="7"/>
      <c r="BT624" s="7"/>
      <c r="BU624" s="2" t="s">
        <v>243</v>
      </c>
      <c r="BV624" s="2" t="s">
        <v>233</v>
      </c>
      <c r="BW624" s="2" t="s">
        <v>233</v>
      </c>
      <c r="BX624" s="2" t="s">
        <v>243</v>
      </c>
      <c r="BY624" s="2" t="s">
        <v>244</v>
      </c>
      <c r="BZ624" s="2" t="s">
        <v>245</v>
      </c>
      <c r="CA624" s="2" t="s">
        <v>233</v>
      </c>
      <c r="CB624" s="2" t="s">
        <v>233</v>
      </c>
      <c r="CC624" s="2" t="s">
        <v>246</v>
      </c>
      <c r="CD624" s="2" t="s">
        <v>233</v>
      </c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>
        <v>92</v>
      </c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>
        <v>150</v>
      </c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</row>
    <row r="625">
      <c r="A625" s="2" t="s">
        <v>3589</v>
      </c>
      <c r="B625" s="2" t="s">
        <v>1174</v>
      </c>
      <c r="C625" s="2" t="s">
        <v>1157</v>
      </c>
      <c r="D625" s="2" t="s">
        <v>1175</v>
      </c>
      <c r="E625" s="2" t="s">
        <v>1206</v>
      </c>
      <c r="F625" s="2" t="s">
        <v>3564</v>
      </c>
      <c r="G625" s="2" t="s">
        <v>3565</v>
      </c>
      <c r="H625" s="2" t="s">
        <v>3566</v>
      </c>
      <c r="I625" s="2" t="s">
        <v>3567</v>
      </c>
      <c r="J625" s="2" t="s">
        <v>3568</v>
      </c>
      <c r="K625" s="2" t="s">
        <v>569</v>
      </c>
      <c r="L625" s="3">
        <v>17.02</v>
      </c>
      <c r="M625" s="3">
        <v>17.87</v>
      </c>
      <c r="N625" s="3">
        <v>36.99</v>
      </c>
      <c r="O625" s="2" t="s">
        <v>245</v>
      </c>
      <c r="P625" s="2" t="s">
        <v>763</v>
      </c>
      <c r="Q625" s="2" t="s">
        <v>239</v>
      </c>
      <c r="R625" s="2" t="s">
        <v>233</v>
      </c>
      <c r="S625" s="2" t="s">
        <v>3590</v>
      </c>
      <c r="T625" s="2" t="s">
        <v>3570</v>
      </c>
      <c r="U625" s="2" t="s">
        <v>491</v>
      </c>
      <c r="V625" s="2" t="s">
        <v>241</v>
      </c>
      <c r="W625" s="2" t="s">
        <v>397</v>
      </c>
      <c r="X625" s="2" t="s">
        <v>3129</v>
      </c>
      <c r="Y625" s="2" t="s">
        <v>3591</v>
      </c>
      <c r="Z625" s="4">
        <v>195</v>
      </c>
      <c r="AA625" s="4">
        <f>=ROUNDDOWN(21.6666666666667,0)</f>
      </c>
      <c r="AB625" s="5">
        <v>9</v>
      </c>
      <c r="AC625" s="2" t="s">
        <v>2183</v>
      </c>
      <c r="AD625" s="4">
        <v>92</v>
      </c>
      <c r="AE625" s="4">
        <v>92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233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233</v>
      </c>
      <c r="AW625" s="8" t="s">
        <v>233</v>
      </c>
      <c r="AX625" s="4" t="s">
        <v>233</v>
      </c>
      <c r="AY625" s="8" t="s">
        <v>233</v>
      </c>
      <c r="AZ625" s="7" t="s">
        <v>233</v>
      </c>
      <c r="BA625" s="7" t="s">
        <v>233</v>
      </c>
      <c r="BB625" s="7"/>
      <c r="BC625" s="4" t="s">
        <v>233</v>
      </c>
      <c r="BD625" s="8" t="s">
        <v>233</v>
      </c>
      <c r="BE625" s="4" t="s">
        <v>233</v>
      </c>
      <c r="BF625" s="8" t="s">
        <v>233</v>
      </c>
      <c r="BG625" s="7" t="s">
        <v>233</v>
      </c>
      <c r="BH625" s="7" t="s">
        <v>233</v>
      </c>
      <c r="BI625" s="7"/>
      <c r="BJ625" s="4">
        <v>15</v>
      </c>
      <c r="BK625" s="8">
        <v>275.87</v>
      </c>
      <c r="BL625" s="2" t="s">
        <v>1652</v>
      </c>
      <c r="BM625" s="7"/>
      <c r="BN625" s="7"/>
      <c r="BO625" s="4"/>
      <c r="BP625" s="8"/>
      <c r="BQ625" s="4"/>
      <c r="BR625" s="8"/>
      <c r="BS625" s="7"/>
      <c r="BT625" s="7"/>
      <c r="BU625" s="2" t="s">
        <v>3592</v>
      </c>
      <c r="BV625" s="2" t="s">
        <v>233</v>
      </c>
      <c r="BW625" s="2" t="s">
        <v>233</v>
      </c>
      <c r="BX625" s="2" t="s">
        <v>243</v>
      </c>
      <c r="BY625" s="2" t="s">
        <v>280</v>
      </c>
      <c r="BZ625" s="2" t="s">
        <v>245</v>
      </c>
      <c r="CA625" s="2" t="s">
        <v>3593</v>
      </c>
      <c r="CB625" s="2" t="s">
        <v>3594</v>
      </c>
      <c r="CC625" s="2" t="s">
        <v>246</v>
      </c>
      <c r="CD625" s="2" t="s">
        <v>233</v>
      </c>
      <c r="CE625" s="4">
        <v>195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>
        <v>92</v>
      </c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</row>
    <row r="626">
      <c r="A626" s="2" t="s">
        <v>3595</v>
      </c>
      <c r="B626" s="2" t="s">
        <v>1174</v>
      </c>
      <c r="C626" s="2" t="s">
        <v>1157</v>
      </c>
      <c r="D626" s="2" t="s">
        <v>1175</v>
      </c>
      <c r="E626" s="2" t="s">
        <v>1206</v>
      </c>
      <c r="F626" s="2" t="s">
        <v>3564</v>
      </c>
      <c r="G626" s="2" t="s">
        <v>3565</v>
      </c>
      <c r="H626" s="2" t="s">
        <v>3566</v>
      </c>
      <c r="I626" s="2" t="s">
        <v>3567</v>
      </c>
      <c r="J626" s="2" t="s">
        <v>3575</v>
      </c>
      <c r="K626" s="2" t="s">
        <v>569</v>
      </c>
      <c r="L626" s="3">
        <v>19.32</v>
      </c>
      <c r="M626" s="3">
        <v>20.29</v>
      </c>
      <c r="N626" s="3">
        <v>41.99</v>
      </c>
      <c r="O626" s="2" t="s">
        <v>245</v>
      </c>
      <c r="P626" s="2" t="s">
        <v>272</v>
      </c>
      <c r="Q626" s="2" t="s">
        <v>239</v>
      </c>
      <c r="R626" s="2" t="s">
        <v>233</v>
      </c>
      <c r="S626" s="2" t="s">
        <v>3590</v>
      </c>
      <c r="T626" s="2" t="s">
        <v>3570</v>
      </c>
      <c r="U626" s="2" t="s">
        <v>491</v>
      </c>
      <c r="V626" s="2" t="s">
        <v>241</v>
      </c>
      <c r="W626" s="2" t="s">
        <v>397</v>
      </c>
      <c r="X626" s="2" t="s">
        <v>3129</v>
      </c>
      <c r="Y626" s="2" t="s">
        <v>3591</v>
      </c>
      <c r="Z626" s="4">
        <v>12</v>
      </c>
      <c r="AA626" s="4">
        <f>=ROUNDDOWN(0.571428571428572,0)</f>
      </c>
      <c r="AB626" s="5">
        <v>21</v>
      </c>
      <c r="AC626" s="2" t="s">
        <v>1580</v>
      </c>
      <c r="AD626" s="4">
        <v>704</v>
      </c>
      <c r="AE626" s="4">
        <v>704</v>
      </c>
      <c r="AF626" s="6">
        <v>65</v>
      </c>
      <c r="AG626" s="6"/>
      <c r="AH626" s="7">
        <v>0.9032</v>
      </c>
      <c r="AI626" s="4"/>
      <c r="AJ626" s="4">
        <f>=ROUNDDOWN({0},0)</f>
      </c>
      <c r="AK626" s="5"/>
      <c r="AL626" s="2" t="s">
        <v>233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233</v>
      </c>
      <c r="AW626" s="8" t="s">
        <v>233</v>
      </c>
      <c r="AX626" s="4" t="s">
        <v>233</v>
      </c>
      <c r="AY626" s="8" t="s">
        <v>233</v>
      </c>
      <c r="AZ626" s="7" t="s">
        <v>233</v>
      </c>
      <c r="BA626" s="7" t="s">
        <v>233</v>
      </c>
      <c r="BB626" s="7"/>
      <c r="BC626" s="4" t="s">
        <v>233</v>
      </c>
      <c r="BD626" s="8" t="s">
        <v>233</v>
      </c>
      <c r="BE626" s="4" t="s">
        <v>233</v>
      </c>
      <c r="BF626" s="8" t="s">
        <v>233</v>
      </c>
      <c r="BG626" s="7" t="s">
        <v>233</v>
      </c>
      <c r="BH626" s="7" t="s">
        <v>233</v>
      </c>
      <c r="BI626" s="7"/>
      <c r="BJ626" s="4">
        <v>16</v>
      </c>
      <c r="BK626" s="8">
        <v>334.45</v>
      </c>
      <c r="BL626" s="2" t="s">
        <v>1254</v>
      </c>
      <c r="BM626" s="7"/>
      <c r="BN626" s="7"/>
      <c r="BO626" s="4"/>
      <c r="BP626" s="8"/>
      <c r="BQ626" s="4"/>
      <c r="BR626" s="8"/>
      <c r="BS626" s="7"/>
      <c r="BT626" s="7"/>
      <c r="BU626" s="2" t="s">
        <v>3596</v>
      </c>
      <c r="BV626" s="2" t="s">
        <v>233</v>
      </c>
      <c r="BW626" s="2" t="s">
        <v>233</v>
      </c>
      <c r="BX626" s="2" t="s">
        <v>243</v>
      </c>
      <c r="BY626" s="2" t="s">
        <v>280</v>
      </c>
      <c r="BZ626" s="2" t="s">
        <v>245</v>
      </c>
      <c r="CA626" s="2" t="s">
        <v>3593</v>
      </c>
      <c r="CB626" s="2" t="s">
        <v>3597</v>
      </c>
      <c r="CC626" s="2" t="s">
        <v>246</v>
      </c>
      <c r="CD626" s="2" t="s">
        <v>233</v>
      </c>
      <c r="CE626" s="4">
        <v>12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>
        <v>704</v>
      </c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</row>
    <row r="627">
      <c r="A627" s="2" t="s">
        <v>3598</v>
      </c>
      <c r="B627" s="2" t="s">
        <v>1174</v>
      </c>
      <c r="C627" s="2" t="s">
        <v>1157</v>
      </c>
      <c r="D627" s="2" t="s">
        <v>1175</v>
      </c>
      <c r="E627" s="2" t="s">
        <v>1206</v>
      </c>
      <c r="F627" s="2" t="s">
        <v>3564</v>
      </c>
      <c r="G627" s="2" t="s">
        <v>3565</v>
      </c>
      <c r="H627" s="2" t="s">
        <v>3566</v>
      </c>
      <c r="I627" s="2" t="s">
        <v>3567</v>
      </c>
      <c r="J627" s="2" t="s">
        <v>3575</v>
      </c>
      <c r="K627" s="2" t="s">
        <v>853</v>
      </c>
      <c r="L627" s="3">
        <v>19.32</v>
      </c>
      <c r="M627" s="3">
        <v>20.29</v>
      </c>
      <c r="N627" s="3">
        <v>41.99</v>
      </c>
      <c r="O627" s="2" t="s">
        <v>245</v>
      </c>
      <c r="P627" s="2" t="s">
        <v>311</v>
      </c>
      <c r="Q627" s="2" t="s">
        <v>239</v>
      </c>
      <c r="R627" s="2" t="s">
        <v>233</v>
      </c>
      <c r="S627" s="2" t="s">
        <v>3590</v>
      </c>
      <c r="T627" s="2" t="s">
        <v>3570</v>
      </c>
      <c r="U627" s="2" t="s">
        <v>491</v>
      </c>
      <c r="V627" s="2" t="s">
        <v>241</v>
      </c>
      <c r="W627" s="2" t="s">
        <v>397</v>
      </c>
      <c r="X627" s="2" t="s">
        <v>3129</v>
      </c>
      <c r="Y627" s="2" t="s">
        <v>3591</v>
      </c>
      <c r="Z627" s="4">
        <v>219</v>
      </c>
      <c r="AA627" s="4">
        <f>=ROUNDDOWN(43.8,0)</f>
      </c>
      <c r="AB627" s="5">
        <v>5</v>
      </c>
      <c r="AC627" s="2" t="s">
        <v>233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233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233</v>
      </c>
      <c r="BD627" s="8" t="s">
        <v>233</v>
      </c>
      <c r="BE627" s="4" t="s">
        <v>233</v>
      </c>
      <c r="BF627" s="8" t="s">
        <v>233</v>
      </c>
      <c r="BG627" s="7" t="s">
        <v>233</v>
      </c>
      <c r="BH627" s="7" t="s">
        <v>233</v>
      </c>
      <c r="BI627" s="7"/>
      <c r="BJ627" s="4">
        <v>13</v>
      </c>
      <c r="BK627" s="8">
        <v>264.41</v>
      </c>
      <c r="BL627" s="2" t="s">
        <v>3599</v>
      </c>
      <c r="BM627" s="7"/>
      <c r="BN627" s="7"/>
      <c r="BO627" s="4"/>
      <c r="BP627" s="8"/>
      <c r="BQ627" s="4"/>
      <c r="BR627" s="8"/>
      <c r="BS627" s="7"/>
      <c r="BT627" s="7"/>
      <c r="BU627" s="2" t="s">
        <v>3600</v>
      </c>
      <c r="BV627" s="2" t="s">
        <v>233</v>
      </c>
      <c r="BW627" s="2" t="s">
        <v>233</v>
      </c>
      <c r="BX627" s="2" t="s">
        <v>243</v>
      </c>
      <c r="BY627" s="2" t="s">
        <v>280</v>
      </c>
      <c r="BZ627" s="2" t="s">
        <v>245</v>
      </c>
      <c r="CA627" s="2" t="s">
        <v>3593</v>
      </c>
      <c r="CB627" s="2" t="s">
        <v>3601</v>
      </c>
      <c r="CC627" s="2" t="s">
        <v>246</v>
      </c>
      <c r="CD627" s="2" t="s">
        <v>233</v>
      </c>
      <c r="CE627" s="4">
        <v>219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</row>
    <row r="628">
      <c r="A628" s="2" t="s">
        <v>3602</v>
      </c>
      <c r="B628" s="2" t="s">
        <v>1174</v>
      </c>
      <c r="C628" s="2" t="s">
        <v>1157</v>
      </c>
      <c r="D628" s="2" t="s">
        <v>1175</v>
      </c>
      <c r="E628" s="2" t="s">
        <v>1206</v>
      </c>
      <c r="F628" s="2" t="s">
        <v>3564</v>
      </c>
      <c r="G628" s="2" t="s">
        <v>3565</v>
      </c>
      <c r="H628" s="2" t="s">
        <v>3566</v>
      </c>
      <c r="I628" s="2" t="s">
        <v>3567</v>
      </c>
      <c r="J628" s="2" t="s">
        <v>3568</v>
      </c>
      <c r="K628" s="2" t="s">
        <v>257</v>
      </c>
      <c r="L628" s="3">
        <v>17.02</v>
      </c>
      <c r="M628" s="3">
        <v>17.87</v>
      </c>
      <c r="N628" s="3">
        <v>36.99</v>
      </c>
      <c r="O628" s="2" t="s">
        <v>245</v>
      </c>
      <c r="P628" s="2" t="s">
        <v>272</v>
      </c>
      <c r="Q628" s="2" t="s">
        <v>239</v>
      </c>
      <c r="R628" s="2" t="s">
        <v>233</v>
      </c>
      <c r="S628" s="2" t="s">
        <v>3603</v>
      </c>
      <c r="T628" s="2" t="s">
        <v>3570</v>
      </c>
      <c r="U628" s="2" t="s">
        <v>491</v>
      </c>
      <c r="V628" s="2" t="s">
        <v>241</v>
      </c>
      <c r="W628" s="2" t="s">
        <v>397</v>
      </c>
      <c r="X628" s="2" t="s">
        <v>3129</v>
      </c>
      <c r="Y628" s="2" t="s">
        <v>3591</v>
      </c>
      <c r="Z628" s="4">
        <v>82</v>
      </c>
      <c r="AA628" s="4">
        <f>=ROUNDDOWN(27.3333333333333,0)</f>
      </c>
      <c r="AB628" s="5">
        <v>3</v>
      </c>
      <c r="AC628" s="2" t="s">
        <v>2183</v>
      </c>
      <c r="AD628" s="4">
        <v>52</v>
      </c>
      <c r="AE628" s="4">
        <v>52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233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233</v>
      </c>
      <c r="BD628" s="8" t="s">
        <v>233</v>
      </c>
      <c r="BE628" s="4" t="s">
        <v>233</v>
      </c>
      <c r="BF628" s="8" t="s">
        <v>233</v>
      </c>
      <c r="BG628" s="7" t="s">
        <v>233</v>
      </c>
      <c r="BH628" s="7" t="s">
        <v>233</v>
      </c>
      <c r="BI628" s="7"/>
      <c r="BJ628" s="4">
        <v>2</v>
      </c>
      <c r="BK628" s="8">
        <v>33.11</v>
      </c>
      <c r="BL628" s="2" t="s">
        <v>3604</v>
      </c>
      <c r="BM628" s="7"/>
      <c r="BN628" s="7"/>
      <c r="BO628" s="4"/>
      <c r="BP628" s="8"/>
      <c r="BQ628" s="4"/>
      <c r="BR628" s="8"/>
      <c r="BS628" s="7"/>
      <c r="BT628" s="7"/>
      <c r="BU628" s="2" t="s">
        <v>3605</v>
      </c>
      <c r="BV628" s="2" t="s">
        <v>233</v>
      </c>
      <c r="BW628" s="2" t="s">
        <v>233</v>
      </c>
      <c r="BX628" s="2" t="s">
        <v>243</v>
      </c>
      <c r="BY628" s="2" t="s">
        <v>280</v>
      </c>
      <c r="BZ628" s="2" t="s">
        <v>245</v>
      </c>
      <c r="CA628" s="2" t="s">
        <v>3593</v>
      </c>
      <c r="CB628" s="2" t="s">
        <v>3606</v>
      </c>
      <c r="CC628" s="2" t="s">
        <v>246</v>
      </c>
      <c r="CD628" s="2" t="s">
        <v>233</v>
      </c>
      <c r="CE628" s="4">
        <v>82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>
        <v>52</v>
      </c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</row>
    <row r="629">
      <c r="A629" s="2" t="s">
        <v>3607</v>
      </c>
      <c r="B629" s="2" t="s">
        <v>1174</v>
      </c>
      <c r="C629" s="2" t="s">
        <v>1157</v>
      </c>
      <c r="D629" s="2" t="s">
        <v>1175</v>
      </c>
      <c r="E629" s="2" t="s">
        <v>1206</v>
      </c>
      <c r="F629" s="2" t="s">
        <v>3564</v>
      </c>
      <c r="G629" s="2" t="s">
        <v>3565</v>
      </c>
      <c r="H629" s="2" t="s">
        <v>3566</v>
      </c>
      <c r="I629" s="2" t="s">
        <v>3567</v>
      </c>
      <c r="J629" s="2" t="s">
        <v>3575</v>
      </c>
      <c r="K629" s="2" t="s">
        <v>3608</v>
      </c>
      <c r="L629" s="3">
        <v>19.32</v>
      </c>
      <c r="M629" s="3">
        <v>20.29</v>
      </c>
      <c r="N629" s="3">
        <v>41.99</v>
      </c>
      <c r="O629" s="2" t="s">
        <v>245</v>
      </c>
      <c r="P629" s="2" t="s">
        <v>238</v>
      </c>
      <c r="Q629" s="2" t="s">
        <v>239</v>
      </c>
      <c r="R629" s="2" t="s">
        <v>233</v>
      </c>
      <c r="S629" s="2" t="s">
        <v>3609</v>
      </c>
      <c r="T629" s="2" t="s">
        <v>3570</v>
      </c>
      <c r="U629" s="2" t="s">
        <v>491</v>
      </c>
      <c r="V629" s="2" t="s">
        <v>241</v>
      </c>
      <c r="W629" s="2" t="s">
        <v>397</v>
      </c>
      <c r="X629" s="2" t="s">
        <v>3129</v>
      </c>
      <c r="Y629" s="2" t="s">
        <v>233</v>
      </c>
      <c r="Z629" s="4"/>
      <c r="AA629" s="4">
        <f>=ROUNDDOWN({0},0)</f>
      </c>
      <c r="AB629" s="5"/>
      <c r="AC629" s="2" t="s">
        <v>2721</v>
      </c>
      <c r="AD629" s="4">
        <v>180</v>
      </c>
      <c r="AE629" s="4">
        <v>410</v>
      </c>
      <c r="AF629" s="6">
        <v>64</v>
      </c>
      <c r="AG629" s="6"/>
      <c r="AH629" s="7">
        <v>0</v>
      </c>
      <c r="AI629" s="4"/>
      <c r="AJ629" s="4">
        <f>=ROUNDDOWN({0},0)</f>
      </c>
      <c r="AK629" s="5"/>
      <c r="AL629" s="2" t="s">
        <v>233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233</v>
      </c>
      <c r="AW629" s="8" t="s">
        <v>233</v>
      </c>
      <c r="AX629" s="4" t="s">
        <v>233</v>
      </c>
      <c r="AY629" s="8" t="s">
        <v>233</v>
      </c>
      <c r="AZ629" s="7" t="s">
        <v>233</v>
      </c>
      <c r="BA629" s="7" t="s">
        <v>233</v>
      </c>
      <c r="BB629" s="7"/>
      <c r="BC629" s="4" t="s">
        <v>233</v>
      </c>
      <c r="BD629" s="8" t="s">
        <v>233</v>
      </c>
      <c r="BE629" s="4" t="s">
        <v>233</v>
      </c>
      <c r="BF629" s="8" t="s">
        <v>233</v>
      </c>
      <c r="BG629" s="7" t="s">
        <v>233</v>
      </c>
      <c r="BH629" s="7" t="s">
        <v>233</v>
      </c>
      <c r="BI629" s="7"/>
      <c r="BJ629" s="4"/>
      <c r="BK629" s="8"/>
      <c r="BL629" s="2" t="s">
        <v>233</v>
      </c>
      <c r="BM629" s="7"/>
      <c r="BN629" s="7"/>
      <c r="BO629" s="4"/>
      <c r="BP629" s="8"/>
      <c r="BQ629" s="4"/>
      <c r="BR629" s="8"/>
      <c r="BS629" s="7"/>
      <c r="BT629" s="7"/>
      <c r="BU629" s="2" t="s">
        <v>243</v>
      </c>
      <c r="BV629" s="2" t="s">
        <v>233</v>
      </c>
      <c r="BW629" s="2" t="s">
        <v>233</v>
      </c>
      <c r="BX629" s="2" t="s">
        <v>243</v>
      </c>
      <c r="BY629" s="2" t="s">
        <v>244</v>
      </c>
      <c r="BZ629" s="2" t="s">
        <v>245</v>
      </c>
      <c r="CA629" s="2" t="s">
        <v>233</v>
      </c>
      <c r="CB629" s="2" t="s">
        <v>233</v>
      </c>
      <c r="CC629" s="2" t="s">
        <v>246</v>
      </c>
      <c r="CD629" s="2" t="s">
        <v>233</v>
      </c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>
        <v>180</v>
      </c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>
        <v>230</v>
      </c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</row>
    <row r="630">
      <c r="A630" s="2" t="s">
        <v>3610</v>
      </c>
      <c r="B630" s="2" t="s">
        <v>1174</v>
      </c>
      <c r="C630" s="2" t="s">
        <v>1157</v>
      </c>
      <c r="D630" s="2" t="s">
        <v>1175</v>
      </c>
      <c r="E630" s="2" t="s">
        <v>1206</v>
      </c>
      <c r="F630" s="2" t="s">
        <v>3564</v>
      </c>
      <c r="G630" s="2" t="s">
        <v>3565</v>
      </c>
      <c r="H630" s="2" t="s">
        <v>3566</v>
      </c>
      <c r="I630" s="2" t="s">
        <v>3567</v>
      </c>
      <c r="J630" s="2" t="s">
        <v>3580</v>
      </c>
      <c r="K630" s="2" t="s">
        <v>3608</v>
      </c>
      <c r="L630" s="3">
        <v>22.09</v>
      </c>
      <c r="M630" s="3">
        <v>23.19</v>
      </c>
      <c r="N630" s="3">
        <v>46.99</v>
      </c>
      <c r="O630" s="2" t="s">
        <v>245</v>
      </c>
      <c r="P630" s="2" t="s">
        <v>238</v>
      </c>
      <c r="Q630" s="2" t="s">
        <v>239</v>
      </c>
      <c r="R630" s="2" t="s">
        <v>233</v>
      </c>
      <c r="S630" s="2" t="s">
        <v>3609</v>
      </c>
      <c r="T630" s="2" t="s">
        <v>3570</v>
      </c>
      <c r="U630" s="2" t="s">
        <v>491</v>
      </c>
      <c r="V630" s="2" t="s">
        <v>241</v>
      </c>
      <c r="W630" s="2" t="s">
        <v>397</v>
      </c>
      <c r="X630" s="2" t="s">
        <v>3129</v>
      </c>
      <c r="Y630" s="2" t="s">
        <v>233</v>
      </c>
      <c r="Z630" s="4"/>
      <c r="AA630" s="4">
        <f>=ROUNDDOWN({0},0)</f>
      </c>
      <c r="AB630" s="5"/>
      <c r="AC630" s="2" t="s">
        <v>2721</v>
      </c>
      <c r="AD630" s="4">
        <v>140</v>
      </c>
      <c r="AE630" s="4">
        <v>340</v>
      </c>
      <c r="AF630" s="6">
        <v>64</v>
      </c>
      <c r="AG630" s="6"/>
      <c r="AH630" s="7">
        <v>0</v>
      </c>
      <c r="AI630" s="4"/>
      <c r="AJ630" s="4">
        <f>=ROUNDDOWN({0},0)</f>
      </c>
      <c r="AK630" s="5"/>
      <c r="AL630" s="2" t="s">
        <v>233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233</v>
      </c>
      <c r="AW630" s="8" t="s">
        <v>233</v>
      </c>
      <c r="AX630" s="4" t="s">
        <v>233</v>
      </c>
      <c r="AY630" s="8" t="s">
        <v>233</v>
      </c>
      <c r="AZ630" s="7" t="s">
        <v>233</v>
      </c>
      <c r="BA630" s="7" t="s">
        <v>233</v>
      </c>
      <c r="BB630" s="7"/>
      <c r="BC630" s="4" t="s">
        <v>233</v>
      </c>
      <c r="BD630" s="8" t="s">
        <v>233</v>
      </c>
      <c r="BE630" s="4" t="s">
        <v>233</v>
      </c>
      <c r="BF630" s="8" t="s">
        <v>233</v>
      </c>
      <c r="BG630" s="7" t="s">
        <v>233</v>
      </c>
      <c r="BH630" s="7" t="s">
        <v>233</v>
      </c>
      <c r="BI630" s="7"/>
      <c r="BJ630" s="4"/>
      <c r="BK630" s="8"/>
      <c r="BL630" s="2" t="s">
        <v>233</v>
      </c>
      <c r="BM630" s="7"/>
      <c r="BN630" s="7"/>
      <c r="BO630" s="4"/>
      <c r="BP630" s="8"/>
      <c r="BQ630" s="4"/>
      <c r="BR630" s="8"/>
      <c r="BS630" s="7"/>
      <c r="BT630" s="7"/>
      <c r="BU630" s="2" t="s">
        <v>243</v>
      </c>
      <c r="BV630" s="2" t="s">
        <v>233</v>
      </c>
      <c r="BW630" s="2" t="s">
        <v>233</v>
      </c>
      <c r="BX630" s="2" t="s">
        <v>243</v>
      </c>
      <c r="BY630" s="2" t="s">
        <v>244</v>
      </c>
      <c r="BZ630" s="2" t="s">
        <v>245</v>
      </c>
      <c r="CA630" s="2" t="s">
        <v>233</v>
      </c>
      <c r="CB630" s="2" t="s">
        <v>233</v>
      </c>
      <c r="CC630" s="2" t="s">
        <v>246</v>
      </c>
      <c r="CD630" s="2" t="s">
        <v>233</v>
      </c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>
        <v>140</v>
      </c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>
        <v>200</v>
      </c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</row>
    <row r="631">
      <c r="A631" s="2" t="s">
        <v>3611</v>
      </c>
      <c r="B631" s="2" t="s">
        <v>1066</v>
      </c>
      <c r="C631" s="2" t="s">
        <v>530</v>
      </c>
      <c r="D631" s="2" t="s">
        <v>1067</v>
      </c>
      <c r="E631" s="2" t="s">
        <v>1068</v>
      </c>
      <c r="F631" s="2" t="s">
        <v>3612</v>
      </c>
      <c r="G631" s="2" t="s">
        <v>3045</v>
      </c>
      <c r="H631" s="2" t="s">
        <v>3613</v>
      </c>
      <c r="I631" s="2" t="s">
        <v>3614</v>
      </c>
      <c r="J631" s="2" t="s">
        <v>892</v>
      </c>
      <c r="K631" s="2" t="s">
        <v>271</v>
      </c>
      <c r="L631" s="3">
        <v>180.5</v>
      </c>
      <c r="M631" s="3">
        <v>189.52</v>
      </c>
      <c r="N631" s="3">
        <v>379</v>
      </c>
      <c r="O631" s="2" t="s">
        <v>245</v>
      </c>
      <c r="P631" s="2" t="s">
        <v>272</v>
      </c>
      <c r="Q631" s="2" t="s">
        <v>239</v>
      </c>
      <c r="R631" s="2" t="s">
        <v>233</v>
      </c>
      <c r="S631" s="2" t="s">
        <v>3615</v>
      </c>
      <c r="T631" s="2" t="s">
        <v>233</v>
      </c>
      <c r="U631" s="2" t="s">
        <v>233</v>
      </c>
      <c r="V631" s="2" t="s">
        <v>241</v>
      </c>
      <c r="W631" s="2" t="s">
        <v>451</v>
      </c>
      <c r="X631" s="2" t="s">
        <v>233</v>
      </c>
      <c r="Y631" s="2" t="s">
        <v>276</v>
      </c>
      <c r="Z631" s="4">
        <v>3</v>
      </c>
      <c r="AA631" s="4">
        <f>=ROUNDDOWN(0.6,0)</f>
      </c>
      <c r="AB631" s="5">
        <v>5</v>
      </c>
      <c r="AC631" s="2" t="s">
        <v>813</v>
      </c>
      <c r="AD631" s="4">
        <v>74</v>
      </c>
      <c r="AE631" s="4">
        <v>136</v>
      </c>
      <c r="AF631" s="6">
        <v>65</v>
      </c>
      <c r="AG631" s="6">
        <v>48</v>
      </c>
      <c r="AH631" s="7">
        <v>0.3548</v>
      </c>
      <c r="AI631" s="4"/>
      <c r="AJ631" s="4">
        <f>=ROUNDDOWN({0},0)</f>
      </c>
      <c r="AK631" s="5"/>
      <c r="AL631" s="2" t="s">
        <v>233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233</v>
      </c>
      <c r="BD631" s="8" t="s">
        <v>233</v>
      </c>
      <c r="BE631" s="4" t="s">
        <v>233</v>
      </c>
      <c r="BF631" s="8" t="s">
        <v>233</v>
      </c>
      <c r="BG631" s="7" t="s">
        <v>233</v>
      </c>
      <c r="BH631" s="7" t="s">
        <v>233</v>
      </c>
      <c r="BI631" s="7"/>
      <c r="BJ631" s="4">
        <v>7</v>
      </c>
      <c r="BK631" s="8">
        <v>1236.58</v>
      </c>
      <c r="BL631" s="2" t="s">
        <v>3616</v>
      </c>
      <c r="BM631" s="7"/>
      <c r="BN631" s="7"/>
      <c r="BO631" s="4"/>
      <c r="BP631" s="8"/>
      <c r="BQ631" s="4"/>
      <c r="BR631" s="8"/>
      <c r="BS631" s="7"/>
      <c r="BT631" s="7"/>
      <c r="BU631" s="2" t="s">
        <v>3617</v>
      </c>
      <c r="BV631" s="2" t="s">
        <v>233</v>
      </c>
      <c r="BW631" s="2" t="s">
        <v>233</v>
      </c>
      <c r="BX631" s="2" t="s">
        <v>233</v>
      </c>
      <c r="BY631" s="2" t="s">
        <v>280</v>
      </c>
      <c r="BZ631" s="2" t="s">
        <v>245</v>
      </c>
      <c r="CA631" s="2" t="s">
        <v>281</v>
      </c>
      <c r="CB631" s="2" t="s">
        <v>3618</v>
      </c>
      <c r="CC631" s="2" t="s">
        <v>246</v>
      </c>
      <c r="CD631" s="2" t="s">
        <v>233</v>
      </c>
      <c r="CE631" s="4"/>
      <c r="CF631" s="4">
        <v>3</v>
      </c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>
        <v>74</v>
      </c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>
        <v>62</v>
      </c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</row>
    <row r="632">
      <c r="A632" s="2" t="s">
        <v>3619</v>
      </c>
      <c r="B632" s="2" t="s">
        <v>1066</v>
      </c>
      <c r="C632" s="2" t="s">
        <v>530</v>
      </c>
      <c r="D632" s="2" t="s">
        <v>1067</v>
      </c>
      <c r="E632" s="2" t="s">
        <v>1068</v>
      </c>
      <c r="F632" s="2" t="s">
        <v>3612</v>
      </c>
      <c r="G632" s="2" t="s">
        <v>3045</v>
      </c>
      <c r="H632" s="2" t="s">
        <v>3613</v>
      </c>
      <c r="I632" s="2" t="s">
        <v>3614</v>
      </c>
      <c r="J632" s="2" t="s">
        <v>892</v>
      </c>
      <c r="K632" s="2" t="s">
        <v>255</v>
      </c>
      <c r="L632" s="3">
        <v>180.5</v>
      </c>
      <c r="M632" s="3">
        <v>189.52</v>
      </c>
      <c r="N632" s="3">
        <v>379</v>
      </c>
      <c r="O632" s="2" t="s">
        <v>245</v>
      </c>
      <c r="P632" s="2" t="s">
        <v>272</v>
      </c>
      <c r="Q632" s="2" t="s">
        <v>239</v>
      </c>
      <c r="R632" s="2" t="s">
        <v>233</v>
      </c>
      <c r="S632" s="2" t="s">
        <v>3620</v>
      </c>
      <c r="T632" s="2" t="s">
        <v>233</v>
      </c>
      <c r="U632" s="2" t="s">
        <v>233</v>
      </c>
      <c r="V632" s="2" t="s">
        <v>241</v>
      </c>
      <c r="W632" s="2" t="s">
        <v>451</v>
      </c>
      <c r="X632" s="2" t="s">
        <v>233</v>
      </c>
      <c r="Y632" s="2" t="s">
        <v>276</v>
      </c>
      <c r="Z632" s="4">
        <v>93</v>
      </c>
      <c r="AA632" s="4">
        <f>=ROUNDDOWN(11.625,0)</f>
      </c>
      <c r="AB632" s="5">
        <v>8</v>
      </c>
      <c r="AC632" s="2" t="s">
        <v>813</v>
      </c>
      <c r="AD632" s="4">
        <v>96</v>
      </c>
      <c r="AE632" s="4">
        <v>96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233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233</v>
      </c>
      <c r="BD632" s="8" t="s">
        <v>233</v>
      </c>
      <c r="BE632" s="4" t="s">
        <v>233</v>
      </c>
      <c r="BF632" s="8" t="s">
        <v>233</v>
      </c>
      <c r="BG632" s="7" t="s">
        <v>233</v>
      </c>
      <c r="BH632" s="7" t="s">
        <v>233</v>
      </c>
      <c r="BI632" s="7"/>
      <c r="BJ632" s="4">
        <v>21</v>
      </c>
      <c r="BK632" s="8">
        <v>3500.97</v>
      </c>
      <c r="BL632" s="2" t="s">
        <v>3621</v>
      </c>
      <c r="BM632" s="7"/>
      <c r="BN632" s="7"/>
      <c r="BO632" s="4"/>
      <c r="BP632" s="8"/>
      <c r="BQ632" s="4"/>
      <c r="BR632" s="8"/>
      <c r="BS632" s="7"/>
      <c r="BT632" s="7"/>
      <c r="BU632" s="2" t="s">
        <v>3622</v>
      </c>
      <c r="BV632" s="2" t="s">
        <v>233</v>
      </c>
      <c r="BW632" s="2" t="s">
        <v>233</v>
      </c>
      <c r="BX632" s="2" t="s">
        <v>233</v>
      </c>
      <c r="BY632" s="2" t="s">
        <v>280</v>
      </c>
      <c r="BZ632" s="2" t="s">
        <v>245</v>
      </c>
      <c r="CA632" s="2" t="s">
        <v>281</v>
      </c>
      <c r="CB632" s="2" t="s">
        <v>3623</v>
      </c>
      <c r="CC632" s="2" t="s">
        <v>246</v>
      </c>
      <c r="CD632" s="2" t="s">
        <v>233</v>
      </c>
      <c r="CE632" s="4"/>
      <c r="CF632" s="4">
        <v>79</v>
      </c>
      <c r="CG632" s="4"/>
      <c r="CH632" s="4"/>
      <c r="CI632" s="4">
        <v>14</v>
      </c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>
        <v>96</v>
      </c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</row>
    <row r="633">
      <c r="A633" s="2" t="s">
        <v>3624</v>
      </c>
      <c r="B633" s="2" t="s">
        <v>1066</v>
      </c>
      <c r="C633" s="2" t="s">
        <v>530</v>
      </c>
      <c r="D633" s="2" t="s">
        <v>1067</v>
      </c>
      <c r="E633" s="2" t="s">
        <v>1068</v>
      </c>
      <c r="F633" s="2" t="s">
        <v>3612</v>
      </c>
      <c r="G633" s="2" t="s">
        <v>3045</v>
      </c>
      <c r="H633" s="2" t="s">
        <v>3613</v>
      </c>
      <c r="I633" s="2" t="s">
        <v>3614</v>
      </c>
      <c r="J633" s="2" t="s">
        <v>892</v>
      </c>
      <c r="K633" s="2" t="s">
        <v>823</v>
      </c>
      <c r="L633" s="3">
        <v>180.5</v>
      </c>
      <c r="M633" s="3">
        <v>189.52</v>
      </c>
      <c r="N633" s="3">
        <v>379</v>
      </c>
      <c r="O633" s="2" t="s">
        <v>245</v>
      </c>
      <c r="P633" s="2" t="s">
        <v>272</v>
      </c>
      <c r="Q633" s="2" t="s">
        <v>239</v>
      </c>
      <c r="R633" s="2" t="s">
        <v>233</v>
      </c>
      <c r="S633" s="2" t="s">
        <v>3625</v>
      </c>
      <c r="T633" s="2" t="s">
        <v>233</v>
      </c>
      <c r="U633" s="2" t="s">
        <v>233</v>
      </c>
      <c r="V633" s="2" t="s">
        <v>241</v>
      </c>
      <c r="W633" s="2" t="s">
        <v>451</v>
      </c>
      <c r="X633" s="2" t="s">
        <v>233</v>
      </c>
      <c r="Y633" s="2" t="s">
        <v>276</v>
      </c>
      <c r="Z633" s="4">
        <v>3</v>
      </c>
      <c r="AA633" s="4">
        <f>=ROUNDDOWN(0.428571428571429,0)</f>
      </c>
      <c r="AB633" s="5">
        <v>7</v>
      </c>
      <c r="AC633" s="2" t="s">
        <v>3626</v>
      </c>
      <c r="AD633" s="4">
        <v>78</v>
      </c>
      <c r="AE633" s="4">
        <v>172</v>
      </c>
      <c r="AF633" s="6">
        <v>65</v>
      </c>
      <c r="AG633" s="6"/>
      <c r="AH633" s="7">
        <v>0.2258</v>
      </c>
      <c r="AI633" s="4"/>
      <c r="AJ633" s="4">
        <f>=ROUNDDOWN({0},0)</f>
      </c>
      <c r="AK633" s="5"/>
      <c r="AL633" s="2" t="s">
        <v>233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233</v>
      </c>
      <c r="BD633" s="8" t="s">
        <v>233</v>
      </c>
      <c r="BE633" s="4" t="s">
        <v>233</v>
      </c>
      <c r="BF633" s="8" t="s">
        <v>233</v>
      </c>
      <c r="BG633" s="7" t="s">
        <v>233</v>
      </c>
      <c r="BH633" s="7" t="s">
        <v>233</v>
      </c>
      <c r="BI633" s="7"/>
      <c r="BJ633" s="4">
        <v>5</v>
      </c>
      <c r="BK633" s="8">
        <v>896.91</v>
      </c>
      <c r="BL633" s="2" t="s">
        <v>3627</v>
      </c>
      <c r="BM633" s="7"/>
      <c r="BN633" s="7"/>
      <c r="BO633" s="4"/>
      <c r="BP633" s="8"/>
      <c r="BQ633" s="4"/>
      <c r="BR633" s="8"/>
      <c r="BS633" s="7"/>
      <c r="BT633" s="7"/>
      <c r="BU633" s="2" t="s">
        <v>3628</v>
      </c>
      <c r="BV633" s="2" t="s">
        <v>233</v>
      </c>
      <c r="BW633" s="2" t="s">
        <v>233</v>
      </c>
      <c r="BX633" s="2" t="s">
        <v>233</v>
      </c>
      <c r="BY633" s="2" t="s">
        <v>280</v>
      </c>
      <c r="BZ633" s="2" t="s">
        <v>245</v>
      </c>
      <c r="CA633" s="2" t="s">
        <v>281</v>
      </c>
      <c r="CB633" s="2" t="s">
        <v>3629</v>
      </c>
      <c r="CC633" s="2" t="s">
        <v>246</v>
      </c>
      <c r="CD633" s="2" t="s">
        <v>233</v>
      </c>
      <c r="CE633" s="4"/>
      <c r="CF633" s="4">
        <v>3</v>
      </c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>
        <v>78</v>
      </c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>
        <v>94</v>
      </c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</row>
    <row r="634">
      <c r="A634" s="2" t="s">
        <v>3630</v>
      </c>
      <c r="B634" s="2" t="s">
        <v>333</v>
      </c>
      <c r="C634" s="2" t="s">
        <v>1130</v>
      </c>
      <c r="D634" s="2" t="s">
        <v>335</v>
      </c>
      <c r="E634" s="2" t="s">
        <v>336</v>
      </c>
      <c r="F634" s="2" t="s">
        <v>3631</v>
      </c>
      <c r="G634" s="2" t="s">
        <v>3631</v>
      </c>
      <c r="H634" s="2" t="s">
        <v>3631</v>
      </c>
      <c r="I634" s="2" t="s">
        <v>3632</v>
      </c>
      <c r="J634" s="2" t="s">
        <v>270</v>
      </c>
      <c r="K634" s="2" t="s">
        <v>645</v>
      </c>
      <c r="L634" s="3">
        <v>21</v>
      </c>
      <c r="M634" s="3">
        <v>22.05</v>
      </c>
      <c r="N634" s="3">
        <v>44.99</v>
      </c>
      <c r="O634" s="2" t="s">
        <v>245</v>
      </c>
      <c r="P634" s="2" t="s">
        <v>272</v>
      </c>
      <c r="Q634" s="2" t="s">
        <v>239</v>
      </c>
      <c r="R634" s="2" t="s">
        <v>233</v>
      </c>
      <c r="S634" s="2" t="s">
        <v>3633</v>
      </c>
      <c r="T634" s="2" t="s">
        <v>3634</v>
      </c>
      <c r="U634" s="2" t="s">
        <v>475</v>
      </c>
      <c r="V634" s="2" t="s">
        <v>241</v>
      </c>
      <c r="W634" s="2" t="s">
        <v>275</v>
      </c>
      <c r="X634" s="2" t="s">
        <v>233</v>
      </c>
      <c r="Y634" s="2" t="s">
        <v>3635</v>
      </c>
      <c r="Z634" s="4">
        <v>140</v>
      </c>
      <c r="AA634" s="4">
        <f>=ROUNDDOWN(70,0)</f>
      </c>
      <c r="AB634" s="5">
        <v>2</v>
      </c>
      <c r="AC634" s="2" t="s">
        <v>233</v>
      </c>
      <c r="AD634" s="4"/>
      <c r="AE634" s="4"/>
      <c r="AF634" s="6">
        <v>67</v>
      </c>
      <c r="AG634" s="6"/>
      <c r="AH634" s="7">
        <v>1</v>
      </c>
      <c r="AI634" s="4"/>
      <c r="AJ634" s="4">
        <f>=ROUNDDOWN({0},0)</f>
      </c>
      <c r="AK634" s="5"/>
      <c r="AL634" s="2" t="s">
        <v>233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233</v>
      </c>
      <c r="AW634" s="8" t="s">
        <v>233</v>
      </c>
      <c r="AX634" s="4" t="s">
        <v>233</v>
      </c>
      <c r="AY634" s="8" t="s">
        <v>233</v>
      </c>
      <c r="AZ634" s="7" t="s">
        <v>233</v>
      </c>
      <c r="BA634" s="7" t="s">
        <v>233</v>
      </c>
      <c r="BB634" s="7"/>
      <c r="BC634" s="4" t="s">
        <v>233</v>
      </c>
      <c r="BD634" s="8" t="s">
        <v>233</v>
      </c>
      <c r="BE634" s="4" t="s">
        <v>233</v>
      </c>
      <c r="BF634" s="8" t="s">
        <v>233</v>
      </c>
      <c r="BG634" s="7" t="s">
        <v>233</v>
      </c>
      <c r="BH634" s="7" t="s">
        <v>233</v>
      </c>
      <c r="BI634" s="7"/>
      <c r="BJ634" s="4">
        <v>2</v>
      </c>
      <c r="BK634" s="8">
        <v>46.3</v>
      </c>
      <c r="BL634" s="2" t="s">
        <v>2404</v>
      </c>
      <c r="BM634" s="7"/>
      <c r="BN634" s="7"/>
      <c r="BO634" s="4"/>
      <c r="BP634" s="8"/>
      <c r="BQ634" s="4"/>
      <c r="BR634" s="8"/>
      <c r="BS634" s="7"/>
      <c r="BT634" s="7"/>
      <c r="BU634" s="2" t="s">
        <v>3636</v>
      </c>
      <c r="BV634" s="2" t="s">
        <v>233</v>
      </c>
      <c r="BW634" s="2" t="s">
        <v>233</v>
      </c>
      <c r="BX634" s="2" t="s">
        <v>233</v>
      </c>
      <c r="BY634" s="2" t="s">
        <v>280</v>
      </c>
      <c r="BZ634" s="2" t="s">
        <v>245</v>
      </c>
      <c r="CA634" s="2" t="s">
        <v>3637</v>
      </c>
      <c r="CB634" s="2" t="s">
        <v>3638</v>
      </c>
      <c r="CC634" s="2" t="s">
        <v>246</v>
      </c>
      <c r="CD634" s="2" t="s">
        <v>233</v>
      </c>
      <c r="CE634" s="4">
        <v>140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</row>
    <row r="635">
      <c r="A635" s="2" t="s">
        <v>3639</v>
      </c>
      <c r="B635" s="2" t="s">
        <v>333</v>
      </c>
      <c r="C635" s="2" t="s">
        <v>1130</v>
      </c>
      <c r="D635" s="2" t="s">
        <v>335</v>
      </c>
      <c r="E635" s="2" t="s">
        <v>336</v>
      </c>
      <c r="F635" s="2" t="s">
        <v>3631</v>
      </c>
      <c r="G635" s="2" t="s">
        <v>3631</v>
      </c>
      <c r="H635" s="2" t="s">
        <v>3631</v>
      </c>
      <c r="I635" s="2" t="s">
        <v>3632</v>
      </c>
      <c r="J635" s="2" t="s">
        <v>290</v>
      </c>
      <c r="K635" s="2" t="s">
        <v>645</v>
      </c>
      <c r="L635" s="3">
        <v>25.5</v>
      </c>
      <c r="M635" s="3">
        <v>26.78</v>
      </c>
      <c r="N635" s="3">
        <v>54.99</v>
      </c>
      <c r="O635" s="2" t="s">
        <v>245</v>
      </c>
      <c r="P635" s="2" t="s">
        <v>272</v>
      </c>
      <c r="Q635" s="2" t="s">
        <v>239</v>
      </c>
      <c r="R635" s="2" t="s">
        <v>233</v>
      </c>
      <c r="S635" s="2" t="s">
        <v>3633</v>
      </c>
      <c r="T635" s="2" t="s">
        <v>3634</v>
      </c>
      <c r="U635" s="2" t="s">
        <v>342</v>
      </c>
      <c r="V635" s="2" t="s">
        <v>241</v>
      </c>
      <c r="W635" s="2" t="s">
        <v>275</v>
      </c>
      <c r="X635" s="2" t="s">
        <v>233</v>
      </c>
      <c r="Y635" s="2" t="s">
        <v>3635</v>
      </c>
      <c r="Z635" s="4">
        <v>105</v>
      </c>
      <c r="AA635" s="4">
        <f>=ROUNDDOWN(35,0)</f>
      </c>
      <c r="AB635" s="5">
        <v>3</v>
      </c>
      <c r="AC635" s="2" t="s">
        <v>233</v>
      </c>
      <c r="AD635" s="4"/>
      <c r="AE635" s="4"/>
      <c r="AF635" s="6">
        <v>67</v>
      </c>
      <c r="AG635" s="6"/>
      <c r="AH635" s="7">
        <v>1</v>
      </c>
      <c r="AI635" s="4"/>
      <c r="AJ635" s="4">
        <f>=ROUNDDOWN({0},0)</f>
      </c>
      <c r="AK635" s="5"/>
      <c r="AL635" s="2" t="s">
        <v>233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233</v>
      </c>
      <c r="AW635" s="8" t="s">
        <v>233</v>
      </c>
      <c r="AX635" s="4" t="s">
        <v>233</v>
      </c>
      <c r="AY635" s="8" t="s">
        <v>233</v>
      </c>
      <c r="AZ635" s="7" t="s">
        <v>233</v>
      </c>
      <c r="BA635" s="7" t="s">
        <v>233</v>
      </c>
      <c r="BB635" s="7"/>
      <c r="BC635" s="4" t="s">
        <v>233</v>
      </c>
      <c r="BD635" s="8" t="s">
        <v>233</v>
      </c>
      <c r="BE635" s="4" t="s">
        <v>233</v>
      </c>
      <c r="BF635" s="8" t="s">
        <v>233</v>
      </c>
      <c r="BG635" s="7" t="s">
        <v>233</v>
      </c>
      <c r="BH635" s="7" t="s">
        <v>233</v>
      </c>
      <c r="BI635" s="7"/>
      <c r="BJ635" s="4">
        <v>7</v>
      </c>
      <c r="BK635" s="8">
        <v>197.58</v>
      </c>
      <c r="BL635" s="2" t="s">
        <v>584</v>
      </c>
      <c r="BM635" s="7"/>
      <c r="BN635" s="7"/>
      <c r="BO635" s="4"/>
      <c r="BP635" s="8"/>
      <c r="BQ635" s="4"/>
      <c r="BR635" s="8"/>
      <c r="BS635" s="7"/>
      <c r="BT635" s="7"/>
      <c r="BU635" s="2" t="s">
        <v>3640</v>
      </c>
      <c r="BV635" s="2" t="s">
        <v>233</v>
      </c>
      <c r="BW635" s="2" t="s">
        <v>233</v>
      </c>
      <c r="BX635" s="2" t="s">
        <v>233</v>
      </c>
      <c r="BY635" s="2" t="s">
        <v>280</v>
      </c>
      <c r="BZ635" s="2" t="s">
        <v>245</v>
      </c>
      <c r="CA635" s="2" t="s">
        <v>3637</v>
      </c>
      <c r="CB635" s="2" t="s">
        <v>2485</v>
      </c>
      <c r="CC635" s="2" t="s">
        <v>246</v>
      </c>
      <c r="CD635" s="2" t="s">
        <v>233</v>
      </c>
      <c r="CE635" s="4">
        <v>105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</row>
    <row r="636">
      <c r="A636" s="2" t="s">
        <v>3641</v>
      </c>
      <c r="B636" s="2" t="s">
        <v>333</v>
      </c>
      <c r="C636" s="2" t="s">
        <v>1130</v>
      </c>
      <c r="D636" s="2" t="s">
        <v>335</v>
      </c>
      <c r="E636" s="2" t="s">
        <v>336</v>
      </c>
      <c r="F636" s="2" t="s">
        <v>3631</v>
      </c>
      <c r="G636" s="2" t="s">
        <v>3631</v>
      </c>
      <c r="H636" s="2" t="s">
        <v>3631</v>
      </c>
      <c r="I636" s="2" t="s">
        <v>3632</v>
      </c>
      <c r="J636" s="2" t="s">
        <v>328</v>
      </c>
      <c r="K636" s="2" t="s">
        <v>645</v>
      </c>
      <c r="L636" s="3">
        <v>32.5</v>
      </c>
      <c r="M636" s="3">
        <v>34.13</v>
      </c>
      <c r="N636" s="3">
        <v>69.99</v>
      </c>
      <c r="O636" s="2" t="s">
        <v>245</v>
      </c>
      <c r="P636" s="2" t="s">
        <v>272</v>
      </c>
      <c r="Q636" s="2" t="s">
        <v>239</v>
      </c>
      <c r="R636" s="2" t="s">
        <v>233</v>
      </c>
      <c r="S636" s="2" t="s">
        <v>3633</v>
      </c>
      <c r="T636" s="2" t="s">
        <v>3634</v>
      </c>
      <c r="U636" s="2" t="s">
        <v>342</v>
      </c>
      <c r="V636" s="2" t="s">
        <v>241</v>
      </c>
      <c r="W636" s="2" t="s">
        <v>275</v>
      </c>
      <c r="X636" s="2" t="s">
        <v>233</v>
      </c>
      <c r="Y636" s="2" t="s">
        <v>3635</v>
      </c>
      <c r="Z636" s="4">
        <v>144</v>
      </c>
      <c r="AA636" s="4">
        <f>=ROUNDDOWN(36,0)</f>
      </c>
      <c r="AB636" s="5">
        <v>4</v>
      </c>
      <c r="AC636" s="2" t="s">
        <v>233</v>
      </c>
      <c r="AD636" s="4"/>
      <c r="AE636" s="4"/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233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233</v>
      </c>
      <c r="AW636" s="8" t="s">
        <v>233</v>
      </c>
      <c r="AX636" s="4" t="s">
        <v>233</v>
      </c>
      <c r="AY636" s="8" t="s">
        <v>233</v>
      </c>
      <c r="AZ636" s="7" t="s">
        <v>233</v>
      </c>
      <c r="BA636" s="7" t="s">
        <v>233</v>
      </c>
      <c r="BB636" s="7"/>
      <c r="BC636" s="4" t="s">
        <v>233</v>
      </c>
      <c r="BD636" s="8" t="s">
        <v>233</v>
      </c>
      <c r="BE636" s="4" t="s">
        <v>233</v>
      </c>
      <c r="BF636" s="8" t="s">
        <v>233</v>
      </c>
      <c r="BG636" s="7" t="s">
        <v>233</v>
      </c>
      <c r="BH636" s="7" t="s">
        <v>233</v>
      </c>
      <c r="BI636" s="7"/>
      <c r="BJ636" s="4">
        <v>10</v>
      </c>
      <c r="BK636" s="8">
        <v>359.85</v>
      </c>
      <c r="BL636" s="2" t="s">
        <v>3642</v>
      </c>
      <c r="BM636" s="7"/>
      <c r="BN636" s="7"/>
      <c r="BO636" s="4"/>
      <c r="BP636" s="8"/>
      <c r="BQ636" s="4"/>
      <c r="BR636" s="8"/>
      <c r="BS636" s="7"/>
      <c r="BT636" s="7"/>
      <c r="BU636" s="2" t="s">
        <v>3643</v>
      </c>
      <c r="BV636" s="2" t="s">
        <v>233</v>
      </c>
      <c r="BW636" s="2" t="s">
        <v>233</v>
      </c>
      <c r="BX636" s="2" t="s">
        <v>233</v>
      </c>
      <c r="BY636" s="2" t="s">
        <v>280</v>
      </c>
      <c r="BZ636" s="2" t="s">
        <v>245</v>
      </c>
      <c r="CA636" s="2" t="s">
        <v>3637</v>
      </c>
      <c r="CB636" s="2" t="s">
        <v>1283</v>
      </c>
      <c r="CC636" s="2" t="s">
        <v>246</v>
      </c>
      <c r="CD636" s="2" t="s">
        <v>233</v>
      </c>
      <c r="CE636" s="4">
        <v>144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</row>
    <row r="637">
      <c r="A637" s="2" t="s">
        <v>3644</v>
      </c>
      <c r="B637" s="2" t="s">
        <v>333</v>
      </c>
      <c r="C637" s="2" t="s">
        <v>1130</v>
      </c>
      <c r="D637" s="2" t="s">
        <v>335</v>
      </c>
      <c r="E637" s="2" t="s">
        <v>336</v>
      </c>
      <c r="F637" s="2" t="s">
        <v>3631</v>
      </c>
      <c r="G637" s="2" t="s">
        <v>3631</v>
      </c>
      <c r="H637" s="2" t="s">
        <v>3631</v>
      </c>
      <c r="I637" s="2" t="s">
        <v>3632</v>
      </c>
      <c r="J637" s="2" t="s">
        <v>270</v>
      </c>
      <c r="K637" s="2" t="s">
        <v>255</v>
      </c>
      <c r="L637" s="3">
        <v>21</v>
      </c>
      <c r="M637" s="3">
        <v>22.05</v>
      </c>
      <c r="N637" s="3">
        <v>44.99</v>
      </c>
      <c r="O637" s="2" t="s">
        <v>245</v>
      </c>
      <c r="P637" s="2" t="s">
        <v>272</v>
      </c>
      <c r="Q637" s="2" t="s">
        <v>239</v>
      </c>
      <c r="R637" s="2" t="s">
        <v>233</v>
      </c>
      <c r="S637" s="2" t="s">
        <v>3645</v>
      </c>
      <c r="T637" s="2" t="s">
        <v>3634</v>
      </c>
      <c r="U637" s="2" t="s">
        <v>475</v>
      </c>
      <c r="V637" s="2" t="s">
        <v>241</v>
      </c>
      <c r="W637" s="2" t="s">
        <v>275</v>
      </c>
      <c r="X637" s="2" t="s">
        <v>233</v>
      </c>
      <c r="Y637" s="2" t="s">
        <v>3635</v>
      </c>
      <c r="Z637" s="4">
        <v>132</v>
      </c>
      <c r="AA637" s="4">
        <f>=ROUNDDOWN(66,0)</f>
      </c>
      <c r="AB637" s="5">
        <v>2</v>
      </c>
      <c r="AC637" s="2" t="s">
        <v>233</v>
      </c>
      <c r="AD637" s="4"/>
      <c r="AE637" s="4"/>
      <c r="AF637" s="6">
        <v>67</v>
      </c>
      <c r="AG637" s="6"/>
      <c r="AH637" s="7">
        <v>1</v>
      </c>
      <c r="AI637" s="4"/>
      <c r="AJ637" s="4">
        <f>=ROUNDDOWN({0},0)</f>
      </c>
      <c r="AK637" s="5"/>
      <c r="AL637" s="2" t="s">
        <v>233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233</v>
      </c>
      <c r="AW637" s="8" t="s">
        <v>233</v>
      </c>
      <c r="AX637" s="4" t="s">
        <v>233</v>
      </c>
      <c r="AY637" s="8" t="s">
        <v>233</v>
      </c>
      <c r="AZ637" s="7" t="s">
        <v>233</v>
      </c>
      <c r="BA637" s="7" t="s">
        <v>233</v>
      </c>
      <c r="BB637" s="7"/>
      <c r="BC637" s="4" t="s">
        <v>233</v>
      </c>
      <c r="BD637" s="8" t="s">
        <v>233</v>
      </c>
      <c r="BE637" s="4" t="s">
        <v>233</v>
      </c>
      <c r="BF637" s="8" t="s">
        <v>233</v>
      </c>
      <c r="BG637" s="7" t="s">
        <v>233</v>
      </c>
      <c r="BH637" s="7" t="s">
        <v>233</v>
      </c>
      <c r="BI637" s="7"/>
      <c r="BJ637" s="4">
        <v>5</v>
      </c>
      <c r="BK637" s="8">
        <v>117.41</v>
      </c>
      <c r="BL637" s="2" t="s">
        <v>3646</v>
      </c>
      <c r="BM637" s="7"/>
      <c r="BN637" s="7"/>
      <c r="BO637" s="4"/>
      <c r="BP637" s="8"/>
      <c r="BQ637" s="4"/>
      <c r="BR637" s="8"/>
      <c r="BS637" s="7"/>
      <c r="BT637" s="7"/>
      <c r="BU637" s="2" t="s">
        <v>3647</v>
      </c>
      <c r="BV637" s="2" t="s">
        <v>233</v>
      </c>
      <c r="BW637" s="2" t="s">
        <v>233</v>
      </c>
      <c r="BX637" s="2" t="s">
        <v>233</v>
      </c>
      <c r="BY637" s="2" t="s">
        <v>280</v>
      </c>
      <c r="BZ637" s="2" t="s">
        <v>245</v>
      </c>
      <c r="CA637" s="2" t="s">
        <v>3637</v>
      </c>
      <c r="CB637" s="2" t="s">
        <v>3648</v>
      </c>
      <c r="CC637" s="2" t="s">
        <v>246</v>
      </c>
      <c r="CD637" s="2" t="s">
        <v>233</v>
      </c>
      <c r="CE637" s="4">
        <v>132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</row>
    <row r="638">
      <c r="A638" s="2" t="s">
        <v>3649</v>
      </c>
      <c r="B638" s="2" t="s">
        <v>333</v>
      </c>
      <c r="C638" s="2" t="s">
        <v>1130</v>
      </c>
      <c r="D638" s="2" t="s">
        <v>335</v>
      </c>
      <c r="E638" s="2" t="s">
        <v>336</v>
      </c>
      <c r="F638" s="2" t="s">
        <v>3631</v>
      </c>
      <c r="G638" s="2" t="s">
        <v>3631</v>
      </c>
      <c r="H638" s="2" t="s">
        <v>3631</v>
      </c>
      <c r="I638" s="2" t="s">
        <v>3632</v>
      </c>
      <c r="J638" s="2" t="s">
        <v>290</v>
      </c>
      <c r="K638" s="2" t="s">
        <v>255</v>
      </c>
      <c r="L638" s="3">
        <v>25.5</v>
      </c>
      <c r="M638" s="3">
        <v>26.78</v>
      </c>
      <c r="N638" s="3">
        <v>54.99</v>
      </c>
      <c r="O638" s="2" t="s">
        <v>245</v>
      </c>
      <c r="P638" s="2" t="s">
        <v>272</v>
      </c>
      <c r="Q638" s="2" t="s">
        <v>239</v>
      </c>
      <c r="R638" s="2" t="s">
        <v>233</v>
      </c>
      <c r="S638" s="2" t="s">
        <v>3645</v>
      </c>
      <c r="T638" s="2" t="s">
        <v>3634</v>
      </c>
      <c r="U638" s="2" t="s">
        <v>342</v>
      </c>
      <c r="V638" s="2" t="s">
        <v>241</v>
      </c>
      <c r="W638" s="2" t="s">
        <v>275</v>
      </c>
      <c r="X638" s="2" t="s">
        <v>233</v>
      </c>
      <c r="Y638" s="2" t="s">
        <v>3635</v>
      </c>
      <c r="Z638" s="4">
        <v>218</v>
      </c>
      <c r="AA638" s="4">
        <f>=ROUNDDOWN(109,0)</f>
      </c>
      <c r="AB638" s="5">
        <v>2</v>
      </c>
      <c r="AC638" s="2" t="s">
        <v>233</v>
      </c>
      <c r="AD638" s="4"/>
      <c r="AE638" s="4"/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233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233</v>
      </c>
      <c r="AW638" s="8" t="s">
        <v>233</v>
      </c>
      <c r="AX638" s="4" t="s">
        <v>233</v>
      </c>
      <c r="AY638" s="8" t="s">
        <v>233</v>
      </c>
      <c r="AZ638" s="7" t="s">
        <v>233</v>
      </c>
      <c r="BA638" s="7" t="s">
        <v>233</v>
      </c>
      <c r="BB638" s="7"/>
      <c r="BC638" s="4" t="s">
        <v>233</v>
      </c>
      <c r="BD638" s="8" t="s">
        <v>233</v>
      </c>
      <c r="BE638" s="4" t="s">
        <v>233</v>
      </c>
      <c r="BF638" s="8" t="s">
        <v>233</v>
      </c>
      <c r="BG638" s="7" t="s">
        <v>233</v>
      </c>
      <c r="BH638" s="7" t="s">
        <v>233</v>
      </c>
      <c r="BI638" s="7"/>
      <c r="BJ638" s="4">
        <v>9</v>
      </c>
      <c r="BK638" s="8">
        <v>253.8</v>
      </c>
      <c r="BL638" s="2" t="s">
        <v>584</v>
      </c>
      <c r="BM638" s="7"/>
      <c r="BN638" s="7"/>
      <c r="BO638" s="4"/>
      <c r="BP638" s="8"/>
      <c r="BQ638" s="4"/>
      <c r="BR638" s="8"/>
      <c r="BS638" s="7"/>
      <c r="BT638" s="7"/>
      <c r="BU638" s="2" t="s">
        <v>3650</v>
      </c>
      <c r="BV638" s="2" t="s">
        <v>233</v>
      </c>
      <c r="BW638" s="2" t="s">
        <v>233</v>
      </c>
      <c r="BX638" s="2" t="s">
        <v>233</v>
      </c>
      <c r="BY638" s="2" t="s">
        <v>280</v>
      </c>
      <c r="BZ638" s="2" t="s">
        <v>245</v>
      </c>
      <c r="CA638" s="2" t="s">
        <v>3637</v>
      </c>
      <c r="CB638" s="2" t="s">
        <v>2317</v>
      </c>
      <c r="CC638" s="2" t="s">
        <v>246</v>
      </c>
      <c r="CD638" s="2" t="s">
        <v>233</v>
      </c>
      <c r="CE638" s="4">
        <v>218</v>
      </c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</row>
    <row r="639">
      <c r="A639" s="2" t="s">
        <v>3651</v>
      </c>
      <c r="B639" s="2" t="s">
        <v>333</v>
      </c>
      <c r="C639" s="2" t="s">
        <v>1130</v>
      </c>
      <c r="D639" s="2" t="s">
        <v>335</v>
      </c>
      <c r="E639" s="2" t="s">
        <v>336</v>
      </c>
      <c r="F639" s="2" t="s">
        <v>3631</v>
      </c>
      <c r="G639" s="2" t="s">
        <v>3631</v>
      </c>
      <c r="H639" s="2" t="s">
        <v>3631</v>
      </c>
      <c r="I639" s="2" t="s">
        <v>3632</v>
      </c>
      <c r="J639" s="2" t="s">
        <v>270</v>
      </c>
      <c r="K639" s="2" t="s">
        <v>257</v>
      </c>
      <c r="L639" s="3">
        <v>21</v>
      </c>
      <c r="M639" s="3">
        <v>22.05</v>
      </c>
      <c r="N639" s="3">
        <v>44.99</v>
      </c>
      <c r="O639" s="2" t="s">
        <v>245</v>
      </c>
      <c r="P639" s="2" t="s">
        <v>272</v>
      </c>
      <c r="Q639" s="2" t="s">
        <v>239</v>
      </c>
      <c r="R639" s="2" t="s">
        <v>233</v>
      </c>
      <c r="S639" s="2" t="s">
        <v>3652</v>
      </c>
      <c r="T639" s="2" t="s">
        <v>3634</v>
      </c>
      <c r="U639" s="2" t="s">
        <v>475</v>
      </c>
      <c r="V639" s="2" t="s">
        <v>241</v>
      </c>
      <c r="W639" s="2" t="s">
        <v>275</v>
      </c>
      <c r="X639" s="2" t="s">
        <v>233</v>
      </c>
      <c r="Y639" s="2" t="s">
        <v>3635</v>
      </c>
      <c r="Z639" s="4">
        <v>163</v>
      </c>
      <c r="AA639" s="4">
        <f>=ROUNDDOWN(81.5,0)</f>
      </c>
      <c r="AB639" s="5">
        <v>2</v>
      </c>
      <c r="AC639" s="2" t="s">
        <v>233</v>
      </c>
      <c r="AD639" s="4"/>
      <c r="AE639" s="4"/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233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233</v>
      </c>
      <c r="AW639" s="8" t="s">
        <v>233</v>
      </c>
      <c r="AX639" s="4" t="s">
        <v>233</v>
      </c>
      <c r="AY639" s="8" t="s">
        <v>233</v>
      </c>
      <c r="AZ639" s="7" t="s">
        <v>233</v>
      </c>
      <c r="BA639" s="7" t="s">
        <v>233</v>
      </c>
      <c r="BB639" s="7"/>
      <c r="BC639" s="4" t="s">
        <v>233</v>
      </c>
      <c r="BD639" s="8" t="s">
        <v>233</v>
      </c>
      <c r="BE639" s="4" t="s">
        <v>233</v>
      </c>
      <c r="BF639" s="8" t="s">
        <v>233</v>
      </c>
      <c r="BG639" s="7" t="s">
        <v>233</v>
      </c>
      <c r="BH639" s="7" t="s">
        <v>233</v>
      </c>
      <c r="BI639" s="7"/>
      <c r="BJ639" s="4">
        <v>3</v>
      </c>
      <c r="BK639" s="8">
        <v>70.11</v>
      </c>
      <c r="BL639" s="2" t="s">
        <v>465</v>
      </c>
      <c r="BM639" s="7"/>
      <c r="BN639" s="7"/>
      <c r="BO639" s="4"/>
      <c r="BP639" s="8"/>
      <c r="BQ639" s="4"/>
      <c r="BR639" s="8"/>
      <c r="BS639" s="7"/>
      <c r="BT639" s="7"/>
      <c r="BU639" s="2" t="s">
        <v>3653</v>
      </c>
      <c r="BV639" s="2" t="s">
        <v>233</v>
      </c>
      <c r="BW639" s="2" t="s">
        <v>233</v>
      </c>
      <c r="BX639" s="2" t="s">
        <v>233</v>
      </c>
      <c r="BY639" s="2" t="s">
        <v>280</v>
      </c>
      <c r="BZ639" s="2" t="s">
        <v>245</v>
      </c>
      <c r="CA639" s="2" t="s">
        <v>3637</v>
      </c>
      <c r="CB639" s="2" t="s">
        <v>2423</v>
      </c>
      <c r="CC639" s="2" t="s">
        <v>246</v>
      </c>
      <c r="CD639" s="2" t="s">
        <v>233</v>
      </c>
      <c r="CE639" s="4">
        <v>163</v>
      </c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</row>
    <row r="640">
      <c r="A640" s="2" t="s">
        <v>3654</v>
      </c>
      <c r="B640" s="2" t="s">
        <v>264</v>
      </c>
      <c r="C640" s="2" t="s">
        <v>1130</v>
      </c>
      <c r="D640" s="2" t="s">
        <v>969</v>
      </c>
      <c r="E640" s="2" t="s">
        <v>2383</v>
      </c>
      <c r="F640" s="2" t="s">
        <v>3631</v>
      </c>
      <c r="G640" s="2" t="s">
        <v>3631</v>
      </c>
      <c r="H640" s="2" t="s">
        <v>3631</v>
      </c>
      <c r="I640" s="2" t="s">
        <v>3655</v>
      </c>
      <c r="J640" s="2" t="s">
        <v>918</v>
      </c>
      <c r="K640" s="2" t="s">
        <v>257</v>
      </c>
      <c r="L640" s="3">
        <v>21.42</v>
      </c>
      <c r="M640" s="3">
        <v>22.49</v>
      </c>
      <c r="N640" s="3">
        <v>49.99</v>
      </c>
      <c r="O640" s="2" t="s">
        <v>245</v>
      </c>
      <c r="P640" s="2" t="s">
        <v>238</v>
      </c>
      <c r="Q640" s="2" t="s">
        <v>239</v>
      </c>
      <c r="R640" s="2" t="s">
        <v>233</v>
      </c>
      <c r="S640" s="2" t="s">
        <v>3656</v>
      </c>
      <c r="T640" s="2" t="s">
        <v>3634</v>
      </c>
      <c r="U640" s="2" t="s">
        <v>396</v>
      </c>
      <c r="V640" s="2" t="s">
        <v>241</v>
      </c>
      <c r="W640" s="2" t="s">
        <v>275</v>
      </c>
      <c r="X640" s="2" t="s">
        <v>233</v>
      </c>
      <c r="Y640" s="2" t="s">
        <v>3657</v>
      </c>
      <c r="Z640" s="4">
        <v>93</v>
      </c>
      <c r="AA640" s="4">
        <f>=ROUNDDOWN(21.1363636363636,0)</f>
      </c>
      <c r="AB640" s="5">
        <v>4.4</v>
      </c>
      <c r="AC640" s="2" t="s">
        <v>3658</v>
      </c>
      <c r="AD640" s="4">
        <v>140</v>
      </c>
      <c r="AE640" s="4">
        <v>140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233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233</v>
      </c>
      <c r="AW640" s="8" t="s">
        <v>233</v>
      </c>
      <c r="AX640" s="4" t="s">
        <v>233</v>
      </c>
      <c r="AY640" s="8" t="s">
        <v>233</v>
      </c>
      <c r="AZ640" s="7" t="s">
        <v>233</v>
      </c>
      <c r="BA640" s="7" t="s">
        <v>233</v>
      </c>
      <c r="BB640" s="7"/>
      <c r="BC640" s="4" t="s">
        <v>233</v>
      </c>
      <c r="BD640" s="8" t="s">
        <v>233</v>
      </c>
      <c r="BE640" s="4" t="s">
        <v>233</v>
      </c>
      <c r="BF640" s="8" t="s">
        <v>233</v>
      </c>
      <c r="BG640" s="7" t="s">
        <v>233</v>
      </c>
      <c r="BH640" s="7" t="s">
        <v>233</v>
      </c>
      <c r="BI640" s="7"/>
      <c r="BJ640" s="4">
        <v>5</v>
      </c>
      <c r="BK640" s="8">
        <v>120.78</v>
      </c>
      <c r="BL640" s="2" t="s">
        <v>492</v>
      </c>
      <c r="BM640" s="7"/>
      <c r="BN640" s="7"/>
      <c r="BO640" s="4"/>
      <c r="BP640" s="8"/>
      <c r="BQ640" s="4"/>
      <c r="BR640" s="8"/>
      <c r="BS640" s="7"/>
      <c r="BT640" s="7"/>
      <c r="BU640" s="2" t="s">
        <v>3659</v>
      </c>
      <c r="BV640" s="2" t="s">
        <v>233</v>
      </c>
      <c r="BW640" s="2" t="s">
        <v>233</v>
      </c>
      <c r="BX640" s="2" t="s">
        <v>243</v>
      </c>
      <c r="BY640" s="2" t="s">
        <v>280</v>
      </c>
      <c r="BZ640" s="2" t="s">
        <v>245</v>
      </c>
      <c r="CA640" s="2" t="s">
        <v>3657</v>
      </c>
      <c r="CB640" s="2" t="s">
        <v>481</v>
      </c>
      <c r="CC640" s="2" t="s">
        <v>246</v>
      </c>
      <c r="CD640" s="2" t="s">
        <v>233</v>
      </c>
      <c r="CE640" s="4">
        <v>93</v>
      </c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>
        <v>140</v>
      </c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</row>
    <row r="641">
      <c r="A641" s="2" t="s">
        <v>3660</v>
      </c>
      <c r="B641" s="2" t="s">
        <v>1174</v>
      </c>
      <c r="C641" s="2" t="s">
        <v>530</v>
      </c>
      <c r="D641" s="2" t="s">
        <v>1175</v>
      </c>
      <c r="E641" s="2" t="s">
        <v>3661</v>
      </c>
      <c r="F641" s="2" t="s">
        <v>3662</v>
      </c>
      <c r="G641" s="2" t="s">
        <v>3663</v>
      </c>
      <c r="H641" s="2" t="s">
        <v>3664</v>
      </c>
      <c r="I641" s="2" t="s">
        <v>3665</v>
      </c>
      <c r="J641" s="2" t="s">
        <v>3666</v>
      </c>
      <c r="K641" s="2" t="s">
        <v>271</v>
      </c>
      <c r="L641" s="3">
        <v>27</v>
      </c>
      <c r="M641" s="3">
        <v>28.35</v>
      </c>
      <c r="N641" s="3">
        <v>59.99</v>
      </c>
      <c r="O641" s="2" t="s">
        <v>245</v>
      </c>
      <c r="P641" s="2" t="s">
        <v>311</v>
      </c>
      <c r="Q641" s="2" t="s">
        <v>239</v>
      </c>
      <c r="R641" s="2" t="s">
        <v>233</v>
      </c>
      <c r="S641" s="2" t="s">
        <v>3667</v>
      </c>
      <c r="T641" s="2" t="s">
        <v>395</v>
      </c>
      <c r="U641" s="2" t="s">
        <v>396</v>
      </c>
      <c r="V641" s="2" t="s">
        <v>241</v>
      </c>
      <c r="W641" s="2" t="s">
        <v>397</v>
      </c>
      <c r="X641" s="2" t="s">
        <v>233</v>
      </c>
      <c r="Y641" s="2" t="s">
        <v>2260</v>
      </c>
      <c r="Z641" s="4">
        <v>73</v>
      </c>
      <c r="AA641" s="4">
        <f>=ROUNDDOWN(36.5,0)</f>
      </c>
      <c r="AB641" s="5">
        <v>2</v>
      </c>
      <c r="AC641" s="2" t="s">
        <v>233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233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233</v>
      </c>
      <c r="AW641" s="8" t="s">
        <v>233</v>
      </c>
      <c r="AX641" s="4" t="s">
        <v>233</v>
      </c>
      <c r="AY641" s="8" t="s">
        <v>233</v>
      </c>
      <c r="AZ641" s="7" t="s">
        <v>233</v>
      </c>
      <c r="BA641" s="7" t="s">
        <v>233</v>
      </c>
      <c r="BB641" s="7"/>
      <c r="BC641" s="4" t="s">
        <v>233</v>
      </c>
      <c r="BD641" s="8" t="s">
        <v>233</v>
      </c>
      <c r="BE641" s="4" t="s">
        <v>233</v>
      </c>
      <c r="BF641" s="8" t="s">
        <v>233</v>
      </c>
      <c r="BG641" s="7" t="s">
        <v>233</v>
      </c>
      <c r="BH641" s="7" t="s">
        <v>233</v>
      </c>
      <c r="BI641" s="7"/>
      <c r="BJ641" s="4">
        <v>7</v>
      </c>
      <c r="BK641" s="8">
        <v>217.35</v>
      </c>
      <c r="BL641" s="2" t="s">
        <v>3668</v>
      </c>
      <c r="BM641" s="7"/>
      <c r="BN641" s="7"/>
      <c r="BO641" s="4"/>
      <c r="BP641" s="8"/>
      <c r="BQ641" s="4"/>
      <c r="BR641" s="8"/>
      <c r="BS641" s="7"/>
      <c r="BT641" s="7"/>
      <c r="BU641" s="2" t="s">
        <v>3669</v>
      </c>
      <c r="BV641" s="2" t="s">
        <v>233</v>
      </c>
      <c r="BW641" s="2" t="s">
        <v>233</v>
      </c>
      <c r="BX641" s="2" t="s">
        <v>233</v>
      </c>
      <c r="BY641" s="2" t="s">
        <v>280</v>
      </c>
      <c r="BZ641" s="2" t="s">
        <v>245</v>
      </c>
      <c r="CA641" s="2" t="s">
        <v>452</v>
      </c>
      <c r="CB641" s="2" t="s">
        <v>2096</v>
      </c>
      <c r="CC641" s="2" t="s">
        <v>246</v>
      </c>
      <c r="CD641" s="2" t="s">
        <v>233</v>
      </c>
      <c r="CE641" s="4">
        <v>73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</row>
    <row r="642">
      <c r="A642" s="2" t="s">
        <v>3670</v>
      </c>
      <c r="B642" s="2" t="s">
        <v>1174</v>
      </c>
      <c r="C642" s="2" t="s">
        <v>530</v>
      </c>
      <c r="D642" s="2" t="s">
        <v>1175</v>
      </c>
      <c r="E642" s="2" t="s">
        <v>3661</v>
      </c>
      <c r="F642" s="2" t="s">
        <v>3662</v>
      </c>
      <c r="G642" s="2" t="s">
        <v>3663</v>
      </c>
      <c r="H642" s="2" t="s">
        <v>3664</v>
      </c>
      <c r="I642" s="2" t="s">
        <v>3665</v>
      </c>
      <c r="J642" s="2" t="s">
        <v>3671</v>
      </c>
      <c r="K642" s="2" t="s">
        <v>271</v>
      </c>
      <c r="L642" s="3">
        <v>29.25</v>
      </c>
      <c r="M642" s="3">
        <v>30.71</v>
      </c>
      <c r="N642" s="3">
        <v>64.99</v>
      </c>
      <c r="O642" s="2" t="s">
        <v>245</v>
      </c>
      <c r="P642" s="2" t="s">
        <v>311</v>
      </c>
      <c r="Q642" s="2" t="s">
        <v>239</v>
      </c>
      <c r="R642" s="2" t="s">
        <v>233</v>
      </c>
      <c r="S642" s="2" t="s">
        <v>3667</v>
      </c>
      <c r="T642" s="2" t="s">
        <v>395</v>
      </c>
      <c r="U642" s="2" t="s">
        <v>396</v>
      </c>
      <c r="V642" s="2" t="s">
        <v>241</v>
      </c>
      <c r="W642" s="2" t="s">
        <v>397</v>
      </c>
      <c r="X642" s="2" t="s">
        <v>233</v>
      </c>
      <c r="Y642" s="2" t="s">
        <v>2260</v>
      </c>
      <c r="Z642" s="4">
        <v>53</v>
      </c>
      <c r="AA642" s="4">
        <f>=ROUNDDOWN(26.5,0)</f>
      </c>
      <c r="AB642" s="5">
        <v>2</v>
      </c>
      <c r="AC642" s="2" t="s">
        <v>233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233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233</v>
      </c>
      <c r="AW642" s="8" t="s">
        <v>233</v>
      </c>
      <c r="AX642" s="4" t="s">
        <v>233</v>
      </c>
      <c r="AY642" s="8" t="s">
        <v>233</v>
      </c>
      <c r="AZ642" s="7" t="s">
        <v>233</v>
      </c>
      <c r="BA642" s="7" t="s">
        <v>233</v>
      </c>
      <c r="BB642" s="7"/>
      <c r="BC642" s="4" t="s">
        <v>233</v>
      </c>
      <c r="BD642" s="8" t="s">
        <v>233</v>
      </c>
      <c r="BE642" s="4" t="s">
        <v>233</v>
      </c>
      <c r="BF642" s="8" t="s">
        <v>233</v>
      </c>
      <c r="BG642" s="7" t="s">
        <v>233</v>
      </c>
      <c r="BH642" s="7" t="s">
        <v>233</v>
      </c>
      <c r="BI642" s="7"/>
      <c r="BJ642" s="4">
        <v>8</v>
      </c>
      <c r="BK642" s="8">
        <v>272.45</v>
      </c>
      <c r="BL642" s="2" t="s">
        <v>3672</v>
      </c>
      <c r="BM642" s="7"/>
      <c r="BN642" s="7"/>
      <c r="BO642" s="4"/>
      <c r="BP642" s="8"/>
      <c r="BQ642" s="4"/>
      <c r="BR642" s="8"/>
      <c r="BS642" s="7"/>
      <c r="BT642" s="7"/>
      <c r="BU642" s="2" t="s">
        <v>3673</v>
      </c>
      <c r="BV642" s="2" t="s">
        <v>233</v>
      </c>
      <c r="BW642" s="2" t="s">
        <v>233</v>
      </c>
      <c r="BX642" s="2" t="s">
        <v>233</v>
      </c>
      <c r="BY642" s="2" t="s">
        <v>280</v>
      </c>
      <c r="BZ642" s="2" t="s">
        <v>245</v>
      </c>
      <c r="CA642" s="2" t="s">
        <v>452</v>
      </c>
      <c r="CB642" s="2" t="s">
        <v>3674</v>
      </c>
      <c r="CC642" s="2" t="s">
        <v>246</v>
      </c>
      <c r="CD642" s="2" t="s">
        <v>233</v>
      </c>
      <c r="CE642" s="4">
        <v>53</v>
      </c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</row>
    <row r="643">
      <c r="A643" s="2" t="s">
        <v>3675</v>
      </c>
      <c r="B643" s="2" t="s">
        <v>1174</v>
      </c>
      <c r="C643" s="2" t="s">
        <v>530</v>
      </c>
      <c r="D643" s="2" t="s">
        <v>1175</v>
      </c>
      <c r="E643" s="2" t="s">
        <v>3661</v>
      </c>
      <c r="F643" s="2" t="s">
        <v>3662</v>
      </c>
      <c r="G643" s="2" t="s">
        <v>3663</v>
      </c>
      <c r="H643" s="2" t="s">
        <v>3664</v>
      </c>
      <c r="I643" s="2" t="s">
        <v>3665</v>
      </c>
      <c r="J643" s="2" t="s">
        <v>3676</v>
      </c>
      <c r="K643" s="2" t="s">
        <v>271</v>
      </c>
      <c r="L643" s="3">
        <v>32.2</v>
      </c>
      <c r="M643" s="3">
        <v>33.81</v>
      </c>
      <c r="N643" s="3">
        <v>69.99</v>
      </c>
      <c r="O643" s="2" t="s">
        <v>245</v>
      </c>
      <c r="P643" s="2" t="s">
        <v>311</v>
      </c>
      <c r="Q643" s="2" t="s">
        <v>239</v>
      </c>
      <c r="R643" s="2" t="s">
        <v>233</v>
      </c>
      <c r="S643" s="2" t="s">
        <v>3667</v>
      </c>
      <c r="T643" s="2" t="s">
        <v>395</v>
      </c>
      <c r="U643" s="2" t="s">
        <v>396</v>
      </c>
      <c r="V643" s="2" t="s">
        <v>241</v>
      </c>
      <c r="W643" s="2" t="s">
        <v>397</v>
      </c>
      <c r="X643" s="2" t="s">
        <v>233</v>
      </c>
      <c r="Y643" s="2" t="s">
        <v>2260</v>
      </c>
      <c r="Z643" s="4">
        <v>23</v>
      </c>
      <c r="AA643" s="4">
        <f>=ROUNDDOWN(11.5,0)</f>
      </c>
      <c r="AB643" s="5">
        <v>2</v>
      </c>
      <c r="AC643" s="2" t="s">
        <v>233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233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233</v>
      </c>
      <c r="AW643" s="8" t="s">
        <v>233</v>
      </c>
      <c r="AX643" s="4" t="s">
        <v>233</v>
      </c>
      <c r="AY643" s="8" t="s">
        <v>233</v>
      </c>
      <c r="AZ643" s="7" t="s">
        <v>233</v>
      </c>
      <c r="BA643" s="7" t="s">
        <v>233</v>
      </c>
      <c r="BB643" s="7"/>
      <c r="BC643" s="4" t="s">
        <v>233</v>
      </c>
      <c r="BD643" s="8" t="s">
        <v>233</v>
      </c>
      <c r="BE643" s="4" t="s">
        <v>233</v>
      </c>
      <c r="BF643" s="8" t="s">
        <v>233</v>
      </c>
      <c r="BG643" s="7" t="s">
        <v>233</v>
      </c>
      <c r="BH643" s="7" t="s">
        <v>233</v>
      </c>
      <c r="BI643" s="7"/>
      <c r="BJ643" s="4">
        <v>1</v>
      </c>
      <c r="BK643" s="8">
        <v>37.03</v>
      </c>
      <c r="BL643" s="2" t="s">
        <v>3677</v>
      </c>
      <c r="BM643" s="7"/>
      <c r="BN643" s="7"/>
      <c r="BO643" s="4"/>
      <c r="BP643" s="8"/>
      <c r="BQ643" s="4"/>
      <c r="BR643" s="8"/>
      <c r="BS643" s="7"/>
      <c r="BT643" s="7"/>
      <c r="BU643" s="2" t="s">
        <v>3678</v>
      </c>
      <c r="BV643" s="2" t="s">
        <v>233</v>
      </c>
      <c r="BW643" s="2" t="s">
        <v>233</v>
      </c>
      <c r="BX643" s="2" t="s">
        <v>233</v>
      </c>
      <c r="BY643" s="2" t="s">
        <v>280</v>
      </c>
      <c r="BZ643" s="2" t="s">
        <v>245</v>
      </c>
      <c r="CA643" s="2" t="s">
        <v>452</v>
      </c>
      <c r="CB643" s="2" t="s">
        <v>3679</v>
      </c>
      <c r="CC643" s="2" t="s">
        <v>246</v>
      </c>
      <c r="CD643" s="2" t="s">
        <v>233</v>
      </c>
      <c r="CE643" s="4">
        <v>23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</row>
    <row r="644">
      <c r="A644" s="2" t="s">
        <v>3680</v>
      </c>
      <c r="B644" s="2" t="s">
        <v>1174</v>
      </c>
      <c r="C644" s="2" t="s">
        <v>530</v>
      </c>
      <c r="D644" s="2" t="s">
        <v>1175</v>
      </c>
      <c r="E644" s="2" t="s">
        <v>3661</v>
      </c>
      <c r="F644" s="2" t="s">
        <v>3662</v>
      </c>
      <c r="G644" s="2" t="s">
        <v>3663</v>
      </c>
      <c r="H644" s="2" t="s">
        <v>3664</v>
      </c>
      <c r="I644" s="2" t="s">
        <v>3665</v>
      </c>
      <c r="J644" s="2" t="s">
        <v>3681</v>
      </c>
      <c r="K644" s="2" t="s">
        <v>271</v>
      </c>
      <c r="L644" s="3">
        <v>38.4</v>
      </c>
      <c r="M644" s="3">
        <v>40.32</v>
      </c>
      <c r="N644" s="3">
        <v>79.99</v>
      </c>
      <c r="O644" s="2" t="s">
        <v>245</v>
      </c>
      <c r="P644" s="2" t="s">
        <v>311</v>
      </c>
      <c r="Q644" s="2" t="s">
        <v>239</v>
      </c>
      <c r="R644" s="2" t="s">
        <v>233</v>
      </c>
      <c r="S644" s="2" t="s">
        <v>3667</v>
      </c>
      <c r="T644" s="2" t="s">
        <v>395</v>
      </c>
      <c r="U644" s="2" t="s">
        <v>396</v>
      </c>
      <c r="V644" s="2" t="s">
        <v>241</v>
      </c>
      <c r="W644" s="2" t="s">
        <v>397</v>
      </c>
      <c r="X644" s="2" t="s">
        <v>233</v>
      </c>
      <c r="Y644" s="2" t="s">
        <v>2260</v>
      </c>
      <c r="Z644" s="4">
        <v>77</v>
      </c>
      <c r="AA644" s="4">
        <f>=ROUNDDOWN(77,0)</f>
      </c>
      <c r="AB644" s="5">
        <v>1</v>
      </c>
      <c r="AC644" s="2" t="s">
        <v>233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233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233</v>
      </c>
      <c r="AW644" s="8" t="s">
        <v>233</v>
      </c>
      <c r="AX644" s="4" t="s">
        <v>233</v>
      </c>
      <c r="AY644" s="8" t="s">
        <v>233</v>
      </c>
      <c r="AZ644" s="7" t="s">
        <v>233</v>
      </c>
      <c r="BA644" s="7" t="s">
        <v>233</v>
      </c>
      <c r="BB644" s="7"/>
      <c r="BC644" s="4" t="s">
        <v>233</v>
      </c>
      <c r="BD644" s="8" t="s">
        <v>233</v>
      </c>
      <c r="BE644" s="4" t="s">
        <v>233</v>
      </c>
      <c r="BF644" s="8" t="s">
        <v>233</v>
      </c>
      <c r="BG644" s="7" t="s">
        <v>233</v>
      </c>
      <c r="BH644" s="7" t="s">
        <v>233</v>
      </c>
      <c r="BI644" s="7"/>
      <c r="BJ644" s="4">
        <v>6</v>
      </c>
      <c r="BK644" s="8">
        <v>289.34</v>
      </c>
      <c r="BL644" s="2" t="s">
        <v>3682</v>
      </c>
      <c r="BM644" s="7"/>
      <c r="BN644" s="7"/>
      <c r="BO644" s="4"/>
      <c r="BP644" s="8"/>
      <c r="BQ644" s="4"/>
      <c r="BR644" s="8"/>
      <c r="BS644" s="7"/>
      <c r="BT644" s="7"/>
      <c r="BU644" s="2" t="s">
        <v>3683</v>
      </c>
      <c r="BV644" s="2" t="s">
        <v>233</v>
      </c>
      <c r="BW644" s="2" t="s">
        <v>233</v>
      </c>
      <c r="BX644" s="2" t="s">
        <v>233</v>
      </c>
      <c r="BY644" s="2" t="s">
        <v>280</v>
      </c>
      <c r="BZ644" s="2" t="s">
        <v>245</v>
      </c>
      <c r="CA644" s="2" t="s">
        <v>452</v>
      </c>
      <c r="CB644" s="2" t="s">
        <v>3684</v>
      </c>
      <c r="CC644" s="2" t="s">
        <v>246</v>
      </c>
      <c r="CD644" s="2" t="s">
        <v>233</v>
      </c>
      <c r="CE644" s="4">
        <v>77</v>
      </c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</row>
    <row r="645">
      <c r="A645" s="2" t="s">
        <v>3685</v>
      </c>
      <c r="B645" s="2" t="s">
        <v>1174</v>
      </c>
      <c r="C645" s="2" t="s">
        <v>1447</v>
      </c>
      <c r="D645" s="2" t="s">
        <v>1175</v>
      </c>
      <c r="E645" s="2" t="s">
        <v>1206</v>
      </c>
      <c r="F645" s="2" t="s">
        <v>3662</v>
      </c>
      <c r="G645" s="2" t="s">
        <v>3663</v>
      </c>
      <c r="H645" s="2" t="s">
        <v>3664</v>
      </c>
      <c r="I645" s="2" t="s">
        <v>3686</v>
      </c>
      <c r="J645" s="2" t="s">
        <v>3687</v>
      </c>
      <c r="K645" s="2" t="s">
        <v>449</v>
      </c>
      <c r="L645" s="3">
        <v>25.8</v>
      </c>
      <c r="M645" s="3">
        <v>27.09</v>
      </c>
      <c r="N645" s="3">
        <v>59.99</v>
      </c>
      <c r="O645" s="2" t="s">
        <v>245</v>
      </c>
      <c r="P645" s="2" t="s">
        <v>311</v>
      </c>
      <c r="Q645" s="2" t="s">
        <v>239</v>
      </c>
      <c r="R645" s="2" t="s">
        <v>233</v>
      </c>
      <c r="S645" s="2" t="s">
        <v>3688</v>
      </c>
      <c r="T645" s="2" t="s">
        <v>395</v>
      </c>
      <c r="U645" s="2" t="s">
        <v>491</v>
      </c>
      <c r="V645" s="2" t="s">
        <v>241</v>
      </c>
      <c r="W645" s="2" t="s">
        <v>397</v>
      </c>
      <c r="X645" s="2" t="s">
        <v>3129</v>
      </c>
      <c r="Y645" s="2" t="s">
        <v>3689</v>
      </c>
      <c r="Z645" s="4">
        <v>47</v>
      </c>
      <c r="AA645" s="4">
        <f>=ROUNDDOWN(10.6818181818182,0)</f>
      </c>
      <c r="AB645" s="5">
        <v>4.4</v>
      </c>
      <c r="AC645" s="2" t="s">
        <v>233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233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233</v>
      </c>
      <c r="AW645" s="8" t="s">
        <v>233</v>
      </c>
      <c r="AX645" s="4" t="s">
        <v>233</v>
      </c>
      <c r="AY645" s="8" t="s">
        <v>233</v>
      </c>
      <c r="AZ645" s="7" t="s">
        <v>233</v>
      </c>
      <c r="BA645" s="7" t="s">
        <v>233</v>
      </c>
      <c r="BB645" s="7"/>
      <c r="BC645" s="4" t="s">
        <v>233</v>
      </c>
      <c r="BD645" s="8" t="s">
        <v>233</v>
      </c>
      <c r="BE645" s="4" t="s">
        <v>233</v>
      </c>
      <c r="BF645" s="8" t="s">
        <v>233</v>
      </c>
      <c r="BG645" s="7" t="s">
        <v>233</v>
      </c>
      <c r="BH645" s="7" t="s">
        <v>233</v>
      </c>
      <c r="BI645" s="7"/>
      <c r="BJ645" s="4">
        <v>11</v>
      </c>
      <c r="BK645" s="8">
        <v>150.37</v>
      </c>
      <c r="BL645" s="2" t="s">
        <v>1028</v>
      </c>
      <c r="BM645" s="7"/>
      <c r="BN645" s="7"/>
      <c r="BO645" s="4"/>
      <c r="BP645" s="8"/>
      <c r="BQ645" s="4"/>
      <c r="BR645" s="8"/>
      <c r="BS645" s="7"/>
      <c r="BT645" s="7"/>
      <c r="BU645" s="2" t="s">
        <v>3690</v>
      </c>
      <c r="BV645" s="2" t="s">
        <v>233</v>
      </c>
      <c r="BW645" s="2" t="s">
        <v>233</v>
      </c>
      <c r="BX645" s="2" t="s">
        <v>243</v>
      </c>
      <c r="BY645" s="2" t="s">
        <v>280</v>
      </c>
      <c r="BZ645" s="2" t="s">
        <v>245</v>
      </c>
      <c r="CA645" s="2" t="s">
        <v>3691</v>
      </c>
      <c r="CB645" s="2" t="s">
        <v>2115</v>
      </c>
      <c r="CC645" s="2" t="s">
        <v>246</v>
      </c>
      <c r="CD645" s="2" t="s">
        <v>233</v>
      </c>
      <c r="CE645" s="4">
        <v>47</v>
      </c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</row>
    <row r="646">
      <c r="A646" s="2" t="s">
        <v>3692</v>
      </c>
      <c r="B646" s="2" t="s">
        <v>1174</v>
      </c>
      <c r="C646" s="2" t="s">
        <v>530</v>
      </c>
      <c r="D646" s="2" t="s">
        <v>1175</v>
      </c>
      <c r="E646" s="2" t="s">
        <v>3661</v>
      </c>
      <c r="F646" s="2" t="s">
        <v>3662</v>
      </c>
      <c r="G646" s="2" t="s">
        <v>3663</v>
      </c>
      <c r="H646" s="2" t="s">
        <v>3664</v>
      </c>
      <c r="I646" s="2" t="s">
        <v>3665</v>
      </c>
      <c r="J646" s="2" t="s">
        <v>3666</v>
      </c>
      <c r="K646" s="2" t="s">
        <v>449</v>
      </c>
      <c r="L646" s="3">
        <v>27</v>
      </c>
      <c r="M646" s="3">
        <v>28.35</v>
      </c>
      <c r="N646" s="3">
        <v>59.99</v>
      </c>
      <c r="O646" s="2" t="s">
        <v>245</v>
      </c>
      <c r="P646" s="2" t="s">
        <v>311</v>
      </c>
      <c r="Q646" s="2" t="s">
        <v>239</v>
      </c>
      <c r="R646" s="2" t="s">
        <v>233</v>
      </c>
      <c r="S646" s="2" t="s">
        <v>3688</v>
      </c>
      <c r="T646" s="2" t="s">
        <v>395</v>
      </c>
      <c r="U646" s="2" t="s">
        <v>396</v>
      </c>
      <c r="V646" s="2" t="s">
        <v>241</v>
      </c>
      <c r="W646" s="2" t="s">
        <v>397</v>
      </c>
      <c r="X646" s="2" t="s">
        <v>233</v>
      </c>
      <c r="Y646" s="2" t="s">
        <v>3693</v>
      </c>
      <c r="Z646" s="4">
        <v>203</v>
      </c>
      <c r="AA646" s="4">
        <f>=ROUNDDOWN(101.5,0)</f>
      </c>
      <c r="AB646" s="5">
        <v>2</v>
      </c>
      <c r="AC646" s="2" t="s">
        <v>233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233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233</v>
      </c>
      <c r="AW646" s="8" t="s">
        <v>233</v>
      </c>
      <c r="AX646" s="4" t="s">
        <v>233</v>
      </c>
      <c r="AY646" s="8" t="s">
        <v>233</v>
      </c>
      <c r="AZ646" s="7" t="s">
        <v>233</v>
      </c>
      <c r="BA646" s="7" t="s">
        <v>233</v>
      </c>
      <c r="BB646" s="7"/>
      <c r="BC646" s="4" t="s">
        <v>233</v>
      </c>
      <c r="BD646" s="8" t="s">
        <v>233</v>
      </c>
      <c r="BE646" s="4" t="s">
        <v>233</v>
      </c>
      <c r="BF646" s="8" t="s">
        <v>233</v>
      </c>
      <c r="BG646" s="7" t="s">
        <v>233</v>
      </c>
      <c r="BH646" s="7" t="s">
        <v>233</v>
      </c>
      <c r="BI646" s="7"/>
      <c r="BJ646" s="4">
        <v>6</v>
      </c>
      <c r="BK646" s="8">
        <v>162.7</v>
      </c>
      <c r="BL646" s="2" t="s">
        <v>3117</v>
      </c>
      <c r="BM646" s="7"/>
      <c r="BN646" s="7"/>
      <c r="BO646" s="4"/>
      <c r="BP646" s="8"/>
      <c r="BQ646" s="4"/>
      <c r="BR646" s="8"/>
      <c r="BS646" s="7"/>
      <c r="BT646" s="7"/>
      <c r="BU646" s="2" t="s">
        <v>3694</v>
      </c>
      <c r="BV646" s="2" t="s">
        <v>233</v>
      </c>
      <c r="BW646" s="2" t="s">
        <v>233</v>
      </c>
      <c r="BX646" s="2" t="s">
        <v>233</v>
      </c>
      <c r="BY646" s="2" t="s">
        <v>280</v>
      </c>
      <c r="BZ646" s="2" t="s">
        <v>245</v>
      </c>
      <c r="CA646" s="2" t="s">
        <v>2418</v>
      </c>
      <c r="CB646" s="2" t="s">
        <v>455</v>
      </c>
      <c r="CC646" s="2" t="s">
        <v>246</v>
      </c>
      <c r="CD646" s="2" t="s">
        <v>233</v>
      </c>
      <c r="CE646" s="4">
        <v>203</v>
      </c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</row>
    <row r="647">
      <c r="A647" s="2" t="s">
        <v>3695</v>
      </c>
      <c r="B647" s="2" t="s">
        <v>1174</v>
      </c>
      <c r="C647" s="2" t="s">
        <v>530</v>
      </c>
      <c r="D647" s="2" t="s">
        <v>1175</v>
      </c>
      <c r="E647" s="2" t="s">
        <v>3661</v>
      </c>
      <c r="F647" s="2" t="s">
        <v>3662</v>
      </c>
      <c r="G647" s="2" t="s">
        <v>3663</v>
      </c>
      <c r="H647" s="2" t="s">
        <v>3664</v>
      </c>
      <c r="I647" s="2" t="s">
        <v>3665</v>
      </c>
      <c r="J647" s="2" t="s">
        <v>3671</v>
      </c>
      <c r="K647" s="2" t="s">
        <v>449</v>
      </c>
      <c r="L647" s="3">
        <v>29.25</v>
      </c>
      <c r="M647" s="3">
        <v>30.71</v>
      </c>
      <c r="N647" s="3">
        <v>64.99</v>
      </c>
      <c r="O647" s="2" t="s">
        <v>245</v>
      </c>
      <c r="P647" s="2" t="s">
        <v>311</v>
      </c>
      <c r="Q647" s="2" t="s">
        <v>239</v>
      </c>
      <c r="R647" s="2" t="s">
        <v>233</v>
      </c>
      <c r="S647" s="2" t="s">
        <v>3688</v>
      </c>
      <c r="T647" s="2" t="s">
        <v>395</v>
      </c>
      <c r="U647" s="2" t="s">
        <v>396</v>
      </c>
      <c r="V647" s="2" t="s">
        <v>241</v>
      </c>
      <c r="W647" s="2" t="s">
        <v>397</v>
      </c>
      <c r="X647" s="2" t="s">
        <v>233</v>
      </c>
      <c r="Y647" s="2" t="s">
        <v>3693</v>
      </c>
      <c r="Z647" s="4">
        <v>216</v>
      </c>
      <c r="AA647" s="4">
        <f>=ROUNDDOWN(65.4545454545455,0)</f>
      </c>
      <c r="AB647" s="5">
        <v>3.3</v>
      </c>
      <c r="AC647" s="2" t="s">
        <v>233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233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233</v>
      </c>
      <c r="AW647" s="8" t="s">
        <v>233</v>
      </c>
      <c r="AX647" s="4" t="s">
        <v>233</v>
      </c>
      <c r="AY647" s="8" t="s">
        <v>233</v>
      </c>
      <c r="AZ647" s="7" t="s">
        <v>233</v>
      </c>
      <c r="BA647" s="7" t="s">
        <v>233</v>
      </c>
      <c r="BB647" s="7"/>
      <c r="BC647" s="4" t="s">
        <v>233</v>
      </c>
      <c r="BD647" s="8" t="s">
        <v>233</v>
      </c>
      <c r="BE647" s="4" t="s">
        <v>233</v>
      </c>
      <c r="BF647" s="8" t="s">
        <v>233</v>
      </c>
      <c r="BG647" s="7" t="s">
        <v>233</v>
      </c>
      <c r="BH647" s="7" t="s">
        <v>233</v>
      </c>
      <c r="BI647" s="7"/>
      <c r="BJ647" s="4">
        <v>15</v>
      </c>
      <c r="BK647" s="8">
        <v>463.45</v>
      </c>
      <c r="BL647" s="2" t="s">
        <v>3696</v>
      </c>
      <c r="BM647" s="7"/>
      <c r="BN647" s="7"/>
      <c r="BO647" s="4"/>
      <c r="BP647" s="8"/>
      <c r="BQ647" s="4"/>
      <c r="BR647" s="8"/>
      <c r="BS647" s="7"/>
      <c r="BT647" s="7"/>
      <c r="BU647" s="2" t="s">
        <v>3697</v>
      </c>
      <c r="BV647" s="2" t="s">
        <v>233</v>
      </c>
      <c r="BW647" s="2" t="s">
        <v>233</v>
      </c>
      <c r="BX647" s="2" t="s">
        <v>233</v>
      </c>
      <c r="BY647" s="2" t="s">
        <v>280</v>
      </c>
      <c r="BZ647" s="2" t="s">
        <v>245</v>
      </c>
      <c r="CA647" s="2" t="s">
        <v>2418</v>
      </c>
      <c r="CB647" s="2" t="s">
        <v>3698</v>
      </c>
      <c r="CC647" s="2" t="s">
        <v>246</v>
      </c>
      <c r="CD647" s="2" t="s">
        <v>233</v>
      </c>
      <c r="CE647" s="4">
        <v>216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</row>
    <row r="648">
      <c r="A648" s="2" t="s">
        <v>3699</v>
      </c>
      <c r="B648" s="2" t="s">
        <v>1174</v>
      </c>
      <c r="C648" s="2" t="s">
        <v>530</v>
      </c>
      <c r="D648" s="2" t="s">
        <v>1175</v>
      </c>
      <c r="E648" s="2" t="s">
        <v>3661</v>
      </c>
      <c r="F648" s="2" t="s">
        <v>3662</v>
      </c>
      <c r="G648" s="2" t="s">
        <v>3663</v>
      </c>
      <c r="H648" s="2" t="s">
        <v>3664</v>
      </c>
      <c r="I648" s="2" t="s">
        <v>3665</v>
      </c>
      <c r="J648" s="2" t="s">
        <v>3700</v>
      </c>
      <c r="K648" s="2" t="s">
        <v>449</v>
      </c>
      <c r="L648" s="3">
        <v>34.5</v>
      </c>
      <c r="M648" s="3">
        <v>36.23</v>
      </c>
      <c r="N648" s="3">
        <v>74.99</v>
      </c>
      <c r="O648" s="2" t="s">
        <v>245</v>
      </c>
      <c r="P648" s="2" t="s">
        <v>311</v>
      </c>
      <c r="Q648" s="2" t="s">
        <v>239</v>
      </c>
      <c r="R648" s="2" t="s">
        <v>233</v>
      </c>
      <c r="S648" s="2" t="s">
        <v>3688</v>
      </c>
      <c r="T648" s="2" t="s">
        <v>395</v>
      </c>
      <c r="U648" s="2" t="s">
        <v>396</v>
      </c>
      <c r="V648" s="2" t="s">
        <v>241</v>
      </c>
      <c r="W648" s="2" t="s">
        <v>397</v>
      </c>
      <c r="X648" s="2" t="s">
        <v>233</v>
      </c>
      <c r="Y648" s="2" t="s">
        <v>3693</v>
      </c>
      <c r="Z648" s="4">
        <v>103</v>
      </c>
      <c r="AA648" s="4">
        <f>=ROUNDDOWN(206,0)</f>
      </c>
      <c r="AB648" s="5">
        <v>0.5</v>
      </c>
      <c r="AC648" s="2" t="s">
        <v>233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233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233</v>
      </c>
      <c r="AW648" s="8" t="s">
        <v>233</v>
      </c>
      <c r="AX648" s="4" t="s">
        <v>233</v>
      </c>
      <c r="AY648" s="8" t="s">
        <v>233</v>
      </c>
      <c r="AZ648" s="7" t="s">
        <v>233</v>
      </c>
      <c r="BA648" s="7" t="s">
        <v>233</v>
      </c>
      <c r="BB648" s="7"/>
      <c r="BC648" s="4" t="s">
        <v>233</v>
      </c>
      <c r="BD648" s="8" t="s">
        <v>233</v>
      </c>
      <c r="BE648" s="4" t="s">
        <v>233</v>
      </c>
      <c r="BF648" s="8" t="s">
        <v>233</v>
      </c>
      <c r="BG648" s="7" t="s">
        <v>233</v>
      </c>
      <c r="BH648" s="7" t="s">
        <v>233</v>
      </c>
      <c r="BI648" s="7"/>
      <c r="BJ648" s="4">
        <v>5</v>
      </c>
      <c r="BK648" s="8">
        <v>250.05</v>
      </c>
      <c r="BL648" s="2" t="s">
        <v>3701</v>
      </c>
      <c r="BM648" s="7"/>
      <c r="BN648" s="7"/>
      <c r="BO648" s="4"/>
      <c r="BP648" s="8"/>
      <c r="BQ648" s="4"/>
      <c r="BR648" s="8"/>
      <c r="BS648" s="7"/>
      <c r="BT648" s="7"/>
      <c r="BU648" s="2" t="s">
        <v>3702</v>
      </c>
      <c r="BV648" s="2" t="s">
        <v>233</v>
      </c>
      <c r="BW648" s="2" t="s">
        <v>233</v>
      </c>
      <c r="BX648" s="2" t="s">
        <v>233</v>
      </c>
      <c r="BY648" s="2" t="s">
        <v>280</v>
      </c>
      <c r="BZ648" s="2" t="s">
        <v>245</v>
      </c>
      <c r="CA648" s="2" t="s">
        <v>2418</v>
      </c>
      <c r="CB648" s="2" t="s">
        <v>3703</v>
      </c>
      <c r="CC648" s="2" t="s">
        <v>246</v>
      </c>
      <c r="CD648" s="2" t="s">
        <v>233</v>
      </c>
      <c r="CE648" s="4">
        <v>103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</row>
    <row r="649">
      <c r="A649" s="2" t="s">
        <v>3704</v>
      </c>
      <c r="B649" s="2" t="s">
        <v>1174</v>
      </c>
      <c r="C649" s="2" t="s">
        <v>530</v>
      </c>
      <c r="D649" s="2" t="s">
        <v>1175</v>
      </c>
      <c r="E649" s="2" t="s">
        <v>3661</v>
      </c>
      <c r="F649" s="2" t="s">
        <v>3662</v>
      </c>
      <c r="G649" s="2" t="s">
        <v>3663</v>
      </c>
      <c r="H649" s="2" t="s">
        <v>3664</v>
      </c>
      <c r="I649" s="2" t="s">
        <v>3665</v>
      </c>
      <c r="J649" s="2" t="s">
        <v>3681</v>
      </c>
      <c r="K649" s="2" t="s">
        <v>449</v>
      </c>
      <c r="L649" s="3">
        <v>38.4</v>
      </c>
      <c r="M649" s="3">
        <v>40.32</v>
      </c>
      <c r="N649" s="3">
        <v>79.99</v>
      </c>
      <c r="O649" s="2" t="s">
        <v>245</v>
      </c>
      <c r="P649" s="2" t="s">
        <v>311</v>
      </c>
      <c r="Q649" s="2" t="s">
        <v>239</v>
      </c>
      <c r="R649" s="2" t="s">
        <v>233</v>
      </c>
      <c r="S649" s="2" t="s">
        <v>3688</v>
      </c>
      <c r="T649" s="2" t="s">
        <v>395</v>
      </c>
      <c r="U649" s="2" t="s">
        <v>396</v>
      </c>
      <c r="V649" s="2" t="s">
        <v>241</v>
      </c>
      <c r="W649" s="2" t="s">
        <v>397</v>
      </c>
      <c r="X649" s="2" t="s">
        <v>233</v>
      </c>
      <c r="Y649" s="2" t="s">
        <v>3693</v>
      </c>
      <c r="Z649" s="4">
        <v>338</v>
      </c>
      <c r="AA649" s="4">
        <f>=ROUNDDOWN(146.95652173913,0)</f>
      </c>
      <c r="AB649" s="5">
        <v>2.3</v>
      </c>
      <c r="AC649" s="2" t="s">
        <v>233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233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233</v>
      </c>
      <c r="AW649" s="8" t="s">
        <v>233</v>
      </c>
      <c r="AX649" s="4" t="s">
        <v>233</v>
      </c>
      <c r="AY649" s="8" t="s">
        <v>233</v>
      </c>
      <c r="AZ649" s="7" t="s">
        <v>233</v>
      </c>
      <c r="BA649" s="7" t="s">
        <v>233</v>
      </c>
      <c r="BB649" s="7"/>
      <c r="BC649" s="4" t="s">
        <v>233</v>
      </c>
      <c r="BD649" s="8" t="s">
        <v>233</v>
      </c>
      <c r="BE649" s="4" t="s">
        <v>233</v>
      </c>
      <c r="BF649" s="8" t="s">
        <v>233</v>
      </c>
      <c r="BG649" s="7" t="s">
        <v>233</v>
      </c>
      <c r="BH649" s="7" t="s">
        <v>233</v>
      </c>
      <c r="BI649" s="7"/>
      <c r="BJ649" s="4">
        <v>9</v>
      </c>
      <c r="BK649" s="8">
        <v>328.47</v>
      </c>
      <c r="BL649" s="2" t="s">
        <v>3705</v>
      </c>
      <c r="BM649" s="7"/>
      <c r="BN649" s="7"/>
      <c r="BO649" s="4"/>
      <c r="BP649" s="8"/>
      <c r="BQ649" s="4"/>
      <c r="BR649" s="8"/>
      <c r="BS649" s="7"/>
      <c r="BT649" s="7"/>
      <c r="BU649" s="2" t="s">
        <v>3706</v>
      </c>
      <c r="BV649" s="2" t="s">
        <v>233</v>
      </c>
      <c r="BW649" s="2" t="s">
        <v>233</v>
      </c>
      <c r="BX649" s="2" t="s">
        <v>233</v>
      </c>
      <c r="BY649" s="2" t="s">
        <v>280</v>
      </c>
      <c r="BZ649" s="2" t="s">
        <v>245</v>
      </c>
      <c r="CA649" s="2" t="s">
        <v>2418</v>
      </c>
      <c r="CB649" s="2" t="s">
        <v>2762</v>
      </c>
      <c r="CC649" s="2" t="s">
        <v>246</v>
      </c>
      <c r="CD649" s="2" t="s">
        <v>233</v>
      </c>
      <c r="CE649" s="4">
        <v>338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</row>
    <row r="650">
      <c r="A650" s="2" t="s">
        <v>3707</v>
      </c>
      <c r="B650" s="2" t="s">
        <v>1174</v>
      </c>
      <c r="C650" s="2" t="s">
        <v>530</v>
      </c>
      <c r="D650" s="2" t="s">
        <v>1175</v>
      </c>
      <c r="E650" s="2" t="s">
        <v>3661</v>
      </c>
      <c r="F650" s="2" t="s">
        <v>3662</v>
      </c>
      <c r="G650" s="2" t="s">
        <v>3663</v>
      </c>
      <c r="H650" s="2" t="s">
        <v>3664</v>
      </c>
      <c r="I650" s="2" t="s">
        <v>3665</v>
      </c>
      <c r="J650" s="2" t="s">
        <v>3666</v>
      </c>
      <c r="K650" s="2" t="s">
        <v>255</v>
      </c>
      <c r="L650" s="3">
        <v>27</v>
      </c>
      <c r="M650" s="3">
        <v>28.35</v>
      </c>
      <c r="N650" s="3">
        <v>59.99</v>
      </c>
      <c r="O650" s="2" t="s">
        <v>245</v>
      </c>
      <c r="P650" s="2" t="s">
        <v>311</v>
      </c>
      <c r="Q650" s="2" t="s">
        <v>239</v>
      </c>
      <c r="R650" s="2" t="s">
        <v>233</v>
      </c>
      <c r="S650" s="2" t="s">
        <v>3708</v>
      </c>
      <c r="T650" s="2" t="s">
        <v>395</v>
      </c>
      <c r="U650" s="2" t="s">
        <v>396</v>
      </c>
      <c r="V650" s="2" t="s">
        <v>241</v>
      </c>
      <c r="W650" s="2" t="s">
        <v>397</v>
      </c>
      <c r="X650" s="2" t="s">
        <v>233</v>
      </c>
      <c r="Y650" s="2" t="s">
        <v>3709</v>
      </c>
      <c r="Z650" s="4">
        <v>2</v>
      </c>
      <c r="AA650" s="4">
        <f>=ROUNDDOWN(0.32258064516129,0)</f>
      </c>
      <c r="AB650" s="5">
        <v>6.2</v>
      </c>
      <c r="AC650" s="2" t="s">
        <v>233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233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233</v>
      </c>
      <c r="AW650" s="8" t="s">
        <v>233</v>
      </c>
      <c r="AX650" s="4" t="s">
        <v>233</v>
      </c>
      <c r="AY650" s="8" t="s">
        <v>233</v>
      </c>
      <c r="AZ650" s="7" t="s">
        <v>233</v>
      </c>
      <c r="BA650" s="7" t="s">
        <v>233</v>
      </c>
      <c r="BB650" s="7"/>
      <c r="BC650" s="4" t="s">
        <v>233</v>
      </c>
      <c r="BD650" s="8" t="s">
        <v>233</v>
      </c>
      <c r="BE650" s="4" t="s">
        <v>233</v>
      </c>
      <c r="BF650" s="8" t="s">
        <v>233</v>
      </c>
      <c r="BG650" s="7" t="s">
        <v>233</v>
      </c>
      <c r="BH650" s="7" t="s">
        <v>233</v>
      </c>
      <c r="BI650" s="7"/>
      <c r="BJ650" s="4">
        <v>11</v>
      </c>
      <c r="BK650" s="8">
        <v>333.14</v>
      </c>
      <c r="BL650" s="2" t="s">
        <v>3710</v>
      </c>
      <c r="BM650" s="7"/>
      <c r="BN650" s="7"/>
      <c r="BO650" s="4"/>
      <c r="BP650" s="8"/>
      <c r="BQ650" s="4"/>
      <c r="BR650" s="8"/>
      <c r="BS650" s="7"/>
      <c r="BT650" s="7"/>
      <c r="BU650" s="2" t="s">
        <v>3711</v>
      </c>
      <c r="BV650" s="2" t="s">
        <v>233</v>
      </c>
      <c r="BW650" s="2" t="s">
        <v>233</v>
      </c>
      <c r="BX650" s="2" t="s">
        <v>233</v>
      </c>
      <c r="BY650" s="2" t="s">
        <v>280</v>
      </c>
      <c r="BZ650" s="2" t="s">
        <v>245</v>
      </c>
      <c r="CA650" s="2" t="s">
        <v>3712</v>
      </c>
      <c r="CB650" s="2" t="s">
        <v>3713</v>
      </c>
      <c r="CC650" s="2" t="s">
        <v>246</v>
      </c>
      <c r="CD650" s="2" t="s">
        <v>233</v>
      </c>
      <c r="CE650" s="4">
        <v>2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</row>
    <row r="651">
      <c r="A651" s="2" t="s">
        <v>3714</v>
      </c>
      <c r="B651" s="2" t="s">
        <v>1174</v>
      </c>
      <c r="C651" s="2" t="s">
        <v>530</v>
      </c>
      <c r="D651" s="2" t="s">
        <v>1175</v>
      </c>
      <c r="E651" s="2" t="s">
        <v>3661</v>
      </c>
      <c r="F651" s="2" t="s">
        <v>3662</v>
      </c>
      <c r="G651" s="2" t="s">
        <v>3663</v>
      </c>
      <c r="H651" s="2" t="s">
        <v>3664</v>
      </c>
      <c r="I651" s="2" t="s">
        <v>3665</v>
      </c>
      <c r="J651" s="2" t="s">
        <v>3671</v>
      </c>
      <c r="K651" s="2" t="s">
        <v>255</v>
      </c>
      <c r="L651" s="3">
        <v>29.25</v>
      </c>
      <c r="M651" s="3">
        <v>30.71</v>
      </c>
      <c r="N651" s="3">
        <v>64.99</v>
      </c>
      <c r="O651" s="2" t="s">
        <v>245</v>
      </c>
      <c r="P651" s="2" t="s">
        <v>311</v>
      </c>
      <c r="Q651" s="2" t="s">
        <v>239</v>
      </c>
      <c r="R651" s="2" t="s">
        <v>233</v>
      </c>
      <c r="S651" s="2" t="s">
        <v>3708</v>
      </c>
      <c r="T651" s="2" t="s">
        <v>395</v>
      </c>
      <c r="U651" s="2" t="s">
        <v>396</v>
      </c>
      <c r="V651" s="2" t="s">
        <v>241</v>
      </c>
      <c r="W651" s="2" t="s">
        <v>397</v>
      </c>
      <c r="X651" s="2" t="s">
        <v>233</v>
      </c>
      <c r="Y651" s="2" t="s">
        <v>3709</v>
      </c>
      <c r="Z651" s="4">
        <v>53</v>
      </c>
      <c r="AA651" s="4">
        <f>=ROUNDDOWN(35.3333333333333,0)</f>
      </c>
      <c r="AB651" s="5">
        <v>1.5</v>
      </c>
      <c r="AC651" s="2" t="s">
        <v>233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233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233</v>
      </c>
      <c r="AW651" s="8" t="s">
        <v>233</v>
      </c>
      <c r="AX651" s="4" t="s">
        <v>233</v>
      </c>
      <c r="AY651" s="8" t="s">
        <v>233</v>
      </c>
      <c r="AZ651" s="7" t="s">
        <v>233</v>
      </c>
      <c r="BA651" s="7" t="s">
        <v>233</v>
      </c>
      <c r="BB651" s="7"/>
      <c r="BC651" s="4" t="s">
        <v>233</v>
      </c>
      <c r="BD651" s="8" t="s">
        <v>233</v>
      </c>
      <c r="BE651" s="4" t="s">
        <v>233</v>
      </c>
      <c r="BF651" s="8" t="s">
        <v>233</v>
      </c>
      <c r="BG651" s="7" t="s">
        <v>233</v>
      </c>
      <c r="BH651" s="7" t="s">
        <v>233</v>
      </c>
      <c r="BI651" s="7"/>
      <c r="BJ651" s="4">
        <v>6</v>
      </c>
      <c r="BK651" s="8">
        <v>201.84</v>
      </c>
      <c r="BL651" s="2" t="s">
        <v>1292</v>
      </c>
      <c r="BM651" s="7"/>
      <c r="BN651" s="7"/>
      <c r="BO651" s="4"/>
      <c r="BP651" s="8"/>
      <c r="BQ651" s="4"/>
      <c r="BR651" s="8"/>
      <c r="BS651" s="7"/>
      <c r="BT651" s="7"/>
      <c r="BU651" s="2" t="s">
        <v>3715</v>
      </c>
      <c r="BV651" s="2" t="s">
        <v>233</v>
      </c>
      <c r="BW651" s="2" t="s">
        <v>233</v>
      </c>
      <c r="BX651" s="2" t="s">
        <v>233</v>
      </c>
      <c r="BY651" s="2" t="s">
        <v>280</v>
      </c>
      <c r="BZ651" s="2" t="s">
        <v>245</v>
      </c>
      <c r="CA651" s="2" t="s">
        <v>3712</v>
      </c>
      <c r="CB651" s="2" t="s">
        <v>3713</v>
      </c>
      <c r="CC651" s="2" t="s">
        <v>246</v>
      </c>
      <c r="CD651" s="2" t="s">
        <v>233</v>
      </c>
      <c r="CE651" s="4">
        <v>53</v>
      </c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</row>
    <row r="652">
      <c r="A652" s="2" t="s">
        <v>3716</v>
      </c>
      <c r="B652" s="2" t="s">
        <v>1174</v>
      </c>
      <c r="C652" s="2" t="s">
        <v>530</v>
      </c>
      <c r="D652" s="2" t="s">
        <v>1175</v>
      </c>
      <c r="E652" s="2" t="s">
        <v>3661</v>
      </c>
      <c r="F652" s="2" t="s">
        <v>3662</v>
      </c>
      <c r="G652" s="2" t="s">
        <v>3663</v>
      </c>
      <c r="H652" s="2" t="s">
        <v>3664</v>
      </c>
      <c r="I652" s="2" t="s">
        <v>3665</v>
      </c>
      <c r="J652" s="2" t="s">
        <v>3676</v>
      </c>
      <c r="K652" s="2" t="s">
        <v>255</v>
      </c>
      <c r="L652" s="3">
        <v>32.2</v>
      </c>
      <c r="M652" s="3">
        <v>33.81</v>
      </c>
      <c r="N652" s="3">
        <v>69.99</v>
      </c>
      <c r="O652" s="2" t="s">
        <v>245</v>
      </c>
      <c r="P652" s="2" t="s">
        <v>311</v>
      </c>
      <c r="Q652" s="2" t="s">
        <v>239</v>
      </c>
      <c r="R652" s="2" t="s">
        <v>233</v>
      </c>
      <c r="S652" s="2" t="s">
        <v>3708</v>
      </c>
      <c r="T652" s="2" t="s">
        <v>395</v>
      </c>
      <c r="U652" s="2" t="s">
        <v>396</v>
      </c>
      <c r="V652" s="2" t="s">
        <v>241</v>
      </c>
      <c r="W652" s="2" t="s">
        <v>397</v>
      </c>
      <c r="X652" s="2" t="s">
        <v>233</v>
      </c>
      <c r="Y652" s="2" t="s">
        <v>3709</v>
      </c>
      <c r="Z652" s="4">
        <v>30</v>
      </c>
      <c r="AA652" s="4">
        <f>=ROUNDDOWN(15,0)</f>
      </c>
      <c r="AB652" s="5">
        <v>2</v>
      </c>
      <c r="AC652" s="2" t="s">
        <v>233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233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233</v>
      </c>
      <c r="AW652" s="8" t="s">
        <v>233</v>
      </c>
      <c r="AX652" s="4" t="s">
        <v>233</v>
      </c>
      <c r="AY652" s="8" t="s">
        <v>233</v>
      </c>
      <c r="AZ652" s="7" t="s">
        <v>233</v>
      </c>
      <c r="BA652" s="7" t="s">
        <v>233</v>
      </c>
      <c r="BB652" s="7"/>
      <c r="BC652" s="4" t="s">
        <v>233</v>
      </c>
      <c r="BD652" s="8" t="s">
        <v>233</v>
      </c>
      <c r="BE652" s="4" t="s">
        <v>233</v>
      </c>
      <c r="BF652" s="8" t="s">
        <v>233</v>
      </c>
      <c r="BG652" s="7" t="s">
        <v>233</v>
      </c>
      <c r="BH652" s="7" t="s">
        <v>233</v>
      </c>
      <c r="BI652" s="7"/>
      <c r="BJ652" s="4">
        <v>8</v>
      </c>
      <c r="BK652" s="8">
        <v>296.24</v>
      </c>
      <c r="BL652" s="2" t="s">
        <v>3717</v>
      </c>
      <c r="BM652" s="7"/>
      <c r="BN652" s="7"/>
      <c r="BO652" s="4"/>
      <c r="BP652" s="8"/>
      <c r="BQ652" s="4"/>
      <c r="BR652" s="8"/>
      <c r="BS652" s="7"/>
      <c r="BT652" s="7"/>
      <c r="BU652" s="2" t="s">
        <v>3718</v>
      </c>
      <c r="BV652" s="2" t="s">
        <v>233</v>
      </c>
      <c r="BW652" s="2" t="s">
        <v>233</v>
      </c>
      <c r="BX652" s="2" t="s">
        <v>233</v>
      </c>
      <c r="BY652" s="2" t="s">
        <v>280</v>
      </c>
      <c r="BZ652" s="2" t="s">
        <v>245</v>
      </c>
      <c r="CA652" s="2" t="s">
        <v>3712</v>
      </c>
      <c r="CB652" s="2" t="s">
        <v>3719</v>
      </c>
      <c r="CC652" s="2" t="s">
        <v>246</v>
      </c>
      <c r="CD652" s="2" t="s">
        <v>233</v>
      </c>
      <c r="CE652" s="4">
        <v>30</v>
      </c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</row>
    <row r="653">
      <c r="A653" s="2" t="s">
        <v>3720</v>
      </c>
      <c r="B653" s="2" t="s">
        <v>1174</v>
      </c>
      <c r="C653" s="2" t="s">
        <v>530</v>
      </c>
      <c r="D653" s="2" t="s">
        <v>1175</v>
      </c>
      <c r="E653" s="2" t="s">
        <v>3661</v>
      </c>
      <c r="F653" s="2" t="s">
        <v>3662</v>
      </c>
      <c r="G653" s="2" t="s">
        <v>3663</v>
      </c>
      <c r="H653" s="2" t="s">
        <v>3664</v>
      </c>
      <c r="I653" s="2" t="s">
        <v>3665</v>
      </c>
      <c r="J653" s="2" t="s">
        <v>3671</v>
      </c>
      <c r="K653" s="2" t="s">
        <v>569</v>
      </c>
      <c r="L653" s="3">
        <v>29.25</v>
      </c>
      <c r="M653" s="3">
        <v>30.71</v>
      </c>
      <c r="N653" s="3">
        <v>64.99</v>
      </c>
      <c r="O653" s="2" t="s">
        <v>245</v>
      </c>
      <c r="P653" s="2" t="s">
        <v>272</v>
      </c>
      <c r="Q653" s="2" t="s">
        <v>239</v>
      </c>
      <c r="R653" s="2" t="s">
        <v>233</v>
      </c>
      <c r="S653" s="2" t="s">
        <v>3721</v>
      </c>
      <c r="T653" s="2" t="s">
        <v>395</v>
      </c>
      <c r="U653" s="2" t="s">
        <v>396</v>
      </c>
      <c r="V653" s="2" t="s">
        <v>241</v>
      </c>
      <c r="W653" s="2" t="s">
        <v>397</v>
      </c>
      <c r="X653" s="2" t="s">
        <v>233</v>
      </c>
      <c r="Y653" s="2" t="s">
        <v>3709</v>
      </c>
      <c r="Z653" s="4">
        <v>162</v>
      </c>
      <c r="AA653" s="4">
        <f>=ROUNDDOWN(32.4,0)</f>
      </c>
      <c r="AB653" s="5">
        <v>5</v>
      </c>
      <c r="AC653" s="2" t="s">
        <v>2533</v>
      </c>
      <c r="AD653" s="4">
        <v>54</v>
      </c>
      <c r="AE653" s="4">
        <v>120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233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233</v>
      </c>
      <c r="AW653" s="8" t="s">
        <v>233</v>
      </c>
      <c r="AX653" s="4" t="s">
        <v>233</v>
      </c>
      <c r="AY653" s="8" t="s">
        <v>233</v>
      </c>
      <c r="AZ653" s="7" t="s">
        <v>233</v>
      </c>
      <c r="BA653" s="7" t="s">
        <v>233</v>
      </c>
      <c r="BB653" s="7"/>
      <c r="BC653" s="4" t="s">
        <v>233</v>
      </c>
      <c r="BD653" s="8" t="s">
        <v>233</v>
      </c>
      <c r="BE653" s="4" t="s">
        <v>233</v>
      </c>
      <c r="BF653" s="8" t="s">
        <v>233</v>
      </c>
      <c r="BG653" s="7" t="s">
        <v>233</v>
      </c>
      <c r="BH653" s="7" t="s">
        <v>233</v>
      </c>
      <c r="BI653" s="7"/>
      <c r="BJ653" s="4">
        <v>17</v>
      </c>
      <c r="BK653" s="8">
        <v>562.91</v>
      </c>
      <c r="BL653" s="2" t="s">
        <v>3722</v>
      </c>
      <c r="BM653" s="7"/>
      <c r="BN653" s="7"/>
      <c r="BO653" s="4"/>
      <c r="BP653" s="8"/>
      <c r="BQ653" s="4"/>
      <c r="BR653" s="8"/>
      <c r="BS653" s="7"/>
      <c r="BT653" s="7"/>
      <c r="BU653" s="2" t="s">
        <v>3723</v>
      </c>
      <c r="BV653" s="2" t="s">
        <v>233</v>
      </c>
      <c r="BW653" s="2" t="s">
        <v>233</v>
      </c>
      <c r="BX653" s="2" t="s">
        <v>233</v>
      </c>
      <c r="BY653" s="2" t="s">
        <v>280</v>
      </c>
      <c r="BZ653" s="2" t="s">
        <v>245</v>
      </c>
      <c r="CA653" s="2" t="s">
        <v>3712</v>
      </c>
      <c r="CB653" s="2" t="s">
        <v>3724</v>
      </c>
      <c r="CC653" s="2" t="s">
        <v>246</v>
      </c>
      <c r="CD653" s="2" t="s">
        <v>233</v>
      </c>
      <c r="CE653" s="4">
        <v>162</v>
      </c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>
        <v>54</v>
      </c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>
        <v>66</v>
      </c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</row>
    <row r="654">
      <c r="A654" s="2" t="s">
        <v>3725</v>
      </c>
      <c r="B654" s="2" t="s">
        <v>1174</v>
      </c>
      <c r="C654" s="2" t="s">
        <v>530</v>
      </c>
      <c r="D654" s="2" t="s">
        <v>1175</v>
      </c>
      <c r="E654" s="2" t="s">
        <v>3661</v>
      </c>
      <c r="F654" s="2" t="s">
        <v>3662</v>
      </c>
      <c r="G654" s="2" t="s">
        <v>3663</v>
      </c>
      <c r="H654" s="2" t="s">
        <v>3664</v>
      </c>
      <c r="I654" s="2" t="s">
        <v>3665</v>
      </c>
      <c r="J654" s="2" t="s">
        <v>3681</v>
      </c>
      <c r="K654" s="2" t="s">
        <v>569</v>
      </c>
      <c r="L654" s="3">
        <v>38.4</v>
      </c>
      <c r="M654" s="3">
        <v>40.32</v>
      </c>
      <c r="N654" s="3">
        <v>79.99</v>
      </c>
      <c r="O654" s="2" t="s">
        <v>245</v>
      </c>
      <c r="P654" s="2" t="s">
        <v>272</v>
      </c>
      <c r="Q654" s="2" t="s">
        <v>239</v>
      </c>
      <c r="R654" s="2" t="s">
        <v>233</v>
      </c>
      <c r="S654" s="2" t="s">
        <v>3721</v>
      </c>
      <c r="T654" s="2" t="s">
        <v>395</v>
      </c>
      <c r="U654" s="2" t="s">
        <v>396</v>
      </c>
      <c r="V654" s="2" t="s">
        <v>241</v>
      </c>
      <c r="W654" s="2" t="s">
        <v>397</v>
      </c>
      <c r="X654" s="2" t="s">
        <v>233</v>
      </c>
      <c r="Y654" s="2" t="s">
        <v>3709</v>
      </c>
      <c r="Z654" s="4">
        <v>35</v>
      </c>
      <c r="AA654" s="4">
        <f>=ROUNDDOWN(5.46875,0)</f>
      </c>
      <c r="AB654" s="5">
        <v>6.4</v>
      </c>
      <c r="AC654" s="2" t="s">
        <v>2533</v>
      </c>
      <c r="AD654" s="4">
        <v>42</v>
      </c>
      <c r="AE654" s="4">
        <v>228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233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233</v>
      </c>
      <c r="AW654" s="8" t="s">
        <v>233</v>
      </c>
      <c r="AX654" s="4" t="s">
        <v>233</v>
      </c>
      <c r="AY654" s="8" t="s">
        <v>233</v>
      </c>
      <c r="AZ654" s="7" t="s">
        <v>233</v>
      </c>
      <c r="BA654" s="7" t="s">
        <v>233</v>
      </c>
      <c r="BB654" s="7"/>
      <c r="BC654" s="4" t="s">
        <v>233</v>
      </c>
      <c r="BD654" s="8" t="s">
        <v>233</v>
      </c>
      <c r="BE654" s="4" t="s">
        <v>233</v>
      </c>
      <c r="BF654" s="8" t="s">
        <v>233</v>
      </c>
      <c r="BG654" s="7" t="s">
        <v>233</v>
      </c>
      <c r="BH654" s="7" t="s">
        <v>233</v>
      </c>
      <c r="BI654" s="7"/>
      <c r="BJ654" s="4">
        <v>32</v>
      </c>
      <c r="BK654" s="8">
        <v>1406.72</v>
      </c>
      <c r="BL654" s="2" t="s">
        <v>3726</v>
      </c>
      <c r="BM654" s="7"/>
      <c r="BN654" s="7"/>
      <c r="BO654" s="4"/>
      <c r="BP654" s="8"/>
      <c r="BQ654" s="4"/>
      <c r="BR654" s="8"/>
      <c r="BS654" s="7"/>
      <c r="BT654" s="7"/>
      <c r="BU654" s="2" t="s">
        <v>3727</v>
      </c>
      <c r="BV654" s="2" t="s">
        <v>233</v>
      </c>
      <c r="BW654" s="2" t="s">
        <v>233</v>
      </c>
      <c r="BX654" s="2" t="s">
        <v>233</v>
      </c>
      <c r="BY654" s="2" t="s">
        <v>280</v>
      </c>
      <c r="BZ654" s="2" t="s">
        <v>245</v>
      </c>
      <c r="CA654" s="2" t="s">
        <v>3712</v>
      </c>
      <c r="CB654" s="2" t="s">
        <v>3728</v>
      </c>
      <c r="CC654" s="2" t="s">
        <v>246</v>
      </c>
      <c r="CD654" s="2" t="s">
        <v>233</v>
      </c>
      <c r="CE654" s="4">
        <v>35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>
        <v>42</v>
      </c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>
        <v>186</v>
      </c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</row>
    <row r="655">
      <c r="A655" s="2" t="s">
        <v>3729</v>
      </c>
      <c r="B655" s="2" t="s">
        <v>1174</v>
      </c>
      <c r="C655" s="2" t="s">
        <v>530</v>
      </c>
      <c r="D655" s="2" t="s">
        <v>1175</v>
      </c>
      <c r="E655" s="2" t="s">
        <v>3661</v>
      </c>
      <c r="F655" s="2" t="s">
        <v>3662</v>
      </c>
      <c r="G655" s="2" t="s">
        <v>3663</v>
      </c>
      <c r="H655" s="2" t="s">
        <v>3664</v>
      </c>
      <c r="I655" s="2" t="s">
        <v>3665</v>
      </c>
      <c r="J655" s="2" t="s">
        <v>3671</v>
      </c>
      <c r="K655" s="2" t="s">
        <v>2197</v>
      </c>
      <c r="L655" s="3">
        <v>29.25</v>
      </c>
      <c r="M655" s="3">
        <v>30.71</v>
      </c>
      <c r="N655" s="3">
        <v>64.99</v>
      </c>
      <c r="O655" s="2" t="s">
        <v>245</v>
      </c>
      <c r="P655" s="2" t="s">
        <v>272</v>
      </c>
      <c r="Q655" s="2" t="s">
        <v>239</v>
      </c>
      <c r="R655" s="2" t="s">
        <v>233</v>
      </c>
      <c r="S655" s="2" t="s">
        <v>3730</v>
      </c>
      <c r="T655" s="2" t="s">
        <v>395</v>
      </c>
      <c r="U655" s="2" t="s">
        <v>396</v>
      </c>
      <c r="V655" s="2" t="s">
        <v>241</v>
      </c>
      <c r="W655" s="2" t="s">
        <v>397</v>
      </c>
      <c r="X655" s="2" t="s">
        <v>233</v>
      </c>
      <c r="Y655" s="2" t="s">
        <v>3709</v>
      </c>
      <c r="Z655" s="4">
        <v>35</v>
      </c>
      <c r="AA655" s="4">
        <f>=ROUNDDOWN(8.75,0)</f>
      </c>
      <c r="AB655" s="5">
        <v>4</v>
      </c>
      <c r="AC655" s="2" t="s">
        <v>2533</v>
      </c>
      <c r="AD655" s="4">
        <v>60</v>
      </c>
      <c r="AE655" s="4">
        <v>150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233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233</v>
      </c>
      <c r="BD655" s="8" t="s">
        <v>233</v>
      </c>
      <c r="BE655" s="4" t="s">
        <v>233</v>
      </c>
      <c r="BF655" s="8" t="s">
        <v>233</v>
      </c>
      <c r="BG655" s="7" t="s">
        <v>233</v>
      </c>
      <c r="BH655" s="7" t="s">
        <v>233</v>
      </c>
      <c r="BI655" s="7"/>
      <c r="BJ655" s="4">
        <v>18</v>
      </c>
      <c r="BK655" s="8">
        <v>587.58</v>
      </c>
      <c r="BL655" s="2" t="s">
        <v>3731</v>
      </c>
      <c r="BM655" s="7"/>
      <c r="BN655" s="7"/>
      <c r="BO655" s="4"/>
      <c r="BP655" s="8"/>
      <c r="BQ655" s="4"/>
      <c r="BR655" s="8"/>
      <c r="BS655" s="7"/>
      <c r="BT655" s="7"/>
      <c r="BU655" s="2" t="s">
        <v>3732</v>
      </c>
      <c r="BV655" s="2" t="s">
        <v>233</v>
      </c>
      <c r="BW655" s="2" t="s">
        <v>233</v>
      </c>
      <c r="BX655" s="2" t="s">
        <v>233</v>
      </c>
      <c r="BY655" s="2" t="s">
        <v>280</v>
      </c>
      <c r="BZ655" s="2" t="s">
        <v>245</v>
      </c>
      <c r="CA655" s="2" t="s">
        <v>3712</v>
      </c>
      <c r="CB655" s="2" t="s">
        <v>3719</v>
      </c>
      <c r="CC655" s="2" t="s">
        <v>246</v>
      </c>
      <c r="CD655" s="2" t="s">
        <v>233</v>
      </c>
      <c r="CE655" s="4">
        <v>35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>
        <v>60</v>
      </c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>
        <v>90</v>
      </c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</row>
    <row r="656">
      <c r="A656" s="2" t="s">
        <v>3733</v>
      </c>
      <c r="B656" s="2" t="s">
        <v>1242</v>
      </c>
      <c r="C656" s="2" t="s">
        <v>1335</v>
      </c>
      <c r="D656" s="2" t="s">
        <v>1862</v>
      </c>
      <c r="E656" s="2" t="s">
        <v>3734</v>
      </c>
      <c r="F656" s="2" t="s">
        <v>3735</v>
      </c>
      <c r="G656" s="2" t="s">
        <v>3735</v>
      </c>
      <c r="H656" s="2" t="s">
        <v>3735</v>
      </c>
      <c r="I656" s="2" t="s">
        <v>3736</v>
      </c>
      <c r="J656" s="2" t="s">
        <v>981</v>
      </c>
      <c r="K656" s="2" t="s">
        <v>1561</v>
      </c>
      <c r="L656" s="3">
        <v>58.97</v>
      </c>
      <c r="M656" s="3">
        <v>61.92</v>
      </c>
      <c r="N656" s="3">
        <v>129.99</v>
      </c>
      <c r="O656" s="2" t="s">
        <v>245</v>
      </c>
      <c r="P656" s="2" t="s">
        <v>311</v>
      </c>
      <c r="Q656" s="2" t="s">
        <v>239</v>
      </c>
      <c r="R656" s="2" t="s">
        <v>233</v>
      </c>
      <c r="S656" s="2" t="s">
        <v>3737</v>
      </c>
      <c r="T656" s="2" t="s">
        <v>341</v>
      </c>
      <c r="U656" s="2" t="s">
        <v>475</v>
      </c>
      <c r="V656" s="2" t="s">
        <v>3103</v>
      </c>
      <c r="W656" s="2" t="s">
        <v>978</v>
      </c>
      <c r="X656" s="2" t="s">
        <v>1056</v>
      </c>
      <c r="Y656" s="2" t="s">
        <v>3738</v>
      </c>
      <c r="Z656" s="4">
        <v>241</v>
      </c>
      <c r="AA656" s="4">
        <f>=ROUNDDOWN(80.3333333333333,0)</f>
      </c>
      <c r="AB656" s="5">
        <v>3</v>
      </c>
      <c r="AC656" s="2" t="s">
        <v>233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233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>
        <v>4</v>
      </c>
      <c r="BK656" s="8">
        <v>268.47</v>
      </c>
      <c r="BL656" s="2" t="s">
        <v>3677</v>
      </c>
      <c r="BM656" s="7"/>
      <c r="BN656" s="7"/>
      <c r="BO656" s="4"/>
      <c r="BP656" s="8"/>
      <c r="BQ656" s="4"/>
      <c r="BR656" s="8"/>
      <c r="BS656" s="7"/>
      <c r="BT656" s="7"/>
      <c r="BU656" s="2" t="s">
        <v>3739</v>
      </c>
      <c r="BV656" s="2" t="s">
        <v>233</v>
      </c>
      <c r="BW656" s="2" t="s">
        <v>233</v>
      </c>
      <c r="BX656" s="2" t="s">
        <v>233</v>
      </c>
      <c r="BY656" s="2" t="s">
        <v>280</v>
      </c>
      <c r="BZ656" s="2" t="s">
        <v>245</v>
      </c>
      <c r="CA656" s="2" t="s">
        <v>3740</v>
      </c>
      <c r="CB656" s="2" t="s">
        <v>3375</v>
      </c>
      <c r="CC656" s="2" t="s">
        <v>246</v>
      </c>
      <c r="CD656" s="2" t="s">
        <v>233</v>
      </c>
      <c r="CE656" s="4">
        <v>241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</row>
    <row r="657">
      <c r="A657" s="2" t="s">
        <v>3741</v>
      </c>
      <c r="B657" s="2" t="s">
        <v>1242</v>
      </c>
      <c r="C657" s="2" t="s">
        <v>3135</v>
      </c>
      <c r="D657" s="2" t="s">
        <v>912</v>
      </c>
      <c r="E657" s="2" t="s">
        <v>913</v>
      </c>
      <c r="F657" s="2" t="s">
        <v>3742</v>
      </c>
      <c r="G657" s="2" t="s">
        <v>3742</v>
      </c>
      <c r="H657" s="2" t="s">
        <v>3742</v>
      </c>
      <c r="I657" s="2" t="s">
        <v>1609</v>
      </c>
      <c r="J657" s="2" t="s">
        <v>981</v>
      </c>
      <c r="K657" s="2" t="s">
        <v>3743</v>
      </c>
      <c r="L657" s="3">
        <v>102.14</v>
      </c>
      <c r="M657" s="3">
        <v>107.25</v>
      </c>
      <c r="N657" s="3">
        <v>299.99</v>
      </c>
      <c r="O657" s="2" t="s">
        <v>245</v>
      </c>
      <c r="P657" s="2" t="s">
        <v>996</v>
      </c>
      <c r="Q657" s="2" t="s">
        <v>239</v>
      </c>
      <c r="R657" s="2" t="s">
        <v>233</v>
      </c>
      <c r="S657" s="2" t="s">
        <v>233</v>
      </c>
      <c r="T657" s="2" t="s">
        <v>233</v>
      </c>
      <c r="U657" s="2" t="s">
        <v>233</v>
      </c>
      <c r="V657" s="2" t="s">
        <v>1658</v>
      </c>
      <c r="W657" s="2" t="s">
        <v>451</v>
      </c>
      <c r="X657" s="2" t="s">
        <v>233</v>
      </c>
      <c r="Y657" s="2" t="s">
        <v>3744</v>
      </c>
      <c r="Z657" s="4">
        <v>34</v>
      </c>
      <c r="AA657" s="4">
        <f>=ROUNDDOWN(34,0)</f>
      </c>
      <c r="AB657" s="5">
        <v>1</v>
      </c>
      <c r="AC657" s="2" t="s">
        <v>233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233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>
        <v>8</v>
      </c>
      <c r="BK657" s="8">
        <v>951.44</v>
      </c>
      <c r="BL657" s="2" t="s">
        <v>2000</v>
      </c>
      <c r="BM657" s="7"/>
      <c r="BN657" s="7"/>
      <c r="BO657" s="4"/>
      <c r="BP657" s="8"/>
      <c r="BQ657" s="4"/>
      <c r="BR657" s="8"/>
      <c r="BS657" s="7"/>
      <c r="BT657" s="7"/>
      <c r="BU657" s="2" t="s">
        <v>3745</v>
      </c>
      <c r="BV657" s="2" t="s">
        <v>233</v>
      </c>
      <c r="BW657" s="2" t="s">
        <v>233</v>
      </c>
      <c r="BX657" s="2" t="s">
        <v>233</v>
      </c>
      <c r="BY657" s="2" t="s">
        <v>280</v>
      </c>
      <c r="BZ657" s="2" t="s">
        <v>245</v>
      </c>
      <c r="CA657" s="2" t="s">
        <v>1613</v>
      </c>
      <c r="CB657" s="2" t="s">
        <v>3746</v>
      </c>
      <c r="CC657" s="2" t="s">
        <v>246</v>
      </c>
      <c r="CD657" s="2" t="s">
        <v>233</v>
      </c>
      <c r="CE657" s="4">
        <v>34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</row>
    <row r="658">
      <c r="A658" s="2" t="s">
        <v>3747</v>
      </c>
      <c r="B658" s="2" t="s">
        <v>1242</v>
      </c>
      <c r="C658" s="2" t="s">
        <v>701</v>
      </c>
      <c r="D658" s="2" t="s">
        <v>969</v>
      </c>
      <c r="E658" s="2" t="s">
        <v>3334</v>
      </c>
      <c r="F658" s="2" t="s">
        <v>1071</v>
      </c>
      <c r="G658" s="2" t="s">
        <v>1071</v>
      </c>
      <c r="H658" s="2" t="s">
        <v>1071</v>
      </c>
      <c r="I658" s="2" t="s">
        <v>3748</v>
      </c>
      <c r="J658" s="2" t="s">
        <v>348</v>
      </c>
      <c r="K658" s="2" t="s">
        <v>1083</v>
      </c>
      <c r="L658" s="3">
        <v>47.61</v>
      </c>
      <c r="M658" s="3">
        <v>49.99</v>
      </c>
      <c r="N658" s="3">
        <v>99.99</v>
      </c>
      <c r="O658" s="2" t="s">
        <v>245</v>
      </c>
      <c r="P658" s="2" t="s">
        <v>996</v>
      </c>
      <c r="Q658" s="2" t="s">
        <v>239</v>
      </c>
      <c r="R658" s="2" t="s">
        <v>233</v>
      </c>
      <c r="S658" s="2" t="s">
        <v>3749</v>
      </c>
      <c r="T658" s="2" t="s">
        <v>395</v>
      </c>
      <c r="U658" s="2" t="s">
        <v>3750</v>
      </c>
      <c r="V658" s="2" t="s">
        <v>1085</v>
      </c>
      <c r="W658" s="2" t="s">
        <v>397</v>
      </c>
      <c r="X658" s="2" t="s">
        <v>233</v>
      </c>
      <c r="Y658" s="2" t="s">
        <v>3751</v>
      </c>
      <c r="Z658" s="4"/>
      <c r="AA658" s="4">
        <f>=ROUNDDOWN({0},0)</f>
      </c>
      <c r="AB658" s="5">
        <v>4.4</v>
      </c>
      <c r="AC658" s="2" t="s">
        <v>233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233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233</v>
      </c>
      <c r="AW658" s="8" t="s">
        <v>233</v>
      </c>
      <c r="AX658" s="4" t="s">
        <v>233</v>
      </c>
      <c r="AY658" s="8" t="s">
        <v>233</v>
      </c>
      <c r="AZ658" s="7" t="s">
        <v>233</v>
      </c>
      <c r="BA658" s="7" t="s">
        <v>233</v>
      </c>
      <c r="BB658" s="7"/>
      <c r="BC658" s="4" t="s">
        <v>233</v>
      </c>
      <c r="BD658" s="8" t="s">
        <v>233</v>
      </c>
      <c r="BE658" s="4" t="s">
        <v>233</v>
      </c>
      <c r="BF658" s="8" t="s">
        <v>233</v>
      </c>
      <c r="BG658" s="7" t="s">
        <v>233</v>
      </c>
      <c r="BH658" s="7" t="s">
        <v>233</v>
      </c>
      <c r="BI658" s="7"/>
      <c r="BJ658" s="4"/>
      <c r="BK658" s="8"/>
      <c r="BL658" s="2" t="s">
        <v>3752</v>
      </c>
      <c r="BM658" s="7"/>
      <c r="BN658" s="7"/>
      <c r="BO658" s="4"/>
      <c r="BP658" s="8"/>
      <c r="BQ658" s="4"/>
      <c r="BR658" s="8"/>
      <c r="BS658" s="7"/>
      <c r="BT658" s="7"/>
      <c r="BU658" s="2" t="s">
        <v>3753</v>
      </c>
      <c r="BV658" s="2" t="s">
        <v>233</v>
      </c>
      <c r="BW658" s="2" t="s">
        <v>233</v>
      </c>
      <c r="BX658" s="2" t="s">
        <v>233</v>
      </c>
      <c r="BY658" s="2" t="s">
        <v>280</v>
      </c>
      <c r="BZ658" s="2" t="s">
        <v>245</v>
      </c>
      <c r="CA658" s="2" t="s">
        <v>3754</v>
      </c>
      <c r="CB658" s="2" t="s">
        <v>3755</v>
      </c>
      <c r="CC658" s="2" t="s">
        <v>246</v>
      </c>
      <c r="CD658" s="2" t="s">
        <v>233</v>
      </c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</row>
    <row r="659">
      <c r="A659" s="2" t="s">
        <v>3756</v>
      </c>
      <c r="B659" s="2" t="s">
        <v>1242</v>
      </c>
      <c r="C659" s="2" t="s">
        <v>701</v>
      </c>
      <c r="D659" s="2" t="s">
        <v>969</v>
      </c>
      <c r="E659" s="2" t="s">
        <v>3334</v>
      </c>
      <c r="F659" s="2" t="s">
        <v>1071</v>
      </c>
      <c r="G659" s="2" t="s">
        <v>1071</v>
      </c>
      <c r="H659" s="2" t="s">
        <v>1071</v>
      </c>
      <c r="I659" s="2" t="s">
        <v>3748</v>
      </c>
      <c r="J659" s="2" t="s">
        <v>328</v>
      </c>
      <c r="K659" s="2" t="s">
        <v>1083</v>
      </c>
      <c r="L659" s="3">
        <v>52.38</v>
      </c>
      <c r="M659" s="3">
        <v>55</v>
      </c>
      <c r="N659" s="3">
        <v>109.99</v>
      </c>
      <c r="O659" s="2" t="s">
        <v>245</v>
      </c>
      <c r="P659" s="2" t="s">
        <v>996</v>
      </c>
      <c r="Q659" s="2" t="s">
        <v>239</v>
      </c>
      <c r="R659" s="2" t="s">
        <v>233</v>
      </c>
      <c r="S659" s="2" t="s">
        <v>3749</v>
      </c>
      <c r="T659" s="2" t="s">
        <v>395</v>
      </c>
      <c r="U659" s="2" t="s">
        <v>3750</v>
      </c>
      <c r="V659" s="2" t="s">
        <v>1085</v>
      </c>
      <c r="W659" s="2" t="s">
        <v>397</v>
      </c>
      <c r="X659" s="2" t="s">
        <v>233</v>
      </c>
      <c r="Y659" s="2" t="s">
        <v>3757</v>
      </c>
      <c r="Z659" s="4"/>
      <c r="AA659" s="4">
        <f>=ROUNDDOWN({0},0)</f>
      </c>
      <c r="AB659" s="5">
        <v>3</v>
      </c>
      <c r="AC659" s="2" t="s">
        <v>233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233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233</v>
      </c>
      <c r="AW659" s="8" t="s">
        <v>233</v>
      </c>
      <c r="AX659" s="4" t="s">
        <v>233</v>
      </c>
      <c r="AY659" s="8" t="s">
        <v>233</v>
      </c>
      <c r="AZ659" s="7" t="s">
        <v>233</v>
      </c>
      <c r="BA659" s="7" t="s">
        <v>233</v>
      </c>
      <c r="BB659" s="7"/>
      <c r="BC659" s="4" t="s">
        <v>233</v>
      </c>
      <c r="BD659" s="8" t="s">
        <v>233</v>
      </c>
      <c r="BE659" s="4" t="s">
        <v>233</v>
      </c>
      <c r="BF659" s="8" t="s">
        <v>233</v>
      </c>
      <c r="BG659" s="7" t="s">
        <v>233</v>
      </c>
      <c r="BH659" s="7" t="s">
        <v>233</v>
      </c>
      <c r="BI659" s="7"/>
      <c r="BJ659" s="4"/>
      <c r="BK659" s="8"/>
      <c r="BL659" s="2" t="s">
        <v>3758</v>
      </c>
      <c r="BM659" s="7"/>
      <c r="BN659" s="7"/>
      <c r="BO659" s="4"/>
      <c r="BP659" s="8"/>
      <c r="BQ659" s="4"/>
      <c r="BR659" s="8"/>
      <c r="BS659" s="7"/>
      <c r="BT659" s="7"/>
      <c r="BU659" s="2" t="s">
        <v>3759</v>
      </c>
      <c r="BV659" s="2" t="s">
        <v>233</v>
      </c>
      <c r="BW659" s="2" t="s">
        <v>233</v>
      </c>
      <c r="BX659" s="2" t="s">
        <v>233</v>
      </c>
      <c r="BY659" s="2" t="s">
        <v>280</v>
      </c>
      <c r="BZ659" s="2" t="s">
        <v>245</v>
      </c>
      <c r="CA659" s="2" t="s">
        <v>3754</v>
      </c>
      <c r="CB659" s="2" t="s">
        <v>3760</v>
      </c>
      <c r="CC659" s="2" t="s">
        <v>246</v>
      </c>
      <c r="CD659" s="2" t="s">
        <v>233</v>
      </c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</row>
    <row r="660">
      <c r="A660" s="2" t="s">
        <v>3761</v>
      </c>
      <c r="B660" s="2" t="s">
        <v>886</v>
      </c>
      <c r="C660" s="2" t="s">
        <v>887</v>
      </c>
      <c r="D660" s="2" t="s">
        <v>3762</v>
      </c>
      <c r="E660" s="2" t="s">
        <v>3763</v>
      </c>
      <c r="F660" s="2" t="s">
        <v>1071</v>
      </c>
      <c r="G660" s="2" t="s">
        <v>1071</v>
      </c>
      <c r="H660" s="2" t="s">
        <v>1071</v>
      </c>
      <c r="I660" s="2" t="s">
        <v>3764</v>
      </c>
      <c r="J660" s="2" t="s">
        <v>892</v>
      </c>
      <c r="K660" s="2" t="s">
        <v>1105</v>
      </c>
      <c r="L660" s="3">
        <v>74.1</v>
      </c>
      <c r="M660" s="3">
        <v>77.8</v>
      </c>
      <c r="N660" s="3">
        <v>164.99</v>
      </c>
      <c r="O660" s="2" t="s">
        <v>245</v>
      </c>
      <c r="P660" s="2" t="s">
        <v>272</v>
      </c>
      <c r="Q660" s="2" t="s">
        <v>239</v>
      </c>
      <c r="R660" s="2" t="s">
        <v>233</v>
      </c>
      <c r="S660" s="2" t="s">
        <v>233</v>
      </c>
      <c r="T660" s="2" t="s">
        <v>233</v>
      </c>
      <c r="U660" s="2" t="s">
        <v>491</v>
      </c>
      <c r="V660" s="2" t="s">
        <v>893</v>
      </c>
      <c r="W660" s="2" t="s">
        <v>776</v>
      </c>
      <c r="X660" s="2" t="s">
        <v>451</v>
      </c>
      <c r="Y660" s="2" t="s">
        <v>2012</v>
      </c>
      <c r="Z660" s="4">
        <v>88</v>
      </c>
      <c r="AA660" s="4">
        <f>=ROUNDDOWN(44,0)</f>
      </c>
      <c r="AB660" s="5">
        <v>2</v>
      </c>
      <c r="AC660" s="2" t="s">
        <v>233</v>
      </c>
      <c r="AD660" s="4"/>
      <c r="AE660" s="4"/>
      <c r="AF660" s="6">
        <v>63</v>
      </c>
      <c r="AG660" s="6"/>
      <c r="AH660" s="7">
        <v>1</v>
      </c>
      <c r="AI660" s="4"/>
      <c r="AJ660" s="4">
        <f>=ROUNDDOWN({0},0)</f>
      </c>
      <c r="AK660" s="5"/>
      <c r="AL660" s="2" t="s">
        <v>233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 t="s">
        <v>233</v>
      </c>
      <c r="BD660" s="8" t="s">
        <v>233</v>
      </c>
      <c r="BE660" s="4" t="s">
        <v>233</v>
      </c>
      <c r="BF660" s="8" t="s">
        <v>233</v>
      </c>
      <c r="BG660" s="7" t="s">
        <v>233</v>
      </c>
      <c r="BH660" s="7" t="s">
        <v>233</v>
      </c>
      <c r="BI660" s="7"/>
      <c r="BJ660" s="4">
        <v>7</v>
      </c>
      <c r="BK660" s="8">
        <v>482.43</v>
      </c>
      <c r="BL660" s="2" t="s">
        <v>1028</v>
      </c>
      <c r="BM660" s="7"/>
      <c r="BN660" s="7"/>
      <c r="BO660" s="4"/>
      <c r="BP660" s="8"/>
      <c r="BQ660" s="4"/>
      <c r="BR660" s="8"/>
      <c r="BS660" s="7"/>
      <c r="BT660" s="7"/>
      <c r="BU660" s="2" t="s">
        <v>3765</v>
      </c>
      <c r="BV660" s="2" t="s">
        <v>233</v>
      </c>
      <c r="BW660" s="2" t="s">
        <v>233</v>
      </c>
      <c r="BX660" s="2" t="s">
        <v>233</v>
      </c>
      <c r="BY660" s="2" t="s">
        <v>280</v>
      </c>
      <c r="BZ660" s="2" t="s">
        <v>245</v>
      </c>
      <c r="CA660" s="2" t="s">
        <v>1358</v>
      </c>
      <c r="CB660" s="2" t="s">
        <v>1500</v>
      </c>
      <c r="CC660" s="2" t="s">
        <v>246</v>
      </c>
      <c r="CD660" s="2" t="s">
        <v>233</v>
      </c>
      <c r="CE660" s="4"/>
      <c r="CF660" s="4">
        <v>88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</row>
    <row r="661">
      <c r="A661" s="2" t="s">
        <v>3766</v>
      </c>
      <c r="B661" s="2" t="s">
        <v>1242</v>
      </c>
      <c r="C661" s="2" t="s">
        <v>701</v>
      </c>
      <c r="D661" s="2" t="s">
        <v>969</v>
      </c>
      <c r="E661" s="2" t="s">
        <v>3334</v>
      </c>
      <c r="F661" s="2" t="s">
        <v>1071</v>
      </c>
      <c r="G661" s="2" t="s">
        <v>1071</v>
      </c>
      <c r="H661" s="2" t="s">
        <v>1071</v>
      </c>
      <c r="I661" s="2" t="s">
        <v>3748</v>
      </c>
      <c r="J661" s="2" t="s">
        <v>348</v>
      </c>
      <c r="K661" s="2" t="s">
        <v>255</v>
      </c>
      <c r="L661" s="3">
        <v>47.61</v>
      </c>
      <c r="M661" s="3">
        <v>49.99</v>
      </c>
      <c r="N661" s="3">
        <v>99.99</v>
      </c>
      <c r="O661" s="2" t="s">
        <v>245</v>
      </c>
      <c r="P661" s="2" t="s">
        <v>311</v>
      </c>
      <c r="Q661" s="2" t="s">
        <v>239</v>
      </c>
      <c r="R661" s="2" t="s">
        <v>233</v>
      </c>
      <c r="S661" s="2" t="s">
        <v>3767</v>
      </c>
      <c r="T661" s="2" t="s">
        <v>395</v>
      </c>
      <c r="U661" s="2" t="s">
        <v>3750</v>
      </c>
      <c r="V661" s="2" t="s">
        <v>1085</v>
      </c>
      <c r="W661" s="2" t="s">
        <v>397</v>
      </c>
      <c r="X661" s="2" t="s">
        <v>233</v>
      </c>
      <c r="Y661" s="2" t="s">
        <v>3757</v>
      </c>
      <c r="Z661" s="4"/>
      <c r="AA661" s="4">
        <f>=ROUNDDOWN({0},0)</f>
      </c>
      <c r="AB661" s="5">
        <v>19</v>
      </c>
      <c r="AC661" s="2" t="s">
        <v>233</v>
      </c>
      <c r="AD661" s="4"/>
      <c r="AE661" s="4"/>
      <c r="AF661" s="6"/>
      <c r="AG661" s="6"/>
      <c r="AH661" s="7">
        <v>0.5806</v>
      </c>
      <c r="AI661" s="4"/>
      <c r="AJ661" s="4">
        <f>=ROUNDDOWN({0},0)</f>
      </c>
      <c r="AK661" s="5"/>
      <c r="AL661" s="2" t="s">
        <v>233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233</v>
      </c>
      <c r="AW661" s="8" t="s">
        <v>233</v>
      </c>
      <c r="AX661" s="4" t="s">
        <v>233</v>
      </c>
      <c r="AY661" s="8" t="s">
        <v>233</v>
      </c>
      <c r="AZ661" s="7" t="s">
        <v>233</v>
      </c>
      <c r="BA661" s="7" t="s">
        <v>233</v>
      </c>
      <c r="BB661" s="7"/>
      <c r="BC661" s="4" t="s">
        <v>233</v>
      </c>
      <c r="BD661" s="8" t="s">
        <v>233</v>
      </c>
      <c r="BE661" s="4" t="s">
        <v>233</v>
      </c>
      <c r="BF661" s="8" t="s">
        <v>233</v>
      </c>
      <c r="BG661" s="7" t="s">
        <v>233</v>
      </c>
      <c r="BH661" s="7" t="s">
        <v>233</v>
      </c>
      <c r="BI661" s="7"/>
      <c r="BJ661" s="4">
        <v>1</v>
      </c>
      <c r="BK661" s="8">
        <v>21</v>
      </c>
      <c r="BL661" s="2" t="s">
        <v>3768</v>
      </c>
      <c r="BM661" s="7"/>
      <c r="BN661" s="7"/>
      <c r="BO661" s="4"/>
      <c r="BP661" s="8"/>
      <c r="BQ661" s="4"/>
      <c r="BR661" s="8"/>
      <c r="BS661" s="7"/>
      <c r="BT661" s="7"/>
      <c r="BU661" s="2" t="s">
        <v>3769</v>
      </c>
      <c r="BV661" s="2" t="s">
        <v>233</v>
      </c>
      <c r="BW661" s="2" t="s">
        <v>233</v>
      </c>
      <c r="BX661" s="2" t="s">
        <v>233</v>
      </c>
      <c r="BY661" s="2" t="s">
        <v>280</v>
      </c>
      <c r="BZ661" s="2" t="s">
        <v>245</v>
      </c>
      <c r="CA661" s="2" t="s">
        <v>3754</v>
      </c>
      <c r="CB661" s="2" t="s">
        <v>3770</v>
      </c>
      <c r="CC661" s="2" t="s">
        <v>246</v>
      </c>
      <c r="CD661" s="2" t="s">
        <v>233</v>
      </c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</row>
    <row r="662">
      <c r="A662" s="2" t="s">
        <v>3771</v>
      </c>
      <c r="B662" s="2" t="s">
        <v>1242</v>
      </c>
      <c r="C662" s="2" t="s">
        <v>701</v>
      </c>
      <c r="D662" s="2" t="s">
        <v>969</v>
      </c>
      <c r="E662" s="2" t="s">
        <v>3334</v>
      </c>
      <c r="F662" s="2" t="s">
        <v>1071</v>
      </c>
      <c r="G662" s="2" t="s">
        <v>1071</v>
      </c>
      <c r="H662" s="2" t="s">
        <v>1071</v>
      </c>
      <c r="I662" s="2" t="s">
        <v>3748</v>
      </c>
      <c r="J662" s="2" t="s">
        <v>328</v>
      </c>
      <c r="K662" s="2" t="s">
        <v>255</v>
      </c>
      <c r="L662" s="3">
        <v>52.38</v>
      </c>
      <c r="M662" s="3">
        <v>55</v>
      </c>
      <c r="N662" s="3">
        <v>109.99</v>
      </c>
      <c r="O662" s="2" t="s">
        <v>245</v>
      </c>
      <c r="P662" s="2" t="s">
        <v>311</v>
      </c>
      <c r="Q662" s="2" t="s">
        <v>239</v>
      </c>
      <c r="R662" s="2" t="s">
        <v>233</v>
      </c>
      <c r="S662" s="2" t="s">
        <v>3767</v>
      </c>
      <c r="T662" s="2" t="s">
        <v>395</v>
      </c>
      <c r="U662" s="2" t="s">
        <v>3750</v>
      </c>
      <c r="V662" s="2" t="s">
        <v>1085</v>
      </c>
      <c r="W662" s="2" t="s">
        <v>397</v>
      </c>
      <c r="X662" s="2" t="s">
        <v>233</v>
      </c>
      <c r="Y662" s="2" t="s">
        <v>3464</v>
      </c>
      <c r="Z662" s="4"/>
      <c r="AA662" s="4">
        <f>=ROUNDDOWN({0},0)</f>
      </c>
      <c r="AB662" s="5">
        <v>8.7</v>
      </c>
      <c r="AC662" s="2" t="s">
        <v>233</v>
      </c>
      <c r="AD662" s="4"/>
      <c r="AE662" s="4"/>
      <c r="AF662" s="6"/>
      <c r="AG662" s="6"/>
      <c r="AH662" s="7">
        <v>0.5484</v>
      </c>
      <c r="AI662" s="4"/>
      <c r="AJ662" s="4">
        <f>=ROUNDDOWN({0},0)</f>
      </c>
      <c r="AK662" s="5"/>
      <c r="AL662" s="2" t="s">
        <v>233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233</v>
      </c>
      <c r="AW662" s="8" t="s">
        <v>233</v>
      </c>
      <c r="AX662" s="4" t="s">
        <v>233</v>
      </c>
      <c r="AY662" s="8" t="s">
        <v>233</v>
      </c>
      <c r="AZ662" s="7" t="s">
        <v>233</v>
      </c>
      <c r="BA662" s="7" t="s">
        <v>233</v>
      </c>
      <c r="BB662" s="7"/>
      <c r="BC662" s="4" t="s">
        <v>233</v>
      </c>
      <c r="BD662" s="8" t="s">
        <v>233</v>
      </c>
      <c r="BE662" s="4" t="s">
        <v>233</v>
      </c>
      <c r="BF662" s="8" t="s">
        <v>233</v>
      </c>
      <c r="BG662" s="7" t="s">
        <v>233</v>
      </c>
      <c r="BH662" s="7" t="s">
        <v>233</v>
      </c>
      <c r="BI662" s="7"/>
      <c r="BJ662" s="4">
        <v>1</v>
      </c>
      <c r="BK662" s="8">
        <v>59.4</v>
      </c>
      <c r="BL662" s="2" t="s">
        <v>3772</v>
      </c>
      <c r="BM662" s="7"/>
      <c r="BN662" s="7"/>
      <c r="BO662" s="4"/>
      <c r="BP662" s="8"/>
      <c r="BQ662" s="4"/>
      <c r="BR662" s="8"/>
      <c r="BS662" s="7"/>
      <c r="BT662" s="7"/>
      <c r="BU662" s="2" t="s">
        <v>3773</v>
      </c>
      <c r="BV662" s="2" t="s">
        <v>233</v>
      </c>
      <c r="BW662" s="2" t="s">
        <v>233</v>
      </c>
      <c r="BX662" s="2" t="s">
        <v>233</v>
      </c>
      <c r="BY662" s="2" t="s">
        <v>280</v>
      </c>
      <c r="BZ662" s="2" t="s">
        <v>245</v>
      </c>
      <c r="CA662" s="2" t="s">
        <v>3754</v>
      </c>
      <c r="CB662" s="2" t="s">
        <v>2112</v>
      </c>
      <c r="CC662" s="2" t="s">
        <v>246</v>
      </c>
      <c r="CD662" s="2" t="s">
        <v>233</v>
      </c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</row>
    <row r="663">
      <c r="A663" s="2" t="s">
        <v>3774</v>
      </c>
      <c r="B663" s="2" t="s">
        <v>228</v>
      </c>
      <c r="C663" s="2" t="s">
        <v>701</v>
      </c>
      <c r="D663" s="2" t="s">
        <v>3775</v>
      </c>
      <c r="E663" s="2" t="s">
        <v>3776</v>
      </c>
      <c r="F663" s="2" t="s">
        <v>3777</v>
      </c>
      <c r="G663" s="2" t="s">
        <v>3777</v>
      </c>
      <c r="H663" s="2" t="s">
        <v>3777</v>
      </c>
      <c r="I663" s="2" t="s">
        <v>3778</v>
      </c>
      <c r="J663" s="2" t="s">
        <v>270</v>
      </c>
      <c r="K663" s="2" t="s">
        <v>297</v>
      </c>
      <c r="L663" s="3">
        <v>42.85</v>
      </c>
      <c r="M663" s="3">
        <v>44.99</v>
      </c>
      <c r="N663" s="3">
        <v>89.99</v>
      </c>
      <c r="O663" s="2" t="s">
        <v>245</v>
      </c>
      <c r="P663" s="2" t="s">
        <v>272</v>
      </c>
      <c r="Q663" s="2" t="s">
        <v>239</v>
      </c>
      <c r="R663" s="2" t="s">
        <v>233</v>
      </c>
      <c r="S663" s="2" t="s">
        <v>3779</v>
      </c>
      <c r="T663" s="2" t="s">
        <v>233</v>
      </c>
      <c r="U663" s="2" t="s">
        <v>396</v>
      </c>
      <c r="V663" s="2" t="s">
        <v>241</v>
      </c>
      <c r="W663" s="2" t="s">
        <v>275</v>
      </c>
      <c r="X663" s="2" t="s">
        <v>233</v>
      </c>
      <c r="Y663" s="2" t="s">
        <v>3780</v>
      </c>
      <c r="Z663" s="4">
        <v>205</v>
      </c>
      <c r="AA663" s="4">
        <f>=ROUNDDOWN(17.0833333333333,0)</f>
      </c>
      <c r="AB663" s="5">
        <v>12</v>
      </c>
      <c r="AC663" s="2" t="s">
        <v>233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233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233</v>
      </c>
      <c r="AW663" s="8" t="s">
        <v>233</v>
      </c>
      <c r="AX663" s="4" t="s">
        <v>233</v>
      </c>
      <c r="AY663" s="8" t="s">
        <v>233</v>
      </c>
      <c r="AZ663" s="7" t="s">
        <v>233</v>
      </c>
      <c r="BA663" s="7" t="s">
        <v>233</v>
      </c>
      <c r="BB663" s="7"/>
      <c r="BC663" s="4" t="s">
        <v>233</v>
      </c>
      <c r="BD663" s="8" t="s">
        <v>233</v>
      </c>
      <c r="BE663" s="4" t="s">
        <v>233</v>
      </c>
      <c r="BF663" s="8" t="s">
        <v>233</v>
      </c>
      <c r="BG663" s="7" t="s">
        <v>233</v>
      </c>
      <c r="BH663" s="7" t="s">
        <v>233</v>
      </c>
      <c r="BI663" s="7"/>
      <c r="BJ663" s="4">
        <v>10</v>
      </c>
      <c r="BK663" s="8">
        <v>475.79</v>
      </c>
      <c r="BL663" s="2" t="s">
        <v>3781</v>
      </c>
      <c r="BM663" s="7"/>
      <c r="BN663" s="7"/>
      <c r="BO663" s="4"/>
      <c r="BP663" s="8"/>
      <c r="BQ663" s="4"/>
      <c r="BR663" s="8"/>
      <c r="BS663" s="7"/>
      <c r="BT663" s="7"/>
      <c r="BU663" s="2" t="s">
        <v>3782</v>
      </c>
      <c r="BV663" s="2" t="s">
        <v>233</v>
      </c>
      <c r="BW663" s="2" t="s">
        <v>233</v>
      </c>
      <c r="BX663" s="2" t="s">
        <v>233</v>
      </c>
      <c r="BY663" s="2" t="s">
        <v>280</v>
      </c>
      <c r="BZ663" s="2" t="s">
        <v>245</v>
      </c>
      <c r="CA663" s="2" t="s">
        <v>3783</v>
      </c>
      <c r="CB663" s="2" t="s">
        <v>1579</v>
      </c>
      <c r="CC663" s="2" t="s">
        <v>246</v>
      </c>
      <c r="CD663" s="2" t="s">
        <v>233</v>
      </c>
      <c r="CE663" s="4">
        <v>205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</row>
    <row r="664">
      <c r="A664" s="2" t="s">
        <v>3784</v>
      </c>
      <c r="B664" s="2" t="s">
        <v>228</v>
      </c>
      <c r="C664" s="2" t="s">
        <v>701</v>
      </c>
      <c r="D664" s="2" t="s">
        <v>3775</v>
      </c>
      <c r="E664" s="2" t="s">
        <v>3776</v>
      </c>
      <c r="F664" s="2" t="s">
        <v>3777</v>
      </c>
      <c r="G664" s="2" t="s">
        <v>3777</v>
      </c>
      <c r="H664" s="2" t="s">
        <v>3777</v>
      </c>
      <c r="I664" s="2" t="s">
        <v>3778</v>
      </c>
      <c r="J664" s="2" t="s">
        <v>290</v>
      </c>
      <c r="K664" s="2" t="s">
        <v>297</v>
      </c>
      <c r="L664" s="3">
        <v>47.61</v>
      </c>
      <c r="M664" s="3">
        <v>49.99</v>
      </c>
      <c r="N664" s="3">
        <v>99.99</v>
      </c>
      <c r="O664" s="2" t="s">
        <v>245</v>
      </c>
      <c r="P664" s="2" t="s">
        <v>272</v>
      </c>
      <c r="Q664" s="2" t="s">
        <v>239</v>
      </c>
      <c r="R664" s="2" t="s">
        <v>233</v>
      </c>
      <c r="S664" s="2" t="s">
        <v>3779</v>
      </c>
      <c r="T664" s="2" t="s">
        <v>233</v>
      </c>
      <c r="U664" s="2" t="s">
        <v>396</v>
      </c>
      <c r="V664" s="2" t="s">
        <v>241</v>
      </c>
      <c r="W664" s="2" t="s">
        <v>275</v>
      </c>
      <c r="X664" s="2" t="s">
        <v>233</v>
      </c>
      <c r="Y664" s="2" t="s">
        <v>3780</v>
      </c>
      <c r="Z664" s="4">
        <v>419</v>
      </c>
      <c r="AA664" s="4">
        <f>=ROUNDDOWN(17.4583333333333,0)</f>
      </c>
      <c r="AB664" s="5">
        <v>24</v>
      </c>
      <c r="AC664" s="2" t="s">
        <v>233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233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233</v>
      </c>
      <c r="AW664" s="8" t="s">
        <v>233</v>
      </c>
      <c r="AX664" s="4" t="s">
        <v>233</v>
      </c>
      <c r="AY664" s="8" t="s">
        <v>233</v>
      </c>
      <c r="AZ664" s="7" t="s">
        <v>233</v>
      </c>
      <c r="BA664" s="7" t="s">
        <v>233</v>
      </c>
      <c r="BB664" s="7"/>
      <c r="BC664" s="4" t="s">
        <v>233</v>
      </c>
      <c r="BD664" s="8" t="s">
        <v>233</v>
      </c>
      <c r="BE664" s="4" t="s">
        <v>233</v>
      </c>
      <c r="BF664" s="8" t="s">
        <v>233</v>
      </c>
      <c r="BG664" s="7" t="s">
        <v>233</v>
      </c>
      <c r="BH664" s="7" t="s">
        <v>233</v>
      </c>
      <c r="BI664" s="7"/>
      <c r="BJ664" s="4">
        <v>5</v>
      </c>
      <c r="BK664" s="8">
        <v>238.95</v>
      </c>
      <c r="BL664" s="2" t="s">
        <v>3599</v>
      </c>
      <c r="BM664" s="7"/>
      <c r="BN664" s="7"/>
      <c r="BO664" s="4"/>
      <c r="BP664" s="8"/>
      <c r="BQ664" s="4"/>
      <c r="BR664" s="8"/>
      <c r="BS664" s="7"/>
      <c r="BT664" s="7"/>
      <c r="BU664" s="2" t="s">
        <v>3785</v>
      </c>
      <c r="BV664" s="2" t="s">
        <v>233</v>
      </c>
      <c r="BW664" s="2" t="s">
        <v>233</v>
      </c>
      <c r="BX664" s="2" t="s">
        <v>233</v>
      </c>
      <c r="BY664" s="2" t="s">
        <v>280</v>
      </c>
      <c r="BZ664" s="2" t="s">
        <v>245</v>
      </c>
      <c r="CA664" s="2" t="s">
        <v>3783</v>
      </c>
      <c r="CB664" s="2" t="s">
        <v>3382</v>
      </c>
      <c r="CC664" s="2" t="s">
        <v>246</v>
      </c>
      <c r="CD664" s="2" t="s">
        <v>233</v>
      </c>
      <c r="CE664" s="4">
        <v>419</v>
      </c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</row>
    <row r="665">
      <c r="A665" s="2" t="s">
        <v>3786</v>
      </c>
      <c r="B665" s="2" t="s">
        <v>228</v>
      </c>
      <c r="C665" s="2" t="s">
        <v>701</v>
      </c>
      <c r="D665" s="2" t="s">
        <v>3775</v>
      </c>
      <c r="E665" s="2" t="s">
        <v>3776</v>
      </c>
      <c r="F665" s="2" t="s">
        <v>3777</v>
      </c>
      <c r="G665" s="2" t="s">
        <v>3777</v>
      </c>
      <c r="H665" s="2" t="s">
        <v>3777</v>
      </c>
      <c r="I665" s="2" t="s">
        <v>3778</v>
      </c>
      <c r="J665" s="2" t="s">
        <v>328</v>
      </c>
      <c r="K665" s="2" t="s">
        <v>297</v>
      </c>
      <c r="L665" s="3">
        <v>71.42</v>
      </c>
      <c r="M665" s="3">
        <v>74.99</v>
      </c>
      <c r="N665" s="3">
        <v>149.99</v>
      </c>
      <c r="O665" s="2" t="s">
        <v>245</v>
      </c>
      <c r="P665" s="2" t="s">
        <v>763</v>
      </c>
      <c r="Q665" s="2" t="s">
        <v>239</v>
      </c>
      <c r="R665" s="2" t="s">
        <v>233</v>
      </c>
      <c r="S665" s="2" t="s">
        <v>3779</v>
      </c>
      <c r="T665" s="2" t="s">
        <v>233</v>
      </c>
      <c r="U665" s="2" t="s">
        <v>396</v>
      </c>
      <c r="V665" s="2" t="s">
        <v>241</v>
      </c>
      <c r="W665" s="2" t="s">
        <v>275</v>
      </c>
      <c r="X665" s="2" t="s">
        <v>233</v>
      </c>
      <c r="Y665" s="2" t="s">
        <v>3780</v>
      </c>
      <c r="Z665" s="4"/>
      <c r="AA665" s="4">
        <f>=ROUNDDOWN({0},0)</f>
      </c>
      <c r="AB665" s="5">
        <v>104</v>
      </c>
      <c r="AC665" s="2" t="s">
        <v>1341</v>
      </c>
      <c r="AD665" s="4">
        <v>550</v>
      </c>
      <c r="AE665" s="4">
        <v>550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233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233</v>
      </c>
      <c r="AW665" s="8" t="s">
        <v>233</v>
      </c>
      <c r="AX665" s="4" t="s">
        <v>233</v>
      </c>
      <c r="AY665" s="8" t="s">
        <v>233</v>
      </c>
      <c r="AZ665" s="7" t="s">
        <v>233</v>
      </c>
      <c r="BA665" s="7" t="s">
        <v>233</v>
      </c>
      <c r="BB665" s="7"/>
      <c r="BC665" s="4" t="s">
        <v>233</v>
      </c>
      <c r="BD665" s="8" t="s">
        <v>233</v>
      </c>
      <c r="BE665" s="4" t="s">
        <v>233</v>
      </c>
      <c r="BF665" s="8" t="s">
        <v>233</v>
      </c>
      <c r="BG665" s="7" t="s">
        <v>233</v>
      </c>
      <c r="BH665" s="7" t="s">
        <v>233</v>
      </c>
      <c r="BI665" s="7"/>
      <c r="BJ665" s="4"/>
      <c r="BK665" s="8"/>
      <c r="BL665" s="2" t="s">
        <v>233</v>
      </c>
      <c r="BM665" s="7"/>
      <c r="BN665" s="7"/>
      <c r="BO665" s="4"/>
      <c r="BP665" s="8"/>
      <c r="BQ665" s="4"/>
      <c r="BR665" s="8"/>
      <c r="BS665" s="7"/>
      <c r="BT665" s="7"/>
      <c r="BU665" s="2" t="s">
        <v>3787</v>
      </c>
      <c r="BV665" s="2" t="s">
        <v>233</v>
      </c>
      <c r="BW665" s="2" t="s">
        <v>233</v>
      </c>
      <c r="BX665" s="2" t="s">
        <v>233</v>
      </c>
      <c r="BY665" s="2" t="s">
        <v>280</v>
      </c>
      <c r="BZ665" s="2" t="s">
        <v>245</v>
      </c>
      <c r="CA665" s="2" t="s">
        <v>3783</v>
      </c>
      <c r="CB665" s="2" t="s">
        <v>2434</v>
      </c>
      <c r="CC665" s="2" t="s">
        <v>246</v>
      </c>
      <c r="CD665" s="2" t="s">
        <v>233</v>
      </c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>
        <v>550</v>
      </c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</row>
    <row r="666">
      <c r="A666" s="2" t="s">
        <v>3788</v>
      </c>
      <c r="B666" s="2" t="s">
        <v>264</v>
      </c>
      <c r="C666" s="2" t="s">
        <v>3789</v>
      </c>
      <c r="D666" s="2" t="s">
        <v>1616</v>
      </c>
      <c r="E666" s="2" t="s">
        <v>1617</v>
      </c>
      <c r="F666" s="2" t="s">
        <v>3790</v>
      </c>
      <c r="G666" s="2" t="s">
        <v>3790</v>
      </c>
      <c r="H666" s="2" t="s">
        <v>3790</v>
      </c>
      <c r="I666" s="2" t="s">
        <v>3791</v>
      </c>
      <c r="J666" s="2" t="s">
        <v>1736</v>
      </c>
      <c r="K666" s="2" t="s">
        <v>255</v>
      </c>
      <c r="L666" s="3">
        <v>15.33</v>
      </c>
      <c r="M666" s="3">
        <v>16.1</v>
      </c>
      <c r="N666" s="3">
        <v>34.99</v>
      </c>
      <c r="O666" s="2" t="s">
        <v>245</v>
      </c>
      <c r="P666" s="2" t="s">
        <v>974</v>
      </c>
      <c r="Q666" s="2" t="s">
        <v>239</v>
      </c>
      <c r="R666" s="2" t="s">
        <v>233</v>
      </c>
      <c r="S666" s="2" t="s">
        <v>3792</v>
      </c>
      <c r="T666" s="2" t="s">
        <v>3793</v>
      </c>
      <c r="U666" s="2" t="s">
        <v>396</v>
      </c>
      <c r="V666" s="2" t="s">
        <v>241</v>
      </c>
      <c r="W666" s="2" t="s">
        <v>275</v>
      </c>
      <c r="X666" s="2" t="s">
        <v>233</v>
      </c>
      <c r="Y666" s="2" t="s">
        <v>233</v>
      </c>
      <c r="Z666" s="4"/>
      <c r="AA666" s="4">
        <f>=ROUNDDOWN({0},0)</f>
      </c>
      <c r="AB666" s="5"/>
      <c r="AC666" s="2" t="s">
        <v>3794</v>
      </c>
      <c r="AD666" s="4">
        <v>300</v>
      </c>
      <c r="AE666" s="4">
        <v>800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233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233</v>
      </c>
      <c r="BD666" s="8" t="s">
        <v>233</v>
      </c>
      <c r="BE666" s="4" t="s">
        <v>233</v>
      </c>
      <c r="BF666" s="8" t="s">
        <v>233</v>
      </c>
      <c r="BG666" s="7" t="s">
        <v>233</v>
      </c>
      <c r="BH666" s="7" t="s">
        <v>233</v>
      </c>
      <c r="BI666" s="7"/>
      <c r="BJ666" s="4"/>
      <c r="BK666" s="8"/>
      <c r="BL666" s="2" t="s">
        <v>233</v>
      </c>
      <c r="BM666" s="7"/>
      <c r="BN666" s="7"/>
      <c r="BO666" s="4"/>
      <c r="BP666" s="8"/>
      <c r="BQ666" s="4"/>
      <c r="BR666" s="8"/>
      <c r="BS666" s="7"/>
      <c r="BT666" s="7"/>
      <c r="BU666" s="2" t="s">
        <v>243</v>
      </c>
      <c r="BV666" s="2" t="s">
        <v>233</v>
      </c>
      <c r="BW666" s="2" t="s">
        <v>233</v>
      </c>
      <c r="BX666" s="2" t="s">
        <v>243</v>
      </c>
      <c r="BY666" s="2" t="s">
        <v>244</v>
      </c>
      <c r="BZ666" s="2" t="s">
        <v>245</v>
      </c>
      <c r="CA666" s="2" t="s">
        <v>233</v>
      </c>
      <c r="CB666" s="2" t="s">
        <v>233</v>
      </c>
      <c r="CC666" s="2" t="s">
        <v>246</v>
      </c>
      <c r="CD666" s="2" t="s">
        <v>233</v>
      </c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>
        <v>300</v>
      </c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>
        <v>500</v>
      </c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</row>
    <row r="667">
      <c r="A667" s="2" t="s">
        <v>3795</v>
      </c>
      <c r="B667" s="2" t="s">
        <v>264</v>
      </c>
      <c r="C667" s="2" t="s">
        <v>3789</v>
      </c>
      <c r="D667" s="2" t="s">
        <v>1616</v>
      </c>
      <c r="E667" s="2" t="s">
        <v>1617</v>
      </c>
      <c r="F667" s="2" t="s">
        <v>3790</v>
      </c>
      <c r="G667" s="2" t="s">
        <v>3790</v>
      </c>
      <c r="H667" s="2" t="s">
        <v>3790</v>
      </c>
      <c r="I667" s="2" t="s">
        <v>3791</v>
      </c>
      <c r="J667" s="2" t="s">
        <v>1736</v>
      </c>
      <c r="K667" s="2" t="s">
        <v>569</v>
      </c>
      <c r="L667" s="3">
        <v>15.33</v>
      </c>
      <c r="M667" s="3">
        <v>16.1</v>
      </c>
      <c r="N667" s="3">
        <v>34.99</v>
      </c>
      <c r="O667" s="2" t="s">
        <v>245</v>
      </c>
      <c r="P667" s="2" t="s">
        <v>974</v>
      </c>
      <c r="Q667" s="2" t="s">
        <v>239</v>
      </c>
      <c r="R667" s="2" t="s">
        <v>233</v>
      </c>
      <c r="S667" s="2" t="s">
        <v>3796</v>
      </c>
      <c r="T667" s="2" t="s">
        <v>3793</v>
      </c>
      <c r="U667" s="2" t="s">
        <v>396</v>
      </c>
      <c r="V667" s="2" t="s">
        <v>241</v>
      </c>
      <c r="W667" s="2" t="s">
        <v>275</v>
      </c>
      <c r="X667" s="2" t="s">
        <v>233</v>
      </c>
      <c r="Y667" s="2" t="s">
        <v>233</v>
      </c>
      <c r="Z667" s="4"/>
      <c r="AA667" s="4">
        <f>=ROUNDDOWN({0},0)</f>
      </c>
      <c r="AB667" s="5"/>
      <c r="AC667" s="2" t="s">
        <v>3794</v>
      </c>
      <c r="AD667" s="4">
        <v>300</v>
      </c>
      <c r="AE667" s="4">
        <v>800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233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 t="s">
        <v>233</v>
      </c>
      <c r="BD667" s="8" t="s">
        <v>233</v>
      </c>
      <c r="BE667" s="4" t="s">
        <v>233</v>
      </c>
      <c r="BF667" s="8" t="s">
        <v>233</v>
      </c>
      <c r="BG667" s="7" t="s">
        <v>233</v>
      </c>
      <c r="BH667" s="7" t="s">
        <v>233</v>
      </c>
      <c r="BI667" s="7"/>
      <c r="BJ667" s="4"/>
      <c r="BK667" s="8"/>
      <c r="BL667" s="2" t="s">
        <v>233</v>
      </c>
      <c r="BM667" s="7"/>
      <c r="BN667" s="7"/>
      <c r="BO667" s="4"/>
      <c r="BP667" s="8"/>
      <c r="BQ667" s="4"/>
      <c r="BR667" s="8"/>
      <c r="BS667" s="7"/>
      <c r="BT667" s="7"/>
      <c r="BU667" s="2" t="s">
        <v>243</v>
      </c>
      <c r="BV667" s="2" t="s">
        <v>233</v>
      </c>
      <c r="BW667" s="2" t="s">
        <v>233</v>
      </c>
      <c r="BX667" s="2" t="s">
        <v>243</v>
      </c>
      <c r="BY667" s="2" t="s">
        <v>244</v>
      </c>
      <c r="BZ667" s="2" t="s">
        <v>245</v>
      </c>
      <c r="CA667" s="2" t="s">
        <v>233</v>
      </c>
      <c r="CB667" s="2" t="s">
        <v>233</v>
      </c>
      <c r="CC667" s="2" t="s">
        <v>246</v>
      </c>
      <c r="CD667" s="2" t="s">
        <v>233</v>
      </c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>
        <v>300</v>
      </c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>
        <v>500</v>
      </c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</row>
    <row r="668">
      <c r="A668" s="2" t="s">
        <v>3797</v>
      </c>
      <c r="B668" s="2" t="s">
        <v>264</v>
      </c>
      <c r="C668" s="2" t="s">
        <v>3789</v>
      </c>
      <c r="D668" s="2" t="s">
        <v>1616</v>
      </c>
      <c r="E668" s="2" t="s">
        <v>1617</v>
      </c>
      <c r="F668" s="2" t="s">
        <v>3790</v>
      </c>
      <c r="G668" s="2" t="s">
        <v>3790</v>
      </c>
      <c r="H668" s="2" t="s">
        <v>3790</v>
      </c>
      <c r="I668" s="2" t="s">
        <v>3791</v>
      </c>
      <c r="J668" s="2" t="s">
        <v>1736</v>
      </c>
      <c r="K668" s="2" t="s">
        <v>257</v>
      </c>
      <c r="L668" s="3">
        <v>15.33</v>
      </c>
      <c r="M668" s="3">
        <v>16.1</v>
      </c>
      <c r="N668" s="3">
        <v>34.99</v>
      </c>
      <c r="O668" s="2" t="s">
        <v>245</v>
      </c>
      <c r="P668" s="2" t="s">
        <v>974</v>
      </c>
      <c r="Q668" s="2" t="s">
        <v>239</v>
      </c>
      <c r="R668" s="2" t="s">
        <v>233</v>
      </c>
      <c r="S668" s="2" t="s">
        <v>3798</v>
      </c>
      <c r="T668" s="2" t="s">
        <v>3793</v>
      </c>
      <c r="U668" s="2" t="s">
        <v>396</v>
      </c>
      <c r="V668" s="2" t="s">
        <v>241</v>
      </c>
      <c r="W668" s="2" t="s">
        <v>275</v>
      </c>
      <c r="X668" s="2" t="s">
        <v>233</v>
      </c>
      <c r="Y668" s="2" t="s">
        <v>233</v>
      </c>
      <c r="Z668" s="4"/>
      <c r="AA668" s="4">
        <f>=ROUNDDOWN({0},0)</f>
      </c>
      <c r="AB668" s="5"/>
      <c r="AC668" s="2" t="s">
        <v>3794</v>
      </c>
      <c r="AD668" s="4">
        <v>300</v>
      </c>
      <c r="AE668" s="4">
        <v>800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233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233</v>
      </c>
      <c r="BD668" s="8" t="s">
        <v>233</v>
      </c>
      <c r="BE668" s="4" t="s">
        <v>233</v>
      </c>
      <c r="BF668" s="8" t="s">
        <v>233</v>
      </c>
      <c r="BG668" s="7" t="s">
        <v>233</v>
      </c>
      <c r="BH668" s="7" t="s">
        <v>233</v>
      </c>
      <c r="BI668" s="7"/>
      <c r="BJ668" s="4"/>
      <c r="BK668" s="8"/>
      <c r="BL668" s="2" t="s">
        <v>233</v>
      </c>
      <c r="BM668" s="7"/>
      <c r="BN668" s="7"/>
      <c r="BO668" s="4"/>
      <c r="BP668" s="8"/>
      <c r="BQ668" s="4"/>
      <c r="BR668" s="8"/>
      <c r="BS668" s="7"/>
      <c r="BT668" s="7"/>
      <c r="BU668" s="2" t="s">
        <v>243</v>
      </c>
      <c r="BV668" s="2" t="s">
        <v>233</v>
      </c>
      <c r="BW668" s="2" t="s">
        <v>233</v>
      </c>
      <c r="BX668" s="2" t="s">
        <v>243</v>
      </c>
      <c r="BY668" s="2" t="s">
        <v>244</v>
      </c>
      <c r="BZ668" s="2" t="s">
        <v>245</v>
      </c>
      <c r="CA668" s="2" t="s">
        <v>233</v>
      </c>
      <c r="CB668" s="2" t="s">
        <v>233</v>
      </c>
      <c r="CC668" s="2" t="s">
        <v>246</v>
      </c>
      <c r="CD668" s="2" t="s">
        <v>233</v>
      </c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>
        <v>300</v>
      </c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>
        <v>500</v>
      </c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</row>
    <row r="669">
      <c r="A669" s="2" t="s">
        <v>3799</v>
      </c>
      <c r="B669" s="2" t="s">
        <v>264</v>
      </c>
      <c r="C669" s="2" t="s">
        <v>3789</v>
      </c>
      <c r="D669" s="2" t="s">
        <v>1616</v>
      </c>
      <c r="E669" s="2" t="s">
        <v>1617</v>
      </c>
      <c r="F669" s="2" t="s">
        <v>3790</v>
      </c>
      <c r="G669" s="2" t="s">
        <v>3790</v>
      </c>
      <c r="H669" s="2" t="s">
        <v>3790</v>
      </c>
      <c r="I669" s="2" t="s">
        <v>3791</v>
      </c>
      <c r="J669" s="2" t="s">
        <v>1736</v>
      </c>
      <c r="K669" s="2" t="s">
        <v>1201</v>
      </c>
      <c r="L669" s="3">
        <v>15.33</v>
      </c>
      <c r="M669" s="3">
        <v>16.1</v>
      </c>
      <c r="N669" s="3">
        <v>34.99</v>
      </c>
      <c r="O669" s="2" t="s">
        <v>245</v>
      </c>
      <c r="P669" s="2" t="s">
        <v>974</v>
      </c>
      <c r="Q669" s="2" t="s">
        <v>239</v>
      </c>
      <c r="R669" s="2" t="s">
        <v>233</v>
      </c>
      <c r="S669" s="2" t="s">
        <v>3800</v>
      </c>
      <c r="T669" s="2" t="s">
        <v>3793</v>
      </c>
      <c r="U669" s="2" t="s">
        <v>396</v>
      </c>
      <c r="V669" s="2" t="s">
        <v>241</v>
      </c>
      <c r="W669" s="2" t="s">
        <v>275</v>
      </c>
      <c r="X669" s="2" t="s">
        <v>233</v>
      </c>
      <c r="Y669" s="2" t="s">
        <v>233</v>
      </c>
      <c r="Z669" s="4"/>
      <c r="AA669" s="4">
        <f>=ROUNDDOWN({0},0)</f>
      </c>
      <c r="AB669" s="5"/>
      <c r="AC669" s="2" t="s">
        <v>3794</v>
      </c>
      <c r="AD669" s="4">
        <v>300</v>
      </c>
      <c r="AE669" s="4">
        <v>800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233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233</v>
      </c>
      <c r="BD669" s="8" t="s">
        <v>233</v>
      </c>
      <c r="BE669" s="4" t="s">
        <v>233</v>
      </c>
      <c r="BF669" s="8" t="s">
        <v>233</v>
      </c>
      <c r="BG669" s="7" t="s">
        <v>233</v>
      </c>
      <c r="BH669" s="7" t="s">
        <v>233</v>
      </c>
      <c r="BI669" s="7"/>
      <c r="BJ669" s="4"/>
      <c r="BK669" s="8"/>
      <c r="BL669" s="2" t="s">
        <v>233</v>
      </c>
      <c r="BM669" s="7"/>
      <c r="BN669" s="7"/>
      <c r="BO669" s="4"/>
      <c r="BP669" s="8"/>
      <c r="BQ669" s="4"/>
      <c r="BR669" s="8"/>
      <c r="BS669" s="7"/>
      <c r="BT669" s="7"/>
      <c r="BU669" s="2" t="s">
        <v>243</v>
      </c>
      <c r="BV669" s="2" t="s">
        <v>233</v>
      </c>
      <c r="BW669" s="2" t="s">
        <v>233</v>
      </c>
      <c r="BX669" s="2" t="s">
        <v>243</v>
      </c>
      <c r="BY669" s="2" t="s">
        <v>244</v>
      </c>
      <c r="BZ669" s="2" t="s">
        <v>245</v>
      </c>
      <c r="CA669" s="2" t="s">
        <v>233</v>
      </c>
      <c r="CB669" s="2" t="s">
        <v>233</v>
      </c>
      <c r="CC669" s="2" t="s">
        <v>246</v>
      </c>
      <c r="CD669" s="2" t="s">
        <v>233</v>
      </c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>
        <v>300</v>
      </c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>
        <v>500</v>
      </c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</row>
    <row r="670">
      <c r="A670" s="2" t="s">
        <v>3801</v>
      </c>
      <c r="B670" s="2" t="s">
        <v>264</v>
      </c>
      <c r="C670" s="2" t="s">
        <v>3789</v>
      </c>
      <c r="D670" s="2" t="s">
        <v>230</v>
      </c>
      <c r="E670" s="2" t="s">
        <v>3058</v>
      </c>
      <c r="F670" s="2" t="s">
        <v>3790</v>
      </c>
      <c r="G670" s="2" t="s">
        <v>3790</v>
      </c>
      <c r="H670" s="2" t="s">
        <v>3790</v>
      </c>
      <c r="I670" s="2" t="s">
        <v>3802</v>
      </c>
      <c r="J670" s="2" t="s">
        <v>270</v>
      </c>
      <c r="K670" s="2" t="s">
        <v>297</v>
      </c>
      <c r="L670" s="3">
        <v>22.85</v>
      </c>
      <c r="M670" s="3">
        <v>23.99</v>
      </c>
      <c r="N670" s="3">
        <v>49.99</v>
      </c>
      <c r="O670" s="2" t="s">
        <v>245</v>
      </c>
      <c r="P670" s="2" t="s">
        <v>974</v>
      </c>
      <c r="Q670" s="2" t="s">
        <v>239</v>
      </c>
      <c r="R670" s="2" t="s">
        <v>233</v>
      </c>
      <c r="S670" s="2" t="s">
        <v>3803</v>
      </c>
      <c r="T670" s="2" t="s">
        <v>3793</v>
      </c>
      <c r="U670" s="2" t="s">
        <v>396</v>
      </c>
      <c r="V670" s="2" t="s">
        <v>241</v>
      </c>
      <c r="W670" s="2" t="s">
        <v>275</v>
      </c>
      <c r="X670" s="2" t="s">
        <v>233</v>
      </c>
      <c r="Y670" s="2" t="s">
        <v>233</v>
      </c>
      <c r="Z670" s="4"/>
      <c r="AA670" s="4">
        <f>=ROUNDDOWN({0},0)</f>
      </c>
      <c r="AB670" s="5"/>
      <c r="AC670" s="2" t="s">
        <v>3794</v>
      </c>
      <c r="AD670" s="4">
        <v>160</v>
      </c>
      <c r="AE670" s="4">
        <v>320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233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233</v>
      </c>
      <c r="AW670" s="8" t="s">
        <v>233</v>
      </c>
      <c r="AX670" s="4" t="s">
        <v>233</v>
      </c>
      <c r="AY670" s="8" t="s">
        <v>233</v>
      </c>
      <c r="AZ670" s="7" t="s">
        <v>233</v>
      </c>
      <c r="BA670" s="7" t="s">
        <v>233</v>
      </c>
      <c r="BB670" s="7" t="s">
        <v>233</v>
      </c>
      <c r="BC670" s="4" t="s">
        <v>233</v>
      </c>
      <c r="BD670" s="8" t="s">
        <v>233</v>
      </c>
      <c r="BE670" s="4" t="s">
        <v>233</v>
      </c>
      <c r="BF670" s="8" t="s">
        <v>233</v>
      </c>
      <c r="BG670" s="7" t="s">
        <v>233</v>
      </c>
      <c r="BH670" s="7" t="s">
        <v>233</v>
      </c>
      <c r="BI670" s="7"/>
      <c r="BJ670" s="4"/>
      <c r="BK670" s="8"/>
      <c r="BL670" s="2" t="s">
        <v>233</v>
      </c>
      <c r="BM670" s="7"/>
      <c r="BN670" s="7"/>
      <c r="BO670" s="4"/>
      <c r="BP670" s="8"/>
      <c r="BQ670" s="4"/>
      <c r="BR670" s="8"/>
      <c r="BS670" s="7"/>
      <c r="BT670" s="7"/>
      <c r="BU670" s="2" t="s">
        <v>243</v>
      </c>
      <c r="BV670" s="2" t="s">
        <v>233</v>
      </c>
      <c r="BW670" s="2" t="s">
        <v>233</v>
      </c>
      <c r="BX670" s="2" t="s">
        <v>243</v>
      </c>
      <c r="BY670" s="2" t="s">
        <v>244</v>
      </c>
      <c r="BZ670" s="2" t="s">
        <v>245</v>
      </c>
      <c r="CA670" s="2" t="s">
        <v>233</v>
      </c>
      <c r="CB670" s="2" t="s">
        <v>233</v>
      </c>
      <c r="CC670" s="2" t="s">
        <v>246</v>
      </c>
      <c r="CD670" s="2" t="s">
        <v>233</v>
      </c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>
        <v>160</v>
      </c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>
        <v>160</v>
      </c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</row>
    <row r="671">
      <c r="A671" s="2" t="s">
        <v>3804</v>
      </c>
      <c r="B671" s="2" t="s">
        <v>264</v>
      </c>
      <c r="C671" s="2" t="s">
        <v>3789</v>
      </c>
      <c r="D671" s="2" t="s">
        <v>266</v>
      </c>
      <c r="E671" s="2" t="s">
        <v>390</v>
      </c>
      <c r="F671" s="2" t="s">
        <v>3790</v>
      </c>
      <c r="G671" s="2" t="s">
        <v>3790</v>
      </c>
      <c r="H671" s="2" t="s">
        <v>3790</v>
      </c>
      <c r="I671" s="2" t="s">
        <v>3805</v>
      </c>
      <c r="J671" s="2" t="s">
        <v>270</v>
      </c>
      <c r="K671" s="2" t="s">
        <v>297</v>
      </c>
      <c r="L671" s="3">
        <v>20.57</v>
      </c>
      <c r="M671" s="3">
        <v>21.6</v>
      </c>
      <c r="N671" s="3">
        <v>44.99</v>
      </c>
      <c r="O671" s="2" t="s">
        <v>245</v>
      </c>
      <c r="P671" s="2" t="s">
        <v>974</v>
      </c>
      <c r="Q671" s="2" t="s">
        <v>239</v>
      </c>
      <c r="R671" s="2" t="s">
        <v>233</v>
      </c>
      <c r="S671" s="2" t="s">
        <v>3806</v>
      </c>
      <c r="T671" s="2" t="s">
        <v>3793</v>
      </c>
      <c r="U671" s="2" t="s">
        <v>396</v>
      </c>
      <c r="V671" s="2" t="s">
        <v>241</v>
      </c>
      <c r="W671" s="2" t="s">
        <v>275</v>
      </c>
      <c r="X671" s="2" t="s">
        <v>233</v>
      </c>
      <c r="Y671" s="2" t="s">
        <v>233</v>
      </c>
      <c r="Z671" s="4"/>
      <c r="AA671" s="4">
        <f>=ROUNDDOWN({0},0)</f>
      </c>
      <c r="AB671" s="5"/>
      <c r="AC671" s="2" t="s">
        <v>3794</v>
      </c>
      <c r="AD671" s="4">
        <v>110</v>
      </c>
      <c r="AE671" s="4">
        <v>260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233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233</v>
      </c>
      <c r="AW671" s="8" t="s">
        <v>233</v>
      </c>
      <c r="AX671" s="4" t="s">
        <v>233</v>
      </c>
      <c r="AY671" s="8" t="s">
        <v>233</v>
      </c>
      <c r="AZ671" s="7" t="s">
        <v>233</v>
      </c>
      <c r="BA671" s="7" t="s">
        <v>233</v>
      </c>
      <c r="BB671" s="7" t="s">
        <v>233</v>
      </c>
      <c r="BC671" s="4" t="s">
        <v>233</v>
      </c>
      <c r="BD671" s="8" t="s">
        <v>233</v>
      </c>
      <c r="BE671" s="4" t="s">
        <v>233</v>
      </c>
      <c r="BF671" s="8" t="s">
        <v>233</v>
      </c>
      <c r="BG671" s="7" t="s">
        <v>233</v>
      </c>
      <c r="BH671" s="7" t="s">
        <v>233</v>
      </c>
      <c r="BI671" s="7"/>
      <c r="BJ671" s="4"/>
      <c r="BK671" s="8"/>
      <c r="BL671" s="2" t="s">
        <v>233</v>
      </c>
      <c r="BM671" s="7"/>
      <c r="BN671" s="7"/>
      <c r="BO671" s="4"/>
      <c r="BP671" s="8"/>
      <c r="BQ671" s="4"/>
      <c r="BR671" s="8"/>
      <c r="BS671" s="7"/>
      <c r="BT671" s="7"/>
      <c r="BU671" s="2" t="s">
        <v>243</v>
      </c>
      <c r="BV671" s="2" t="s">
        <v>233</v>
      </c>
      <c r="BW671" s="2" t="s">
        <v>233</v>
      </c>
      <c r="BX671" s="2" t="s">
        <v>243</v>
      </c>
      <c r="BY671" s="2" t="s">
        <v>244</v>
      </c>
      <c r="BZ671" s="2" t="s">
        <v>245</v>
      </c>
      <c r="CA671" s="2" t="s">
        <v>233</v>
      </c>
      <c r="CB671" s="2" t="s">
        <v>233</v>
      </c>
      <c r="CC671" s="2" t="s">
        <v>246</v>
      </c>
      <c r="CD671" s="2" t="s">
        <v>233</v>
      </c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>
        <v>110</v>
      </c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>
        <v>150</v>
      </c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</row>
    <row r="672">
      <c r="A672" s="2" t="s">
        <v>3807</v>
      </c>
      <c r="B672" s="2" t="s">
        <v>264</v>
      </c>
      <c r="C672" s="2" t="s">
        <v>3789</v>
      </c>
      <c r="D672" s="2" t="s">
        <v>969</v>
      </c>
      <c r="E672" s="2" t="s">
        <v>2383</v>
      </c>
      <c r="F672" s="2" t="s">
        <v>3790</v>
      </c>
      <c r="G672" s="2" t="s">
        <v>3790</v>
      </c>
      <c r="H672" s="2" t="s">
        <v>3790</v>
      </c>
      <c r="I672" s="2" t="s">
        <v>3655</v>
      </c>
      <c r="J672" s="2" t="s">
        <v>918</v>
      </c>
      <c r="K672" s="2" t="s">
        <v>297</v>
      </c>
      <c r="L672" s="3">
        <v>30.95</v>
      </c>
      <c r="M672" s="3">
        <v>32.5</v>
      </c>
      <c r="N672" s="3">
        <v>64.99</v>
      </c>
      <c r="O672" s="2" t="s">
        <v>245</v>
      </c>
      <c r="P672" s="2" t="s">
        <v>974</v>
      </c>
      <c r="Q672" s="2" t="s">
        <v>239</v>
      </c>
      <c r="R672" s="2" t="s">
        <v>233</v>
      </c>
      <c r="S672" s="2" t="s">
        <v>3808</v>
      </c>
      <c r="T672" s="2" t="s">
        <v>3793</v>
      </c>
      <c r="U672" s="2" t="s">
        <v>396</v>
      </c>
      <c r="V672" s="2" t="s">
        <v>241</v>
      </c>
      <c r="W672" s="2" t="s">
        <v>275</v>
      </c>
      <c r="X672" s="2" t="s">
        <v>233</v>
      </c>
      <c r="Y672" s="2" t="s">
        <v>233</v>
      </c>
      <c r="Z672" s="4"/>
      <c r="AA672" s="4">
        <f>=ROUNDDOWN({0},0)</f>
      </c>
      <c r="AB672" s="5"/>
      <c r="AC672" s="2" t="s">
        <v>3794</v>
      </c>
      <c r="AD672" s="4">
        <v>200</v>
      </c>
      <c r="AE672" s="4">
        <v>440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233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233</v>
      </c>
      <c r="AW672" s="8" t="s">
        <v>233</v>
      </c>
      <c r="AX672" s="4" t="s">
        <v>233</v>
      </c>
      <c r="AY672" s="8" t="s">
        <v>233</v>
      </c>
      <c r="AZ672" s="7" t="s">
        <v>233</v>
      </c>
      <c r="BA672" s="7" t="s">
        <v>233</v>
      </c>
      <c r="BB672" s="7"/>
      <c r="BC672" s="4" t="s">
        <v>233</v>
      </c>
      <c r="BD672" s="8" t="s">
        <v>233</v>
      </c>
      <c r="BE672" s="4" t="s">
        <v>233</v>
      </c>
      <c r="BF672" s="8" t="s">
        <v>233</v>
      </c>
      <c r="BG672" s="7" t="s">
        <v>233</v>
      </c>
      <c r="BH672" s="7" t="s">
        <v>233</v>
      </c>
      <c r="BI672" s="7"/>
      <c r="BJ672" s="4"/>
      <c r="BK672" s="8"/>
      <c r="BL672" s="2" t="s">
        <v>233</v>
      </c>
      <c r="BM672" s="7"/>
      <c r="BN672" s="7"/>
      <c r="BO672" s="4"/>
      <c r="BP672" s="8"/>
      <c r="BQ672" s="4"/>
      <c r="BR672" s="8"/>
      <c r="BS672" s="7"/>
      <c r="BT672" s="7"/>
      <c r="BU672" s="2" t="s">
        <v>243</v>
      </c>
      <c r="BV672" s="2" t="s">
        <v>233</v>
      </c>
      <c r="BW672" s="2" t="s">
        <v>233</v>
      </c>
      <c r="BX672" s="2" t="s">
        <v>243</v>
      </c>
      <c r="BY672" s="2" t="s">
        <v>244</v>
      </c>
      <c r="BZ672" s="2" t="s">
        <v>245</v>
      </c>
      <c r="CA672" s="2" t="s">
        <v>233</v>
      </c>
      <c r="CB672" s="2" t="s">
        <v>233</v>
      </c>
      <c r="CC672" s="2" t="s">
        <v>246</v>
      </c>
      <c r="CD672" s="2" t="s">
        <v>233</v>
      </c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>
        <v>200</v>
      </c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>
        <v>240</v>
      </c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</row>
    <row r="673">
      <c r="A673" s="2" t="s">
        <v>3809</v>
      </c>
      <c r="B673" s="2" t="s">
        <v>264</v>
      </c>
      <c r="C673" s="2" t="s">
        <v>3789</v>
      </c>
      <c r="D673" s="2" t="s">
        <v>266</v>
      </c>
      <c r="E673" s="2" t="s">
        <v>390</v>
      </c>
      <c r="F673" s="2" t="s">
        <v>3790</v>
      </c>
      <c r="G673" s="2" t="s">
        <v>3790</v>
      </c>
      <c r="H673" s="2" t="s">
        <v>3790</v>
      </c>
      <c r="I673" s="2" t="s">
        <v>3805</v>
      </c>
      <c r="J673" s="2" t="s">
        <v>290</v>
      </c>
      <c r="K673" s="2" t="s">
        <v>297</v>
      </c>
      <c r="L673" s="3">
        <v>26.19</v>
      </c>
      <c r="M673" s="3">
        <v>27.5</v>
      </c>
      <c r="N673" s="3">
        <v>54.99</v>
      </c>
      <c r="O673" s="2" t="s">
        <v>245</v>
      </c>
      <c r="P673" s="2" t="s">
        <v>974</v>
      </c>
      <c r="Q673" s="2" t="s">
        <v>239</v>
      </c>
      <c r="R673" s="2" t="s">
        <v>233</v>
      </c>
      <c r="S673" s="2" t="s">
        <v>3806</v>
      </c>
      <c r="T673" s="2" t="s">
        <v>3793</v>
      </c>
      <c r="U673" s="2" t="s">
        <v>396</v>
      </c>
      <c r="V673" s="2" t="s">
        <v>241</v>
      </c>
      <c r="W673" s="2" t="s">
        <v>275</v>
      </c>
      <c r="X673" s="2" t="s">
        <v>233</v>
      </c>
      <c r="Y673" s="2" t="s">
        <v>233</v>
      </c>
      <c r="Z673" s="4"/>
      <c r="AA673" s="4">
        <f>=ROUNDDOWN({0},0)</f>
      </c>
      <c r="AB673" s="5"/>
      <c r="AC673" s="2" t="s">
        <v>3810</v>
      </c>
      <c r="AD673" s="4">
        <v>5</v>
      </c>
      <c r="AE673" s="4">
        <v>295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233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233</v>
      </c>
      <c r="AW673" s="8" t="s">
        <v>233</v>
      </c>
      <c r="AX673" s="4" t="s">
        <v>233</v>
      </c>
      <c r="AY673" s="8" t="s">
        <v>233</v>
      </c>
      <c r="AZ673" s="7" t="s">
        <v>233</v>
      </c>
      <c r="BA673" s="7" t="s">
        <v>233</v>
      </c>
      <c r="BB673" s="7"/>
      <c r="BC673" s="4" t="s">
        <v>233</v>
      </c>
      <c r="BD673" s="8" t="s">
        <v>233</v>
      </c>
      <c r="BE673" s="4" t="s">
        <v>233</v>
      </c>
      <c r="BF673" s="8" t="s">
        <v>233</v>
      </c>
      <c r="BG673" s="7" t="s">
        <v>233</v>
      </c>
      <c r="BH673" s="7" t="s">
        <v>233</v>
      </c>
      <c r="BI673" s="7"/>
      <c r="BJ673" s="4"/>
      <c r="BK673" s="8"/>
      <c r="BL673" s="2" t="s">
        <v>233</v>
      </c>
      <c r="BM673" s="7"/>
      <c r="BN673" s="7"/>
      <c r="BO673" s="4"/>
      <c r="BP673" s="8"/>
      <c r="BQ673" s="4"/>
      <c r="BR673" s="8"/>
      <c r="BS673" s="7"/>
      <c r="BT673" s="7"/>
      <c r="BU673" s="2" t="s">
        <v>243</v>
      </c>
      <c r="BV673" s="2" t="s">
        <v>233</v>
      </c>
      <c r="BW673" s="2" t="s">
        <v>233</v>
      </c>
      <c r="BX673" s="2" t="s">
        <v>243</v>
      </c>
      <c r="BY673" s="2" t="s">
        <v>244</v>
      </c>
      <c r="BZ673" s="2" t="s">
        <v>245</v>
      </c>
      <c r="CA673" s="2" t="s">
        <v>233</v>
      </c>
      <c r="CB673" s="2" t="s">
        <v>233</v>
      </c>
      <c r="CC673" s="2" t="s">
        <v>246</v>
      </c>
      <c r="CD673" s="2" t="s">
        <v>233</v>
      </c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>
        <v>5</v>
      </c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>
        <v>120</v>
      </c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>
        <v>170</v>
      </c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</row>
    <row r="674">
      <c r="A674" s="2" t="s">
        <v>3811</v>
      </c>
      <c r="B674" s="2" t="s">
        <v>264</v>
      </c>
      <c r="C674" s="2" t="s">
        <v>3789</v>
      </c>
      <c r="D674" s="2" t="s">
        <v>230</v>
      </c>
      <c r="E674" s="2" t="s">
        <v>3058</v>
      </c>
      <c r="F674" s="2" t="s">
        <v>3790</v>
      </c>
      <c r="G674" s="2" t="s">
        <v>3790</v>
      </c>
      <c r="H674" s="2" t="s">
        <v>3790</v>
      </c>
      <c r="I674" s="2" t="s">
        <v>3802</v>
      </c>
      <c r="J674" s="2" t="s">
        <v>981</v>
      </c>
      <c r="K674" s="2" t="s">
        <v>297</v>
      </c>
      <c r="L674" s="3">
        <v>26.19</v>
      </c>
      <c r="M674" s="3">
        <v>27.5</v>
      </c>
      <c r="N674" s="3">
        <v>54.99</v>
      </c>
      <c r="O674" s="2" t="s">
        <v>245</v>
      </c>
      <c r="P674" s="2" t="s">
        <v>974</v>
      </c>
      <c r="Q674" s="2" t="s">
        <v>239</v>
      </c>
      <c r="R674" s="2" t="s">
        <v>233</v>
      </c>
      <c r="S674" s="2" t="s">
        <v>3803</v>
      </c>
      <c r="T674" s="2" t="s">
        <v>3793</v>
      </c>
      <c r="U674" s="2" t="s">
        <v>396</v>
      </c>
      <c r="V674" s="2" t="s">
        <v>241</v>
      </c>
      <c r="W674" s="2" t="s">
        <v>275</v>
      </c>
      <c r="X674" s="2" t="s">
        <v>233</v>
      </c>
      <c r="Y674" s="2" t="s">
        <v>233</v>
      </c>
      <c r="Z674" s="4"/>
      <c r="AA674" s="4">
        <f>=ROUNDDOWN({0},0)</f>
      </c>
      <c r="AB674" s="5"/>
      <c r="AC674" s="2" t="s">
        <v>3794</v>
      </c>
      <c r="AD674" s="4">
        <v>180</v>
      </c>
      <c r="AE674" s="4">
        <v>360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233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233</v>
      </c>
      <c r="AW674" s="8" t="s">
        <v>233</v>
      </c>
      <c r="AX674" s="4" t="s">
        <v>233</v>
      </c>
      <c r="AY674" s="8" t="s">
        <v>233</v>
      </c>
      <c r="AZ674" s="7" t="s">
        <v>233</v>
      </c>
      <c r="BA674" s="7" t="s">
        <v>233</v>
      </c>
      <c r="BB674" s="7" t="s">
        <v>233</v>
      </c>
      <c r="BC674" s="4" t="s">
        <v>233</v>
      </c>
      <c r="BD674" s="8" t="s">
        <v>233</v>
      </c>
      <c r="BE674" s="4" t="s">
        <v>233</v>
      </c>
      <c r="BF674" s="8" t="s">
        <v>233</v>
      </c>
      <c r="BG674" s="7" t="s">
        <v>233</v>
      </c>
      <c r="BH674" s="7" t="s">
        <v>233</v>
      </c>
      <c r="BI674" s="7"/>
      <c r="BJ674" s="4"/>
      <c r="BK674" s="8"/>
      <c r="BL674" s="2" t="s">
        <v>233</v>
      </c>
      <c r="BM674" s="7"/>
      <c r="BN674" s="7"/>
      <c r="BO674" s="4"/>
      <c r="BP674" s="8"/>
      <c r="BQ674" s="4"/>
      <c r="BR674" s="8"/>
      <c r="BS674" s="7"/>
      <c r="BT674" s="7"/>
      <c r="BU674" s="2" t="s">
        <v>243</v>
      </c>
      <c r="BV674" s="2" t="s">
        <v>233</v>
      </c>
      <c r="BW674" s="2" t="s">
        <v>233</v>
      </c>
      <c r="BX674" s="2" t="s">
        <v>243</v>
      </c>
      <c r="BY674" s="2" t="s">
        <v>244</v>
      </c>
      <c r="BZ674" s="2" t="s">
        <v>245</v>
      </c>
      <c r="CA674" s="2" t="s">
        <v>233</v>
      </c>
      <c r="CB674" s="2" t="s">
        <v>233</v>
      </c>
      <c r="CC674" s="2" t="s">
        <v>246</v>
      </c>
      <c r="CD674" s="2" t="s">
        <v>233</v>
      </c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>
        <v>180</v>
      </c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>
        <v>180</v>
      </c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</row>
    <row r="675">
      <c r="A675" s="2" t="s">
        <v>3812</v>
      </c>
      <c r="B675" s="2" t="s">
        <v>264</v>
      </c>
      <c r="C675" s="2" t="s">
        <v>3789</v>
      </c>
      <c r="D675" s="2" t="s">
        <v>969</v>
      </c>
      <c r="E675" s="2" t="s">
        <v>2383</v>
      </c>
      <c r="F675" s="2" t="s">
        <v>3790</v>
      </c>
      <c r="G675" s="2" t="s">
        <v>3790</v>
      </c>
      <c r="H675" s="2" t="s">
        <v>3790</v>
      </c>
      <c r="I675" s="2" t="s">
        <v>3655</v>
      </c>
      <c r="J675" s="2" t="s">
        <v>981</v>
      </c>
      <c r="K675" s="2" t="s">
        <v>297</v>
      </c>
      <c r="L675" s="3">
        <v>35.71</v>
      </c>
      <c r="M675" s="3">
        <v>37.5</v>
      </c>
      <c r="N675" s="3">
        <v>74.99</v>
      </c>
      <c r="O675" s="2" t="s">
        <v>245</v>
      </c>
      <c r="P675" s="2" t="s">
        <v>974</v>
      </c>
      <c r="Q675" s="2" t="s">
        <v>239</v>
      </c>
      <c r="R675" s="2" t="s">
        <v>233</v>
      </c>
      <c r="S675" s="2" t="s">
        <v>3808</v>
      </c>
      <c r="T675" s="2" t="s">
        <v>3793</v>
      </c>
      <c r="U675" s="2" t="s">
        <v>396</v>
      </c>
      <c r="V675" s="2" t="s">
        <v>241</v>
      </c>
      <c r="W675" s="2" t="s">
        <v>275</v>
      </c>
      <c r="X675" s="2" t="s">
        <v>233</v>
      </c>
      <c r="Y675" s="2" t="s">
        <v>233</v>
      </c>
      <c r="Z675" s="4"/>
      <c r="AA675" s="4">
        <f>=ROUNDDOWN({0},0)</f>
      </c>
      <c r="AB675" s="5"/>
      <c r="AC675" s="2" t="s">
        <v>3794</v>
      </c>
      <c r="AD675" s="4">
        <v>220</v>
      </c>
      <c r="AE675" s="4">
        <v>460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233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233</v>
      </c>
      <c r="AW675" s="8" t="s">
        <v>233</v>
      </c>
      <c r="AX675" s="4" t="s">
        <v>233</v>
      </c>
      <c r="AY675" s="8" t="s">
        <v>233</v>
      </c>
      <c r="AZ675" s="7" t="s">
        <v>233</v>
      </c>
      <c r="BA675" s="7" t="s">
        <v>233</v>
      </c>
      <c r="BB675" s="7" t="s">
        <v>233</v>
      </c>
      <c r="BC675" s="4" t="s">
        <v>233</v>
      </c>
      <c r="BD675" s="8" t="s">
        <v>233</v>
      </c>
      <c r="BE675" s="4" t="s">
        <v>233</v>
      </c>
      <c r="BF675" s="8" t="s">
        <v>233</v>
      </c>
      <c r="BG675" s="7" t="s">
        <v>233</v>
      </c>
      <c r="BH675" s="7" t="s">
        <v>233</v>
      </c>
      <c r="BI675" s="7"/>
      <c r="BJ675" s="4"/>
      <c r="BK675" s="8"/>
      <c r="BL675" s="2" t="s">
        <v>233</v>
      </c>
      <c r="BM675" s="7"/>
      <c r="BN675" s="7"/>
      <c r="BO675" s="4"/>
      <c r="BP675" s="8"/>
      <c r="BQ675" s="4"/>
      <c r="BR675" s="8"/>
      <c r="BS675" s="7"/>
      <c r="BT675" s="7"/>
      <c r="BU675" s="2" t="s">
        <v>243</v>
      </c>
      <c r="BV675" s="2" t="s">
        <v>233</v>
      </c>
      <c r="BW675" s="2" t="s">
        <v>233</v>
      </c>
      <c r="BX675" s="2" t="s">
        <v>243</v>
      </c>
      <c r="BY675" s="2" t="s">
        <v>244</v>
      </c>
      <c r="BZ675" s="2" t="s">
        <v>245</v>
      </c>
      <c r="CA675" s="2" t="s">
        <v>233</v>
      </c>
      <c r="CB675" s="2" t="s">
        <v>233</v>
      </c>
      <c r="CC675" s="2" t="s">
        <v>246</v>
      </c>
      <c r="CD675" s="2" t="s">
        <v>233</v>
      </c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>
        <v>220</v>
      </c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>
        <v>240</v>
      </c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</row>
    <row r="676">
      <c r="A676" s="2" t="s">
        <v>3813</v>
      </c>
      <c r="B676" s="2" t="s">
        <v>264</v>
      </c>
      <c r="C676" s="2" t="s">
        <v>3789</v>
      </c>
      <c r="D676" s="2" t="s">
        <v>266</v>
      </c>
      <c r="E676" s="2" t="s">
        <v>390</v>
      </c>
      <c r="F676" s="2" t="s">
        <v>3790</v>
      </c>
      <c r="G676" s="2" t="s">
        <v>3790</v>
      </c>
      <c r="H676" s="2" t="s">
        <v>3790</v>
      </c>
      <c r="I676" s="2" t="s">
        <v>3805</v>
      </c>
      <c r="J676" s="2" t="s">
        <v>348</v>
      </c>
      <c r="K676" s="2" t="s">
        <v>297</v>
      </c>
      <c r="L676" s="3">
        <v>28.57</v>
      </c>
      <c r="M676" s="3">
        <v>30</v>
      </c>
      <c r="N676" s="3">
        <v>59.99</v>
      </c>
      <c r="O676" s="2" t="s">
        <v>245</v>
      </c>
      <c r="P676" s="2" t="s">
        <v>974</v>
      </c>
      <c r="Q676" s="2" t="s">
        <v>239</v>
      </c>
      <c r="R676" s="2" t="s">
        <v>233</v>
      </c>
      <c r="S676" s="2" t="s">
        <v>3806</v>
      </c>
      <c r="T676" s="2" t="s">
        <v>3793</v>
      </c>
      <c r="U676" s="2" t="s">
        <v>396</v>
      </c>
      <c r="V676" s="2" t="s">
        <v>241</v>
      </c>
      <c r="W676" s="2" t="s">
        <v>275</v>
      </c>
      <c r="X676" s="2" t="s">
        <v>233</v>
      </c>
      <c r="Y676" s="2" t="s">
        <v>233</v>
      </c>
      <c r="Z676" s="4"/>
      <c r="AA676" s="4">
        <f>=ROUNDDOWN({0},0)</f>
      </c>
      <c r="AB676" s="5"/>
      <c r="AC676" s="2" t="s">
        <v>3810</v>
      </c>
      <c r="AD676" s="4">
        <v>5</v>
      </c>
      <c r="AE676" s="4">
        <v>595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233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233</v>
      </c>
      <c r="AW676" s="8" t="s">
        <v>233</v>
      </c>
      <c r="AX676" s="4" t="s">
        <v>233</v>
      </c>
      <c r="AY676" s="8" t="s">
        <v>233</v>
      </c>
      <c r="AZ676" s="7" t="s">
        <v>233</v>
      </c>
      <c r="BA676" s="7" t="s">
        <v>233</v>
      </c>
      <c r="BB676" s="7"/>
      <c r="BC676" s="4" t="s">
        <v>233</v>
      </c>
      <c r="BD676" s="8" t="s">
        <v>233</v>
      </c>
      <c r="BE676" s="4" t="s">
        <v>233</v>
      </c>
      <c r="BF676" s="8" t="s">
        <v>233</v>
      </c>
      <c r="BG676" s="7" t="s">
        <v>233</v>
      </c>
      <c r="BH676" s="7" t="s">
        <v>233</v>
      </c>
      <c r="BI676" s="7"/>
      <c r="BJ676" s="4"/>
      <c r="BK676" s="8"/>
      <c r="BL676" s="2" t="s">
        <v>233</v>
      </c>
      <c r="BM676" s="7"/>
      <c r="BN676" s="7"/>
      <c r="BO676" s="4"/>
      <c r="BP676" s="8"/>
      <c r="BQ676" s="4"/>
      <c r="BR676" s="8"/>
      <c r="BS676" s="7"/>
      <c r="BT676" s="7"/>
      <c r="BU676" s="2" t="s">
        <v>243</v>
      </c>
      <c r="BV676" s="2" t="s">
        <v>233</v>
      </c>
      <c r="BW676" s="2" t="s">
        <v>233</v>
      </c>
      <c r="BX676" s="2" t="s">
        <v>243</v>
      </c>
      <c r="BY676" s="2" t="s">
        <v>244</v>
      </c>
      <c r="BZ676" s="2" t="s">
        <v>245</v>
      </c>
      <c r="CA676" s="2" t="s">
        <v>233</v>
      </c>
      <c r="CB676" s="2" t="s">
        <v>233</v>
      </c>
      <c r="CC676" s="2" t="s">
        <v>246</v>
      </c>
      <c r="CD676" s="2" t="s">
        <v>233</v>
      </c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>
        <v>5</v>
      </c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>
        <v>240</v>
      </c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>
        <v>350</v>
      </c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</row>
    <row r="677">
      <c r="A677" s="2" t="s">
        <v>3814</v>
      </c>
      <c r="B677" s="2" t="s">
        <v>264</v>
      </c>
      <c r="C677" s="2" t="s">
        <v>3789</v>
      </c>
      <c r="D677" s="2" t="s">
        <v>230</v>
      </c>
      <c r="E677" s="2" t="s">
        <v>3058</v>
      </c>
      <c r="F677" s="2" t="s">
        <v>3790</v>
      </c>
      <c r="G677" s="2" t="s">
        <v>3790</v>
      </c>
      <c r="H677" s="2" t="s">
        <v>3790</v>
      </c>
      <c r="I677" s="2" t="s">
        <v>3802</v>
      </c>
      <c r="J677" s="2" t="s">
        <v>328</v>
      </c>
      <c r="K677" s="2" t="s">
        <v>297</v>
      </c>
      <c r="L677" s="3">
        <v>30.95</v>
      </c>
      <c r="M677" s="3">
        <v>32.5</v>
      </c>
      <c r="N677" s="3">
        <v>64.99</v>
      </c>
      <c r="O677" s="2" t="s">
        <v>245</v>
      </c>
      <c r="P677" s="2" t="s">
        <v>974</v>
      </c>
      <c r="Q677" s="2" t="s">
        <v>239</v>
      </c>
      <c r="R677" s="2" t="s">
        <v>233</v>
      </c>
      <c r="S677" s="2" t="s">
        <v>3803</v>
      </c>
      <c r="T677" s="2" t="s">
        <v>3793</v>
      </c>
      <c r="U677" s="2" t="s">
        <v>396</v>
      </c>
      <c r="V677" s="2" t="s">
        <v>241</v>
      </c>
      <c r="W677" s="2" t="s">
        <v>275</v>
      </c>
      <c r="X677" s="2" t="s">
        <v>233</v>
      </c>
      <c r="Y677" s="2" t="s">
        <v>233</v>
      </c>
      <c r="Z677" s="4"/>
      <c r="AA677" s="4">
        <f>=ROUNDDOWN({0},0)</f>
      </c>
      <c r="AB677" s="5"/>
      <c r="AC677" s="2" t="s">
        <v>3794</v>
      </c>
      <c r="AD677" s="4">
        <v>160</v>
      </c>
      <c r="AE677" s="4">
        <v>320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233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233</v>
      </c>
      <c r="AW677" s="8" t="s">
        <v>233</v>
      </c>
      <c r="AX677" s="4" t="s">
        <v>233</v>
      </c>
      <c r="AY677" s="8" t="s">
        <v>233</v>
      </c>
      <c r="AZ677" s="7" t="s">
        <v>233</v>
      </c>
      <c r="BA677" s="7" t="s">
        <v>233</v>
      </c>
      <c r="BB677" s="7" t="s">
        <v>233</v>
      </c>
      <c r="BC677" s="4" t="s">
        <v>233</v>
      </c>
      <c r="BD677" s="8" t="s">
        <v>233</v>
      </c>
      <c r="BE677" s="4" t="s">
        <v>233</v>
      </c>
      <c r="BF677" s="8" t="s">
        <v>233</v>
      </c>
      <c r="BG677" s="7" t="s">
        <v>233</v>
      </c>
      <c r="BH677" s="7" t="s">
        <v>233</v>
      </c>
      <c r="BI677" s="7"/>
      <c r="BJ677" s="4"/>
      <c r="BK677" s="8"/>
      <c r="BL677" s="2" t="s">
        <v>233</v>
      </c>
      <c r="BM677" s="7"/>
      <c r="BN677" s="7"/>
      <c r="BO677" s="4"/>
      <c r="BP677" s="8"/>
      <c r="BQ677" s="4"/>
      <c r="BR677" s="8"/>
      <c r="BS677" s="7"/>
      <c r="BT677" s="7"/>
      <c r="BU677" s="2" t="s">
        <v>243</v>
      </c>
      <c r="BV677" s="2" t="s">
        <v>233</v>
      </c>
      <c r="BW677" s="2" t="s">
        <v>233</v>
      </c>
      <c r="BX677" s="2" t="s">
        <v>243</v>
      </c>
      <c r="BY677" s="2" t="s">
        <v>244</v>
      </c>
      <c r="BZ677" s="2" t="s">
        <v>245</v>
      </c>
      <c r="CA677" s="2" t="s">
        <v>233</v>
      </c>
      <c r="CB677" s="2" t="s">
        <v>233</v>
      </c>
      <c r="CC677" s="2" t="s">
        <v>246</v>
      </c>
      <c r="CD677" s="2" t="s">
        <v>233</v>
      </c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>
        <v>160</v>
      </c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>
        <v>160</v>
      </c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</row>
    <row r="678">
      <c r="A678" s="2" t="s">
        <v>3815</v>
      </c>
      <c r="B678" s="2" t="s">
        <v>264</v>
      </c>
      <c r="C678" s="2" t="s">
        <v>3789</v>
      </c>
      <c r="D678" s="2" t="s">
        <v>266</v>
      </c>
      <c r="E678" s="2" t="s">
        <v>390</v>
      </c>
      <c r="F678" s="2" t="s">
        <v>3790</v>
      </c>
      <c r="G678" s="2" t="s">
        <v>3790</v>
      </c>
      <c r="H678" s="2" t="s">
        <v>3790</v>
      </c>
      <c r="I678" s="2" t="s">
        <v>3805</v>
      </c>
      <c r="J678" s="2" t="s">
        <v>328</v>
      </c>
      <c r="K678" s="2" t="s">
        <v>297</v>
      </c>
      <c r="L678" s="3">
        <v>33.33</v>
      </c>
      <c r="M678" s="3">
        <v>35</v>
      </c>
      <c r="N678" s="3">
        <v>69.99</v>
      </c>
      <c r="O678" s="2" t="s">
        <v>245</v>
      </c>
      <c r="P678" s="2" t="s">
        <v>974</v>
      </c>
      <c r="Q678" s="2" t="s">
        <v>239</v>
      </c>
      <c r="R678" s="2" t="s">
        <v>233</v>
      </c>
      <c r="S678" s="2" t="s">
        <v>3806</v>
      </c>
      <c r="T678" s="2" t="s">
        <v>3793</v>
      </c>
      <c r="U678" s="2" t="s">
        <v>396</v>
      </c>
      <c r="V678" s="2" t="s">
        <v>241</v>
      </c>
      <c r="W678" s="2" t="s">
        <v>275</v>
      </c>
      <c r="X678" s="2" t="s">
        <v>233</v>
      </c>
      <c r="Y678" s="2" t="s">
        <v>233</v>
      </c>
      <c r="Z678" s="4"/>
      <c r="AA678" s="4">
        <f>=ROUNDDOWN({0},0)</f>
      </c>
      <c r="AB678" s="5"/>
      <c r="AC678" s="2" t="s">
        <v>3794</v>
      </c>
      <c r="AD678" s="4">
        <v>100</v>
      </c>
      <c r="AE678" s="4">
        <v>260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233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233</v>
      </c>
      <c r="AW678" s="8" t="s">
        <v>233</v>
      </c>
      <c r="AX678" s="4" t="s">
        <v>233</v>
      </c>
      <c r="AY678" s="8" t="s">
        <v>233</v>
      </c>
      <c r="AZ678" s="7" t="s">
        <v>233</v>
      </c>
      <c r="BA678" s="7" t="s">
        <v>233</v>
      </c>
      <c r="BB678" s="7" t="s">
        <v>233</v>
      </c>
      <c r="BC678" s="4" t="s">
        <v>233</v>
      </c>
      <c r="BD678" s="8" t="s">
        <v>233</v>
      </c>
      <c r="BE678" s="4" t="s">
        <v>233</v>
      </c>
      <c r="BF678" s="8" t="s">
        <v>233</v>
      </c>
      <c r="BG678" s="7" t="s">
        <v>233</v>
      </c>
      <c r="BH678" s="7" t="s">
        <v>233</v>
      </c>
      <c r="BI678" s="7"/>
      <c r="BJ678" s="4"/>
      <c r="BK678" s="8"/>
      <c r="BL678" s="2" t="s">
        <v>233</v>
      </c>
      <c r="BM678" s="7"/>
      <c r="BN678" s="7"/>
      <c r="BO678" s="4"/>
      <c r="BP678" s="8"/>
      <c r="BQ678" s="4"/>
      <c r="BR678" s="8"/>
      <c r="BS678" s="7"/>
      <c r="BT678" s="7"/>
      <c r="BU678" s="2" t="s">
        <v>243</v>
      </c>
      <c r="BV678" s="2" t="s">
        <v>233</v>
      </c>
      <c r="BW678" s="2" t="s">
        <v>233</v>
      </c>
      <c r="BX678" s="2" t="s">
        <v>243</v>
      </c>
      <c r="BY678" s="2" t="s">
        <v>244</v>
      </c>
      <c r="BZ678" s="2" t="s">
        <v>245</v>
      </c>
      <c r="CA678" s="2" t="s">
        <v>233</v>
      </c>
      <c r="CB678" s="2" t="s">
        <v>233</v>
      </c>
      <c r="CC678" s="2" t="s">
        <v>246</v>
      </c>
      <c r="CD678" s="2" t="s">
        <v>233</v>
      </c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>
        <v>100</v>
      </c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>
        <v>160</v>
      </c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</row>
    <row r="679">
      <c r="A679" s="2" t="s">
        <v>3816</v>
      </c>
      <c r="B679" s="2" t="s">
        <v>264</v>
      </c>
      <c r="C679" s="2" t="s">
        <v>3789</v>
      </c>
      <c r="D679" s="2" t="s">
        <v>969</v>
      </c>
      <c r="E679" s="2" t="s">
        <v>2383</v>
      </c>
      <c r="F679" s="2" t="s">
        <v>3790</v>
      </c>
      <c r="G679" s="2" t="s">
        <v>3790</v>
      </c>
      <c r="H679" s="2" t="s">
        <v>3790</v>
      </c>
      <c r="I679" s="2" t="s">
        <v>3655</v>
      </c>
      <c r="J679" s="2" t="s">
        <v>1142</v>
      </c>
      <c r="K679" s="2" t="s">
        <v>297</v>
      </c>
      <c r="L679" s="3">
        <v>40.47</v>
      </c>
      <c r="M679" s="3">
        <v>42.49</v>
      </c>
      <c r="N679" s="3">
        <v>84.99</v>
      </c>
      <c r="O679" s="2" t="s">
        <v>245</v>
      </c>
      <c r="P679" s="2" t="s">
        <v>974</v>
      </c>
      <c r="Q679" s="2" t="s">
        <v>239</v>
      </c>
      <c r="R679" s="2" t="s">
        <v>233</v>
      </c>
      <c r="S679" s="2" t="s">
        <v>3808</v>
      </c>
      <c r="T679" s="2" t="s">
        <v>3793</v>
      </c>
      <c r="U679" s="2" t="s">
        <v>396</v>
      </c>
      <c r="V679" s="2" t="s">
        <v>241</v>
      </c>
      <c r="W679" s="2" t="s">
        <v>275</v>
      </c>
      <c r="X679" s="2" t="s">
        <v>233</v>
      </c>
      <c r="Y679" s="2" t="s">
        <v>233</v>
      </c>
      <c r="Z679" s="4"/>
      <c r="AA679" s="4">
        <f>=ROUNDDOWN({0},0)</f>
      </c>
      <c r="AB679" s="5"/>
      <c r="AC679" s="2" t="s">
        <v>3794</v>
      </c>
      <c r="AD679" s="4">
        <v>150</v>
      </c>
      <c r="AE679" s="4">
        <v>300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233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233</v>
      </c>
      <c r="AW679" s="8" t="s">
        <v>233</v>
      </c>
      <c r="AX679" s="4" t="s">
        <v>233</v>
      </c>
      <c r="AY679" s="8" t="s">
        <v>233</v>
      </c>
      <c r="AZ679" s="7" t="s">
        <v>233</v>
      </c>
      <c r="BA679" s="7" t="s">
        <v>233</v>
      </c>
      <c r="BB679" s="7"/>
      <c r="BC679" s="4" t="s">
        <v>233</v>
      </c>
      <c r="BD679" s="8" t="s">
        <v>233</v>
      </c>
      <c r="BE679" s="4" t="s">
        <v>233</v>
      </c>
      <c r="BF679" s="8" t="s">
        <v>233</v>
      </c>
      <c r="BG679" s="7" t="s">
        <v>233</v>
      </c>
      <c r="BH679" s="7" t="s">
        <v>233</v>
      </c>
      <c r="BI679" s="7"/>
      <c r="BJ679" s="4"/>
      <c r="BK679" s="8"/>
      <c r="BL679" s="2" t="s">
        <v>233</v>
      </c>
      <c r="BM679" s="7"/>
      <c r="BN679" s="7"/>
      <c r="BO679" s="4"/>
      <c r="BP679" s="8"/>
      <c r="BQ679" s="4"/>
      <c r="BR679" s="8"/>
      <c r="BS679" s="7"/>
      <c r="BT679" s="7"/>
      <c r="BU679" s="2" t="s">
        <v>243</v>
      </c>
      <c r="BV679" s="2" t="s">
        <v>233</v>
      </c>
      <c r="BW679" s="2" t="s">
        <v>233</v>
      </c>
      <c r="BX679" s="2" t="s">
        <v>243</v>
      </c>
      <c r="BY679" s="2" t="s">
        <v>244</v>
      </c>
      <c r="BZ679" s="2" t="s">
        <v>245</v>
      </c>
      <c r="CA679" s="2" t="s">
        <v>233</v>
      </c>
      <c r="CB679" s="2" t="s">
        <v>233</v>
      </c>
      <c r="CC679" s="2" t="s">
        <v>246</v>
      </c>
      <c r="CD679" s="2" t="s">
        <v>233</v>
      </c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>
        <v>150</v>
      </c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>
        <v>150</v>
      </c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</row>
    <row r="680">
      <c r="A680" s="2" t="s">
        <v>3817</v>
      </c>
      <c r="B680" s="2" t="s">
        <v>1066</v>
      </c>
      <c r="C680" s="2" t="s">
        <v>530</v>
      </c>
      <c r="D680" s="2" t="s">
        <v>1919</v>
      </c>
      <c r="E680" s="2" t="s">
        <v>3467</v>
      </c>
      <c r="F680" s="2" t="s">
        <v>3818</v>
      </c>
      <c r="G680" s="2" t="s">
        <v>3819</v>
      </c>
      <c r="H680" s="2" t="s">
        <v>3820</v>
      </c>
      <c r="I680" s="2" t="s">
        <v>3821</v>
      </c>
      <c r="J680" s="2" t="s">
        <v>892</v>
      </c>
      <c r="K680" s="2" t="s">
        <v>3822</v>
      </c>
      <c r="L680" s="3">
        <v>130</v>
      </c>
      <c r="M680" s="3">
        <v>136.5</v>
      </c>
      <c r="N680" s="3">
        <v>279</v>
      </c>
      <c r="O680" s="2" t="s">
        <v>237</v>
      </c>
      <c r="P680" s="2" t="s">
        <v>311</v>
      </c>
      <c r="Q680" s="2" t="s">
        <v>239</v>
      </c>
      <c r="R680" s="2" t="s">
        <v>233</v>
      </c>
      <c r="S680" s="2" t="s">
        <v>233</v>
      </c>
      <c r="T680" s="2" t="s">
        <v>233</v>
      </c>
      <c r="U680" s="2" t="s">
        <v>396</v>
      </c>
      <c r="V680" s="2" t="s">
        <v>241</v>
      </c>
      <c r="W680" s="2" t="s">
        <v>233</v>
      </c>
      <c r="X680" s="2" t="s">
        <v>233</v>
      </c>
      <c r="Y680" s="2" t="s">
        <v>1461</v>
      </c>
      <c r="Z680" s="4">
        <v>30</v>
      </c>
      <c r="AA680" s="4">
        <f>=ROUNDDOWN(18.75,0)</f>
      </c>
      <c r="AB680" s="5">
        <v>1.6</v>
      </c>
      <c r="AC680" s="2" t="s">
        <v>233</v>
      </c>
      <c r="AD680" s="4"/>
      <c r="AE680" s="4"/>
      <c r="AF680" s="6">
        <v>66</v>
      </c>
      <c r="AG680" s="6"/>
      <c r="AH680" s="7">
        <v>1</v>
      </c>
      <c r="AI680" s="4"/>
      <c r="AJ680" s="4">
        <f>=ROUNDDOWN({0},0)</f>
      </c>
      <c r="AK680" s="5"/>
      <c r="AL680" s="2" t="s">
        <v>233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>
        <v>4</v>
      </c>
      <c r="BK680" s="8">
        <v>562.28</v>
      </c>
      <c r="BL680" s="2" t="s">
        <v>3823</v>
      </c>
      <c r="BM680" s="7"/>
      <c r="BN680" s="7"/>
      <c r="BO680" s="4"/>
      <c r="BP680" s="8"/>
      <c r="BQ680" s="4"/>
      <c r="BR680" s="8"/>
      <c r="BS680" s="7"/>
      <c r="BT680" s="7"/>
      <c r="BU680" s="2" t="s">
        <v>3824</v>
      </c>
      <c r="BV680" s="2" t="s">
        <v>233</v>
      </c>
      <c r="BW680" s="2" t="s">
        <v>233</v>
      </c>
      <c r="BX680" s="2" t="s">
        <v>233</v>
      </c>
      <c r="BY680" s="2" t="s">
        <v>280</v>
      </c>
      <c r="BZ680" s="2" t="s">
        <v>245</v>
      </c>
      <c r="CA680" s="2" t="s">
        <v>1458</v>
      </c>
      <c r="CB680" s="2" t="s">
        <v>3825</v>
      </c>
      <c r="CC680" s="2" t="s">
        <v>246</v>
      </c>
      <c r="CD680" s="2" t="s">
        <v>233</v>
      </c>
      <c r="CE680" s="4"/>
      <c r="CF680" s="4">
        <v>12</v>
      </c>
      <c r="CG680" s="4"/>
      <c r="CH680" s="4"/>
      <c r="CI680" s="4">
        <v>18</v>
      </c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</row>
    <row r="681">
      <c r="A681" s="2" t="s">
        <v>3826</v>
      </c>
      <c r="B681" s="2" t="s">
        <v>1276</v>
      </c>
      <c r="C681" s="2" t="s">
        <v>1277</v>
      </c>
      <c r="D681" s="2" t="s">
        <v>1278</v>
      </c>
      <c r="E681" s="2" t="s">
        <v>1279</v>
      </c>
      <c r="F681" s="2" t="s">
        <v>3827</v>
      </c>
      <c r="G681" s="2" t="s">
        <v>3827</v>
      </c>
      <c r="H681" s="2" t="s">
        <v>3827</v>
      </c>
      <c r="I681" s="2" t="s">
        <v>3828</v>
      </c>
      <c r="J681" s="2" t="s">
        <v>892</v>
      </c>
      <c r="K681" s="2" t="s">
        <v>1201</v>
      </c>
      <c r="L681" s="3">
        <v>22.43</v>
      </c>
      <c r="M681" s="3">
        <v>23.55</v>
      </c>
      <c r="N681" s="3">
        <v>39.99</v>
      </c>
      <c r="O681" s="2" t="s">
        <v>245</v>
      </c>
      <c r="P681" s="2" t="s">
        <v>238</v>
      </c>
      <c r="Q681" s="2" t="s">
        <v>239</v>
      </c>
      <c r="R681" s="2" t="s">
        <v>233</v>
      </c>
      <c r="S681" s="2" t="s">
        <v>233</v>
      </c>
      <c r="T681" s="2" t="s">
        <v>233</v>
      </c>
      <c r="U681" s="2" t="s">
        <v>396</v>
      </c>
      <c r="V681" s="2" t="s">
        <v>893</v>
      </c>
      <c r="W681" s="2" t="s">
        <v>275</v>
      </c>
      <c r="X681" s="2" t="s">
        <v>233</v>
      </c>
      <c r="Y681" s="2" t="s">
        <v>2973</v>
      </c>
      <c r="Z681" s="4">
        <v>520</v>
      </c>
      <c r="AA681" s="4">
        <f>=ROUNDDOWN(47.2727272727273,0)</f>
      </c>
      <c r="AB681" s="5">
        <v>11</v>
      </c>
      <c r="AC681" s="2" t="s">
        <v>233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233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>
        <v>8</v>
      </c>
      <c r="BK681" s="8">
        <v>176.12</v>
      </c>
      <c r="BL681" s="2" t="s">
        <v>3829</v>
      </c>
      <c r="BM681" s="7"/>
      <c r="BN681" s="7"/>
      <c r="BO681" s="4"/>
      <c r="BP681" s="8"/>
      <c r="BQ681" s="4"/>
      <c r="BR681" s="8"/>
      <c r="BS681" s="7"/>
      <c r="BT681" s="7"/>
      <c r="BU681" s="2" t="s">
        <v>243</v>
      </c>
      <c r="BV681" s="2" t="s">
        <v>233</v>
      </c>
      <c r="BW681" s="2" t="s">
        <v>233</v>
      </c>
      <c r="BX681" s="2" t="s">
        <v>243</v>
      </c>
      <c r="BY681" s="2" t="s">
        <v>346</v>
      </c>
      <c r="BZ681" s="2" t="s">
        <v>245</v>
      </c>
      <c r="CA681" s="2" t="s">
        <v>233</v>
      </c>
      <c r="CB681" s="2" t="s">
        <v>233</v>
      </c>
      <c r="CC681" s="2" t="s">
        <v>246</v>
      </c>
      <c r="CD681" s="2" t="s">
        <v>233</v>
      </c>
      <c r="CE681" s="4"/>
      <c r="CF681" s="4">
        <v>252</v>
      </c>
      <c r="CG681" s="4"/>
      <c r="CH681" s="4"/>
      <c r="CI681" s="4">
        <v>268</v>
      </c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</row>
    <row r="682">
      <c r="A682" s="2" t="s">
        <v>3830</v>
      </c>
      <c r="B682" s="2" t="s">
        <v>910</v>
      </c>
      <c r="C682" s="2" t="s">
        <v>3320</v>
      </c>
      <c r="D682" s="2" t="s">
        <v>969</v>
      </c>
      <c r="E682" s="2" t="s">
        <v>970</v>
      </c>
      <c r="F682" s="2" t="s">
        <v>3831</v>
      </c>
      <c r="G682" s="2" t="s">
        <v>2840</v>
      </c>
      <c r="H682" s="2" t="s">
        <v>3832</v>
      </c>
      <c r="I682" s="2" t="s">
        <v>3833</v>
      </c>
      <c r="J682" s="2" t="s">
        <v>270</v>
      </c>
      <c r="K682" s="2" t="s">
        <v>3834</v>
      </c>
      <c r="L682" s="3">
        <v>26.19</v>
      </c>
      <c r="M682" s="3">
        <v>27.5</v>
      </c>
      <c r="N682" s="3">
        <v>54.99</v>
      </c>
      <c r="O682" s="2" t="s">
        <v>245</v>
      </c>
      <c r="P682" s="2" t="s">
        <v>238</v>
      </c>
      <c r="Q682" s="2" t="s">
        <v>239</v>
      </c>
      <c r="R682" s="2" t="s">
        <v>233</v>
      </c>
      <c r="S682" s="2" t="s">
        <v>3835</v>
      </c>
      <c r="T682" s="2" t="s">
        <v>1481</v>
      </c>
      <c r="U682" s="2" t="s">
        <v>491</v>
      </c>
      <c r="V682" s="2" t="s">
        <v>3836</v>
      </c>
      <c r="W682" s="2" t="s">
        <v>275</v>
      </c>
      <c r="X682" s="2" t="s">
        <v>233</v>
      </c>
      <c r="Y682" s="2" t="s">
        <v>2699</v>
      </c>
      <c r="Z682" s="4">
        <v>120</v>
      </c>
      <c r="AA682" s="4">
        <f>=ROUNDDOWN({0},0)</f>
      </c>
      <c r="AB682" s="5"/>
      <c r="AC682" s="2" t="s">
        <v>1192</v>
      </c>
      <c r="AD682" s="4">
        <v>150</v>
      </c>
      <c r="AE682" s="4">
        <v>150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233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233</v>
      </c>
      <c r="AW682" s="8" t="s">
        <v>233</v>
      </c>
      <c r="AX682" s="4" t="s">
        <v>233</v>
      </c>
      <c r="AY682" s="8" t="s">
        <v>233</v>
      </c>
      <c r="AZ682" s="7" t="s">
        <v>233</v>
      </c>
      <c r="BA682" s="7" t="s">
        <v>233</v>
      </c>
      <c r="BB682" s="7" t="s">
        <v>233</v>
      </c>
      <c r="BC682" s="4" t="s">
        <v>233</v>
      </c>
      <c r="BD682" s="8" t="s">
        <v>233</v>
      </c>
      <c r="BE682" s="4" t="s">
        <v>233</v>
      </c>
      <c r="BF682" s="8" t="s">
        <v>233</v>
      </c>
      <c r="BG682" s="7" t="s">
        <v>233</v>
      </c>
      <c r="BH682" s="7" t="s">
        <v>233</v>
      </c>
      <c r="BI682" s="7"/>
      <c r="BJ682" s="4"/>
      <c r="BK682" s="8"/>
      <c r="BL682" s="2" t="s">
        <v>233</v>
      </c>
      <c r="BM682" s="7"/>
      <c r="BN682" s="7"/>
      <c r="BO682" s="4"/>
      <c r="BP682" s="8"/>
      <c r="BQ682" s="4"/>
      <c r="BR682" s="8"/>
      <c r="BS682" s="7"/>
      <c r="BT682" s="7"/>
      <c r="BU682" s="2" t="s">
        <v>3837</v>
      </c>
      <c r="BV682" s="2" t="s">
        <v>233</v>
      </c>
      <c r="BW682" s="2" t="s">
        <v>233</v>
      </c>
      <c r="BX682" s="2" t="s">
        <v>243</v>
      </c>
      <c r="BY682" s="2" t="s">
        <v>280</v>
      </c>
      <c r="BZ682" s="2" t="s">
        <v>245</v>
      </c>
      <c r="CA682" s="2" t="s">
        <v>2568</v>
      </c>
      <c r="CB682" s="2" t="s">
        <v>233</v>
      </c>
      <c r="CC682" s="2" t="s">
        <v>246</v>
      </c>
      <c r="CD682" s="2" t="s">
        <v>233</v>
      </c>
      <c r="CE682" s="4">
        <v>120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>
        <v>150</v>
      </c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</row>
    <row r="683">
      <c r="A683" s="2" t="s">
        <v>3838</v>
      </c>
      <c r="B683" s="2" t="s">
        <v>910</v>
      </c>
      <c r="C683" s="2" t="s">
        <v>3320</v>
      </c>
      <c r="D683" s="2" t="s">
        <v>912</v>
      </c>
      <c r="E683" s="2" t="s">
        <v>1139</v>
      </c>
      <c r="F683" s="2" t="s">
        <v>3831</v>
      </c>
      <c r="G683" s="2" t="s">
        <v>2840</v>
      </c>
      <c r="H683" s="2" t="s">
        <v>3832</v>
      </c>
      <c r="I683" s="2" t="s">
        <v>3839</v>
      </c>
      <c r="J683" s="2" t="s">
        <v>270</v>
      </c>
      <c r="K683" s="2" t="s">
        <v>3834</v>
      </c>
      <c r="L683" s="3">
        <v>19.04</v>
      </c>
      <c r="M683" s="3">
        <v>19.99</v>
      </c>
      <c r="N683" s="3">
        <v>39.99</v>
      </c>
      <c r="O683" s="2" t="s">
        <v>245</v>
      </c>
      <c r="P683" s="2" t="s">
        <v>238</v>
      </c>
      <c r="Q683" s="2" t="s">
        <v>239</v>
      </c>
      <c r="R683" s="2" t="s">
        <v>233</v>
      </c>
      <c r="S683" s="2" t="s">
        <v>3835</v>
      </c>
      <c r="T683" s="2" t="s">
        <v>1481</v>
      </c>
      <c r="U683" s="2" t="s">
        <v>491</v>
      </c>
      <c r="V683" s="2" t="s">
        <v>3836</v>
      </c>
      <c r="W683" s="2" t="s">
        <v>275</v>
      </c>
      <c r="X683" s="2" t="s">
        <v>233</v>
      </c>
      <c r="Y683" s="2" t="s">
        <v>2699</v>
      </c>
      <c r="Z683" s="4">
        <v>70</v>
      </c>
      <c r="AA683" s="4">
        <f>=ROUNDDOWN({0},0)</f>
      </c>
      <c r="AB683" s="5"/>
      <c r="AC683" s="2" t="s">
        <v>1192</v>
      </c>
      <c r="AD683" s="4">
        <v>70</v>
      </c>
      <c r="AE683" s="4">
        <v>70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233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233</v>
      </c>
      <c r="AW683" s="8" t="s">
        <v>233</v>
      </c>
      <c r="AX683" s="4" t="s">
        <v>233</v>
      </c>
      <c r="AY683" s="8" t="s">
        <v>233</v>
      </c>
      <c r="AZ683" s="7" t="s">
        <v>233</v>
      </c>
      <c r="BA683" s="7" t="s">
        <v>233</v>
      </c>
      <c r="BB683" s="7" t="s">
        <v>233</v>
      </c>
      <c r="BC683" s="4" t="s">
        <v>233</v>
      </c>
      <c r="BD683" s="8" t="s">
        <v>233</v>
      </c>
      <c r="BE683" s="4" t="s">
        <v>233</v>
      </c>
      <c r="BF683" s="8" t="s">
        <v>233</v>
      </c>
      <c r="BG683" s="7" t="s">
        <v>233</v>
      </c>
      <c r="BH683" s="7" t="s">
        <v>233</v>
      </c>
      <c r="BI683" s="7"/>
      <c r="BJ683" s="4"/>
      <c r="BK683" s="8"/>
      <c r="BL683" s="2" t="s">
        <v>233</v>
      </c>
      <c r="BM683" s="7"/>
      <c r="BN683" s="7"/>
      <c r="BO683" s="4"/>
      <c r="BP683" s="8"/>
      <c r="BQ683" s="4"/>
      <c r="BR683" s="8"/>
      <c r="BS683" s="7"/>
      <c r="BT683" s="7"/>
      <c r="BU683" s="2" t="s">
        <v>3840</v>
      </c>
      <c r="BV683" s="2" t="s">
        <v>233</v>
      </c>
      <c r="BW683" s="2" t="s">
        <v>233</v>
      </c>
      <c r="BX683" s="2" t="s">
        <v>243</v>
      </c>
      <c r="BY683" s="2" t="s">
        <v>280</v>
      </c>
      <c r="BZ683" s="2" t="s">
        <v>245</v>
      </c>
      <c r="CA683" s="2" t="s">
        <v>2568</v>
      </c>
      <c r="CB683" s="2" t="s">
        <v>233</v>
      </c>
      <c r="CC683" s="2" t="s">
        <v>246</v>
      </c>
      <c r="CD683" s="2" t="s">
        <v>233</v>
      </c>
      <c r="CE683" s="4">
        <v>70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>
        <v>70</v>
      </c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</row>
    <row r="684">
      <c r="A684" s="2" t="s">
        <v>3841</v>
      </c>
      <c r="B684" s="2" t="s">
        <v>910</v>
      </c>
      <c r="C684" s="2" t="s">
        <v>3320</v>
      </c>
      <c r="D684" s="2" t="s">
        <v>969</v>
      </c>
      <c r="E684" s="2" t="s">
        <v>970</v>
      </c>
      <c r="F684" s="2" t="s">
        <v>3831</v>
      </c>
      <c r="G684" s="2" t="s">
        <v>2840</v>
      </c>
      <c r="H684" s="2" t="s">
        <v>3832</v>
      </c>
      <c r="I684" s="2" t="s">
        <v>3833</v>
      </c>
      <c r="J684" s="2" t="s">
        <v>981</v>
      </c>
      <c r="K684" s="2" t="s">
        <v>3834</v>
      </c>
      <c r="L684" s="3">
        <v>30.95</v>
      </c>
      <c r="M684" s="3">
        <v>32.5</v>
      </c>
      <c r="N684" s="3">
        <v>64.99</v>
      </c>
      <c r="O684" s="2" t="s">
        <v>245</v>
      </c>
      <c r="P684" s="2" t="s">
        <v>238</v>
      </c>
      <c r="Q684" s="2" t="s">
        <v>239</v>
      </c>
      <c r="R684" s="2" t="s">
        <v>233</v>
      </c>
      <c r="S684" s="2" t="s">
        <v>3835</v>
      </c>
      <c r="T684" s="2" t="s">
        <v>1481</v>
      </c>
      <c r="U684" s="2" t="s">
        <v>475</v>
      </c>
      <c r="V684" s="2" t="s">
        <v>3836</v>
      </c>
      <c r="W684" s="2" t="s">
        <v>275</v>
      </c>
      <c r="X684" s="2" t="s">
        <v>233</v>
      </c>
      <c r="Y684" s="2" t="s">
        <v>2699</v>
      </c>
      <c r="Z684" s="4">
        <v>120</v>
      </c>
      <c r="AA684" s="4">
        <f>=ROUNDDOWN({0},0)</f>
      </c>
      <c r="AB684" s="5"/>
      <c r="AC684" s="2" t="s">
        <v>1192</v>
      </c>
      <c r="AD684" s="4">
        <v>140</v>
      </c>
      <c r="AE684" s="4">
        <v>140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233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233</v>
      </c>
      <c r="AW684" s="8" t="s">
        <v>233</v>
      </c>
      <c r="AX684" s="4" t="s">
        <v>233</v>
      </c>
      <c r="AY684" s="8" t="s">
        <v>233</v>
      </c>
      <c r="AZ684" s="7" t="s">
        <v>233</v>
      </c>
      <c r="BA684" s="7" t="s">
        <v>233</v>
      </c>
      <c r="BB684" s="7" t="s">
        <v>233</v>
      </c>
      <c r="BC684" s="4" t="s">
        <v>233</v>
      </c>
      <c r="BD684" s="8" t="s">
        <v>233</v>
      </c>
      <c r="BE684" s="4" t="s">
        <v>233</v>
      </c>
      <c r="BF684" s="8" t="s">
        <v>233</v>
      </c>
      <c r="BG684" s="7" t="s">
        <v>233</v>
      </c>
      <c r="BH684" s="7" t="s">
        <v>233</v>
      </c>
      <c r="BI684" s="7"/>
      <c r="BJ684" s="4"/>
      <c r="BK684" s="8"/>
      <c r="BL684" s="2" t="s">
        <v>233</v>
      </c>
      <c r="BM684" s="7"/>
      <c r="BN684" s="7"/>
      <c r="BO684" s="4"/>
      <c r="BP684" s="8"/>
      <c r="BQ684" s="4"/>
      <c r="BR684" s="8"/>
      <c r="BS684" s="7"/>
      <c r="BT684" s="7"/>
      <c r="BU684" s="2" t="s">
        <v>3842</v>
      </c>
      <c r="BV684" s="2" t="s">
        <v>233</v>
      </c>
      <c r="BW684" s="2" t="s">
        <v>233</v>
      </c>
      <c r="BX684" s="2" t="s">
        <v>243</v>
      </c>
      <c r="BY684" s="2" t="s">
        <v>280</v>
      </c>
      <c r="BZ684" s="2" t="s">
        <v>245</v>
      </c>
      <c r="CA684" s="2" t="s">
        <v>2568</v>
      </c>
      <c r="CB684" s="2" t="s">
        <v>233</v>
      </c>
      <c r="CC684" s="2" t="s">
        <v>246</v>
      </c>
      <c r="CD684" s="2" t="s">
        <v>233</v>
      </c>
      <c r="CE684" s="4">
        <v>120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>
        <v>140</v>
      </c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</row>
    <row r="685">
      <c r="A685" s="2" t="s">
        <v>3843</v>
      </c>
      <c r="B685" s="2" t="s">
        <v>910</v>
      </c>
      <c r="C685" s="2" t="s">
        <v>3320</v>
      </c>
      <c r="D685" s="2" t="s">
        <v>912</v>
      </c>
      <c r="E685" s="2" t="s">
        <v>1139</v>
      </c>
      <c r="F685" s="2" t="s">
        <v>3831</v>
      </c>
      <c r="G685" s="2" t="s">
        <v>2840</v>
      </c>
      <c r="H685" s="2" t="s">
        <v>3832</v>
      </c>
      <c r="I685" s="2" t="s">
        <v>3839</v>
      </c>
      <c r="J685" s="2" t="s">
        <v>981</v>
      </c>
      <c r="K685" s="2" t="s">
        <v>3834</v>
      </c>
      <c r="L685" s="3">
        <v>23.8</v>
      </c>
      <c r="M685" s="3">
        <v>24.99</v>
      </c>
      <c r="N685" s="3">
        <v>49.99</v>
      </c>
      <c r="O685" s="2" t="s">
        <v>245</v>
      </c>
      <c r="P685" s="2" t="s">
        <v>238</v>
      </c>
      <c r="Q685" s="2" t="s">
        <v>239</v>
      </c>
      <c r="R685" s="2" t="s">
        <v>233</v>
      </c>
      <c r="S685" s="2" t="s">
        <v>3835</v>
      </c>
      <c r="T685" s="2" t="s">
        <v>1481</v>
      </c>
      <c r="U685" s="2" t="s">
        <v>475</v>
      </c>
      <c r="V685" s="2" t="s">
        <v>3836</v>
      </c>
      <c r="W685" s="2" t="s">
        <v>275</v>
      </c>
      <c r="X685" s="2" t="s">
        <v>233</v>
      </c>
      <c r="Y685" s="2" t="s">
        <v>2699</v>
      </c>
      <c r="Z685" s="4">
        <v>60</v>
      </c>
      <c r="AA685" s="4">
        <f>=ROUNDDOWN({0},0)</f>
      </c>
      <c r="AB685" s="5"/>
      <c r="AC685" s="2" t="s">
        <v>1192</v>
      </c>
      <c r="AD685" s="4">
        <v>70</v>
      </c>
      <c r="AE685" s="4">
        <v>70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233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233</v>
      </c>
      <c r="AW685" s="8" t="s">
        <v>233</v>
      </c>
      <c r="AX685" s="4" t="s">
        <v>233</v>
      </c>
      <c r="AY685" s="8" t="s">
        <v>233</v>
      </c>
      <c r="AZ685" s="7" t="s">
        <v>233</v>
      </c>
      <c r="BA685" s="7" t="s">
        <v>233</v>
      </c>
      <c r="BB685" s="7" t="s">
        <v>233</v>
      </c>
      <c r="BC685" s="4" t="s">
        <v>233</v>
      </c>
      <c r="BD685" s="8" t="s">
        <v>233</v>
      </c>
      <c r="BE685" s="4" t="s">
        <v>233</v>
      </c>
      <c r="BF685" s="8" t="s">
        <v>233</v>
      </c>
      <c r="BG685" s="7" t="s">
        <v>233</v>
      </c>
      <c r="BH685" s="7" t="s">
        <v>233</v>
      </c>
      <c r="BI685" s="7"/>
      <c r="BJ685" s="4"/>
      <c r="BK685" s="8"/>
      <c r="BL685" s="2" t="s">
        <v>233</v>
      </c>
      <c r="BM685" s="7"/>
      <c r="BN685" s="7"/>
      <c r="BO685" s="4"/>
      <c r="BP685" s="8"/>
      <c r="BQ685" s="4"/>
      <c r="BR685" s="8"/>
      <c r="BS685" s="7"/>
      <c r="BT685" s="7"/>
      <c r="BU685" s="2" t="s">
        <v>3844</v>
      </c>
      <c r="BV685" s="2" t="s">
        <v>233</v>
      </c>
      <c r="BW685" s="2" t="s">
        <v>233</v>
      </c>
      <c r="BX685" s="2" t="s">
        <v>243</v>
      </c>
      <c r="BY685" s="2" t="s">
        <v>280</v>
      </c>
      <c r="BZ685" s="2" t="s">
        <v>245</v>
      </c>
      <c r="CA685" s="2" t="s">
        <v>2568</v>
      </c>
      <c r="CB685" s="2" t="s">
        <v>233</v>
      </c>
      <c r="CC685" s="2" t="s">
        <v>246</v>
      </c>
      <c r="CD685" s="2" t="s">
        <v>233</v>
      </c>
      <c r="CE685" s="4">
        <v>60</v>
      </c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>
        <v>70</v>
      </c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</row>
    <row r="686">
      <c r="A686" s="2" t="s">
        <v>3845</v>
      </c>
      <c r="B686" s="2" t="s">
        <v>228</v>
      </c>
      <c r="C686" s="2" t="s">
        <v>3846</v>
      </c>
      <c r="D686" s="2" t="s">
        <v>3847</v>
      </c>
      <c r="E686" s="2" t="s">
        <v>3848</v>
      </c>
      <c r="F686" s="2" t="s">
        <v>3849</v>
      </c>
      <c r="G686" s="2" t="s">
        <v>3849</v>
      </c>
      <c r="H686" s="2" t="s">
        <v>3849</v>
      </c>
      <c r="I686" s="2" t="s">
        <v>3850</v>
      </c>
      <c r="J686" s="2" t="s">
        <v>270</v>
      </c>
      <c r="K686" s="2" t="s">
        <v>271</v>
      </c>
      <c r="L686" s="3">
        <v>45.23</v>
      </c>
      <c r="M686" s="3">
        <v>47.49</v>
      </c>
      <c r="N686" s="3">
        <v>94.99</v>
      </c>
      <c r="O686" s="2" t="s">
        <v>245</v>
      </c>
      <c r="P686" s="2" t="s">
        <v>238</v>
      </c>
      <c r="Q686" s="2" t="s">
        <v>239</v>
      </c>
      <c r="R686" s="2" t="s">
        <v>233</v>
      </c>
      <c r="S686" s="2" t="s">
        <v>3851</v>
      </c>
      <c r="T686" s="2" t="s">
        <v>1622</v>
      </c>
      <c r="U686" s="2" t="s">
        <v>396</v>
      </c>
      <c r="V686" s="2" t="s">
        <v>241</v>
      </c>
      <c r="W686" s="2" t="s">
        <v>275</v>
      </c>
      <c r="X686" s="2" t="s">
        <v>233</v>
      </c>
      <c r="Y686" s="2" t="s">
        <v>485</v>
      </c>
      <c r="Z686" s="4">
        <v>255</v>
      </c>
      <c r="AA686" s="4">
        <f>=ROUNDDOWN(127.5,0)</f>
      </c>
      <c r="AB686" s="5">
        <v>2</v>
      </c>
      <c r="AC686" s="2" t="s">
        <v>233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233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233</v>
      </c>
      <c r="AW686" s="8" t="s">
        <v>233</v>
      </c>
      <c r="AX686" s="4" t="s">
        <v>233</v>
      </c>
      <c r="AY686" s="8" t="s">
        <v>233</v>
      </c>
      <c r="AZ686" s="7" t="s">
        <v>233</v>
      </c>
      <c r="BA686" s="7" t="s">
        <v>233</v>
      </c>
      <c r="BB686" s="7"/>
      <c r="BC686" s="4" t="s">
        <v>233</v>
      </c>
      <c r="BD686" s="8" t="s">
        <v>233</v>
      </c>
      <c r="BE686" s="4" t="s">
        <v>233</v>
      </c>
      <c r="BF686" s="8" t="s">
        <v>233</v>
      </c>
      <c r="BG686" s="7" t="s">
        <v>233</v>
      </c>
      <c r="BH686" s="7" t="s">
        <v>233</v>
      </c>
      <c r="BI686" s="7"/>
      <c r="BJ686" s="4">
        <v>2</v>
      </c>
      <c r="BK686" s="8">
        <v>101.16</v>
      </c>
      <c r="BL686" s="2" t="s">
        <v>713</v>
      </c>
      <c r="BM686" s="7"/>
      <c r="BN686" s="7"/>
      <c r="BO686" s="4"/>
      <c r="BP686" s="8"/>
      <c r="BQ686" s="4"/>
      <c r="BR686" s="8"/>
      <c r="BS686" s="7"/>
      <c r="BT686" s="7"/>
      <c r="BU686" s="2" t="s">
        <v>3852</v>
      </c>
      <c r="BV686" s="2" t="s">
        <v>233</v>
      </c>
      <c r="BW686" s="2" t="s">
        <v>233</v>
      </c>
      <c r="BX686" s="2" t="s">
        <v>243</v>
      </c>
      <c r="BY686" s="2" t="s">
        <v>280</v>
      </c>
      <c r="BZ686" s="2" t="s">
        <v>245</v>
      </c>
      <c r="CA686" s="2" t="s">
        <v>1992</v>
      </c>
      <c r="CB686" s="2" t="s">
        <v>2735</v>
      </c>
      <c r="CC686" s="2" t="s">
        <v>246</v>
      </c>
      <c r="CD686" s="2" t="s">
        <v>233</v>
      </c>
      <c r="CE686" s="4">
        <v>255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</row>
    <row r="687">
      <c r="A687" s="2" t="s">
        <v>3853</v>
      </c>
      <c r="B687" s="2" t="s">
        <v>228</v>
      </c>
      <c r="C687" s="2" t="s">
        <v>3846</v>
      </c>
      <c r="D687" s="2" t="s">
        <v>3847</v>
      </c>
      <c r="E687" s="2" t="s">
        <v>3848</v>
      </c>
      <c r="F687" s="2" t="s">
        <v>3849</v>
      </c>
      <c r="G687" s="2" t="s">
        <v>3849</v>
      </c>
      <c r="H687" s="2" t="s">
        <v>3849</v>
      </c>
      <c r="I687" s="2" t="s">
        <v>3850</v>
      </c>
      <c r="J687" s="2" t="s">
        <v>290</v>
      </c>
      <c r="K687" s="2" t="s">
        <v>271</v>
      </c>
      <c r="L687" s="3">
        <v>50</v>
      </c>
      <c r="M687" s="3">
        <v>52.5</v>
      </c>
      <c r="N687" s="3">
        <v>104.99</v>
      </c>
      <c r="O687" s="2" t="s">
        <v>245</v>
      </c>
      <c r="P687" s="2" t="s">
        <v>238</v>
      </c>
      <c r="Q687" s="2" t="s">
        <v>239</v>
      </c>
      <c r="R687" s="2" t="s">
        <v>233</v>
      </c>
      <c r="S687" s="2" t="s">
        <v>3851</v>
      </c>
      <c r="T687" s="2" t="s">
        <v>1622</v>
      </c>
      <c r="U687" s="2" t="s">
        <v>396</v>
      </c>
      <c r="V687" s="2" t="s">
        <v>241</v>
      </c>
      <c r="W687" s="2" t="s">
        <v>275</v>
      </c>
      <c r="X687" s="2" t="s">
        <v>233</v>
      </c>
      <c r="Y687" s="2" t="s">
        <v>3854</v>
      </c>
      <c r="Z687" s="4">
        <v>239</v>
      </c>
      <c r="AA687" s="4">
        <f>=ROUNDDOWN(59.75,0)</f>
      </c>
      <c r="AB687" s="5">
        <v>4</v>
      </c>
      <c r="AC687" s="2" t="s">
        <v>233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233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233</v>
      </c>
      <c r="AW687" s="8" t="s">
        <v>233</v>
      </c>
      <c r="AX687" s="4" t="s">
        <v>233</v>
      </c>
      <c r="AY687" s="8" t="s">
        <v>233</v>
      </c>
      <c r="AZ687" s="7" t="s">
        <v>233</v>
      </c>
      <c r="BA687" s="7" t="s">
        <v>233</v>
      </c>
      <c r="BB687" s="7"/>
      <c r="BC687" s="4" t="s">
        <v>233</v>
      </c>
      <c r="BD687" s="8" t="s">
        <v>233</v>
      </c>
      <c r="BE687" s="4" t="s">
        <v>233</v>
      </c>
      <c r="BF687" s="8" t="s">
        <v>233</v>
      </c>
      <c r="BG687" s="7" t="s">
        <v>233</v>
      </c>
      <c r="BH687" s="7" t="s">
        <v>233</v>
      </c>
      <c r="BI687" s="7"/>
      <c r="BJ687" s="4">
        <v>4</v>
      </c>
      <c r="BK687" s="8">
        <v>225.22</v>
      </c>
      <c r="BL687" s="2" t="s">
        <v>3094</v>
      </c>
      <c r="BM687" s="7"/>
      <c r="BN687" s="7"/>
      <c r="BO687" s="4"/>
      <c r="BP687" s="8"/>
      <c r="BQ687" s="4"/>
      <c r="BR687" s="8"/>
      <c r="BS687" s="7"/>
      <c r="BT687" s="7"/>
      <c r="BU687" s="2" t="s">
        <v>3855</v>
      </c>
      <c r="BV687" s="2" t="s">
        <v>233</v>
      </c>
      <c r="BW687" s="2" t="s">
        <v>233</v>
      </c>
      <c r="BX687" s="2" t="s">
        <v>243</v>
      </c>
      <c r="BY687" s="2" t="s">
        <v>280</v>
      </c>
      <c r="BZ687" s="2" t="s">
        <v>245</v>
      </c>
      <c r="CA687" s="2" t="s">
        <v>716</v>
      </c>
      <c r="CB687" s="2" t="s">
        <v>3856</v>
      </c>
      <c r="CC687" s="2" t="s">
        <v>246</v>
      </c>
      <c r="CD687" s="2" t="s">
        <v>233</v>
      </c>
      <c r="CE687" s="4">
        <v>239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</row>
    <row r="688">
      <c r="A688" s="2" t="s">
        <v>3857</v>
      </c>
      <c r="B688" s="2" t="s">
        <v>228</v>
      </c>
      <c r="C688" s="2" t="s">
        <v>3846</v>
      </c>
      <c r="D688" s="2" t="s">
        <v>3847</v>
      </c>
      <c r="E688" s="2" t="s">
        <v>3848</v>
      </c>
      <c r="F688" s="2" t="s">
        <v>3849</v>
      </c>
      <c r="G688" s="2" t="s">
        <v>3849</v>
      </c>
      <c r="H688" s="2" t="s">
        <v>3849</v>
      </c>
      <c r="I688" s="2" t="s">
        <v>3850</v>
      </c>
      <c r="J688" s="2" t="s">
        <v>348</v>
      </c>
      <c r="K688" s="2" t="s">
        <v>271</v>
      </c>
      <c r="L688" s="3">
        <v>71.42</v>
      </c>
      <c r="M688" s="3">
        <v>74.99</v>
      </c>
      <c r="N688" s="3">
        <v>149.99</v>
      </c>
      <c r="O688" s="2" t="s">
        <v>245</v>
      </c>
      <c r="P688" s="2" t="s">
        <v>238</v>
      </c>
      <c r="Q688" s="2" t="s">
        <v>239</v>
      </c>
      <c r="R688" s="2" t="s">
        <v>233</v>
      </c>
      <c r="S688" s="2" t="s">
        <v>3851</v>
      </c>
      <c r="T688" s="2" t="s">
        <v>1622</v>
      </c>
      <c r="U688" s="2" t="s">
        <v>396</v>
      </c>
      <c r="V688" s="2" t="s">
        <v>241</v>
      </c>
      <c r="W688" s="2" t="s">
        <v>275</v>
      </c>
      <c r="X688" s="2" t="s">
        <v>233</v>
      </c>
      <c r="Y688" s="2" t="s">
        <v>3854</v>
      </c>
      <c r="Z688" s="4">
        <v>244</v>
      </c>
      <c r="AA688" s="4">
        <f>=ROUNDDOWN(122,0)</f>
      </c>
      <c r="AB688" s="5">
        <v>2</v>
      </c>
      <c r="AC688" s="2" t="s">
        <v>233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233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233</v>
      </c>
      <c r="AW688" s="8" t="s">
        <v>233</v>
      </c>
      <c r="AX688" s="4" t="s">
        <v>233</v>
      </c>
      <c r="AY688" s="8" t="s">
        <v>233</v>
      </c>
      <c r="AZ688" s="7" t="s">
        <v>233</v>
      </c>
      <c r="BA688" s="7" t="s">
        <v>233</v>
      </c>
      <c r="BB688" s="7"/>
      <c r="BC688" s="4" t="s">
        <v>233</v>
      </c>
      <c r="BD688" s="8" t="s">
        <v>233</v>
      </c>
      <c r="BE688" s="4" t="s">
        <v>233</v>
      </c>
      <c r="BF688" s="8" t="s">
        <v>233</v>
      </c>
      <c r="BG688" s="7" t="s">
        <v>233</v>
      </c>
      <c r="BH688" s="7" t="s">
        <v>233</v>
      </c>
      <c r="BI688" s="7"/>
      <c r="BJ688" s="4">
        <v>5</v>
      </c>
      <c r="BK688" s="8">
        <v>400.45</v>
      </c>
      <c r="BL688" s="2" t="s">
        <v>3094</v>
      </c>
      <c r="BM688" s="7"/>
      <c r="BN688" s="7"/>
      <c r="BO688" s="4"/>
      <c r="BP688" s="8"/>
      <c r="BQ688" s="4"/>
      <c r="BR688" s="8"/>
      <c r="BS688" s="7"/>
      <c r="BT688" s="7"/>
      <c r="BU688" s="2" t="s">
        <v>3858</v>
      </c>
      <c r="BV688" s="2" t="s">
        <v>233</v>
      </c>
      <c r="BW688" s="2" t="s">
        <v>233</v>
      </c>
      <c r="BX688" s="2" t="s">
        <v>243</v>
      </c>
      <c r="BY688" s="2" t="s">
        <v>280</v>
      </c>
      <c r="BZ688" s="2" t="s">
        <v>245</v>
      </c>
      <c r="CA688" s="2" t="s">
        <v>716</v>
      </c>
      <c r="CB688" s="2" t="s">
        <v>375</v>
      </c>
      <c r="CC688" s="2" t="s">
        <v>246</v>
      </c>
      <c r="CD688" s="2" t="s">
        <v>233</v>
      </c>
      <c r="CE688" s="4">
        <v>244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</row>
    <row r="689">
      <c r="A689" s="2" t="s">
        <v>3859</v>
      </c>
      <c r="B689" s="2" t="s">
        <v>228</v>
      </c>
      <c r="C689" s="2" t="s">
        <v>3846</v>
      </c>
      <c r="D689" s="2" t="s">
        <v>3847</v>
      </c>
      <c r="E689" s="2" t="s">
        <v>3848</v>
      </c>
      <c r="F689" s="2" t="s">
        <v>3849</v>
      </c>
      <c r="G689" s="2" t="s">
        <v>3849</v>
      </c>
      <c r="H689" s="2" t="s">
        <v>3849</v>
      </c>
      <c r="I689" s="2" t="s">
        <v>3850</v>
      </c>
      <c r="J689" s="2" t="s">
        <v>328</v>
      </c>
      <c r="K689" s="2" t="s">
        <v>271</v>
      </c>
      <c r="L689" s="3">
        <v>78.57</v>
      </c>
      <c r="M689" s="3">
        <v>82.5</v>
      </c>
      <c r="N689" s="3">
        <v>164.99</v>
      </c>
      <c r="O689" s="2" t="s">
        <v>245</v>
      </c>
      <c r="P689" s="2" t="s">
        <v>238</v>
      </c>
      <c r="Q689" s="2" t="s">
        <v>239</v>
      </c>
      <c r="R689" s="2" t="s">
        <v>233</v>
      </c>
      <c r="S689" s="2" t="s">
        <v>3851</v>
      </c>
      <c r="T689" s="2" t="s">
        <v>1622</v>
      </c>
      <c r="U689" s="2" t="s">
        <v>396</v>
      </c>
      <c r="V689" s="2" t="s">
        <v>241</v>
      </c>
      <c r="W689" s="2" t="s">
        <v>275</v>
      </c>
      <c r="X689" s="2" t="s">
        <v>233</v>
      </c>
      <c r="Y689" s="2" t="s">
        <v>3854</v>
      </c>
      <c r="Z689" s="4">
        <v>241</v>
      </c>
      <c r="AA689" s="4">
        <f>=ROUNDDOWN(80.3333333333333,0)</f>
      </c>
      <c r="AB689" s="5">
        <v>3</v>
      </c>
      <c r="AC689" s="2" t="s">
        <v>233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233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233</v>
      </c>
      <c r="AW689" s="8" t="s">
        <v>233</v>
      </c>
      <c r="AX689" s="4" t="s">
        <v>233</v>
      </c>
      <c r="AY689" s="8" t="s">
        <v>233</v>
      </c>
      <c r="AZ689" s="7" t="s">
        <v>233</v>
      </c>
      <c r="BA689" s="7" t="s">
        <v>233</v>
      </c>
      <c r="BB689" s="7"/>
      <c r="BC689" s="4" t="s">
        <v>233</v>
      </c>
      <c r="BD689" s="8" t="s">
        <v>233</v>
      </c>
      <c r="BE689" s="4" t="s">
        <v>233</v>
      </c>
      <c r="BF689" s="8" t="s">
        <v>233</v>
      </c>
      <c r="BG689" s="7" t="s">
        <v>233</v>
      </c>
      <c r="BH689" s="7" t="s">
        <v>233</v>
      </c>
      <c r="BI689" s="7"/>
      <c r="BJ689" s="4">
        <v>6</v>
      </c>
      <c r="BK689" s="8">
        <v>532.12</v>
      </c>
      <c r="BL689" s="2" t="s">
        <v>496</v>
      </c>
      <c r="BM689" s="7"/>
      <c r="BN689" s="7"/>
      <c r="BO689" s="4"/>
      <c r="BP689" s="8"/>
      <c r="BQ689" s="4"/>
      <c r="BR689" s="8"/>
      <c r="BS689" s="7"/>
      <c r="BT689" s="7"/>
      <c r="BU689" s="2" t="s">
        <v>3860</v>
      </c>
      <c r="BV689" s="2" t="s">
        <v>233</v>
      </c>
      <c r="BW689" s="2" t="s">
        <v>233</v>
      </c>
      <c r="BX689" s="2" t="s">
        <v>243</v>
      </c>
      <c r="BY689" s="2" t="s">
        <v>280</v>
      </c>
      <c r="BZ689" s="2" t="s">
        <v>245</v>
      </c>
      <c r="CA689" s="2" t="s">
        <v>716</v>
      </c>
      <c r="CB689" s="2" t="s">
        <v>3861</v>
      </c>
      <c r="CC689" s="2" t="s">
        <v>246</v>
      </c>
      <c r="CD689" s="2" t="s">
        <v>233</v>
      </c>
      <c r="CE689" s="4">
        <v>241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</row>
    <row r="690">
      <c r="A690" s="2" t="s">
        <v>3862</v>
      </c>
      <c r="B690" s="2" t="s">
        <v>228</v>
      </c>
      <c r="C690" s="2" t="s">
        <v>3846</v>
      </c>
      <c r="D690" s="2" t="s">
        <v>3847</v>
      </c>
      <c r="E690" s="2" t="s">
        <v>3848</v>
      </c>
      <c r="F690" s="2" t="s">
        <v>3849</v>
      </c>
      <c r="G690" s="2" t="s">
        <v>3849</v>
      </c>
      <c r="H690" s="2" t="s">
        <v>3849</v>
      </c>
      <c r="I690" s="2" t="s">
        <v>3850</v>
      </c>
      <c r="J690" s="2" t="s">
        <v>270</v>
      </c>
      <c r="K690" s="2" t="s">
        <v>984</v>
      </c>
      <c r="L690" s="3">
        <v>45.23</v>
      </c>
      <c r="M690" s="3">
        <v>47.49</v>
      </c>
      <c r="N690" s="3">
        <v>94.99</v>
      </c>
      <c r="O690" s="2" t="s">
        <v>245</v>
      </c>
      <c r="P690" s="2" t="s">
        <v>238</v>
      </c>
      <c r="Q690" s="2" t="s">
        <v>239</v>
      </c>
      <c r="R690" s="2" t="s">
        <v>233</v>
      </c>
      <c r="S690" s="2" t="s">
        <v>3863</v>
      </c>
      <c r="T690" s="2" t="s">
        <v>1622</v>
      </c>
      <c r="U690" s="2" t="s">
        <v>396</v>
      </c>
      <c r="V690" s="2" t="s">
        <v>241</v>
      </c>
      <c r="W690" s="2" t="s">
        <v>275</v>
      </c>
      <c r="X690" s="2" t="s">
        <v>233</v>
      </c>
      <c r="Y690" s="2" t="s">
        <v>3854</v>
      </c>
      <c r="Z690" s="4">
        <v>269</v>
      </c>
      <c r="AA690" s="4">
        <f>=ROUNDDOWN(134.5,0)</f>
      </c>
      <c r="AB690" s="5">
        <v>2</v>
      </c>
      <c r="AC690" s="2" t="s">
        <v>233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233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233</v>
      </c>
      <c r="AW690" s="8" t="s">
        <v>233</v>
      </c>
      <c r="AX690" s="4" t="s">
        <v>233</v>
      </c>
      <c r="AY690" s="8" t="s">
        <v>233</v>
      </c>
      <c r="AZ690" s="7" t="s">
        <v>233</v>
      </c>
      <c r="BA690" s="7" t="s">
        <v>233</v>
      </c>
      <c r="BB690" s="7"/>
      <c r="BC690" s="4" t="s">
        <v>233</v>
      </c>
      <c r="BD690" s="8" t="s">
        <v>233</v>
      </c>
      <c r="BE690" s="4" t="s">
        <v>233</v>
      </c>
      <c r="BF690" s="8" t="s">
        <v>233</v>
      </c>
      <c r="BG690" s="7" t="s">
        <v>233</v>
      </c>
      <c r="BH690" s="7" t="s">
        <v>233</v>
      </c>
      <c r="BI690" s="7"/>
      <c r="BJ690" s="4">
        <v>4</v>
      </c>
      <c r="BK690" s="8">
        <v>200.9</v>
      </c>
      <c r="BL690" s="2" t="s">
        <v>3094</v>
      </c>
      <c r="BM690" s="7"/>
      <c r="BN690" s="7"/>
      <c r="BO690" s="4"/>
      <c r="BP690" s="8"/>
      <c r="BQ690" s="4"/>
      <c r="BR690" s="8"/>
      <c r="BS690" s="7"/>
      <c r="BT690" s="7"/>
      <c r="BU690" s="2" t="s">
        <v>3864</v>
      </c>
      <c r="BV690" s="2" t="s">
        <v>233</v>
      </c>
      <c r="BW690" s="2" t="s">
        <v>233</v>
      </c>
      <c r="BX690" s="2" t="s">
        <v>243</v>
      </c>
      <c r="BY690" s="2" t="s">
        <v>280</v>
      </c>
      <c r="BZ690" s="2" t="s">
        <v>245</v>
      </c>
      <c r="CA690" s="2" t="s">
        <v>716</v>
      </c>
      <c r="CB690" s="2" t="s">
        <v>233</v>
      </c>
      <c r="CC690" s="2" t="s">
        <v>246</v>
      </c>
      <c r="CD690" s="2" t="s">
        <v>233</v>
      </c>
      <c r="CE690" s="4">
        <v>269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</row>
    <row r="691">
      <c r="A691" s="2" t="s">
        <v>3865</v>
      </c>
      <c r="B691" s="2" t="s">
        <v>228</v>
      </c>
      <c r="C691" s="2" t="s">
        <v>3846</v>
      </c>
      <c r="D691" s="2" t="s">
        <v>3847</v>
      </c>
      <c r="E691" s="2" t="s">
        <v>3848</v>
      </c>
      <c r="F691" s="2" t="s">
        <v>3849</v>
      </c>
      <c r="G691" s="2" t="s">
        <v>3849</v>
      </c>
      <c r="H691" s="2" t="s">
        <v>3849</v>
      </c>
      <c r="I691" s="2" t="s">
        <v>3850</v>
      </c>
      <c r="J691" s="2" t="s">
        <v>290</v>
      </c>
      <c r="K691" s="2" t="s">
        <v>984</v>
      </c>
      <c r="L691" s="3">
        <v>50</v>
      </c>
      <c r="M691" s="3">
        <v>52.5</v>
      </c>
      <c r="N691" s="3">
        <v>104.99</v>
      </c>
      <c r="O691" s="2" t="s">
        <v>245</v>
      </c>
      <c r="P691" s="2" t="s">
        <v>238</v>
      </c>
      <c r="Q691" s="2" t="s">
        <v>239</v>
      </c>
      <c r="R691" s="2" t="s">
        <v>233</v>
      </c>
      <c r="S691" s="2" t="s">
        <v>3863</v>
      </c>
      <c r="T691" s="2" t="s">
        <v>1622</v>
      </c>
      <c r="U691" s="2" t="s">
        <v>396</v>
      </c>
      <c r="V691" s="2" t="s">
        <v>241</v>
      </c>
      <c r="W691" s="2" t="s">
        <v>275</v>
      </c>
      <c r="X691" s="2" t="s">
        <v>233</v>
      </c>
      <c r="Y691" s="2" t="s">
        <v>3854</v>
      </c>
      <c r="Z691" s="4">
        <v>262</v>
      </c>
      <c r="AA691" s="4">
        <f>=ROUNDDOWN(131,0)</f>
      </c>
      <c r="AB691" s="5">
        <v>2</v>
      </c>
      <c r="AC691" s="2" t="s">
        <v>233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233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233</v>
      </c>
      <c r="AW691" s="8" t="s">
        <v>233</v>
      </c>
      <c r="AX691" s="4" t="s">
        <v>233</v>
      </c>
      <c r="AY691" s="8" t="s">
        <v>233</v>
      </c>
      <c r="AZ691" s="7" t="s">
        <v>233</v>
      </c>
      <c r="BA691" s="7" t="s">
        <v>233</v>
      </c>
      <c r="BB691" s="7"/>
      <c r="BC691" s="4" t="s">
        <v>233</v>
      </c>
      <c r="BD691" s="8" t="s">
        <v>233</v>
      </c>
      <c r="BE691" s="4" t="s">
        <v>233</v>
      </c>
      <c r="BF691" s="8" t="s">
        <v>233</v>
      </c>
      <c r="BG691" s="7" t="s">
        <v>233</v>
      </c>
      <c r="BH691" s="7" t="s">
        <v>233</v>
      </c>
      <c r="BI691" s="7"/>
      <c r="BJ691" s="4">
        <v>1</v>
      </c>
      <c r="BK691" s="8">
        <v>55.12</v>
      </c>
      <c r="BL691" s="2" t="s">
        <v>2404</v>
      </c>
      <c r="BM691" s="7"/>
      <c r="BN691" s="7"/>
      <c r="BO691" s="4"/>
      <c r="BP691" s="8"/>
      <c r="BQ691" s="4"/>
      <c r="BR691" s="8"/>
      <c r="BS691" s="7"/>
      <c r="BT691" s="7"/>
      <c r="BU691" s="2" t="s">
        <v>3866</v>
      </c>
      <c r="BV691" s="2" t="s">
        <v>233</v>
      </c>
      <c r="BW691" s="2" t="s">
        <v>233</v>
      </c>
      <c r="BX691" s="2" t="s">
        <v>243</v>
      </c>
      <c r="BY691" s="2" t="s">
        <v>280</v>
      </c>
      <c r="BZ691" s="2" t="s">
        <v>245</v>
      </c>
      <c r="CA691" s="2" t="s">
        <v>716</v>
      </c>
      <c r="CB691" s="2" t="s">
        <v>233</v>
      </c>
      <c r="CC691" s="2" t="s">
        <v>246</v>
      </c>
      <c r="CD691" s="2" t="s">
        <v>233</v>
      </c>
      <c r="CE691" s="4">
        <v>262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</row>
    <row r="692">
      <c r="A692" s="2" t="s">
        <v>3867</v>
      </c>
      <c r="B692" s="2" t="s">
        <v>228</v>
      </c>
      <c r="C692" s="2" t="s">
        <v>3846</v>
      </c>
      <c r="D692" s="2" t="s">
        <v>3847</v>
      </c>
      <c r="E692" s="2" t="s">
        <v>3848</v>
      </c>
      <c r="F692" s="2" t="s">
        <v>3849</v>
      </c>
      <c r="G692" s="2" t="s">
        <v>3849</v>
      </c>
      <c r="H692" s="2" t="s">
        <v>3849</v>
      </c>
      <c r="I692" s="2" t="s">
        <v>3850</v>
      </c>
      <c r="J692" s="2" t="s">
        <v>328</v>
      </c>
      <c r="K692" s="2" t="s">
        <v>984</v>
      </c>
      <c r="L692" s="3">
        <v>78.57</v>
      </c>
      <c r="M692" s="3">
        <v>82.5</v>
      </c>
      <c r="N692" s="3">
        <v>164.99</v>
      </c>
      <c r="O692" s="2" t="s">
        <v>245</v>
      </c>
      <c r="P692" s="2" t="s">
        <v>238</v>
      </c>
      <c r="Q692" s="2" t="s">
        <v>239</v>
      </c>
      <c r="R692" s="2" t="s">
        <v>233</v>
      </c>
      <c r="S692" s="2" t="s">
        <v>3863</v>
      </c>
      <c r="T692" s="2" t="s">
        <v>1622</v>
      </c>
      <c r="U692" s="2" t="s">
        <v>396</v>
      </c>
      <c r="V692" s="2" t="s">
        <v>241</v>
      </c>
      <c r="W692" s="2" t="s">
        <v>275</v>
      </c>
      <c r="X692" s="2" t="s">
        <v>233</v>
      </c>
      <c r="Y692" s="2" t="s">
        <v>3854</v>
      </c>
      <c r="Z692" s="4">
        <v>436</v>
      </c>
      <c r="AA692" s="4">
        <f>=ROUNDDOWN(87.2,0)</f>
      </c>
      <c r="AB692" s="5">
        <v>5</v>
      </c>
      <c r="AC692" s="2" t="s">
        <v>233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233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233</v>
      </c>
      <c r="AW692" s="8" t="s">
        <v>233</v>
      </c>
      <c r="AX692" s="4" t="s">
        <v>233</v>
      </c>
      <c r="AY692" s="8" t="s">
        <v>233</v>
      </c>
      <c r="AZ692" s="7" t="s">
        <v>233</v>
      </c>
      <c r="BA692" s="7" t="s">
        <v>233</v>
      </c>
      <c r="BB692" s="7"/>
      <c r="BC692" s="4" t="s">
        <v>233</v>
      </c>
      <c r="BD692" s="8" t="s">
        <v>233</v>
      </c>
      <c r="BE692" s="4" t="s">
        <v>233</v>
      </c>
      <c r="BF692" s="8" t="s">
        <v>233</v>
      </c>
      <c r="BG692" s="7" t="s">
        <v>233</v>
      </c>
      <c r="BH692" s="7" t="s">
        <v>233</v>
      </c>
      <c r="BI692" s="7"/>
      <c r="BJ692" s="4">
        <v>11</v>
      </c>
      <c r="BK692" s="8">
        <v>941.32</v>
      </c>
      <c r="BL692" s="2" t="s">
        <v>3868</v>
      </c>
      <c r="BM692" s="7"/>
      <c r="BN692" s="7"/>
      <c r="BO692" s="4"/>
      <c r="BP692" s="8"/>
      <c r="BQ692" s="4"/>
      <c r="BR692" s="8"/>
      <c r="BS692" s="7"/>
      <c r="BT692" s="7"/>
      <c r="BU692" s="2" t="s">
        <v>3869</v>
      </c>
      <c r="BV692" s="2" t="s">
        <v>233</v>
      </c>
      <c r="BW692" s="2" t="s">
        <v>233</v>
      </c>
      <c r="BX692" s="2" t="s">
        <v>243</v>
      </c>
      <c r="BY692" s="2" t="s">
        <v>280</v>
      </c>
      <c r="BZ692" s="2" t="s">
        <v>245</v>
      </c>
      <c r="CA692" s="2" t="s">
        <v>716</v>
      </c>
      <c r="CB692" s="2" t="s">
        <v>3870</v>
      </c>
      <c r="CC692" s="2" t="s">
        <v>246</v>
      </c>
      <c r="CD692" s="2" t="s">
        <v>233</v>
      </c>
      <c r="CE692" s="4">
        <v>436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</row>
    <row r="693">
      <c r="A693" s="2" t="s">
        <v>3871</v>
      </c>
      <c r="B693" s="2" t="s">
        <v>228</v>
      </c>
      <c r="C693" s="2" t="s">
        <v>3846</v>
      </c>
      <c r="D693" s="2" t="s">
        <v>3847</v>
      </c>
      <c r="E693" s="2" t="s">
        <v>3848</v>
      </c>
      <c r="F693" s="2" t="s">
        <v>3849</v>
      </c>
      <c r="G693" s="2" t="s">
        <v>3849</v>
      </c>
      <c r="H693" s="2" t="s">
        <v>3849</v>
      </c>
      <c r="I693" s="2" t="s">
        <v>3850</v>
      </c>
      <c r="J693" s="2" t="s">
        <v>290</v>
      </c>
      <c r="K693" s="2" t="s">
        <v>255</v>
      </c>
      <c r="L693" s="3">
        <v>50</v>
      </c>
      <c r="M693" s="3">
        <v>52.5</v>
      </c>
      <c r="N693" s="3">
        <v>104.99</v>
      </c>
      <c r="O693" s="2" t="s">
        <v>245</v>
      </c>
      <c r="P693" s="2" t="s">
        <v>272</v>
      </c>
      <c r="Q693" s="2" t="s">
        <v>239</v>
      </c>
      <c r="R693" s="2" t="s">
        <v>233</v>
      </c>
      <c r="S693" s="2" t="s">
        <v>3872</v>
      </c>
      <c r="T693" s="2" t="s">
        <v>1622</v>
      </c>
      <c r="U693" s="2" t="s">
        <v>396</v>
      </c>
      <c r="V693" s="2" t="s">
        <v>241</v>
      </c>
      <c r="W693" s="2" t="s">
        <v>275</v>
      </c>
      <c r="X693" s="2" t="s">
        <v>233</v>
      </c>
      <c r="Y693" s="2" t="s">
        <v>3854</v>
      </c>
      <c r="Z693" s="4">
        <v>216</v>
      </c>
      <c r="AA693" s="4">
        <f>=ROUNDDOWN(43.2,0)</f>
      </c>
      <c r="AB693" s="5">
        <v>5</v>
      </c>
      <c r="AC693" s="2" t="s">
        <v>233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233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233</v>
      </c>
      <c r="AW693" s="8" t="s">
        <v>233</v>
      </c>
      <c r="AX693" s="4" t="s">
        <v>233</v>
      </c>
      <c r="AY693" s="8" t="s">
        <v>233</v>
      </c>
      <c r="AZ693" s="7" t="s">
        <v>233</v>
      </c>
      <c r="BA693" s="7" t="s">
        <v>233</v>
      </c>
      <c r="BB693" s="7"/>
      <c r="BC693" s="4" t="s">
        <v>233</v>
      </c>
      <c r="BD693" s="8" t="s">
        <v>233</v>
      </c>
      <c r="BE693" s="4" t="s">
        <v>233</v>
      </c>
      <c r="BF693" s="8" t="s">
        <v>233</v>
      </c>
      <c r="BG693" s="7" t="s">
        <v>233</v>
      </c>
      <c r="BH693" s="7" t="s">
        <v>233</v>
      </c>
      <c r="BI693" s="7"/>
      <c r="BJ693" s="4">
        <v>5</v>
      </c>
      <c r="BK693" s="8">
        <v>279.3</v>
      </c>
      <c r="BL693" s="2" t="s">
        <v>662</v>
      </c>
      <c r="BM693" s="7"/>
      <c r="BN693" s="7"/>
      <c r="BO693" s="4"/>
      <c r="BP693" s="8"/>
      <c r="BQ693" s="4"/>
      <c r="BR693" s="8"/>
      <c r="BS693" s="7"/>
      <c r="BT693" s="7"/>
      <c r="BU693" s="2" t="s">
        <v>3873</v>
      </c>
      <c r="BV693" s="2" t="s">
        <v>233</v>
      </c>
      <c r="BW693" s="2" t="s">
        <v>233</v>
      </c>
      <c r="BX693" s="2" t="s">
        <v>243</v>
      </c>
      <c r="BY693" s="2" t="s">
        <v>280</v>
      </c>
      <c r="BZ693" s="2" t="s">
        <v>245</v>
      </c>
      <c r="CA693" s="2" t="s">
        <v>716</v>
      </c>
      <c r="CB693" s="2" t="s">
        <v>3318</v>
      </c>
      <c r="CC693" s="2" t="s">
        <v>246</v>
      </c>
      <c r="CD693" s="2" t="s">
        <v>233</v>
      </c>
      <c r="CE693" s="4">
        <v>216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</row>
    <row r="694">
      <c r="A694" s="2" t="s">
        <v>3874</v>
      </c>
      <c r="B694" s="2" t="s">
        <v>228</v>
      </c>
      <c r="C694" s="2" t="s">
        <v>3846</v>
      </c>
      <c r="D694" s="2" t="s">
        <v>3847</v>
      </c>
      <c r="E694" s="2" t="s">
        <v>3848</v>
      </c>
      <c r="F694" s="2" t="s">
        <v>3849</v>
      </c>
      <c r="G694" s="2" t="s">
        <v>3849</v>
      </c>
      <c r="H694" s="2" t="s">
        <v>3849</v>
      </c>
      <c r="I694" s="2" t="s">
        <v>3850</v>
      </c>
      <c r="J694" s="2" t="s">
        <v>348</v>
      </c>
      <c r="K694" s="2" t="s">
        <v>255</v>
      </c>
      <c r="L694" s="3">
        <v>71.42</v>
      </c>
      <c r="M694" s="3">
        <v>74.99</v>
      </c>
      <c r="N694" s="3">
        <v>149.99</v>
      </c>
      <c r="O694" s="2" t="s">
        <v>245</v>
      </c>
      <c r="P694" s="2" t="s">
        <v>272</v>
      </c>
      <c r="Q694" s="2" t="s">
        <v>239</v>
      </c>
      <c r="R694" s="2" t="s">
        <v>233</v>
      </c>
      <c r="S694" s="2" t="s">
        <v>3872</v>
      </c>
      <c r="T694" s="2" t="s">
        <v>1622</v>
      </c>
      <c r="U694" s="2" t="s">
        <v>396</v>
      </c>
      <c r="V694" s="2" t="s">
        <v>241</v>
      </c>
      <c r="W694" s="2" t="s">
        <v>275</v>
      </c>
      <c r="X694" s="2" t="s">
        <v>233</v>
      </c>
      <c r="Y694" s="2" t="s">
        <v>485</v>
      </c>
      <c r="Z694" s="4">
        <v>308</v>
      </c>
      <c r="AA694" s="4">
        <f>=ROUNDDOWN(44,0)</f>
      </c>
      <c r="AB694" s="5">
        <v>7</v>
      </c>
      <c r="AC694" s="2" t="s">
        <v>233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233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233</v>
      </c>
      <c r="AW694" s="8" t="s">
        <v>233</v>
      </c>
      <c r="AX694" s="4" t="s">
        <v>233</v>
      </c>
      <c r="AY694" s="8" t="s">
        <v>233</v>
      </c>
      <c r="AZ694" s="7" t="s">
        <v>233</v>
      </c>
      <c r="BA694" s="7" t="s">
        <v>233</v>
      </c>
      <c r="BB694" s="7"/>
      <c r="BC694" s="4" t="s">
        <v>233</v>
      </c>
      <c r="BD694" s="8" t="s">
        <v>233</v>
      </c>
      <c r="BE694" s="4" t="s">
        <v>233</v>
      </c>
      <c r="BF694" s="8" t="s">
        <v>233</v>
      </c>
      <c r="BG694" s="7" t="s">
        <v>233</v>
      </c>
      <c r="BH694" s="7" t="s">
        <v>233</v>
      </c>
      <c r="BI694" s="7"/>
      <c r="BJ694" s="4">
        <v>4</v>
      </c>
      <c r="BK694" s="8">
        <v>315.71</v>
      </c>
      <c r="BL694" s="2" t="s">
        <v>3868</v>
      </c>
      <c r="BM694" s="7"/>
      <c r="BN694" s="7"/>
      <c r="BO694" s="4"/>
      <c r="BP694" s="8"/>
      <c r="BQ694" s="4"/>
      <c r="BR694" s="8"/>
      <c r="BS694" s="7"/>
      <c r="BT694" s="7"/>
      <c r="BU694" s="2" t="s">
        <v>3875</v>
      </c>
      <c r="BV694" s="2" t="s">
        <v>233</v>
      </c>
      <c r="BW694" s="2" t="s">
        <v>233</v>
      </c>
      <c r="BX694" s="2" t="s">
        <v>243</v>
      </c>
      <c r="BY694" s="2" t="s">
        <v>280</v>
      </c>
      <c r="BZ694" s="2" t="s">
        <v>245</v>
      </c>
      <c r="CA694" s="2" t="s">
        <v>716</v>
      </c>
      <c r="CB694" s="2" t="s">
        <v>3657</v>
      </c>
      <c r="CC694" s="2" t="s">
        <v>246</v>
      </c>
      <c r="CD694" s="2" t="s">
        <v>233</v>
      </c>
      <c r="CE694" s="4">
        <v>308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</row>
    <row r="695">
      <c r="A695" s="2" t="s">
        <v>3876</v>
      </c>
      <c r="B695" s="2" t="s">
        <v>1174</v>
      </c>
      <c r="C695" s="2" t="s">
        <v>1986</v>
      </c>
      <c r="D695" s="2" t="s">
        <v>1175</v>
      </c>
      <c r="E695" s="2" t="s">
        <v>1448</v>
      </c>
      <c r="F695" s="2" t="s">
        <v>3877</v>
      </c>
      <c r="G695" s="2" t="s">
        <v>3877</v>
      </c>
      <c r="H695" s="2" t="s">
        <v>3877</v>
      </c>
      <c r="I695" s="2" t="s">
        <v>3878</v>
      </c>
      <c r="J695" s="2" t="s">
        <v>2089</v>
      </c>
      <c r="K695" s="2" t="s">
        <v>569</v>
      </c>
      <c r="L695" s="3">
        <v>17.02</v>
      </c>
      <c r="M695" s="3">
        <v>17.87</v>
      </c>
      <c r="N695" s="3">
        <v>49.99</v>
      </c>
      <c r="O695" s="2" t="s">
        <v>245</v>
      </c>
      <c r="P695" s="2" t="s">
        <v>311</v>
      </c>
      <c r="Q695" s="2" t="s">
        <v>239</v>
      </c>
      <c r="R695" s="2" t="s">
        <v>233</v>
      </c>
      <c r="S695" s="2" t="s">
        <v>233</v>
      </c>
      <c r="T695" s="2" t="s">
        <v>233</v>
      </c>
      <c r="U695" s="2" t="s">
        <v>396</v>
      </c>
      <c r="V695" s="2" t="s">
        <v>241</v>
      </c>
      <c r="W695" s="2" t="s">
        <v>705</v>
      </c>
      <c r="X695" s="2" t="s">
        <v>233</v>
      </c>
      <c r="Y695" s="2" t="s">
        <v>3032</v>
      </c>
      <c r="Z695" s="4">
        <v>137</v>
      </c>
      <c r="AA695" s="4">
        <f>=ROUNDDOWN({0},0)</f>
      </c>
      <c r="AB695" s="5"/>
      <c r="AC695" s="2" t="s">
        <v>233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233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233</v>
      </c>
      <c r="AW695" s="8" t="s">
        <v>233</v>
      </c>
      <c r="AX695" s="4" t="s">
        <v>233</v>
      </c>
      <c r="AY695" s="8" t="s">
        <v>233</v>
      </c>
      <c r="AZ695" s="7" t="s">
        <v>233</v>
      </c>
      <c r="BA695" s="7" t="s">
        <v>233</v>
      </c>
      <c r="BB695" s="7"/>
      <c r="BC695" s="4" t="s">
        <v>233</v>
      </c>
      <c r="BD695" s="8" t="s">
        <v>233</v>
      </c>
      <c r="BE695" s="4" t="s">
        <v>233</v>
      </c>
      <c r="BF695" s="8" t="s">
        <v>233</v>
      </c>
      <c r="BG695" s="7" t="s">
        <v>233</v>
      </c>
      <c r="BH695" s="7" t="s">
        <v>233</v>
      </c>
      <c r="BI695" s="7"/>
      <c r="BJ695" s="4"/>
      <c r="BK695" s="8"/>
      <c r="BL695" s="2" t="s">
        <v>744</v>
      </c>
      <c r="BM695" s="7"/>
      <c r="BN695" s="7"/>
      <c r="BO695" s="4"/>
      <c r="BP695" s="8"/>
      <c r="BQ695" s="4"/>
      <c r="BR695" s="8"/>
      <c r="BS695" s="7"/>
      <c r="BT695" s="7"/>
      <c r="BU695" s="2" t="s">
        <v>3879</v>
      </c>
      <c r="BV695" s="2" t="s">
        <v>233</v>
      </c>
      <c r="BW695" s="2" t="s">
        <v>233</v>
      </c>
      <c r="BX695" s="2" t="s">
        <v>233</v>
      </c>
      <c r="BY695" s="2" t="s">
        <v>280</v>
      </c>
      <c r="BZ695" s="2" t="s">
        <v>245</v>
      </c>
      <c r="CA695" s="2" t="s">
        <v>2092</v>
      </c>
      <c r="CB695" s="2" t="s">
        <v>1579</v>
      </c>
      <c r="CC695" s="2" t="s">
        <v>246</v>
      </c>
      <c r="CD695" s="2" t="s">
        <v>233</v>
      </c>
      <c r="CE695" s="4">
        <v>137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</row>
    <row r="696">
      <c r="A696" s="2" t="s">
        <v>3880</v>
      </c>
      <c r="B696" s="2" t="s">
        <v>1174</v>
      </c>
      <c r="C696" s="2" t="s">
        <v>1986</v>
      </c>
      <c r="D696" s="2" t="s">
        <v>1175</v>
      </c>
      <c r="E696" s="2" t="s">
        <v>1448</v>
      </c>
      <c r="F696" s="2" t="s">
        <v>3877</v>
      </c>
      <c r="G696" s="2" t="s">
        <v>3877</v>
      </c>
      <c r="H696" s="2" t="s">
        <v>3877</v>
      </c>
      <c r="I696" s="2" t="s">
        <v>3878</v>
      </c>
      <c r="J696" s="2" t="s">
        <v>2094</v>
      </c>
      <c r="K696" s="2" t="s">
        <v>569</v>
      </c>
      <c r="L696" s="3">
        <v>15.32</v>
      </c>
      <c r="M696" s="3">
        <v>16.09</v>
      </c>
      <c r="N696" s="3">
        <v>44.99</v>
      </c>
      <c r="O696" s="2" t="s">
        <v>245</v>
      </c>
      <c r="P696" s="2" t="s">
        <v>311</v>
      </c>
      <c r="Q696" s="2" t="s">
        <v>239</v>
      </c>
      <c r="R696" s="2" t="s">
        <v>233</v>
      </c>
      <c r="S696" s="2" t="s">
        <v>233</v>
      </c>
      <c r="T696" s="2" t="s">
        <v>233</v>
      </c>
      <c r="U696" s="2" t="s">
        <v>396</v>
      </c>
      <c r="V696" s="2" t="s">
        <v>241</v>
      </c>
      <c r="W696" s="2" t="s">
        <v>705</v>
      </c>
      <c r="X696" s="2" t="s">
        <v>233</v>
      </c>
      <c r="Y696" s="2" t="s">
        <v>3032</v>
      </c>
      <c r="Z696" s="4">
        <v>324</v>
      </c>
      <c r="AA696" s="4">
        <f>=ROUNDDOWN(324,0)</f>
      </c>
      <c r="AB696" s="5">
        <v>1</v>
      </c>
      <c r="AC696" s="2" t="s">
        <v>233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233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233</v>
      </c>
      <c r="AW696" s="8" t="s">
        <v>233</v>
      </c>
      <c r="AX696" s="4" t="s">
        <v>233</v>
      </c>
      <c r="AY696" s="8" t="s">
        <v>233</v>
      </c>
      <c r="AZ696" s="7" t="s">
        <v>233</v>
      </c>
      <c r="BA696" s="7" t="s">
        <v>233</v>
      </c>
      <c r="BB696" s="7"/>
      <c r="BC696" s="4" t="s">
        <v>233</v>
      </c>
      <c r="BD696" s="8" t="s">
        <v>233</v>
      </c>
      <c r="BE696" s="4" t="s">
        <v>233</v>
      </c>
      <c r="BF696" s="8" t="s">
        <v>233</v>
      </c>
      <c r="BG696" s="7" t="s">
        <v>233</v>
      </c>
      <c r="BH696" s="7" t="s">
        <v>233</v>
      </c>
      <c r="BI696" s="7"/>
      <c r="BJ696" s="4">
        <v>2</v>
      </c>
      <c r="BK696" s="8">
        <v>76.48</v>
      </c>
      <c r="BL696" s="2" t="s">
        <v>1602</v>
      </c>
      <c r="BM696" s="7"/>
      <c r="BN696" s="7"/>
      <c r="BO696" s="4"/>
      <c r="BP696" s="8"/>
      <c r="BQ696" s="4"/>
      <c r="BR696" s="8"/>
      <c r="BS696" s="7"/>
      <c r="BT696" s="7"/>
      <c r="BU696" s="2" t="s">
        <v>3881</v>
      </c>
      <c r="BV696" s="2" t="s">
        <v>233</v>
      </c>
      <c r="BW696" s="2" t="s">
        <v>233</v>
      </c>
      <c r="BX696" s="2" t="s">
        <v>233</v>
      </c>
      <c r="BY696" s="2" t="s">
        <v>280</v>
      </c>
      <c r="BZ696" s="2" t="s">
        <v>245</v>
      </c>
      <c r="CA696" s="2" t="s">
        <v>2092</v>
      </c>
      <c r="CB696" s="2" t="s">
        <v>233</v>
      </c>
      <c r="CC696" s="2" t="s">
        <v>246</v>
      </c>
      <c r="CD696" s="2" t="s">
        <v>233</v>
      </c>
      <c r="CE696" s="4">
        <v>324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</row>
    <row r="697">
      <c r="A697" s="2" t="s">
        <v>3882</v>
      </c>
      <c r="B697" s="2" t="s">
        <v>1174</v>
      </c>
      <c r="C697" s="2" t="s">
        <v>1986</v>
      </c>
      <c r="D697" s="2" t="s">
        <v>1175</v>
      </c>
      <c r="E697" s="2" t="s">
        <v>1448</v>
      </c>
      <c r="F697" s="2" t="s">
        <v>3877</v>
      </c>
      <c r="G697" s="2" t="s">
        <v>3877</v>
      </c>
      <c r="H697" s="2" t="s">
        <v>3877</v>
      </c>
      <c r="I697" s="2" t="s">
        <v>3878</v>
      </c>
      <c r="J697" s="2" t="s">
        <v>2089</v>
      </c>
      <c r="K697" s="2" t="s">
        <v>297</v>
      </c>
      <c r="L697" s="3">
        <v>17.02</v>
      </c>
      <c r="M697" s="3">
        <v>17.87</v>
      </c>
      <c r="N697" s="3">
        <v>49.99</v>
      </c>
      <c r="O697" s="2" t="s">
        <v>245</v>
      </c>
      <c r="P697" s="2" t="s">
        <v>311</v>
      </c>
      <c r="Q697" s="2" t="s">
        <v>239</v>
      </c>
      <c r="R697" s="2" t="s">
        <v>233</v>
      </c>
      <c r="S697" s="2" t="s">
        <v>233</v>
      </c>
      <c r="T697" s="2" t="s">
        <v>233</v>
      </c>
      <c r="U697" s="2" t="s">
        <v>396</v>
      </c>
      <c r="V697" s="2" t="s">
        <v>241</v>
      </c>
      <c r="W697" s="2" t="s">
        <v>705</v>
      </c>
      <c r="X697" s="2" t="s">
        <v>233</v>
      </c>
      <c r="Y697" s="2" t="s">
        <v>3032</v>
      </c>
      <c r="Z697" s="4">
        <v>120</v>
      </c>
      <c r="AA697" s="4">
        <f>=ROUNDDOWN(60,0)</f>
      </c>
      <c r="AB697" s="5">
        <v>2</v>
      </c>
      <c r="AC697" s="2" t="s">
        <v>233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233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233</v>
      </c>
      <c r="AW697" s="8" t="s">
        <v>233</v>
      </c>
      <c r="AX697" s="4" t="s">
        <v>233</v>
      </c>
      <c r="AY697" s="8" t="s">
        <v>233</v>
      </c>
      <c r="AZ697" s="7" t="s">
        <v>233</v>
      </c>
      <c r="BA697" s="7" t="s">
        <v>233</v>
      </c>
      <c r="BB697" s="7"/>
      <c r="BC697" s="4" t="s">
        <v>233</v>
      </c>
      <c r="BD697" s="8" t="s">
        <v>233</v>
      </c>
      <c r="BE697" s="4" t="s">
        <v>233</v>
      </c>
      <c r="BF697" s="8" t="s">
        <v>233</v>
      </c>
      <c r="BG697" s="7" t="s">
        <v>233</v>
      </c>
      <c r="BH697" s="7" t="s">
        <v>233</v>
      </c>
      <c r="BI697" s="7"/>
      <c r="BJ697" s="4"/>
      <c r="BK697" s="8"/>
      <c r="BL697" s="2" t="s">
        <v>233</v>
      </c>
      <c r="BM697" s="7"/>
      <c r="BN697" s="7"/>
      <c r="BO697" s="4"/>
      <c r="BP697" s="8"/>
      <c r="BQ697" s="4"/>
      <c r="BR697" s="8"/>
      <c r="BS697" s="7"/>
      <c r="BT697" s="7"/>
      <c r="BU697" s="2" t="s">
        <v>3883</v>
      </c>
      <c r="BV697" s="2" t="s">
        <v>233</v>
      </c>
      <c r="BW697" s="2" t="s">
        <v>233</v>
      </c>
      <c r="BX697" s="2" t="s">
        <v>233</v>
      </c>
      <c r="BY697" s="2" t="s">
        <v>280</v>
      </c>
      <c r="BZ697" s="2" t="s">
        <v>245</v>
      </c>
      <c r="CA697" s="2" t="s">
        <v>2092</v>
      </c>
      <c r="CB697" s="2" t="s">
        <v>233</v>
      </c>
      <c r="CC697" s="2" t="s">
        <v>246</v>
      </c>
      <c r="CD697" s="2" t="s">
        <v>233</v>
      </c>
      <c r="CE697" s="4">
        <v>120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</row>
    <row r="698">
      <c r="A698" s="2" t="s">
        <v>3884</v>
      </c>
      <c r="B698" s="2" t="s">
        <v>1174</v>
      </c>
      <c r="C698" s="2" t="s">
        <v>1986</v>
      </c>
      <c r="D698" s="2" t="s">
        <v>1175</v>
      </c>
      <c r="E698" s="2" t="s">
        <v>1448</v>
      </c>
      <c r="F698" s="2" t="s">
        <v>3877</v>
      </c>
      <c r="G698" s="2" t="s">
        <v>3877</v>
      </c>
      <c r="H698" s="2" t="s">
        <v>3877</v>
      </c>
      <c r="I698" s="2" t="s">
        <v>3878</v>
      </c>
      <c r="J698" s="2" t="s">
        <v>2094</v>
      </c>
      <c r="K698" s="2" t="s">
        <v>297</v>
      </c>
      <c r="L698" s="3">
        <v>15.32</v>
      </c>
      <c r="M698" s="3">
        <v>16.09</v>
      </c>
      <c r="N698" s="3">
        <v>44.99</v>
      </c>
      <c r="O698" s="2" t="s">
        <v>245</v>
      </c>
      <c r="P698" s="2" t="s">
        <v>311</v>
      </c>
      <c r="Q698" s="2" t="s">
        <v>239</v>
      </c>
      <c r="R698" s="2" t="s">
        <v>233</v>
      </c>
      <c r="S698" s="2" t="s">
        <v>233</v>
      </c>
      <c r="T698" s="2" t="s">
        <v>233</v>
      </c>
      <c r="U698" s="2" t="s">
        <v>396</v>
      </c>
      <c r="V698" s="2" t="s">
        <v>241</v>
      </c>
      <c r="W698" s="2" t="s">
        <v>705</v>
      </c>
      <c r="X698" s="2" t="s">
        <v>233</v>
      </c>
      <c r="Y698" s="2" t="s">
        <v>3032</v>
      </c>
      <c r="Z698" s="4">
        <v>310</v>
      </c>
      <c r="AA698" s="4">
        <f>=ROUNDDOWN(155,0)</f>
      </c>
      <c r="AB698" s="5">
        <v>2</v>
      </c>
      <c r="AC698" s="2" t="s">
        <v>233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233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233</v>
      </c>
      <c r="AW698" s="8" t="s">
        <v>233</v>
      </c>
      <c r="AX698" s="4" t="s">
        <v>233</v>
      </c>
      <c r="AY698" s="8" t="s">
        <v>233</v>
      </c>
      <c r="AZ698" s="7" t="s">
        <v>233</v>
      </c>
      <c r="BA698" s="7" t="s">
        <v>233</v>
      </c>
      <c r="BB698" s="7"/>
      <c r="BC698" s="4" t="s">
        <v>233</v>
      </c>
      <c r="BD698" s="8" t="s">
        <v>233</v>
      </c>
      <c r="BE698" s="4" t="s">
        <v>233</v>
      </c>
      <c r="BF698" s="8" t="s">
        <v>233</v>
      </c>
      <c r="BG698" s="7" t="s">
        <v>233</v>
      </c>
      <c r="BH698" s="7" t="s">
        <v>233</v>
      </c>
      <c r="BI698" s="7"/>
      <c r="BJ698" s="4"/>
      <c r="BK698" s="8"/>
      <c r="BL698" s="2" t="s">
        <v>1602</v>
      </c>
      <c r="BM698" s="7"/>
      <c r="BN698" s="7"/>
      <c r="BO698" s="4"/>
      <c r="BP698" s="8"/>
      <c r="BQ698" s="4"/>
      <c r="BR698" s="8"/>
      <c r="BS698" s="7"/>
      <c r="BT698" s="7"/>
      <c r="BU698" s="2" t="s">
        <v>3885</v>
      </c>
      <c r="BV698" s="2" t="s">
        <v>233</v>
      </c>
      <c r="BW698" s="2" t="s">
        <v>233</v>
      </c>
      <c r="BX698" s="2" t="s">
        <v>233</v>
      </c>
      <c r="BY698" s="2" t="s">
        <v>280</v>
      </c>
      <c r="BZ698" s="2" t="s">
        <v>245</v>
      </c>
      <c r="CA698" s="2" t="s">
        <v>2092</v>
      </c>
      <c r="CB698" s="2" t="s">
        <v>365</v>
      </c>
      <c r="CC698" s="2" t="s">
        <v>246</v>
      </c>
      <c r="CD698" s="2" t="s">
        <v>233</v>
      </c>
      <c r="CE698" s="4">
        <v>310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</row>
    <row r="699">
      <c r="A699" s="2" t="s">
        <v>3886</v>
      </c>
      <c r="B699" s="2" t="s">
        <v>1017</v>
      </c>
      <c r="C699" s="2" t="s">
        <v>990</v>
      </c>
      <c r="D699" s="2" t="s">
        <v>3887</v>
      </c>
      <c r="E699" s="2" t="s">
        <v>3888</v>
      </c>
      <c r="F699" s="2" t="s">
        <v>3889</v>
      </c>
      <c r="G699" s="2" t="s">
        <v>3889</v>
      </c>
      <c r="H699" s="2" t="s">
        <v>3889</v>
      </c>
      <c r="I699" s="2" t="s">
        <v>3890</v>
      </c>
      <c r="J699" s="2" t="s">
        <v>3031</v>
      </c>
      <c r="K699" s="2" t="s">
        <v>1105</v>
      </c>
      <c r="L699" s="3">
        <v>7.79</v>
      </c>
      <c r="M699" s="3">
        <v>8.18</v>
      </c>
      <c r="N699" s="3">
        <v>24.99</v>
      </c>
      <c r="O699" s="2" t="s">
        <v>245</v>
      </c>
      <c r="P699" s="2" t="s">
        <v>311</v>
      </c>
      <c r="Q699" s="2" t="s">
        <v>239</v>
      </c>
      <c r="R699" s="2" t="s">
        <v>233</v>
      </c>
      <c r="S699" s="2" t="s">
        <v>233</v>
      </c>
      <c r="T699" s="2" t="s">
        <v>233</v>
      </c>
      <c r="U699" s="2" t="s">
        <v>396</v>
      </c>
      <c r="V699" s="2" t="s">
        <v>921</v>
      </c>
      <c r="W699" s="2" t="s">
        <v>705</v>
      </c>
      <c r="X699" s="2" t="s">
        <v>233</v>
      </c>
      <c r="Y699" s="2" t="s">
        <v>1910</v>
      </c>
      <c r="Z699" s="4">
        <v>68</v>
      </c>
      <c r="AA699" s="4">
        <f>=ROUNDDOWN(11.7241379310345,0)</f>
      </c>
      <c r="AB699" s="5">
        <v>5.8</v>
      </c>
      <c r="AC699" s="2" t="s">
        <v>233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233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233</v>
      </c>
      <c r="AW699" s="8" t="s">
        <v>233</v>
      </c>
      <c r="AX699" s="4" t="s">
        <v>233</v>
      </c>
      <c r="AY699" s="8" t="s">
        <v>233</v>
      </c>
      <c r="AZ699" s="7" t="s">
        <v>233</v>
      </c>
      <c r="BA699" s="7" t="s">
        <v>233</v>
      </c>
      <c r="BB699" s="7" t="s">
        <v>233</v>
      </c>
      <c r="BC699" s="4" t="s">
        <v>233</v>
      </c>
      <c r="BD699" s="8" t="s">
        <v>233</v>
      </c>
      <c r="BE699" s="4" t="s">
        <v>233</v>
      </c>
      <c r="BF699" s="8" t="s">
        <v>233</v>
      </c>
      <c r="BG699" s="7" t="s">
        <v>233</v>
      </c>
      <c r="BH699" s="7" t="s">
        <v>233</v>
      </c>
      <c r="BI699" s="7"/>
      <c r="BJ699" s="4">
        <v>23</v>
      </c>
      <c r="BK699" s="8">
        <v>203.24</v>
      </c>
      <c r="BL699" s="2" t="s">
        <v>2915</v>
      </c>
      <c r="BM699" s="7"/>
      <c r="BN699" s="7"/>
      <c r="BO699" s="4"/>
      <c r="BP699" s="8"/>
      <c r="BQ699" s="4"/>
      <c r="BR699" s="8"/>
      <c r="BS699" s="7"/>
      <c r="BT699" s="7"/>
      <c r="BU699" s="2" t="s">
        <v>3891</v>
      </c>
      <c r="BV699" s="2" t="s">
        <v>233</v>
      </c>
      <c r="BW699" s="2" t="s">
        <v>233</v>
      </c>
      <c r="BX699" s="2" t="s">
        <v>243</v>
      </c>
      <c r="BY699" s="2" t="s">
        <v>280</v>
      </c>
      <c r="BZ699" s="2" t="s">
        <v>245</v>
      </c>
      <c r="CA699" s="2" t="s">
        <v>3892</v>
      </c>
      <c r="CB699" s="2" t="s">
        <v>2503</v>
      </c>
      <c r="CC699" s="2" t="s">
        <v>246</v>
      </c>
      <c r="CD699" s="2" t="s">
        <v>233</v>
      </c>
      <c r="CE699" s="4">
        <v>68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</row>
    <row r="700">
      <c r="A700" s="2" t="s">
        <v>3893</v>
      </c>
      <c r="B700" s="2" t="s">
        <v>1017</v>
      </c>
      <c r="C700" s="2" t="s">
        <v>990</v>
      </c>
      <c r="D700" s="2" t="s">
        <v>3887</v>
      </c>
      <c r="E700" s="2" t="s">
        <v>3888</v>
      </c>
      <c r="F700" s="2" t="s">
        <v>3889</v>
      </c>
      <c r="G700" s="2" t="s">
        <v>3889</v>
      </c>
      <c r="H700" s="2" t="s">
        <v>3889</v>
      </c>
      <c r="I700" s="2" t="s">
        <v>3894</v>
      </c>
      <c r="J700" s="2" t="s">
        <v>3031</v>
      </c>
      <c r="K700" s="2" t="s">
        <v>1105</v>
      </c>
      <c r="L700" s="3">
        <v>6.27</v>
      </c>
      <c r="M700" s="3">
        <v>6.58</v>
      </c>
      <c r="N700" s="3">
        <v>19.99</v>
      </c>
      <c r="O700" s="2" t="s">
        <v>245</v>
      </c>
      <c r="P700" s="2" t="s">
        <v>311</v>
      </c>
      <c r="Q700" s="2" t="s">
        <v>239</v>
      </c>
      <c r="R700" s="2" t="s">
        <v>233</v>
      </c>
      <c r="S700" s="2" t="s">
        <v>233</v>
      </c>
      <c r="T700" s="2" t="s">
        <v>233</v>
      </c>
      <c r="U700" s="2" t="s">
        <v>396</v>
      </c>
      <c r="V700" s="2" t="s">
        <v>921</v>
      </c>
      <c r="W700" s="2" t="s">
        <v>705</v>
      </c>
      <c r="X700" s="2" t="s">
        <v>233</v>
      </c>
      <c r="Y700" s="2" t="s">
        <v>1910</v>
      </c>
      <c r="Z700" s="4">
        <v>189</v>
      </c>
      <c r="AA700" s="4">
        <f>=ROUNDDOWN(42,0)</f>
      </c>
      <c r="AB700" s="5">
        <v>4.5</v>
      </c>
      <c r="AC700" s="2" t="s">
        <v>233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233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233</v>
      </c>
      <c r="AW700" s="8" t="s">
        <v>233</v>
      </c>
      <c r="AX700" s="4" t="s">
        <v>233</v>
      </c>
      <c r="AY700" s="8" t="s">
        <v>233</v>
      </c>
      <c r="AZ700" s="7" t="s">
        <v>233</v>
      </c>
      <c r="BA700" s="7" t="s">
        <v>233</v>
      </c>
      <c r="BB700" s="7" t="s">
        <v>233</v>
      </c>
      <c r="BC700" s="4" t="s">
        <v>233</v>
      </c>
      <c r="BD700" s="8" t="s">
        <v>233</v>
      </c>
      <c r="BE700" s="4" t="s">
        <v>233</v>
      </c>
      <c r="BF700" s="8" t="s">
        <v>233</v>
      </c>
      <c r="BG700" s="7" t="s">
        <v>233</v>
      </c>
      <c r="BH700" s="7" t="s">
        <v>233</v>
      </c>
      <c r="BI700" s="7"/>
      <c r="BJ700" s="4">
        <v>12</v>
      </c>
      <c r="BK700" s="8">
        <v>82.98</v>
      </c>
      <c r="BL700" s="2" t="s">
        <v>2915</v>
      </c>
      <c r="BM700" s="7"/>
      <c r="BN700" s="7"/>
      <c r="BO700" s="4"/>
      <c r="BP700" s="8"/>
      <c r="BQ700" s="4"/>
      <c r="BR700" s="8"/>
      <c r="BS700" s="7"/>
      <c r="BT700" s="7"/>
      <c r="BU700" s="2" t="s">
        <v>3895</v>
      </c>
      <c r="BV700" s="2" t="s">
        <v>233</v>
      </c>
      <c r="BW700" s="2" t="s">
        <v>233</v>
      </c>
      <c r="BX700" s="2" t="s">
        <v>243</v>
      </c>
      <c r="BY700" s="2" t="s">
        <v>280</v>
      </c>
      <c r="BZ700" s="2" t="s">
        <v>245</v>
      </c>
      <c r="CA700" s="2" t="s">
        <v>3892</v>
      </c>
      <c r="CB700" s="2" t="s">
        <v>385</v>
      </c>
      <c r="CC700" s="2" t="s">
        <v>246</v>
      </c>
      <c r="CD700" s="2" t="s">
        <v>233</v>
      </c>
      <c r="CE700" s="4">
        <v>189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</row>
    <row r="701">
      <c r="A701" s="2" t="s">
        <v>3896</v>
      </c>
      <c r="B701" s="2" t="s">
        <v>1017</v>
      </c>
      <c r="C701" s="2" t="s">
        <v>990</v>
      </c>
      <c r="D701" s="2" t="s">
        <v>3887</v>
      </c>
      <c r="E701" s="2" t="s">
        <v>3888</v>
      </c>
      <c r="F701" s="2" t="s">
        <v>3889</v>
      </c>
      <c r="G701" s="2" t="s">
        <v>3889</v>
      </c>
      <c r="H701" s="2" t="s">
        <v>3889</v>
      </c>
      <c r="I701" s="2" t="s">
        <v>3897</v>
      </c>
      <c r="J701" s="2" t="s">
        <v>3031</v>
      </c>
      <c r="K701" s="2" t="s">
        <v>1105</v>
      </c>
      <c r="L701" s="3">
        <v>7.24</v>
      </c>
      <c r="M701" s="3">
        <v>7.6</v>
      </c>
      <c r="N701" s="3">
        <v>21.99</v>
      </c>
      <c r="O701" s="2" t="s">
        <v>245</v>
      </c>
      <c r="P701" s="2" t="s">
        <v>311</v>
      </c>
      <c r="Q701" s="2" t="s">
        <v>239</v>
      </c>
      <c r="R701" s="2" t="s">
        <v>233</v>
      </c>
      <c r="S701" s="2" t="s">
        <v>233</v>
      </c>
      <c r="T701" s="2" t="s">
        <v>233</v>
      </c>
      <c r="U701" s="2" t="s">
        <v>396</v>
      </c>
      <c r="V701" s="2" t="s">
        <v>921</v>
      </c>
      <c r="W701" s="2" t="s">
        <v>705</v>
      </c>
      <c r="X701" s="2" t="s">
        <v>233</v>
      </c>
      <c r="Y701" s="2" t="s">
        <v>1910</v>
      </c>
      <c r="Z701" s="4">
        <v>173</v>
      </c>
      <c r="AA701" s="4">
        <f>=ROUNDDOWN(41.1904761904762,0)</f>
      </c>
      <c r="AB701" s="5">
        <v>4.2</v>
      </c>
      <c r="AC701" s="2" t="s">
        <v>233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233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233</v>
      </c>
      <c r="AW701" s="8" t="s">
        <v>233</v>
      </c>
      <c r="AX701" s="4" t="s">
        <v>233</v>
      </c>
      <c r="AY701" s="8" t="s">
        <v>233</v>
      </c>
      <c r="AZ701" s="7" t="s">
        <v>233</v>
      </c>
      <c r="BA701" s="7" t="s">
        <v>233</v>
      </c>
      <c r="BB701" s="7" t="s">
        <v>233</v>
      </c>
      <c r="BC701" s="4" t="s">
        <v>233</v>
      </c>
      <c r="BD701" s="8" t="s">
        <v>233</v>
      </c>
      <c r="BE701" s="4" t="s">
        <v>233</v>
      </c>
      <c r="BF701" s="8" t="s">
        <v>233</v>
      </c>
      <c r="BG701" s="7" t="s">
        <v>233</v>
      </c>
      <c r="BH701" s="7" t="s">
        <v>233</v>
      </c>
      <c r="BI701" s="7"/>
      <c r="BJ701" s="4">
        <v>19</v>
      </c>
      <c r="BK701" s="8">
        <v>148.81</v>
      </c>
      <c r="BL701" s="2" t="s">
        <v>2915</v>
      </c>
      <c r="BM701" s="7"/>
      <c r="BN701" s="7"/>
      <c r="BO701" s="4"/>
      <c r="BP701" s="8"/>
      <c r="BQ701" s="4"/>
      <c r="BR701" s="8"/>
      <c r="BS701" s="7"/>
      <c r="BT701" s="7"/>
      <c r="BU701" s="2" t="s">
        <v>3898</v>
      </c>
      <c r="BV701" s="2" t="s">
        <v>233</v>
      </c>
      <c r="BW701" s="2" t="s">
        <v>233</v>
      </c>
      <c r="BX701" s="2" t="s">
        <v>243</v>
      </c>
      <c r="BY701" s="2" t="s">
        <v>280</v>
      </c>
      <c r="BZ701" s="2" t="s">
        <v>245</v>
      </c>
      <c r="CA701" s="2" t="s">
        <v>3892</v>
      </c>
      <c r="CB701" s="2" t="s">
        <v>385</v>
      </c>
      <c r="CC701" s="2" t="s">
        <v>246</v>
      </c>
      <c r="CD701" s="2" t="s">
        <v>233</v>
      </c>
      <c r="CE701" s="4">
        <v>173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</row>
    <row r="702">
      <c r="A702" s="2" t="s">
        <v>3899</v>
      </c>
      <c r="B702" s="2" t="s">
        <v>1017</v>
      </c>
      <c r="C702" s="2" t="s">
        <v>990</v>
      </c>
      <c r="D702" s="2" t="s">
        <v>3887</v>
      </c>
      <c r="E702" s="2" t="s">
        <v>3888</v>
      </c>
      <c r="F702" s="2" t="s">
        <v>3889</v>
      </c>
      <c r="G702" s="2" t="s">
        <v>3889</v>
      </c>
      <c r="H702" s="2" t="s">
        <v>3889</v>
      </c>
      <c r="I702" s="2" t="s">
        <v>3900</v>
      </c>
      <c r="J702" s="2" t="s">
        <v>3031</v>
      </c>
      <c r="K702" s="2" t="s">
        <v>525</v>
      </c>
      <c r="L702" s="3">
        <v>6.07</v>
      </c>
      <c r="M702" s="3">
        <v>6.37</v>
      </c>
      <c r="N702" s="3">
        <v>19.99</v>
      </c>
      <c r="O702" s="2" t="s">
        <v>245</v>
      </c>
      <c r="P702" s="2" t="s">
        <v>311</v>
      </c>
      <c r="Q702" s="2" t="s">
        <v>239</v>
      </c>
      <c r="R702" s="2" t="s">
        <v>233</v>
      </c>
      <c r="S702" s="2" t="s">
        <v>233</v>
      </c>
      <c r="T702" s="2" t="s">
        <v>233</v>
      </c>
      <c r="U702" s="2" t="s">
        <v>396</v>
      </c>
      <c r="V702" s="2" t="s">
        <v>921</v>
      </c>
      <c r="W702" s="2" t="s">
        <v>705</v>
      </c>
      <c r="X702" s="2" t="s">
        <v>233</v>
      </c>
      <c r="Y702" s="2" t="s">
        <v>1910</v>
      </c>
      <c r="Z702" s="4">
        <v>180</v>
      </c>
      <c r="AA702" s="4">
        <f>=ROUNDDOWN(81.8181818181818,0)</f>
      </c>
      <c r="AB702" s="5">
        <v>2.2</v>
      </c>
      <c r="AC702" s="2" t="s">
        <v>233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233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233</v>
      </c>
      <c r="BD702" s="8" t="s">
        <v>233</v>
      </c>
      <c r="BE702" s="4" t="s">
        <v>233</v>
      </c>
      <c r="BF702" s="8" t="s">
        <v>233</v>
      </c>
      <c r="BG702" s="7" t="s">
        <v>233</v>
      </c>
      <c r="BH702" s="7" t="s">
        <v>233</v>
      </c>
      <c r="BI702" s="7"/>
      <c r="BJ702" s="4">
        <v>12</v>
      </c>
      <c r="BK702" s="8">
        <v>86.16</v>
      </c>
      <c r="BL702" s="2" t="s">
        <v>1802</v>
      </c>
      <c r="BM702" s="7"/>
      <c r="BN702" s="7"/>
      <c r="BO702" s="4"/>
      <c r="BP702" s="8"/>
      <c r="BQ702" s="4"/>
      <c r="BR702" s="8"/>
      <c r="BS702" s="7"/>
      <c r="BT702" s="7"/>
      <c r="BU702" s="2" t="s">
        <v>3901</v>
      </c>
      <c r="BV702" s="2" t="s">
        <v>233</v>
      </c>
      <c r="BW702" s="2" t="s">
        <v>233</v>
      </c>
      <c r="BX702" s="2" t="s">
        <v>243</v>
      </c>
      <c r="BY702" s="2" t="s">
        <v>280</v>
      </c>
      <c r="BZ702" s="2" t="s">
        <v>245</v>
      </c>
      <c r="CA702" s="2" t="s">
        <v>3892</v>
      </c>
      <c r="CB702" s="2" t="s">
        <v>746</v>
      </c>
      <c r="CC702" s="2" t="s">
        <v>246</v>
      </c>
      <c r="CD702" s="2" t="s">
        <v>233</v>
      </c>
      <c r="CE702" s="4">
        <v>180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</row>
    <row r="703">
      <c r="A703" s="2" t="s">
        <v>3902</v>
      </c>
      <c r="B703" s="2" t="s">
        <v>928</v>
      </c>
      <c r="C703" s="2" t="s">
        <v>1130</v>
      </c>
      <c r="D703" s="2" t="s">
        <v>961</v>
      </c>
      <c r="E703" s="2" t="s">
        <v>939</v>
      </c>
      <c r="F703" s="2" t="s">
        <v>3903</v>
      </c>
      <c r="G703" s="2" t="s">
        <v>3903</v>
      </c>
      <c r="H703" s="2" t="s">
        <v>3903</v>
      </c>
      <c r="I703" s="2" t="s">
        <v>2627</v>
      </c>
      <c r="J703" s="2" t="s">
        <v>892</v>
      </c>
      <c r="K703" s="2" t="s">
        <v>3904</v>
      </c>
      <c r="L703" s="3">
        <v>37.27</v>
      </c>
      <c r="M703" s="3">
        <v>39.13</v>
      </c>
      <c r="N703" s="3">
        <v>76.49</v>
      </c>
      <c r="O703" s="2" t="s">
        <v>245</v>
      </c>
      <c r="P703" s="2" t="s">
        <v>272</v>
      </c>
      <c r="Q703" s="2" t="s">
        <v>239</v>
      </c>
      <c r="R703" s="2" t="s">
        <v>233</v>
      </c>
      <c r="S703" s="2" t="s">
        <v>3905</v>
      </c>
      <c r="T703" s="2" t="s">
        <v>233</v>
      </c>
      <c r="U703" s="2" t="s">
        <v>475</v>
      </c>
      <c r="V703" s="2" t="s">
        <v>1085</v>
      </c>
      <c r="W703" s="2" t="s">
        <v>397</v>
      </c>
      <c r="X703" s="2" t="s">
        <v>894</v>
      </c>
      <c r="Y703" s="2" t="s">
        <v>1261</v>
      </c>
      <c r="Z703" s="4">
        <v>162</v>
      </c>
      <c r="AA703" s="4">
        <f>=ROUNDDOWN(54,0)</f>
      </c>
      <c r="AB703" s="5">
        <v>3</v>
      </c>
      <c r="AC703" s="2" t="s">
        <v>233</v>
      </c>
      <c r="AD703" s="4"/>
      <c r="AE703" s="4"/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233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>
        <v>6</v>
      </c>
      <c r="BK703" s="8">
        <v>244.97</v>
      </c>
      <c r="BL703" s="2" t="s">
        <v>3906</v>
      </c>
      <c r="BM703" s="7"/>
      <c r="BN703" s="7"/>
      <c r="BO703" s="4"/>
      <c r="BP703" s="8"/>
      <c r="BQ703" s="4"/>
      <c r="BR703" s="8"/>
      <c r="BS703" s="7"/>
      <c r="BT703" s="7"/>
      <c r="BU703" s="2" t="s">
        <v>3907</v>
      </c>
      <c r="BV703" s="2" t="s">
        <v>233</v>
      </c>
      <c r="BW703" s="2" t="s">
        <v>233</v>
      </c>
      <c r="BX703" s="2" t="s">
        <v>233</v>
      </c>
      <c r="BY703" s="2" t="s">
        <v>280</v>
      </c>
      <c r="BZ703" s="2" t="s">
        <v>245</v>
      </c>
      <c r="CA703" s="2" t="s">
        <v>3908</v>
      </c>
      <c r="CB703" s="2" t="s">
        <v>3909</v>
      </c>
      <c r="CC703" s="2" t="s">
        <v>246</v>
      </c>
      <c r="CD703" s="2" t="s">
        <v>233</v>
      </c>
      <c r="CE703" s="4"/>
      <c r="CF703" s="4">
        <v>162</v>
      </c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</row>
    <row r="704">
      <c r="A704" s="2" t="s">
        <v>3910</v>
      </c>
      <c r="B704" s="2" t="s">
        <v>228</v>
      </c>
      <c r="C704" s="2" t="s">
        <v>701</v>
      </c>
      <c r="D704" s="2" t="s">
        <v>3775</v>
      </c>
      <c r="E704" s="2" t="s">
        <v>3776</v>
      </c>
      <c r="F704" s="2" t="s">
        <v>3911</v>
      </c>
      <c r="G704" s="2" t="s">
        <v>3911</v>
      </c>
      <c r="H704" s="2" t="s">
        <v>3911</v>
      </c>
      <c r="I704" s="2" t="s">
        <v>3778</v>
      </c>
      <c r="J704" s="2" t="s">
        <v>290</v>
      </c>
      <c r="K704" s="2" t="s">
        <v>297</v>
      </c>
      <c r="L704" s="3">
        <v>50</v>
      </c>
      <c r="M704" s="3">
        <v>52.5</v>
      </c>
      <c r="N704" s="3">
        <v>99.99</v>
      </c>
      <c r="O704" s="2" t="s">
        <v>245</v>
      </c>
      <c r="P704" s="2" t="s">
        <v>272</v>
      </c>
      <c r="Q704" s="2" t="s">
        <v>239</v>
      </c>
      <c r="R704" s="2" t="s">
        <v>233</v>
      </c>
      <c r="S704" s="2" t="s">
        <v>3912</v>
      </c>
      <c r="T704" s="2" t="s">
        <v>775</v>
      </c>
      <c r="U704" s="2" t="s">
        <v>233</v>
      </c>
      <c r="V704" s="2" t="s">
        <v>241</v>
      </c>
      <c r="W704" s="2" t="s">
        <v>275</v>
      </c>
      <c r="X704" s="2" t="s">
        <v>233</v>
      </c>
      <c r="Y704" s="2" t="s">
        <v>276</v>
      </c>
      <c r="Z704" s="4">
        <v>541</v>
      </c>
      <c r="AA704" s="4">
        <f>=ROUNDDOWN(5.25242718446602,0)</f>
      </c>
      <c r="AB704" s="5">
        <v>103</v>
      </c>
      <c r="AC704" s="2" t="s">
        <v>1341</v>
      </c>
      <c r="AD704" s="4">
        <v>160</v>
      </c>
      <c r="AE704" s="4">
        <v>560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233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>
        <v>77</v>
      </c>
      <c r="BK704" s="8">
        <v>3537.97</v>
      </c>
      <c r="BL704" s="2" t="s">
        <v>3913</v>
      </c>
      <c r="BM704" s="7"/>
      <c r="BN704" s="7"/>
      <c r="BO704" s="4"/>
      <c r="BP704" s="8"/>
      <c r="BQ704" s="4"/>
      <c r="BR704" s="8"/>
      <c r="BS704" s="7"/>
      <c r="BT704" s="7"/>
      <c r="BU704" s="2" t="s">
        <v>3914</v>
      </c>
      <c r="BV704" s="2" t="s">
        <v>233</v>
      </c>
      <c r="BW704" s="2" t="s">
        <v>233</v>
      </c>
      <c r="BX704" s="2" t="s">
        <v>233</v>
      </c>
      <c r="BY704" s="2" t="s">
        <v>280</v>
      </c>
      <c r="BZ704" s="2" t="s">
        <v>245</v>
      </c>
      <c r="CA704" s="2" t="s">
        <v>281</v>
      </c>
      <c r="CB704" s="2" t="s">
        <v>3915</v>
      </c>
      <c r="CC704" s="2" t="s">
        <v>246</v>
      </c>
      <c r="CD704" s="2" t="s">
        <v>233</v>
      </c>
      <c r="CE704" s="4">
        <v>541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>
        <v>160</v>
      </c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>
        <v>400</v>
      </c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</row>
    <row r="705">
      <c r="A705" s="2" t="s">
        <v>3916</v>
      </c>
      <c r="B705" s="2" t="s">
        <v>333</v>
      </c>
      <c r="C705" s="2" t="s">
        <v>911</v>
      </c>
      <c r="D705" s="2" t="s">
        <v>335</v>
      </c>
      <c r="E705" s="2" t="s">
        <v>336</v>
      </c>
      <c r="F705" s="2" t="s">
        <v>3917</v>
      </c>
      <c r="G705" s="2" t="s">
        <v>3917</v>
      </c>
      <c r="H705" s="2" t="s">
        <v>3917</v>
      </c>
      <c r="I705" s="2" t="s">
        <v>3918</v>
      </c>
      <c r="J705" s="2" t="s">
        <v>290</v>
      </c>
      <c r="K705" s="2" t="s">
        <v>1083</v>
      </c>
      <c r="L705" s="3">
        <v>21.6</v>
      </c>
      <c r="M705" s="3">
        <v>22.68</v>
      </c>
      <c r="N705" s="3">
        <v>44.99</v>
      </c>
      <c r="O705" s="2" t="s">
        <v>245</v>
      </c>
      <c r="P705" s="2" t="s">
        <v>272</v>
      </c>
      <c r="Q705" s="2" t="s">
        <v>239</v>
      </c>
      <c r="R705" s="2" t="s">
        <v>233</v>
      </c>
      <c r="S705" s="2" t="s">
        <v>3919</v>
      </c>
      <c r="T705" s="2" t="s">
        <v>3634</v>
      </c>
      <c r="U705" s="2" t="s">
        <v>233</v>
      </c>
      <c r="V705" s="2" t="s">
        <v>241</v>
      </c>
      <c r="W705" s="2" t="s">
        <v>275</v>
      </c>
      <c r="X705" s="2" t="s">
        <v>233</v>
      </c>
      <c r="Y705" s="2" t="s">
        <v>276</v>
      </c>
      <c r="Z705" s="4">
        <v>246</v>
      </c>
      <c r="AA705" s="4">
        <f>=ROUNDDOWN(17.5714285714286,0)</f>
      </c>
      <c r="AB705" s="5">
        <v>14</v>
      </c>
      <c r="AC705" s="2" t="s">
        <v>825</v>
      </c>
      <c r="AD705" s="4">
        <v>80</v>
      </c>
      <c r="AE705" s="4">
        <v>200</v>
      </c>
      <c r="AF705" s="6">
        <v>67</v>
      </c>
      <c r="AG705" s="6"/>
      <c r="AH705" s="7">
        <v>1</v>
      </c>
      <c r="AI705" s="4"/>
      <c r="AJ705" s="4">
        <f>=ROUNDDOWN({0},0)</f>
      </c>
      <c r="AK705" s="5"/>
      <c r="AL705" s="2" t="s">
        <v>233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233</v>
      </c>
      <c r="BD705" s="8" t="s">
        <v>233</v>
      </c>
      <c r="BE705" s="4" t="s">
        <v>233</v>
      </c>
      <c r="BF705" s="8" t="s">
        <v>233</v>
      </c>
      <c r="BG705" s="7" t="s">
        <v>233</v>
      </c>
      <c r="BH705" s="7" t="s">
        <v>233</v>
      </c>
      <c r="BI705" s="7"/>
      <c r="BJ705" s="4">
        <v>48</v>
      </c>
      <c r="BK705" s="8">
        <v>1153.01</v>
      </c>
      <c r="BL705" s="2" t="s">
        <v>3920</v>
      </c>
      <c r="BM705" s="7"/>
      <c r="BN705" s="7"/>
      <c r="BO705" s="4"/>
      <c r="BP705" s="8"/>
      <c r="BQ705" s="4"/>
      <c r="BR705" s="8"/>
      <c r="BS705" s="7"/>
      <c r="BT705" s="7"/>
      <c r="BU705" s="2" t="s">
        <v>3921</v>
      </c>
      <c r="BV705" s="2" t="s">
        <v>233</v>
      </c>
      <c r="BW705" s="2" t="s">
        <v>233</v>
      </c>
      <c r="BX705" s="2" t="s">
        <v>233</v>
      </c>
      <c r="BY705" s="2" t="s">
        <v>280</v>
      </c>
      <c r="BZ705" s="2" t="s">
        <v>245</v>
      </c>
      <c r="CA705" s="2" t="s">
        <v>281</v>
      </c>
      <c r="CB705" s="2" t="s">
        <v>1088</v>
      </c>
      <c r="CC705" s="2" t="s">
        <v>246</v>
      </c>
      <c r="CD705" s="2" t="s">
        <v>233</v>
      </c>
      <c r="CE705" s="4">
        <v>246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>
        <v>80</v>
      </c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>
        <v>120</v>
      </c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</row>
    <row r="706">
      <c r="A706" s="2" t="s">
        <v>3922</v>
      </c>
      <c r="B706" s="2" t="s">
        <v>333</v>
      </c>
      <c r="C706" s="2" t="s">
        <v>911</v>
      </c>
      <c r="D706" s="2" t="s">
        <v>335</v>
      </c>
      <c r="E706" s="2" t="s">
        <v>336</v>
      </c>
      <c r="F706" s="2" t="s">
        <v>3917</v>
      </c>
      <c r="G706" s="2" t="s">
        <v>3917</v>
      </c>
      <c r="H706" s="2" t="s">
        <v>3917</v>
      </c>
      <c r="I706" s="2" t="s">
        <v>3918</v>
      </c>
      <c r="J706" s="2" t="s">
        <v>284</v>
      </c>
      <c r="K706" s="2" t="s">
        <v>590</v>
      </c>
      <c r="L706" s="3">
        <v>20.16</v>
      </c>
      <c r="M706" s="3">
        <v>21.17</v>
      </c>
      <c r="N706" s="3">
        <v>41.99</v>
      </c>
      <c r="O706" s="2" t="s">
        <v>245</v>
      </c>
      <c r="P706" s="2" t="s">
        <v>272</v>
      </c>
      <c r="Q706" s="2" t="s">
        <v>239</v>
      </c>
      <c r="R706" s="2" t="s">
        <v>233</v>
      </c>
      <c r="S706" s="2" t="s">
        <v>3923</v>
      </c>
      <c r="T706" s="2" t="s">
        <v>3634</v>
      </c>
      <c r="U706" s="2" t="s">
        <v>233</v>
      </c>
      <c r="V706" s="2" t="s">
        <v>241</v>
      </c>
      <c r="W706" s="2" t="s">
        <v>275</v>
      </c>
      <c r="X706" s="2" t="s">
        <v>233</v>
      </c>
      <c r="Y706" s="2" t="s">
        <v>276</v>
      </c>
      <c r="Z706" s="4"/>
      <c r="AA706" s="4">
        <f>=ROUNDDOWN({0},0)</f>
      </c>
      <c r="AB706" s="5">
        <v>14</v>
      </c>
      <c r="AC706" s="2" t="s">
        <v>2467</v>
      </c>
      <c r="AD706" s="4">
        <v>30</v>
      </c>
      <c r="AE706" s="4">
        <v>740</v>
      </c>
      <c r="AF706" s="6">
        <v>67</v>
      </c>
      <c r="AG706" s="6"/>
      <c r="AH706" s="7">
        <v>0.0968</v>
      </c>
      <c r="AI706" s="4"/>
      <c r="AJ706" s="4">
        <f>=ROUNDDOWN({0},0)</f>
      </c>
      <c r="AK706" s="5"/>
      <c r="AL706" s="2" t="s">
        <v>233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233</v>
      </c>
      <c r="AW706" s="8" t="s">
        <v>233</v>
      </c>
      <c r="AX706" s="4" t="s">
        <v>233</v>
      </c>
      <c r="AY706" s="8" t="s">
        <v>233</v>
      </c>
      <c r="AZ706" s="7" t="s">
        <v>233</v>
      </c>
      <c r="BA706" s="7" t="s">
        <v>233</v>
      </c>
      <c r="BB706" s="7"/>
      <c r="BC706" s="4" t="s">
        <v>233</v>
      </c>
      <c r="BD706" s="8" t="s">
        <v>233</v>
      </c>
      <c r="BE706" s="4" t="s">
        <v>233</v>
      </c>
      <c r="BF706" s="8" t="s">
        <v>233</v>
      </c>
      <c r="BG706" s="7" t="s">
        <v>233</v>
      </c>
      <c r="BH706" s="7" t="s">
        <v>233</v>
      </c>
      <c r="BI706" s="7"/>
      <c r="BJ706" s="4">
        <v>12</v>
      </c>
      <c r="BK706" s="8">
        <v>268.84</v>
      </c>
      <c r="BL706" s="2" t="s">
        <v>3924</v>
      </c>
      <c r="BM706" s="7"/>
      <c r="BN706" s="7"/>
      <c r="BO706" s="4"/>
      <c r="BP706" s="8"/>
      <c r="BQ706" s="4"/>
      <c r="BR706" s="8"/>
      <c r="BS706" s="7"/>
      <c r="BT706" s="7"/>
      <c r="BU706" s="2" t="s">
        <v>3925</v>
      </c>
      <c r="BV706" s="2" t="s">
        <v>233</v>
      </c>
      <c r="BW706" s="2" t="s">
        <v>233</v>
      </c>
      <c r="BX706" s="2" t="s">
        <v>233</v>
      </c>
      <c r="BY706" s="2" t="s">
        <v>280</v>
      </c>
      <c r="BZ706" s="2" t="s">
        <v>245</v>
      </c>
      <c r="CA706" s="2" t="s">
        <v>281</v>
      </c>
      <c r="CB706" s="2" t="s">
        <v>2297</v>
      </c>
      <c r="CC706" s="2" t="s">
        <v>246</v>
      </c>
      <c r="CD706" s="2" t="s">
        <v>233</v>
      </c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>
        <v>30</v>
      </c>
      <c r="DA706" s="4"/>
      <c r="DB706" s="4"/>
      <c r="DC706" s="4"/>
      <c r="DD706" s="4"/>
      <c r="DE706" s="4"/>
      <c r="DF706" s="4"/>
      <c r="DG706" s="4"/>
      <c r="DH706" s="4"/>
      <c r="DI706" s="4">
        <v>90</v>
      </c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>
        <v>30</v>
      </c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>
        <v>320</v>
      </c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>
        <v>150</v>
      </c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>
        <v>120</v>
      </c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</row>
    <row r="707">
      <c r="A707" s="2" t="s">
        <v>3926</v>
      </c>
      <c r="B707" s="2" t="s">
        <v>333</v>
      </c>
      <c r="C707" s="2" t="s">
        <v>911</v>
      </c>
      <c r="D707" s="2" t="s">
        <v>335</v>
      </c>
      <c r="E707" s="2" t="s">
        <v>336</v>
      </c>
      <c r="F707" s="2" t="s">
        <v>3917</v>
      </c>
      <c r="G707" s="2" t="s">
        <v>3917</v>
      </c>
      <c r="H707" s="2" t="s">
        <v>3917</v>
      </c>
      <c r="I707" s="2" t="s">
        <v>3918</v>
      </c>
      <c r="J707" s="2" t="s">
        <v>290</v>
      </c>
      <c r="K707" s="2" t="s">
        <v>590</v>
      </c>
      <c r="L707" s="3">
        <v>21.6</v>
      </c>
      <c r="M707" s="3">
        <v>22.68</v>
      </c>
      <c r="N707" s="3">
        <v>44.99</v>
      </c>
      <c r="O707" s="2" t="s">
        <v>245</v>
      </c>
      <c r="P707" s="2" t="s">
        <v>741</v>
      </c>
      <c r="Q707" s="2" t="s">
        <v>239</v>
      </c>
      <c r="R707" s="2" t="s">
        <v>233</v>
      </c>
      <c r="S707" s="2" t="s">
        <v>3923</v>
      </c>
      <c r="T707" s="2" t="s">
        <v>3634</v>
      </c>
      <c r="U707" s="2" t="s">
        <v>233</v>
      </c>
      <c r="V707" s="2" t="s">
        <v>241</v>
      </c>
      <c r="W707" s="2" t="s">
        <v>275</v>
      </c>
      <c r="X707" s="2" t="s">
        <v>233</v>
      </c>
      <c r="Y707" s="2" t="s">
        <v>3927</v>
      </c>
      <c r="Z707" s="4"/>
      <c r="AA707" s="4">
        <f>=ROUNDDOWN({0},0)</f>
      </c>
      <c r="AB707" s="5">
        <v>38</v>
      </c>
      <c r="AC707" s="2" t="s">
        <v>2467</v>
      </c>
      <c r="AD707" s="4">
        <v>160</v>
      </c>
      <c r="AE707" s="4">
        <v>1310</v>
      </c>
      <c r="AF707" s="6">
        <v>67</v>
      </c>
      <c r="AG707" s="6"/>
      <c r="AH707" s="7">
        <v>0.4839</v>
      </c>
      <c r="AI707" s="4"/>
      <c r="AJ707" s="4">
        <f>=ROUNDDOWN({0},0)</f>
      </c>
      <c r="AK707" s="5"/>
      <c r="AL707" s="2" t="s">
        <v>233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233</v>
      </c>
      <c r="AW707" s="8" t="s">
        <v>233</v>
      </c>
      <c r="AX707" s="4" t="s">
        <v>233</v>
      </c>
      <c r="AY707" s="8" t="s">
        <v>233</v>
      </c>
      <c r="AZ707" s="7" t="s">
        <v>233</v>
      </c>
      <c r="BA707" s="7" t="s">
        <v>233</v>
      </c>
      <c r="BB707" s="7"/>
      <c r="BC707" s="4" t="s">
        <v>233</v>
      </c>
      <c r="BD707" s="8" t="s">
        <v>233</v>
      </c>
      <c r="BE707" s="4" t="s">
        <v>233</v>
      </c>
      <c r="BF707" s="8" t="s">
        <v>233</v>
      </c>
      <c r="BG707" s="7" t="s">
        <v>233</v>
      </c>
      <c r="BH707" s="7" t="s">
        <v>233</v>
      </c>
      <c r="BI707" s="7"/>
      <c r="BJ707" s="4">
        <v>87</v>
      </c>
      <c r="BK707" s="8">
        <v>2104.34</v>
      </c>
      <c r="BL707" s="2" t="s">
        <v>3928</v>
      </c>
      <c r="BM707" s="7"/>
      <c r="BN707" s="7"/>
      <c r="BO707" s="4"/>
      <c r="BP707" s="8"/>
      <c r="BQ707" s="4"/>
      <c r="BR707" s="8"/>
      <c r="BS707" s="7"/>
      <c r="BT707" s="7"/>
      <c r="BU707" s="2" t="s">
        <v>3929</v>
      </c>
      <c r="BV707" s="2" t="s">
        <v>233</v>
      </c>
      <c r="BW707" s="2" t="s">
        <v>233</v>
      </c>
      <c r="BX707" s="2" t="s">
        <v>233</v>
      </c>
      <c r="BY707" s="2" t="s">
        <v>280</v>
      </c>
      <c r="BZ707" s="2" t="s">
        <v>245</v>
      </c>
      <c r="CA707" s="2" t="s">
        <v>281</v>
      </c>
      <c r="CB707" s="2" t="s">
        <v>3930</v>
      </c>
      <c r="CC707" s="2" t="s">
        <v>246</v>
      </c>
      <c r="CD707" s="2" t="s">
        <v>233</v>
      </c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>
        <v>160</v>
      </c>
      <c r="DA707" s="4"/>
      <c r="DB707" s="4"/>
      <c r="DC707" s="4"/>
      <c r="DD707" s="4"/>
      <c r="DE707" s="4"/>
      <c r="DF707" s="4"/>
      <c r="DG707" s="4"/>
      <c r="DH707" s="4"/>
      <c r="DI707" s="4">
        <v>200</v>
      </c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>
        <v>50</v>
      </c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>
        <v>370</v>
      </c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>
        <v>230</v>
      </c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>
        <v>300</v>
      </c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</row>
    <row r="708">
      <c r="A708" s="2" t="s">
        <v>3931</v>
      </c>
      <c r="B708" s="2" t="s">
        <v>333</v>
      </c>
      <c r="C708" s="2" t="s">
        <v>911</v>
      </c>
      <c r="D708" s="2" t="s">
        <v>335</v>
      </c>
      <c r="E708" s="2" t="s">
        <v>336</v>
      </c>
      <c r="F708" s="2" t="s">
        <v>3917</v>
      </c>
      <c r="G708" s="2" t="s">
        <v>3917</v>
      </c>
      <c r="H708" s="2" t="s">
        <v>3917</v>
      </c>
      <c r="I708" s="2" t="s">
        <v>3918</v>
      </c>
      <c r="J708" s="2" t="s">
        <v>348</v>
      </c>
      <c r="K708" s="2" t="s">
        <v>590</v>
      </c>
      <c r="L708" s="3">
        <v>24.5</v>
      </c>
      <c r="M708" s="3">
        <v>25.72</v>
      </c>
      <c r="N708" s="3">
        <v>49.99</v>
      </c>
      <c r="O708" s="2" t="s">
        <v>245</v>
      </c>
      <c r="P708" s="2" t="s">
        <v>763</v>
      </c>
      <c r="Q708" s="2" t="s">
        <v>239</v>
      </c>
      <c r="R708" s="2" t="s">
        <v>233</v>
      </c>
      <c r="S708" s="2" t="s">
        <v>3923</v>
      </c>
      <c r="T708" s="2" t="s">
        <v>3634</v>
      </c>
      <c r="U708" s="2" t="s">
        <v>233</v>
      </c>
      <c r="V708" s="2" t="s">
        <v>241</v>
      </c>
      <c r="W708" s="2" t="s">
        <v>275</v>
      </c>
      <c r="X708" s="2" t="s">
        <v>233</v>
      </c>
      <c r="Y708" s="2" t="s">
        <v>276</v>
      </c>
      <c r="Z708" s="4"/>
      <c r="AA708" s="4">
        <f>=ROUNDDOWN({0},0)</f>
      </c>
      <c r="AB708" s="5">
        <v>40</v>
      </c>
      <c r="AC708" s="2" t="s">
        <v>2467</v>
      </c>
      <c r="AD708" s="4">
        <v>170</v>
      </c>
      <c r="AE708" s="4">
        <v>1430</v>
      </c>
      <c r="AF708" s="6">
        <v>67</v>
      </c>
      <c r="AG708" s="6"/>
      <c r="AH708" s="7">
        <v>0.0968</v>
      </c>
      <c r="AI708" s="4"/>
      <c r="AJ708" s="4">
        <f>=ROUNDDOWN({0},0)</f>
      </c>
      <c r="AK708" s="5"/>
      <c r="AL708" s="2" t="s">
        <v>233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233</v>
      </c>
      <c r="AW708" s="8" t="s">
        <v>233</v>
      </c>
      <c r="AX708" s="4" t="s">
        <v>233</v>
      </c>
      <c r="AY708" s="8" t="s">
        <v>233</v>
      </c>
      <c r="AZ708" s="7" t="s">
        <v>233</v>
      </c>
      <c r="BA708" s="7" t="s">
        <v>233</v>
      </c>
      <c r="BB708" s="7"/>
      <c r="BC708" s="4" t="s">
        <v>233</v>
      </c>
      <c r="BD708" s="8" t="s">
        <v>233</v>
      </c>
      <c r="BE708" s="4" t="s">
        <v>233</v>
      </c>
      <c r="BF708" s="8" t="s">
        <v>233</v>
      </c>
      <c r="BG708" s="7" t="s">
        <v>233</v>
      </c>
      <c r="BH708" s="7" t="s">
        <v>233</v>
      </c>
      <c r="BI708" s="7"/>
      <c r="BJ708" s="4">
        <v>64</v>
      </c>
      <c r="BK708" s="8">
        <v>1742.34</v>
      </c>
      <c r="BL708" s="2" t="s">
        <v>3932</v>
      </c>
      <c r="BM708" s="7"/>
      <c r="BN708" s="7"/>
      <c r="BO708" s="4"/>
      <c r="BP708" s="8"/>
      <c r="BQ708" s="4"/>
      <c r="BR708" s="8"/>
      <c r="BS708" s="7"/>
      <c r="BT708" s="7"/>
      <c r="BU708" s="2" t="s">
        <v>3933</v>
      </c>
      <c r="BV708" s="2" t="s">
        <v>233</v>
      </c>
      <c r="BW708" s="2" t="s">
        <v>233</v>
      </c>
      <c r="BX708" s="2" t="s">
        <v>233</v>
      </c>
      <c r="BY708" s="2" t="s">
        <v>280</v>
      </c>
      <c r="BZ708" s="2" t="s">
        <v>245</v>
      </c>
      <c r="CA708" s="2" t="s">
        <v>281</v>
      </c>
      <c r="CB708" s="2" t="s">
        <v>1088</v>
      </c>
      <c r="CC708" s="2" t="s">
        <v>246</v>
      </c>
      <c r="CD708" s="2" t="s">
        <v>233</v>
      </c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>
        <v>170</v>
      </c>
      <c r="DA708" s="4"/>
      <c r="DB708" s="4"/>
      <c r="DC708" s="4"/>
      <c r="DD708" s="4"/>
      <c r="DE708" s="4"/>
      <c r="DF708" s="4"/>
      <c r="DG708" s="4"/>
      <c r="DH708" s="4"/>
      <c r="DI708" s="4">
        <v>160</v>
      </c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>
        <v>250</v>
      </c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>
        <v>390</v>
      </c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>
        <v>110</v>
      </c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>
        <v>350</v>
      </c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</row>
    <row r="709">
      <c r="A709" s="2" t="s">
        <v>3934</v>
      </c>
      <c r="B709" s="2" t="s">
        <v>333</v>
      </c>
      <c r="C709" s="2" t="s">
        <v>911</v>
      </c>
      <c r="D709" s="2" t="s">
        <v>335</v>
      </c>
      <c r="E709" s="2" t="s">
        <v>336</v>
      </c>
      <c r="F709" s="2" t="s">
        <v>3917</v>
      </c>
      <c r="G709" s="2" t="s">
        <v>3917</v>
      </c>
      <c r="H709" s="2" t="s">
        <v>3917</v>
      </c>
      <c r="I709" s="2" t="s">
        <v>3918</v>
      </c>
      <c r="J709" s="2" t="s">
        <v>284</v>
      </c>
      <c r="K709" s="2" t="s">
        <v>620</v>
      </c>
      <c r="L709" s="3">
        <v>20.16</v>
      </c>
      <c r="M709" s="3">
        <v>21.17</v>
      </c>
      <c r="N709" s="3">
        <v>41.99</v>
      </c>
      <c r="O709" s="2" t="s">
        <v>245</v>
      </c>
      <c r="P709" s="2" t="s">
        <v>272</v>
      </c>
      <c r="Q709" s="2" t="s">
        <v>239</v>
      </c>
      <c r="R709" s="2" t="s">
        <v>233</v>
      </c>
      <c r="S709" s="2" t="s">
        <v>3935</v>
      </c>
      <c r="T709" s="2" t="s">
        <v>3634</v>
      </c>
      <c r="U709" s="2" t="s">
        <v>233</v>
      </c>
      <c r="V709" s="2" t="s">
        <v>241</v>
      </c>
      <c r="W709" s="2" t="s">
        <v>275</v>
      </c>
      <c r="X709" s="2" t="s">
        <v>233</v>
      </c>
      <c r="Y709" s="2" t="s">
        <v>3936</v>
      </c>
      <c r="Z709" s="4">
        <v>82</v>
      </c>
      <c r="AA709" s="4">
        <f>=ROUNDDOWN(9.11111111111111,0)</f>
      </c>
      <c r="AB709" s="5">
        <v>9</v>
      </c>
      <c r="AC709" s="2" t="s">
        <v>3937</v>
      </c>
      <c r="AD709" s="4">
        <v>150</v>
      </c>
      <c r="AE709" s="4">
        <v>400</v>
      </c>
      <c r="AF709" s="6">
        <v>67</v>
      </c>
      <c r="AG709" s="6"/>
      <c r="AH709" s="7">
        <v>1</v>
      </c>
      <c r="AI709" s="4"/>
      <c r="AJ709" s="4">
        <f>=ROUNDDOWN({0},0)</f>
      </c>
      <c r="AK709" s="5"/>
      <c r="AL709" s="2" t="s">
        <v>233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233</v>
      </c>
      <c r="BD709" s="8" t="s">
        <v>233</v>
      </c>
      <c r="BE709" s="4" t="s">
        <v>233</v>
      </c>
      <c r="BF709" s="8" t="s">
        <v>233</v>
      </c>
      <c r="BG709" s="7" t="s">
        <v>233</v>
      </c>
      <c r="BH709" s="7" t="s">
        <v>233</v>
      </c>
      <c r="BI709" s="7"/>
      <c r="BJ709" s="4">
        <v>29</v>
      </c>
      <c r="BK709" s="8">
        <v>630.38</v>
      </c>
      <c r="BL709" s="2" t="s">
        <v>3938</v>
      </c>
      <c r="BM709" s="7"/>
      <c r="BN709" s="7"/>
      <c r="BO709" s="4"/>
      <c r="BP709" s="8"/>
      <c r="BQ709" s="4"/>
      <c r="BR709" s="8"/>
      <c r="BS709" s="7"/>
      <c r="BT709" s="7"/>
      <c r="BU709" s="2" t="s">
        <v>3939</v>
      </c>
      <c r="BV709" s="2" t="s">
        <v>233</v>
      </c>
      <c r="BW709" s="2" t="s">
        <v>233</v>
      </c>
      <c r="BX709" s="2" t="s">
        <v>233</v>
      </c>
      <c r="BY709" s="2" t="s">
        <v>280</v>
      </c>
      <c r="BZ709" s="2" t="s">
        <v>245</v>
      </c>
      <c r="CA709" s="2" t="s">
        <v>3940</v>
      </c>
      <c r="CB709" s="2" t="s">
        <v>2888</v>
      </c>
      <c r="CC709" s="2" t="s">
        <v>246</v>
      </c>
      <c r="CD709" s="2" t="s">
        <v>233</v>
      </c>
      <c r="CE709" s="4">
        <v>82</v>
      </c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>
        <v>150</v>
      </c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>
        <v>80</v>
      </c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>
        <v>110</v>
      </c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>
        <v>60</v>
      </c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</row>
    <row r="710">
      <c r="A710" s="2" t="s">
        <v>3941</v>
      </c>
      <c r="B710" s="2" t="s">
        <v>333</v>
      </c>
      <c r="C710" s="2" t="s">
        <v>911</v>
      </c>
      <c r="D710" s="2" t="s">
        <v>335</v>
      </c>
      <c r="E710" s="2" t="s">
        <v>336</v>
      </c>
      <c r="F710" s="2" t="s">
        <v>3917</v>
      </c>
      <c r="G710" s="2" t="s">
        <v>3917</v>
      </c>
      <c r="H710" s="2" t="s">
        <v>3917</v>
      </c>
      <c r="I710" s="2" t="s">
        <v>3918</v>
      </c>
      <c r="J710" s="2" t="s">
        <v>284</v>
      </c>
      <c r="K710" s="2" t="s">
        <v>297</v>
      </c>
      <c r="L710" s="3">
        <v>20.16</v>
      </c>
      <c r="M710" s="3">
        <v>21.17</v>
      </c>
      <c r="N710" s="3">
        <v>41.99</v>
      </c>
      <c r="O710" s="2" t="s">
        <v>245</v>
      </c>
      <c r="P710" s="2" t="s">
        <v>272</v>
      </c>
      <c r="Q710" s="2" t="s">
        <v>239</v>
      </c>
      <c r="R710" s="2" t="s">
        <v>233</v>
      </c>
      <c r="S710" s="2" t="s">
        <v>3942</v>
      </c>
      <c r="T710" s="2" t="s">
        <v>3634</v>
      </c>
      <c r="U710" s="2" t="s">
        <v>233</v>
      </c>
      <c r="V710" s="2" t="s">
        <v>241</v>
      </c>
      <c r="W710" s="2" t="s">
        <v>275</v>
      </c>
      <c r="X710" s="2" t="s">
        <v>233</v>
      </c>
      <c r="Y710" s="2" t="s">
        <v>276</v>
      </c>
      <c r="Z710" s="4">
        <v>77</v>
      </c>
      <c r="AA710" s="4">
        <f>=ROUNDDOWN(8.55555555555556,0)</f>
      </c>
      <c r="AB710" s="5">
        <v>9</v>
      </c>
      <c r="AC710" s="2" t="s">
        <v>1310</v>
      </c>
      <c r="AD710" s="4">
        <v>150</v>
      </c>
      <c r="AE710" s="4">
        <v>390</v>
      </c>
      <c r="AF710" s="6">
        <v>67</v>
      </c>
      <c r="AG710" s="6"/>
      <c r="AH710" s="7">
        <v>1</v>
      </c>
      <c r="AI710" s="4"/>
      <c r="AJ710" s="4">
        <f>=ROUNDDOWN({0},0)</f>
      </c>
      <c r="AK710" s="5"/>
      <c r="AL710" s="2" t="s">
        <v>233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 t="s">
        <v>233</v>
      </c>
      <c r="BD710" s="8" t="s">
        <v>233</v>
      </c>
      <c r="BE710" s="4" t="s">
        <v>233</v>
      </c>
      <c r="BF710" s="8" t="s">
        <v>233</v>
      </c>
      <c r="BG710" s="7" t="s">
        <v>233</v>
      </c>
      <c r="BH710" s="7" t="s">
        <v>233</v>
      </c>
      <c r="BI710" s="7"/>
      <c r="BJ710" s="4">
        <v>22</v>
      </c>
      <c r="BK710" s="8">
        <v>487.31</v>
      </c>
      <c r="BL710" s="2" t="s">
        <v>3943</v>
      </c>
      <c r="BM710" s="7"/>
      <c r="BN710" s="7"/>
      <c r="BO710" s="4"/>
      <c r="BP710" s="8"/>
      <c r="BQ710" s="4"/>
      <c r="BR710" s="8"/>
      <c r="BS710" s="7"/>
      <c r="BT710" s="7"/>
      <c r="BU710" s="2" t="s">
        <v>3944</v>
      </c>
      <c r="BV710" s="2" t="s">
        <v>233</v>
      </c>
      <c r="BW710" s="2" t="s">
        <v>233</v>
      </c>
      <c r="BX710" s="2" t="s">
        <v>233</v>
      </c>
      <c r="BY710" s="2" t="s">
        <v>280</v>
      </c>
      <c r="BZ710" s="2" t="s">
        <v>245</v>
      </c>
      <c r="CA710" s="2" t="s">
        <v>281</v>
      </c>
      <c r="CB710" s="2" t="s">
        <v>3945</v>
      </c>
      <c r="CC710" s="2" t="s">
        <v>246</v>
      </c>
      <c r="CD710" s="2" t="s">
        <v>233</v>
      </c>
      <c r="CE710" s="4">
        <v>77</v>
      </c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>
        <v>150</v>
      </c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>
        <v>160</v>
      </c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>
        <v>80</v>
      </c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</row>
    <row r="711">
      <c r="A711" s="2" t="s">
        <v>3946</v>
      </c>
      <c r="B711" s="2" t="s">
        <v>333</v>
      </c>
      <c r="C711" s="2" t="s">
        <v>1335</v>
      </c>
      <c r="D711" s="2" t="s">
        <v>335</v>
      </c>
      <c r="E711" s="2" t="s">
        <v>336</v>
      </c>
      <c r="F711" s="2" t="s">
        <v>3947</v>
      </c>
      <c r="G711" s="2" t="s">
        <v>3947</v>
      </c>
      <c r="H711" s="2" t="s">
        <v>3947</v>
      </c>
      <c r="I711" s="2" t="s">
        <v>338</v>
      </c>
      <c r="J711" s="2" t="s">
        <v>270</v>
      </c>
      <c r="K711" s="2" t="s">
        <v>3948</v>
      </c>
      <c r="L711" s="3">
        <v>19.8</v>
      </c>
      <c r="M711" s="3">
        <v>20.79</v>
      </c>
      <c r="N711" s="3">
        <v>44.99</v>
      </c>
      <c r="O711" s="2" t="s">
        <v>245</v>
      </c>
      <c r="P711" s="2" t="s">
        <v>272</v>
      </c>
      <c r="Q711" s="2" t="s">
        <v>239</v>
      </c>
      <c r="R711" s="2" t="s">
        <v>233</v>
      </c>
      <c r="S711" s="2" t="s">
        <v>3949</v>
      </c>
      <c r="T711" s="2" t="s">
        <v>3950</v>
      </c>
      <c r="U711" s="2" t="s">
        <v>475</v>
      </c>
      <c r="V711" s="2" t="s">
        <v>3951</v>
      </c>
      <c r="W711" s="2" t="s">
        <v>978</v>
      </c>
      <c r="X711" s="2" t="s">
        <v>275</v>
      </c>
      <c r="Y711" s="2" t="s">
        <v>1604</v>
      </c>
      <c r="Z711" s="4">
        <v>190</v>
      </c>
      <c r="AA711" s="4">
        <f>=ROUNDDOWN(17.2727272727273,0)</f>
      </c>
      <c r="AB711" s="5">
        <v>11</v>
      </c>
      <c r="AC711" s="2" t="s">
        <v>1341</v>
      </c>
      <c r="AD711" s="4">
        <v>54</v>
      </c>
      <c r="AE711" s="4">
        <v>54</v>
      </c>
      <c r="AF711" s="6">
        <v>74</v>
      </c>
      <c r="AG711" s="6"/>
      <c r="AH711" s="7">
        <v>1</v>
      </c>
      <c r="AI711" s="4"/>
      <c r="AJ711" s="4">
        <f>=ROUNDDOWN({0},0)</f>
      </c>
      <c r="AK711" s="5"/>
      <c r="AL711" s="2" t="s">
        <v>233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233</v>
      </c>
      <c r="AW711" s="8" t="s">
        <v>233</v>
      </c>
      <c r="AX711" s="4" t="s">
        <v>233</v>
      </c>
      <c r="AY711" s="8" t="s">
        <v>233</v>
      </c>
      <c r="AZ711" s="7" t="s">
        <v>233</v>
      </c>
      <c r="BA711" s="7" t="s">
        <v>233</v>
      </c>
      <c r="BB711" s="7"/>
      <c r="BC711" s="4" t="s">
        <v>233</v>
      </c>
      <c r="BD711" s="8" t="s">
        <v>233</v>
      </c>
      <c r="BE711" s="4" t="s">
        <v>233</v>
      </c>
      <c r="BF711" s="8" t="s">
        <v>233</v>
      </c>
      <c r="BG711" s="7" t="s">
        <v>233</v>
      </c>
      <c r="BH711" s="7" t="s">
        <v>233</v>
      </c>
      <c r="BI711" s="7"/>
      <c r="BJ711" s="4">
        <v>5</v>
      </c>
      <c r="BK711" s="8">
        <v>109.15</v>
      </c>
      <c r="BL711" s="2" t="s">
        <v>2404</v>
      </c>
      <c r="BM711" s="7"/>
      <c r="BN711" s="7"/>
      <c r="BO711" s="4"/>
      <c r="BP711" s="8"/>
      <c r="BQ711" s="4"/>
      <c r="BR711" s="8"/>
      <c r="BS711" s="7"/>
      <c r="BT711" s="7"/>
      <c r="BU711" s="2" t="s">
        <v>3952</v>
      </c>
      <c r="BV711" s="2" t="s">
        <v>233</v>
      </c>
      <c r="BW711" s="2" t="s">
        <v>233</v>
      </c>
      <c r="BX711" s="2" t="s">
        <v>3953</v>
      </c>
      <c r="BY711" s="2" t="s">
        <v>280</v>
      </c>
      <c r="BZ711" s="2" t="s">
        <v>245</v>
      </c>
      <c r="CA711" s="2" t="s">
        <v>746</v>
      </c>
      <c r="CB711" s="2" t="s">
        <v>747</v>
      </c>
      <c r="CC711" s="2" t="s">
        <v>246</v>
      </c>
      <c r="CD711" s="2" t="s">
        <v>233</v>
      </c>
      <c r="CE711" s="4">
        <v>190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>
        <v>54</v>
      </c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</row>
    <row r="712">
      <c r="A712" s="2" t="s">
        <v>3954</v>
      </c>
      <c r="B712" s="2" t="s">
        <v>333</v>
      </c>
      <c r="C712" s="2" t="s">
        <v>1335</v>
      </c>
      <c r="D712" s="2" t="s">
        <v>335</v>
      </c>
      <c r="E712" s="2" t="s">
        <v>336</v>
      </c>
      <c r="F712" s="2" t="s">
        <v>3947</v>
      </c>
      <c r="G712" s="2" t="s">
        <v>3947</v>
      </c>
      <c r="H712" s="2" t="s">
        <v>3947</v>
      </c>
      <c r="I712" s="2" t="s">
        <v>338</v>
      </c>
      <c r="J712" s="2" t="s">
        <v>290</v>
      </c>
      <c r="K712" s="2" t="s">
        <v>3948</v>
      </c>
      <c r="L712" s="3">
        <v>21.78</v>
      </c>
      <c r="M712" s="3">
        <v>22.87</v>
      </c>
      <c r="N712" s="3">
        <v>49.99</v>
      </c>
      <c r="O712" s="2" t="s">
        <v>245</v>
      </c>
      <c r="P712" s="2" t="s">
        <v>272</v>
      </c>
      <c r="Q712" s="2" t="s">
        <v>239</v>
      </c>
      <c r="R712" s="2" t="s">
        <v>233</v>
      </c>
      <c r="S712" s="2" t="s">
        <v>3949</v>
      </c>
      <c r="T712" s="2" t="s">
        <v>3950</v>
      </c>
      <c r="U712" s="2" t="s">
        <v>342</v>
      </c>
      <c r="V712" s="2" t="s">
        <v>3951</v>
      </c>
      <c r="W712" s="2" t="s">
        <v>978</v>
      </c>
      <c r="X712" s="2" t="s">
        <v>275</v>
      </c>
      <c r="Y712" s="2" t="s">
        <v>1604</v>
      </c>
      <c r="Z712" s="4">
        <v>14</v>
      </c>
      <c r="AA712" s="4">
        <f>=ROUNDDOWN(1.4,0)</f>
      </c>
      <c r="AB712" s="5">
        <v>10</v>
      </c>
      <c r="AC712" s="2" t="s">
        <v>1341</v>
      </c>
      <c r="AD712" s="4">
        <v>110</v>
      </c>
      <c r="AE712" s="4">
        <v>110</v>
      </c>
      <c r="AF712" s="6">
        <v>74</v>
      </c>
      <c r="AG712" s="6"/>
      <c r="AH712" s="7">
        <v>1</v>
      </c>
      <c r="AI712" s="4"/>
      <c r="AJ712" s="4">
        <f>=ROUNDDOWN({0},0)</f>
      </c>
      <c r="AK712" s="5"/>
      <c r="AL712" s="2" t="s">
        <v>233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233</v>
      </c>
      <c r="AW712" s="8" t="s">
        <v>233</v>
      </c>
      <c r="AX712" s="4" t="s">
        <v>233</v>
      </c>
      <c r="AY712" s="8" t="s">
        <v>233</v>
      </c>
      <c r="AZ712" s="7" t="s">
        <v>233</v>
      </c>
      <c r="BA712" s="7" t="s">
        <v>233</v>
      </c>
      <c r="BB712" s="7"/>
      <c r="BC712" s="4" t="s">
        <v>233</v>
      </c>
      <c r="BD712" s="8" t="s">
        <v>233</v>
      </c>
      <c r="BE712" s="4" t="s">
        <v>233</v>
      </c>
      <c r="BF712" s="8" t="s">
        <v>233</v>
      </c>
      <c r="BG712" s="7" t="s">
        <v>233</v>
      </c>
      <c r="BH712" s="7" t="s">
        <v>233</v>
      </c>
      <c r="BI712" s="7"/>
      <c r="BJ712" s="4"/>
      <c r="BK712" s="8"/>
      <c r="BL712" s="2" t="s">
        <v>233</v>
      </c>
      <c r="BM712" s="7"/>
      <c r="BN712" s="7"/>
      <c r="BO712" s="4"/>
      <c r="BP712" s="8"/>
      <c r="BQ712" s="4"/>
      <c r="BR712" s="8"/>
      <c r="BS712" s="7"/>
      <c r="BT712" s="7"/>
      <c r="BU712" s="2" t="s">
        <v>3955</v>
      </c>
      <c r="BV712" s="2" t="s">
        <v>233</v>
      </c>
      <c r="BW712" s="2" t="s">
        <v>233</v>
      </c>
      <c r="BX712" s="2" t="s">
        <v>3953</v>
      </c>
      <c r="BY712" s="2" t="s">
        <v>280</v>
      </c>
      <c r="BZ712" s="2" t="s">
        <v>245</v>
      </c>
      <c r="CA712" s="2" t="s">
        <v>746</v>
      </c>
      <c r="CB712" s="2" t="s">
        <v>766</v>
      </c>
      <c r="CC712" s="2" t="s">
        <v>246</v>
      </c>
      <c r="CD712" s="2" t="s">
        <v>233</v>
      </c>
      <c r="CE712" s="4">
        <v>14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>
        <v>110</v>
      </c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</row>
    <row r="713">
      <c r="A713" s="2" t="s">
        <v>3956</v>
      </c>
      <c r="B713" s="2" t="s">
        <v>333</v>
      </c>
      <c r="C713" s="2" t="s">
        <v>1335</v>
      </c>
      <c r="D713" s="2" t="s">
        <v>335</v>
      </c>
      <c r="E713" s="2" t="s">
        <v>336</v>
      </c>
      <c r="F713" s="2" t="s">
        <v>3947</v>
      </c>
      <c r="G713" s="2" t="s">
        <v>3947</v>
      </c>
      <c r="H713" s="2" t="s">
        <v>3947</v>
      </c>
      <c r="I713" s="2" t="s">
        <v>338</v>
      </c>
      <c r="J713" s="2" t="s">
        <v>348</v>
      </c>
      <c r="K713" s="2" t="s">
        <v>3948</v>
      </c>
      <c r="L713" s="3">
        <v>24.3</v>
      </c>
      <c r="M713" s="3">
        <v>25.52</v>
      </c>
      <c r="N713" s="3">
        <v>54.99</v>
      </c>
      <c r="O713" s="2" t="s">
        <v>245</v>
      </c>
      <c r="P713" s="2" t="s">
        <v>741</v>
      </c>
      <c r="Q713" s="2" t="s">
        <v>239</v>
      </c>
      <c r="R713" s="2" t="s">
        <v>233</v>
      </c>
      <c r="S713" s="2" t="s">
        <v>3949</v>
      </c>
      <c r="T713" s="2" t="s">
        <v>3950</v>
      </c>
      <c r="U713" s="2" t="s">
        <v>342</v>
      </c>
      <c r="V713" s="2" t="s">
        <v>3951</v>
      </c>
      <c r="W713" s="2" t="s">
        <v>978</v>
      </c>
      <c r="X713" s="2" t="s">
        <v>275</v>
      </c>
      <c r="Y713" s="2" t="s">
        <v>1604</v>
      </c>
      <c r="Z713" s="4">
        <v>1</v>
      </c>
      <c r="AA713" s="4">
        <f>=ROUNDDOWN(0.0384615384615385,0)</f>
      </c>
      <c r="AB713" s="5">
        <v>26</v>
      </c>
      <c r="AC713" s="2" t="s">
        <v>1341</v>
      </c>
      <c r="AD713" s="4">
        <v>261</v>
      </c>
      <c r="AE713" s="4">
        <v>261</v>
      </c>
      <c r="AF713" s="6">
        <v>74</v>
      </c>
      <c r="AG713" s="6"/>
      <c r="AH713" s="7">
        <v>0</v>
      </c>
      <c r="AI713" s="4"/>
      <c r="AJ713" s="4">
        <f>=ROUNDDOWN({0},0)</f>
      </c>
      <c r="AK713" s="5"/>
      <c r="AL713" s="2" t="s">
        <v>233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233</v>
      </c>
      <c r="AW713" s="8" t="s">
        <v>233</v>
      </c>
      <c r="AX713" s="4" t="s">
        <v>233</v>
      </c>
      <c r="AY713" s="8" t="s">
        <v>233</v>
      </c>
      <c r="AZ713" s="7" t="s">
        <v>233</v>
      </c>
      <c r="BA713" s="7" t="s">
        <v>233</v>
      </c>
      <c r="BB713" s="7"/>
      <c r="BC713" s="4" t="s">
        <v>233</v>
      </c>
      <c r="BD713" s="8" t="s">
        <v>233</v>
      </c>
      <c r="BE713" s="4" t="s">
        <v>233</v>
      </c>
      <c r="BF713" s="8" t="s">
        <v>233</v>
      </c>
      <c r="BG713" s="7" t="s">
        <v>233</v>
      </c>
      <c r="BH713" s="7" t="s">
        <v>233</v>
      </c>
      <c r="BI713" s="7"/>
      <c r="BJ713" s="4"/>
      <c r="BK713" s="8"/>
      <c r="BL713" s="2" t="s">
        <v>233</v>
      </c>
      <c r="BM713" s="7"/>
      <c r="BN713" s="7"/>
      <c r="BO713" s="4"/>
      <c r="BP713" s="8"/>
      <c r="BQ713" s="4"/>
      <c r="BR713" s="8"/>
      <c r="BS713" s="7"/>
      <c r="BT713" s="7"/>
      <c r="BU713" s="2" t="s">
        <v>3957</v>
      </c>
      <c r="BV713" s="2" t="s">
        <v>233</v>
      </c>
      <c r="BW713" s="2" t="s">
        <v>233</v>
      </c>
      <c r="BX713" s="2" t="s">
        <v>3953</v>
      </c>
      <c r="BY713" s="2" t="s">
        <v>280</v>
      </c>
      <c r="BZ713" s="2" t="s">
        <v>245</v>
      </c>
      <c r="CA713" s="2" t="s">
        <v>746</v>
      </c>
      <c r="CB713" s="2" t="s">
        <v>485</v>
      </c>
      <c r="CC713" s="2" t="s">
        <v>246</v>
      </c>
      <c r="CD713" s="2" t="s">
        <v>233</v>
      </c>
      <c r="CE713" s="4">
        <v>1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>
        <v>261</v>
      </c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</row>
    <row r="714">
      <c r="A714" s="2" t="s">
        <v>3958</v>
      </c>
      <c r="B714" s="2" t="s">
        <v>333</v>
      </c>
      <c r="C714" s="2" t="s">
        <v>1335</v>
      </c>
      <c r="D714" s="2" t="s">
        <v>335</v>
      </c>
      <c r="E714" s="2" t="s">
        <v>336</v>
      </c>
      <c r="F714" s="2" t="s">
        <v>3947</v>
      </c>
      <c r="G714" s="2" t="s">
        <v>3947</v>
      </c>
      <c r="H714" s="2" t="s">
        <v>3947</v>
      </c>
      <c r="I714" s="2" t="s">
        <v>338</v>
      </c>
      <c r="J714" s="2" t="s">
        <v>328</v>
      </c>
      <c r="K714" s="2" t="s">
        <v>3948</v>
      </c>
      <c r="L714" s="3">
        <v>28.98</v>
      </c>
      <c r="M714" s="3">
        <v>30.43</v>
      </c>
      <c r="N714" s="3">
        <v>64.99</v>
      </c>
      <c r="O714" s="2" t="s">
        <v>245</v>
      </c>
      <c r="P714" s="2" t="s">
        <v>272</v>
      </c>
      <c r="Q714" s="2" t="s">
        <v>239</v>
      </c>
      <c r="R714" s="2" t="s">
        <v>233</v>
      </c>
      <c r="S714" s="2" t="s">
        <v>3949</v>
      </c>
      <c r="T714" s="2" t="s">
        <v>3950</v>
      </c>
      <c r="U714" s="2" t="s">
        <v>342</v>
      </c>
      <c r="V714" s="2" t="s">
        <v>3951</v>
      </c>
      <c r="W714" s="2" t="s">
        <v>978</v>
      </c>
      <c r="X714" s="2" t="s">
        <v>275</v>
      </c>
      <c r="Y714" s="2" t="s">
        <v>1604</v>
      </c>
      <c r="Z714" s="4"/>
      <c r="AA714" s="4">
        <f>=ROUNDDOWN({0},0)</f>
      </c>
      <c r="AB714" s="5">
        <v>14</v>
      </c>
      <c r="AC714" s="2" t="s">
        <v>1341</v>
      </c>
      <c r="AD714" s="4">
        <v>151</v>
      </c>
      <c r="AE714" s="4">
        <v>151</v>
      </c>
      <c r="AF714" s="6">
        <v>74</v>
      </c>
      <c r="AG714" s="6"/>
      <c r="AH714" s="7">
        <v>0</v>
      </c>
      <c r="AI714" s="4"/>
      <c r="AJ714" s="4">
        <f>=ROUNDDOWN({0},0)</f>
      </c>
      <c r="AK714" s="5"/>
      <c r="AL714" s="2" t="s">
        <v>233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233</v>
      </c>
      <c r="AW714" s="8" t="s">
        <v>233</v>
      </c>
      <c r="AX714" s="4" t="s">
        <v>233</v>
      </c>
      <c r="AY714" s="8" t="s">
        <v>233</v>
      </c>
      <c r="AZ714" s="7" t="s">
        <v>233</v>
      </c>
      <c r="BA714" s="7" t="s">
        <v>233</v>
      </c>
      <c r="BB714" s="7"/>
      <c r="BC714" s="4" t="s">
        <v>233</v>
      </c>
      <c r="BD714" s="8" t="s">
        <v>233</v>
      </c>
      <c r="BE714" s="4" t="s">
        <v>233</v>
      </c>
      <c r="BF714" s="8" t="s">
        <v>233</v>
      </c>
      <c r="BG714" s="7" t="s">
        <v>233</v>
      </c>
      <c r="BH714" s="7" t="s">
        <v>233</v>
      </c>
      <c r="BI714" s="7"/>
      <c r="BJ714" s="4"/>
      <c r="BK714" s="8"/>
      <c r="BL714" s="2" t="s">
        <v>233</v>
      </c>
      <c r="BM714" s="7"/>
      <c r="BN714" s="7"/>
      <c r="BO714" s="4"/>
      <c r="BP714" s="8"/>
      <c r="BQ714" s="4"/>
      <c r="BR714" s="8"/>
      <c r="BS714" s="7"/>
      <c r="BT714" s="7"/>
      <c r="BU714" s="2" t="s">
        <v>3959</v>
      </c>
      <c r="BV714" s="2" t="s">
        <v>233</v>
      </c>
      <c r="BW714" s="2" t="s">
        <v>233</v>
      </c>
      <c r="BX714" s="2" t="s">
        <v>3953</v>
      </c>
      <c r="BY714" s="2" t="s">
        <v>280</v>
      </c>
      <c r="BZ714" s="2" t="s">
        <v>245</v>
      </c>
      <c r="CA714" s="2" t="s">
        <v>746</v>
      </c>
      <c r="CB714" s="2" t="s">
        <v>3960</v>
      </c>
      <c r="CC714" s="2" t="s">
        <v>246</v>
      </c>
      <c r="CD714" s="2" t="s">
        <v>233</v>
      </c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>
        <v>151</v>
      </c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</row>
    <row r="715">
      <c r="A715" s="2" t="s">
        <v>3961</v>
      </c>
      <c r="B715" s="2" t="s">
        <v>333</v>
      </c>
      <c r="C715" s="2" t="s">
        <v>1335</v>
      </c>
      <c r="D715" s="2" t="s">
        <v>335</v>
      </c>
      <c r="E715" s="2" t="s">
        <v>336</v>
      </c>
      <c r="F715" s="2" t="s">
        <v>3947</v>
      </c>
      <c r="G715" s="2" t="s">
        <v>3947</v>
      </c>
      <c r="H715" s="2" t="s">
        <v>3947</v>
      </c>
      <c r="I715" s="2" t="s">
        <v>338</v>
      </c>
      <c r="J715" s="2" t="s">
        <v>546</v>
      </c>
      <c r="K715" s="2" t="s">
        <v>3948</v>
      </c>
      <c r="L715" s="3">
        <v>28.98</v>
      </c>
      <c r="M715" s="3">
        <v>30.43</v>
      </c>
      <c r="N715" s="3">
        <v>64.99</v>
      </c>
      <c r="O715" s="2" t="s">
        <v>245</v>
      </c>
      <c r="P715" s="2" t="s">
        <v>272</v>
      </c>
      <c r="Q715" s="2" t="s">
        <v>239</v>
      </c>
      <c r="R715" s="2" t="s">
        <v>233</v>
      </c>
      <c r="S715" s="2" t="s">
        <v>3949</v>
      </c>
      <c r="T715" s="2" t="s">
        <v>3950</v>
      </c>
      <c r="U715" s="2" t="s">
        <v>342</v>
      </c>
      <c r="V715" s="2" t="s">
        <v>3951</v>
      </c>
      <c r="W715" s="2" t="s">
        <v>978</v>
      </c>
      <c r="X715" s="2" t="s">
        <v>275</v>
      </c>
      <c r="Y715" s="2" t="s">
        <v>1604</v>
      </c>
      <c r="Z715" s="4"/>
      <c r="AA715" s="4">
        <f>=ROUNDDOWN({0},0)</f>
      </c>
      <c r="AB715" s="5">
        <v>7</v>
      </c>
      <c r="AC715" s="2" t="s">
        <v>1341</v>
      </c>
      <c r="AD715" s="4">
        <v>76</v>
      </c>
      <c r="AE715" s="4">
        <v>76</v>
      </c>
      <c r="AF715" s="6">
        <v>74</v>
      </c>
      <c r="AG715" s="6"/>
      <c r="AH715" s="7">
        <v>0</v>
      </c>
      <c r="AI715" s="4"/>
      <c r="AJ715" s="4">
        <f>=ROUNDDOWN({0},0)</f>
      </c>
      <c r="AK715" s="5"/>
      <c r="AL715" s="2" t="s">
        <v>233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233</v>
      </c>
      <c r="AW715" s="8" t="s">
        <v>233</v>
      </c>
      <c r="AX715" s="4" t="s">
        <v>233</v>
      </c>
      <c r="AY715" s="8" t="s">
        <v>233</v>
      </c>
      <c r="AZ715" s="7" t="s">
        <v>233</v>
      </c>
      <c r="BA715" s="7" t="s">
        <v>233</v>
      </c>
      <c r="BB715" s="7"/>
      <c r="BC715" s="4" t="s">
        <v>233</v>
      </c>
      <c r="BD715" s="8" t="s">
        <v>233</v>
      </c>
      <c r="BE715" s="4" t="s">
        <v>233</v>
      </c>
      <c r="BF715" s="8" t="s">
        <v>233</v>
      </c>
      <c r="BG715" s="7" t="s">
        <v>233</v>
      </c>
      <c r="BH715" s="7" t="s">
        <v>233</v>
      </c>
      <c r="BI715" s="7"/>
      <c r="BJ715" s="4"/>
      <c r="BK715" s="8"/>
      <c r="BL715" s="2" t="s">
        <v>233</v>
      </c>
      <c r="BM715" s="7"/>
      <c r="BN715" s="7"/>
      <c r="BO715" s="4"/>
      <c r="BP715" s="8"/>
      <c r="BQ715" s="4"/>
      <c r="BR715" s="8"/>
      <c r="BS715" s="7"/>
      <c r="BT715" s="7"/>
      <c r="BU715" s="2" t="s">
        <v>3962</v>
      </c>
      <c r="BV715" s="2" t="s">
        <v>233</v>
      </c>
      <c r="BW715" s="2" t="s">
        <v>233</v>
      </c>
      <c r="BX715" s="2" t="s">
        <v>3953</v>
      </c>
      <c r="BY715" s="2" t="s">
        <v>280</v>
      </c>
      <c r="BZ715" s="2" t="s">
        <v>245</v>
      </c>
      <c r="CA715" s="2" t="s">
        <v>746</v>
      </c>
      <c r="CB715" s="2" t="s">
        <v>1614</v>
      </c>
      <c r="CC715" s="2" t="s">
        <v>246</v>
      </c>
      <c r="CD715" s="2" t="s">
        <v>233</v>
      </c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>
        <v>76</v>
      </c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</row>
    <row r="716">
      <c r="A716" s="2" t="s">
        <v>3963</v>
      </c>
      <c r="B716" s="2" t="s">
        <v>333</v>
      </c>
      <c r="C716" s="2" t="s">
        <v>1335</v>
      </c>
      <c r="D716" s="2" t="s">
        <v>335</v>
      </c>
      <c r="E716" s="2" t="s">
        <v>336</v>
      </c>
      <c r="F716" s="2" t="s">
        <v>3947</v>
      </c>
      <c r="G716" s="2" t="s">
        <v>3947</v>
      </c>
      <c r="H716" s="2" t="s">
        <v>3947</v>
      </c>
      <c r="I716" s="2" t="s">
        <v>338</v>
      </c>
      <c r="J716" s="2" t="s">
        <v>270</v>
      </c>
      <c r="K716" s="2" t="s">
        <v>3964</v>
      </c>
      <c r="L716" s="3">
        <v>19.8</v>
      </c>
      <c r="M716" s="3">
        <v>20.79</v>
      </c>
      <c r="N716" s="3">
        <v>44.99</v>
      </c>
      <c r="O716" s="2" t="s">
        <v>237</v>
      </c>
      <c r="P716" s="2" t="s">
        <v>311</v>
      </c>
      <c r="Q716" s="2" t="s">
        <v>239</v>
      </c>
      <c r="R716" s="2" t="s">
        <v>233</v>
      </c>
      <c r="S716" s="2" t="s">
        <v>3965</v>
      </c>
      <c r="T716" s="2" t="s">
        <v>3950</v>
      </c>
      <c r="U716" s="2" t="s">
        <v>233</v>
      </c>
      <c r="V716" s="2" t="s">
        <v>3951</v>
      </c>
      <c r="W716" s="2" t="s">
        <v>978</v>
      </c>
      <c r="X716" s="2" t="s">
        <v>233</v>
      </c>
      <c r="Y716" s="2" t="s">
        <v>1399</v>
      </c>
      <c r="Z716" s="4">
        <v>220</v>
      </c>
      <c r="AA716" s="4">
        <f>=ROUNDDOWN(55,0)</f>
      </c>
      <c r="AB716" s="5">
        <v>4</v>
      </c>
      <c r="AC716" s="2" t="s">
        <v>233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233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 t="s">
        <v>233</v>
      </c>
      <c r="BD716" s="8" t="s">
        <v>233</v>
      </c>
      <c r="BE716" s="4" t="s">
        <v>233</v>
      </c>
      <c r="BF716" s="8" t="s">
        <v>233</v>
      </c>
      <c r="BG716" s="7" t="s">
        <v>233</v>
      </c>
      <c r="BH716" s="7" t="s">
        <v>233</v>
      </c>
      <c r="BI716" s="7"/>
      <c r="BJ716" s="4">
        <v>5</v>
      </c>
      <c r="BK716" s="8">
        <v>117.84</v>
      </c>
      <c r="BL716" s="2" t="s">
        <v>3966</v>
      </c>
      <c r="BM716" s="7"/>
      <c r="BN716" s="7"/>
      <c r="BO716" s="4"/>
      <c r="BP716" s="8"/>
      <c r="BQ716" s="4"/>
      <c r="BR716" s="8"/>
      <c r="BS716" s="7"/>
      <c r="BT716" s="7"/>
      <c r="BU716" s="2" t="s">
        <v>3967</v>
      </c>
      <c r="BV716" s="2" t="s">
        <v>233</v>
      </c>
      <c r="BW716" s="2" t="s">
        <v>233</v>
      </c>
      <c r="BX716" s="2" t="s">
        <v>595</v>
      </c>
      <c r="BY716" s="2" t="s">
        <v>280</v>
      </c>
      <c r="BZ716" s="2" t="s">
        <v>245</v>
      </c>
      <c r="CA716" s="2" t="s">
        <v>3968</v>
      </c>
      <c r="CB716" s="2" t="s">
        <v>3969</v>
      </c>
      <c r="CC716" s="2" t="s">
        <v>246</v>
      </c>
      <c r="CD716" s="2" t="s">
        <v>233</v>
      </c>
      <c r="CE716" s="4">
        <v>220</v>
      </c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</row>
    <row r="717">
      <c r="A717" s="2" t="s">
        <v>3970</v>
      </c>
      <c r="B717" s="2" t="s">
        <v>333</v>
      </c>
      <c r="C717" s="2" t="s">
        <v>1335</v>
      </c>
      <c r="D717" s="2" t="s">
        <v>335</v>
      </c>
      <c r="E717" s="2" t="s">
        <v>336</v>
      </c>
      <c r="F717" s="2" t="s">
        <v>3947</v>
      </c>
      <c r="G717" s="2" t="s">
        <v>3947</v>
      </c>
      <c r="H717" s="2" t="s">
        <v>3947</v>
      </c>
      <c r="I717" s="2" t="s">
        <v>338</v>
      </c>
      <c r="J717" s="2" t="s">
        <v>270</v>
      </c>
      <c r="K717" s="2" t="s">
        <v>3971</v>
      </c>
      <c r="L717" s="3">
        <v>19.8</v>
      </c>
      <c r="M717" s="3">
        <v>20.79</v>
      </c>
      <c r="N717" s="3">
        <v>44.99</v>
      </c>
      <c r="O717" s="2" t="s">
        <v>245</v>
      </c>
      <c r="P717" s="2" t="s">
        <v>311</v>
      </c>
      <c r="Q717" s="2" t="s">
        <v>239</v>
      </c>
      <c r="R717" s="2" t="s">
        <v>233</v>
      </c>
      <c r="S717" s="2" t="s">
        <v>3972</v>
      </c>
      <c r="T717" s="2" t="s">
        <v>3950</v>
      </c>
      <c r="U717" s="2" t="s">
        <v>233</v>
      </c>
      <c r="V717" s="2" t="s">
        <v>3951</v>
      </c>
      <c r="W717" s="2" t="s">
        <v>978</v>
      </c>
      <c r="X717" s="2" t="s">
        <v>233</v>
      </c>
      <c r="Y717" s="2" t="s">
        <v>3973</v>
      </c>
      <c r="Z717" s="4">
        <v>1</v>
      </c>
      <c r="AA717" s="4">
        <f>=ROUNDDOWN(0.25,0)</f>
      </c>
      <c r="AB717" s="5">
        <v>4</v>
      </c>
      <c r="AC717" s="2" t="s">
        <v>233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233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233</v>
      </c>
      <c r="AW717" s="8" t="s">
        <v>233</v>
      </c>
      <c r="AX717" s="4" t="s">
        <v>233</v>
      </c>
      <c r="AY717" s="8" t="s">
        <v>233</v>
      </c>
      <c r="AZ717" s="7" t="s">
        <v>233</v>
      </c>
      <c r="BA717" s="7" t="s">
        <v>233</v>
      </c>
      <c r="BB717" s="7"/>
      <c r="BC717" s="4" t="s">
        <v>233</v>
      </c>
      <c r="BD717" s="8" t="s">
        <v>233</v>
      </c>
      <c r="BE717" s="4" t="s">
        <v>233</v>
      </c>
      <c r="BF717" s="8" t="s">
        <v>233</v>
      </c>
      <c r="BG717" s="7" t="s">
        <v>233</v>
      </c>
      <c r="BH717" s="7" t="s">
        <v>233</v>
      </c>
      <c r="BI717" s="7"/>
      <c r="BJ717" s="4">
        <v>4</v>
      </c>
      <c r="BK717" s="8">
        <v>91.83</v>
      </c>
      <c r="BL717" s="2" t="s">
        <v>3974</v>
      </c>
      <c r="BM717" s="7"/>
      <c r="BN717" s="7"/>
      <c r="BO717" s="4"/>
      <c r="BP717" s="8"/>
      <c r="BQ717" s="4"/>
      <c r="BR717" s="8"/>
      <c r="BS717" s="7"/>
      <c r="BT717" s="7"/>
      <c r="BU717" s="2" t="s">
        <v>3975</v>
      </c>
      <c r="BV717" s="2" t="s">
        <v>233</v>
      </c>
      <c r="BW717" s="2" t="s">
        <v>233</v>
      </c>
      <c r="BX717" s="2" t="s">
        <v>595</v>
      </c>
      <c r="BY717" s="2" t="s">
        <v>280</v>
      </c>
      <c r="BZ717" s="2" t="s">
        <v>245</v>
      </c>
      <c r="CA717" s="2" t="s">
        <v>3976</v>
      </c>
      <c r="CB717" s="2" t="s">
        <v>3977</v>
      </c>
      <c r="CC717" s="2" t="s">
        <v>246</v>
      </c>
      <c r="CD717" s="2" t="s">
        <v>233</v>
      </c>
      <c r="CE717" s="4">
        <v>1</v>
      </c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</row>
    <row r="718">
      <c r="A718" s="2" t="s">
        <v>3978</v>
      </c>
      <c r="B718" s="2" t="s">
        <v>333</v>
      </c>
      <c r="C718" s="2" t="s">
        <v>1335</v>
      </c>
      <c r="D718" s="2" t="s">
        <v>335</v>
      </c>
      <c r="E718" s="2" t="s">
        <v>336</v>
      </c>
      <c r="F718" s="2" t="s">
        <v>3947</v>
      </c>
      <c r="G718" s="2" t="s">
        <v>3947</v>
      </c>
      <c r="H718" s="2" t="s">
        <v>3947</v>
      </c>
      <c r="I718" s="2" t="s">
        <v>338</v>
      </c>
      <c r="J718" s="2" t="s">
        <v>328</v>
      </c>
      <c r="K718" s="2" t="s">
        <v>3971</v>
      </c>
      <c r="L718" s="3">
        <v>28.98</v>
      </c>
      <c r="M718" s="3">
        <v>30.43</v>
      </c>
      <c r="N718" s="3">
        <v>64.99</v>
      </c>
      <c r="O718" s="2" t="s">
        <v>245</v>
      </c>
      <c r="P718" s="2" t="s">
        <v>311</v>
      </c>
      <c r="Q718" s="2" t="s">
        <v>239</v>
      </c>
      <c r="R718" s="2" t="s">
        <v>233</v>
      </c>
      <c r="S718" s="2" t="s">
        <v>3979</v>
      </c>
      <c r="T718" s="2" t="s">
        <v>3950</v>
      </c>
      <c r="U718" s="2" t="s">
        <v>233</v>
      </c>
      <c r="V718" s="2" t="s">
        <v>3951</v>
      </c>
      <c r="W718" s="2" t="s">
        <v>978</v>
      </c>
      <c r="X718" s="2" t="s">
        <v>233</v>
      </c>
      <c r="Y718" s="2" t="s">
        <v>3973</v>
      </c>
      <c r="Z718" s="4"/>
      <c r="AA718" s="4">
        <f>=ROUNDDOWN({0},0)</f>
      </c>
      <c r="AB718" s="5">
        <v>4</v>
      </c>
      <c r="AC718" s="2" t="s">
        <v>233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233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233</v>
      </c>
      <c r="AW718" s="8" t="s">
        <v>233</v>
      </c>
      <c r="AX718" s="4" t="s">
        <v>233</v>
      </c>
      <c r="AY718" s="8" t="s">
        <v>233</v>
      </c>
      <c r="AZ718" s="7" t="s">
        <v>233</v>
      </c>
      <c r="BA718" s="7" t="s">
        <v>233</v>
      </c>
      <c r="BB718" s="7"/>
      <c r="BC718" s="4" t="s">
        <v>233</v>
      </c>
      <c r="BD718" s="8" t="s">
        <v>233</v>
      </c>
      <c r="BE718" s="4" t="s">
        <v>233</v>
      </c>
      <c r="BF718" s="8" t="s">
        <v>233</v>
      </c>
      <c r="BG718" s="7" t="s">
        <v>233</v>
      </c>
      <c r="BH718" s="7" t="s">
        <v>233</v>
      </c>
      <c r="BI718" s="7"/>
      <c r="BJ718" s="4"/>
      <c r="BK718" s="8"/>
      <c r="BL718" s="2" t="s">
        <v>3980</v>
      </c>
      <c r="BM718" s="7"/>
      <c r="BN718" s="7"/>
      <c r="BO718" s="4"/>
      <c r="BP718" s="8"/>
      <c r="BQ718" s="4"/>
      <c r="BR718" s="8"/>
      <c r="BS718" s="7"/>
      <c r="BT718" s="7"/>
      <c r="BU718" s="2" t="s">
        <v>3981</v>
      </c>
      <c r="BV718" s="2" t="s">
        <v>233</v>
      </c>
      <c r="BW718" s="2" t="s">
        <v>233</v>
      </c>
      <c r="BX718" s="2" t="s">
        <v>595</v>
      </c>
      <c r="BY718" s="2" t="s">
        <v>280</v>
      </c>
      <c r="BZ718" s="2" t="s">
        <v>245</v>
      </c>
      <c r="CA718" s="2" t="s">
        <v>3976</v>
      </c>
      <c r="CB718" s="2" t="s">
        <v>1332</v>
      </c>
      <c r="CC718" s="2" t="s">
        <v>246</v>
      </c>
      <c r="CD718" s="2" t="s">
        <v>233</v>
      </c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</row>
    <row r="719">
      <c r="A719" s="2" t="s">
        <v>3982</v>
      </c>
      <c r="B719" s="2" t="s">
        <v>333</v>
      </c>
      <c r="C719" s="2" t="s">
        <v>1335</v>
      </c>
      <c r="D719" s="2" t="s">
        <v>335</v>
      </c>
      <c r="E719" s="2" t="s">
        <v>336</v>
      </c>
      <c r="F719" s="2" t="s">
        <v>3947</v>
      </c>
      <c r="G719" s="2" t="s">
        <v>3947</v>
      </c>
      <c r="H719" s="2" t="s">
        <v>3947</v>
      </c>
      <c r="I719" s="2" t="s">
        <v>338</v>
      </c>
      <c r="J719" s="2" t="s">
        <v>348</v>
      </c>
      <c r="K719" s="2" t="s">
        <v>3983</v>
      </c>
      <c r="L719" s="3">
        <v>24.3</v>
      </c>
      <c r="M719" s="3">
        <v>25.52</v>
      </c>
      <c r="N719" s="3">
        <v>54.99</v>
      </c>
      <c r="O719" s="2" t="s">
        <v>245</v>
      </c>
      <c r="P719" s="2" t="s">
        <v>272</v>
      </c>
      <c r="Q719" s="2" t="s">
        <v>239</v>
      </c>
      <c r="R719" s="2" t="s">
        <v>233</v>
      </c>
      <c r="S719" s="2" t="s">
        <v>3984</v>
      </c>
      <c r="T719" s="2" t="s">
        <v>3950</v>
      </c>
      <c r="U719" s="2" t="s">
        <v>233</v>
      </c>
      <c r="V719" s="2" t="s">
        <v>1340</v>
      </c>
      <c r="W719" s="2" t="s">
        <v>978</v>
      </c>
      <c r="X719" s="2" t="s">
        <v>233</v>
      </c>
      <c r="Y719" s="2" t="s">
        <v>3985</v>
      </c>
      <c r="Z719" s="4"/>
      <c r="AA719" s="4">
        <f>=ROUNDDOWN({0},0)</f>
      </c>
      <c r="AB719" s="5">
        <v>43</v>
      </c>
      <c r="AC719" s="2" t="s">
        <v>1341</v>
      </c>
      <c r="AD719" s="4">
        <v>421</v>
      </c>
      <c r="AE719" s="4">
        <v>421</v>
      </c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233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233</v>
      </c>
      <c r="AW719" s="8" t="s">
        <v>233</v>
      </c>
      <c r="AX719" s="4" t="s">
        <v>233</v>
      </c>
      <c r="AY719" s="8" t="s">
        <v>233</v>
      </c>
      <c r="AZ719" s="7" t="s">
        <v>233</v>
      </c>
      <c r="BA719" s="7" t="s">
        <v>233</v>
      </c>
      <c r="BB719" s="7"/>
      <c r="BC719" s="4" t="s">
        <v>233</v>
      </c>
      <c r="BD719" s="8" t="s">
        <v>233</v>
      </c>
      <c r="BE719" s="4" t="s">
        <v>233</v>
      </c>
      <c r="BF719" s="8" t="s">
        <v>233</v>
      </c>
      <c r="BG719" s="7" t="s">
        <v>233</v>
      </c>
      <c r="BH719" s="7" t="s">
        <v>233</v>
      </c>
      <c r="BI719" s="7"/>
      <c r="BJ719" s="4"/>
      <c r="BK719" s="8"/>
      <c r="BL719" s="2" t="s">
        <v>3986</v>
      </c>
      <c r="BM719" s="7"/>
      <c r="BN719" s="7"/>
      <c r="BO719" s="4"/>
      <c r="BP719" s="8"/>
      <c r="BQ719" s="4"/>
      <c r="BR719" s="8"/>
      <c r="BS719" s="7"/>
      <c r="BT719" s="7"/>
      <c r="BU719" s="2" t="s">
        <v>3987</v>
      </c>
      <c r="BV719" s="2" t="s">
        <v>233</v>
      </c>
      <c r="BW719" s="2" t="s">
        <v>233</v>
      </c>
      <c r="BX719" s="2" t="s">
        <v>3953</v>
      </c>
      <c r="BY719" s="2" t="s">
        <v>280</v>
      </c>
      <c r="BZ719" s="2" t="s">
        <v>245</v>
      </c>
      <c r="CA719" s="2" t="s">
        <v>3976</v>
      </c>
      <c r="CB719" s="2" t="s">
        <v>3988</v>
      </c>
      <c r="CC719" s="2" t="s">
        <v>246</v>
      </c>
      <c r="CD719" s="2" t="s">
        <v>233</v>
      </c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>
        <v>421</v>
      </c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</row>
    <row r="720">
      <c r="A720" s="2" t="s">
        <v>3989</v>
      </c>
      <c r="B720" s="2" t="s">
        <v>333</v>
      </c>
      <c r="C720" s="2" t="s">
        <v>1335</v>
      </c>
      <c r="D720" s="2" t="s">
        <v>335</v>
      </c>
      <c r="E720" s="2" t="s">
        <v>336</v>
      </c>
      <c r="F720" s="2" t="s">
        <v>3947</v>
      </c>
      <c r="G720" s="2" t="s">
        <v>3947</v>
      </c>
      <c r="H720" s="2" t="s">
        <v>3947</v>
      </c>
      <c r="I720" s="2" t="s">
        <v>338</v>
      </c>
      <c r="J720" s="2" t="s">
        <v>546</v>
      </c>
      <c r="K720" s="2" t="s">
        <v>3983</v>
      </c>
      <c r="L720" s="3">
        <v>28.98</v>
      </c>
      <c r="M720" s="3">
        <v>30.43</v>
      </c>
      <c r="N720" s="3">
        <v>64.99</v>
      </c>
      <c r="O720" s="2" t="s">
        <v>245</v>
      </c>
      <c r="P720" s="2" t="s">
        <v>272</v>
      </c>
      <c r="Q720" s="2" t="s">
        <v>239</v>
      </c>
      <c r="R720" s="2" t="s">
        <v>233</v>
      </c>
      <c r="S720" s="2" t="s">
        <v>3984</v>
      </c>
      <c r="T720" s="2" t="s">
        <v>3950</v>
      </c>
      <c r="U720" s="2" t="s">
        <v>233</v>
      </c>
      <c r="V720" s="2" t="s">
        <v>1340</v>
      </c>
      <c r="W720" s="2" t="s">
        <v>978</v>
      </c>
      <c r="X720" s="2" t="s">
        <v>233</v>
      </c>
      <c r="Y720" s="2" t="s">
        <v>3985</v>
      </c>
      <c r="Z720" s="4"/>
      <c r="AA720" s="4">
        <f>=ROUNDDOWN({0},0)</f>
      </c>
      <c r="AB720" s="5">
        <v>7</v>
      </c>
      <c r="AC720" s="2" t="s">
        <v>1341</v>
      </c>
      <c r="AD720" s="4">
        <v>81</v>
      </c>
      <c r="AE720" s="4">
        <v>81</v>
      </c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233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233</v>
      </c>
      <c r="AW720" s="8" t="s">
        <v>233</v>
      </c>
      <c r="AX720" s="4" t="s">
        <v>233</v>
      </c>
      <c r="AY720" s="8" t="s">
        <v>233</v>
      </c>
      <c r="AZ720" s="7" t="s">
        <v>233</v>
      </c>
      <c r="BA720" s="7" t="s">
        <v>233</v>
      </c>
      <c r="BB720" s="7"/>
      <c r="BC720" s="4" t="s">
        <v>233</v>
      </c>
      <c r="BD720" s="8" t="s">
        <v>233</v>
      </c>
      <c r="BE720" s="4" t="s">
        <v>233</v>
      </c>
      <c r="BF720" s="8" t="s">
        <v>233</v>
      </c>
      <c r="BG720" s="7" t="s">
        <v>233</v>
      </c>
      <c r="BH720" s="7" t="s">
        <v>233</v>
      </c>
      <c r="BI720" s="7"/>
      <c r="BJ720" s="4"/>
      <c r="BK720" s="8"/>
      <c r="BL720" s="2" t="s">
        <v>3990</v>
      </c>
      <c r="BM720" s="7"/>
      <c r="BN720" s="7"/>
      <c r="BO720" s="4"/>
      <c r="BP720" s="8"/>
      <c r="BQ720" s="4"/>
      <c r="BR720" s="8"/>
      <c r="BS720" s="7"/>
      <c r="BT720" s="7"/>
      <c r="BU720" s="2" t="s">
        <v>3991</v>
      </c>
      <c r="BV720" s="2" t="s">
        <v>233</v>
      </c>
      <c r="BW720" s="2" t="s">
        <v>233</v>
      </c>
      <c r="BX720" s="2" t="s">
        <v>3953</v>
      </c>
      <c r="BY720" s="2" t="s">
        <v>280</v>
      </c>
      <c r="BZ720" s="2" t="s">
        <v>245</v>
      </c>
      <c r="CA720" s="2" t="s">
        <v>3976</v>
      </c>
      <c r="CB720" s="2" t="s">
        <v>3992</v>
      </c>
      <c r="CC720" s="2" t="s">
        <v>246</v>
      </c>
      <c r="CD720" s="2" t="s">
        <v>233</v>
      </c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>
        <v>81</v>
      </c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</row>
    <row r="721">
      <c r="A721" s="2" t="s">
        <v>3993</v>
      </c>
      <c r="B721" s="2" t="s">
        <v>333</v>
      </c>
      <c r="C721" s="2" t="s">
        <v>1335</v>
      </c>
      <c r="D721" s="2" t="s">
        <v>335</v>
      </c>
      <c r="E721" s="2" t="s">
        <v>336</v>
      </c>
      <c r="F721" s="2" t="s">
        <v>3947</v>
      </c>
      <c r="G721" s="2" t="s">
        <v>3947</v>
      </c>
      <c r="H721" s="2" t="s">
        <v>3947</v>
      </c>
      <c r="I721" s="2" t="s">
        <v>338</v>
      </c>
      <c r="J721" s="2" t="s">
        <v>328</v>
      </c>
      <c r="K721" s="2" t="s">
        <v>3994</v>
      </c>
      <c r="L721" s="3">
        <v>28.98</v>
      </c>
      <c r="M721" s="3">
        <v>30.43</v>
      </c>
      <c r="N721" s="3">
        <v>64.99</v>
      </c>
      <c r="O721" s="2" t="s">
        <v>245</v>
      </c>
      <c r="P721" s="2" t="s">
        <v>272</v>
      </c>
      <c r="Q721" s="2" t="s">
        <v>239</v>
      </c>
      <c r="R721" s="2" t="s">
        <v>233</v>
      </c>
      <c r="S721" s="2" t="s">
        <v>3995</v>
      </c>
      <c r="T721" s="2" t="s">
        <v>3950</v>
      </c>
      <c r="U721" s="2" t="s">
        <v>342</v>
      </c>
      <c r="V721" s="2" t="s">
        <v>3951</v>
      </c>
      <c r="W721" s="2" t="s">
        <v>275</v>
      </c>
      <c r="X721" s="2" t="s">
        <v>233</v>
      </c>
      <c r="Y721" s="2" t="s">
        <v>3996</v>
      </c>
      <c r="Z721" s="4"/>
      <c r="AA721" s="4">
        <f>=ROUNDDOWN({0},0)</f>
      </c>
      <c r="AB721" s="5">
        <v>11</v>
      </c>
      <c r="AC721" s="2" t="s">
        <v>1341</v>
      </c>
      <c r="AD721" s="4">
        <v>115</v>
      </c>
      <c r="AE721" s="4">
        <v>115</v>
      </c>
      <c r="AF721" s="6">
        <v>70</v>
      </c>
      <c r="AG721" s="6"/>
      <c r="AH721" s="7">
        <v>0</v>
      </c>
      <c r="AI721" s="4"/>
      <c r="AJ721" s="4">
        <f>=ROUNDDOWN({0},0)</f>
      </c>
      <c r="AK721" s="5"/>
      <c r="AL721" s="2" t="s">
        <v>233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233</v>
      </c>
      <c r="AW721" s="8" t="s">
        <v>233</v>
      </c>
      <c r="AX721" s="4" t="s">
        <v>233</v>
      </c>
      <c r="AY721" s="8" t="s">
        <v>233</v>
      </c>
      <c r="AZ721" s="7" t="s">
        <v>233</v>
      </c>
      <c r="BA721" s="7" t="s">
        <v>233</v>
      </c>
      <c r="BB721" s="7"/>
      <c r="BC721" s="4" t="s">
        <v>233</v>
      </c>
      <c r="BD721" s="8" t="s">
        <v>233</v>
      </c>
      <c r="BE721" s="4" t="s">
        <v>233</v>
      </c>
      <c r="BF721" s="8" t="s">
        <v>233</v>
      </c>
      <c r="BG721" s="7" t="s">
        <v>233</v>
      </c>
      <c r="BH721" s="7" t="s">
        <v>233</v>
      </c>
      <c r="BI721" s="7"/>
      <c r="BJ721" s="4"/>
      <c r="BK721" s="8"/>
      <c r="BL721" s="2" t="s">
        <v>3997</v>
      </c>
      <c r="BM721" s="7"/>
      <c r="BN721" s="7"/>
      <c r="BO721" s="4"/>
      <c r="BP721" s="8"/>
      <c r="BQ721" s="4"/>
      <c r="BR721" s="8"/>
      <c r="BS721" s="7"/>
      <c r="BT721" s="7"/>
      <c r="BU721" s="2" t="s">
        <v>3998</v>
      </c>
      <c r="BV721" s="2" t="s">
        <v>233</v>
      </c>
      <c r="BW721" s="2" t="s">
        <v>233</v>
      </c>
      <c r="BX721" s="2" t="s">
        <v>3953</v>
      </c>
      <c r="BY721" s="2" t="s">
        <v>280</v>
      </c>
      <c r="BZ721" s="2" t="s">
        <v>245</v>
      </c>
      <c r="CA721" s="2" t="s">
        <v>3999</v>
      </c>
      <c r="CB721" s="2" t="s">
        <v>4000</v>
      </c>
      <c r="CC721" s="2" t="s">
        <v>246</v>
      </c>
      <c r="CD721" s="2" t="s">
        <v>233</v>
      </c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>
        <v>115</v>
      </c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</row>
    <row r="722">
      <c r="A722" s="2" t="s">
        <v>4001</v>
      </c>
      <c r="B722" s="2" t="s">
        <v>333</v>
      </c>
      <c r="C722" s="2" t="s">
        <v>1335</v>
      </c>
      <c r="D722" s="2" t="s">
        <v>335</v>
      </c>
      <c r="E722" s="2" t="s">
        <v>336</v>
      </c>
      <c r="F722" s="2" t="s">
        <v>3947</v>
      </c>
      <c r="G722" s="2" t="s">
        <v>3947</v>
      </c>
      <c r="H722" s="2" t="s">
        <v>3947</v>
      </c>
      <c r="I722" s="2" t="s">
        <v>338</v>
      </c>
      <c r="J722" s="2" t="s">
        <v>546</v>
      </c>
      <c r="K722" s="2" t="s">
        <v>3994</v>
      </c>
      <c r="L722" s="3">
        <v>28.98</v>
      </c>
      <c r="M722" s="3">
        <v>30.43</v>
      </c>
      <c r="N722" s="3">
        <v>64.99</v>
      </c>
      <c r="O722" s="2" t="s">
        <v>245</v>
      </c>
      <c r="P722" s="2" t="s">
        <v>272</v>
      </c>
      <c r="Q722" s="2" t="s">
        <v>239</v>
      </c>
      <c r="R722" s="2" t="s">
        <v>233</v>
      </c>
      <c r="S722" s="2" t="s">
        <v>4002</v>
      </c>
      <c r="T722" s="2" t="s">
        <v>3950</v>
      </c>
      <c r="U722" s="2" t="s">
        <v>342</v>
      </c>
      <c r="V722" s="2" t="s">
        <v>3951</v>
      </c>
      <c r="W722" s="2" t="s">
        <v>275</v>
      </c>
      <c r="X722" s="2" t="s">
        <v>233</v>
      </c>
      <c r="Y722" s="2" t="s">
        <v>3996</v>
      </c>
      <c r="Z722" s="4">
        <v>2</v>
      </c>
      <c r="AA722" s="4">
        <f>=ROUNDDOWN(0.25,0)</f>
      </c>
      <c r="AB722" s="5">
        <v>8</v>
      </c>
      <c r="AC722" s="2" t="s">
        <v>1341</v>
      </c>
      <c r="AD722" s="4">
        <v>78</v>
      </c>
      <c r="AE722" s="4">
        <v>78</v>
      </c>
      <c r="AF722" s="6">
        <v>70</v>
      </c>
      <c r="AG722" s="6"/>
      <c r="AH722" s="7">
        <v>0</v>
      </c>
      <c r="AI722" s="4"/>
      <c r="AJ722" s="4">
        <f>=ROUNDDOWN({0},0)</f>
      </c>
      <c r="AK722" s="5"/>
      <c r="AL722" s="2" t="s">
        <v>233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233</v>
      </c>
      <c r="AW722" s="8" t="s">
        <v>233</v>
      </c>
      <c r="AX722" s="4" t="s">
        <v>233</v>
      </c>
      <c r="AY722" s="8" t="s">
        <v>233</v>
      </c>
      <c r="AZ722" s="7" t="s">
        <v>233</v>
      </c>
      <c r="BA722" s="7" t="s">
        <v>233</v>
      </c>
      <c r="BB722" s="7"/>
      <c r="BC722" s="4" t="s">
        <v>233</v>
      </c>
      <c r="BD722" s="8" t="s">
        <v>233</v>
      </c>
      <c r="BE722" s="4" t="s">
        <v>233</v>
      </c>
      <c r="BF722" s="8" t="s">
        <v>233</v>
      </c>
      <c r="BG722" s="7" t="s">
        <v>233</v>
      </c>
      <c r="BH722" s="7" t="s">
        <v>233</v>
      </c>
      <c r="BI722" s="7"/>
      <c r="BJ722" s="4"/>
      <c r="BK722" s="8"/>
      <c r="BL722" s="2" t="s">
        <v>4003</v>
      </c>
      <c r="BM722" s="7"/>
      <c r="BN722" s="7"/>
      <c r="BO722" s="4"/>
      <c r="BP722" s="8"/>
      <c r="BQ722" s="4"/>
      <c r="BR722" s="8"/>
      <c r="BS722" s="7"/>
      <c r="BT722" s="7"/>
      <c r="BU722" s="2" t="s">
        <v>4004</v>
      </c>
      <c r="BV722" s="2" t="s">
        <v>233</v>
      </c>
      <c r="BW722" s="2" t="s">
        <v>233</v>
      </c>
      <c r="BX722" s="2" t="s">
        <v>3953</v>
      </c>
      <c r="BY722" s="2" t="s">
        <v>280</v>
      </c>
      <c r="BZ722" s="2" t="s">
        <v>245</v>
      </c>
      <c r="CA722" s="2" t="s">
        <v>3999</v>
      </c>
      <c r="CB722" s="2" t="s">
        <v>4005</v>
      </c>
      <c r="CC722" s="2" t="s">
        <v>246</v>
      </c>
      <c r="CD722" s="2" t="s">
        <v>233</v>
      </c>
      <c r="CE722" s="4">
        <v>2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>
        <v>78</v>
      </c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</row>
    <row r="723">
      <c r="A723" s="2" t="s">
        <v>4006</v>
      </c>
      <c r="B723" s="2" t="s">
        <v>333</v>
      </c>
      <c r="C723" s="2" t="s">
        <v>1335</v>
      </c>
      <c r="D723" s="2" t="s">
        <v>335</v>
      </c>
      <c r="E723" s="2" t="s">
        <v>336</v>
      </c>
      <c r="F723" s="2" t="s">
        <v>3947</v>
      </c>
      <c r="G723" s="2" t="s">
        <v>3947</v>
      </c>
      <c r="H723" s="2" t="s">
        <v>3947</v>
      </c>
      <c r="I723" s="2" t="s">
        <v>338</v>
      </c>
      <c r="J723" s="2" t="s">
        <v>348</v>
      </c>
      <c r="K723" s="2" t="s">
        <v>4007</v>
      </c>
      <c r="L723" s="3">
        <v>24.3</v>
      </c>
      <c r="M723" s="3">
        <v>25.52</v>
      </c>
      <c r="N723" s="3">
        <v>54.99</v>
      </c>
      <c r="O723" s="2" t="s">
        <v>245</v>
      </c>
      <c r="P723" s="2" t="s">
        <v>2943</v>
      </c>
      <c r="Q723" s="2" t="s">
        <v>239</v>
      </c>
      <c r="R723" s="2" t="s">
        <v>233</v>
      </c>
      <c r="S723" s="2" t="s">
        <v>4008</v>
      </c>
      <c r="T723" s="2" t="s">
        <v>3950</v>
      </c>
      <c r="U723" s="2" t="s">
        <v>233</v>
      </c>
      <c r="V723" s="2" t="s">
        <v>3951</v>
      </c>
      <c r="W723" s="2" t="s">
        <v>978</v>
      </c>
      <c r="X723" s="2" t="s">
        <v>233</v>
      </c>
      <c r="Y723" s="2" t="s">
        <v>276</v>
      </c>
      <c r="Z723" s="4">
        <v>3</v>
      </c>
      <c r="AA723" s="4">
        <f>=ROUNDDOWN(0.0454545454545455,0)</f>
      </c>
      <c r="AB723" s="5">
        <v>66</v>
      </c>
      <c r="AC723" s="2" t="s">
        <v>1341</v>
      </c>
      <c r="AD723" s="4">
        <v>648</v>
      </c>
      <c r="AE723" s="4">
        <v>648</v>
      </c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233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233</v>
      </c>
      <c r="AW723" s="8" t="s">
        <v>233</v>
      </c>
      <c r="AX723" s="4" t="s">
        <v>233</v>
      </c>
      <c r="AY723" s="8" t="s">
        <v>233</v>
      </c>
      <c r="AZ723" s="7" t="s">
        <v>233</v>
      </c>
      <c r="BA723" s="7" t="s">
        <v>233</v>
      </c>
      <c r="BB723" s="7"/>
      <c r="BC723" s="4" t="s">
        <v>233</v>
      </c>
      <c r="BD723" s="8" t="s">
        <v>233</v>
      </c>
      <c r="BE723" s="4" t="s">
        <v>233</v>
      </c>
      <c r="BF723" s="8" t="s">
        <v>233</v>
      </c>
      <c r="BG723" s="7" t="s">
        <v>233</v>
      </c>
      <c r="BH723" s="7" t="s">
        <v>233</v>
      </c>
      <c r="BI723" s="7"/>
      <c r="BJ723" s="4"/>
      <c r="BK723" s="8"/>
      <c r="BL723" s="2" t="s">
        <v>233</v>
      </c>
      <c r="BM723" s="7"/>
      <c r="BN723" s="7"/>
      <c r="BO723" s="4"/>
      <c r="BP723" s="8"/>
      <c r="BQ723" s="4"/>
      <c r="BR723" s="8"/>
      <c r="BS723" s="7"/>
      <c r="BT723" s="7"/>
      <c r="BU723" s="2" t="s">
        <v>4009</v>
      </c>
      <c r="BV723" s="2" t="s">
        <v>233</v>
      </c>
      <c r="BW723" s="2" t="s">
        <v>233</v>
      </c>
      <c r="BX723" s="2" t="s">
        <v>3953</v>
      </c>
      <c r="BY723" s="2" t="s">
        <v>280</v>
      </c>
      <c r="BZ723" s="2" t="s">
        <v>245</v>
      </c>
      <c r="CA723" s="2" t="s">
        <v>4010</v>
      </c>
      <c r="CB723" s="2" t="s">
        <v>4011</v>
      </c>
      <c r="CC723" s="2" t="s">
        <v>246</v>
      </c>
      <c r="CD723" s="2" t="s">
        <v>233</v>
      </c>
      <c r="CE723" s="4">
        <v>3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>
        <v>648</v>
      </c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</row>
    <row r="724">
      <c r="A724" s="2" t="s">
        <v>4012</v>
      </c>
      <c r="B724" s="2" t="s">
        <v>333</v>
      </c>
      <c r="C724" s="2" t="s">
        <v>1335</v>
      </c>
      <c r="D724" s="2" t="s">
        <v>335</v>
      </c>
      <c r="E724" s="2" t="s">
        <v>336</v>
      </c>
      <c r="F724" s="2" t="s">
        <v>3947</v>
      </c>
      <c r="G724" s="2" t="s">
        <v>3947</v>
      </c>
      <c r="H724" s="2" t="s">
        <v>3947</v>
      </c>
      <c r="I724" s="2" t="s">
        <v>338</v>
      </c>
      <c r="J724" s="2" t="s">
        <v>546</v>
      </c>
      <c r="K724" s="2" t="s">
        <v>4007</v>
      </c>
      <c r="L724" s="3">
        <v>28.98</v>
      </c>
      <c r="M724" s="3">
        <v>30.43</v>
      </c>
      <c r="N724" s="3">
        <v>64.99</v>
      </c>
      <c r="O724" s="2" t="s">
        <v>245</v>
      </c>
      <c r="P724" s="2" t="s">
        <v>272</v>
      </c>
      <c r="Q724" s="2" t="s">
        <v>239</v>
      </c>
      <c r="R724" s="2" t="s">
        <v>233</v>
      </c>
      <c r="S724" s="2" t="s">
        <v>4008</v>
      </c>
      <c r="T724" s="2" t="s">
        <v>3950</v>
      </c>
      <c r="U724" s="2" t="s">
        <v>233</v>
      </c>
      <c r="V724" s="2" t="s">
        <v>3951</v>
      </c>
      <c r="W724" s="2" t="s">
        <v>978</v>
      </c>
      <c r="X724" s="2" t="s">
        <v>233</v>
      </c>
      <c r="Y724" s="2" t="s">
        <v>276</v>
      </c>
      <c r="Z724" s="4"/>
      <c r="AA724" s="4">
        <f>=ROUNDDOWN({0},0)</f>
      </c>
      <c r="AB724" s="5">
        <v>11</v>
      </c>
      <c r="AC724" s="2" t="s">
        <v>1341</v>
      </c>
      <c r="AD724" s="4">
        <v>109</v>
      </c>
      <c r="AE724" s="4">
        <v>109</v>
      </c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233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233</v>
      </c>
      <c r="AW724" s="8" t="s">
        <v>233</v>
      </c>
      <c r="AX724" s="4" t="s">
        <v>233</v>
      </c>
      <c r="AY724" s="8" t="s">
        <v>233</v>
      </c>
      <c r="AZ724" s="7" t="s">
        <v>233</v>
      </c>
      <c r="BA724" s="7" t="s">
        <v>233</v>
      </c>
      <c r="BB724" s="7"/>
      <c r="BC724" s="4" t="s">
        <v>233</v>
      </c>
      <c r="BD724" s="8" t="s">
        <v>233</v>
      </c>
      <c r="BE724" s="4" t="s">
        <v>233</v>
      </c>
      <c r="BF724" s="8" t="s">
        <v>233</v>
      </c>
      <c r="BG724" s="7" t="s">
        <v>233</v>
      </c>
      <c r="BH724" s="7" t="s">
        <v>233</v>
      </c>
      <c r="BI724" s="7"/>
      <c r="BJ724" s="4"/>
      <c r="BK724" s="8"/>
      <c r="BL724" s="2" t="s">
        <v>1292</v>
      </c>
      <c r="BM724" s="7"/>
      <c r="BN724" s="7"/>
      <c r="BO724" s="4"/>
      <c r="BP724" s="8"/>
      <c r="BQ724" s="4"/>
      <c r="BR724" s="8"/>
      <c r="BS724" s="7"/>
      <c r="BT724" s="7"/>
      <c r="BU724" s="2" t="s">
        <v>4013</v>
      </c>
      <c r="BV724" s="2" t="s">
        <v>233</v>
      </c>
      <c r="BW724" s="2" t="s">
        <v>233</v>
      </c>
      <c r="BX724" s="2" t="s">
        <v>3953</v>
      </c>
      <c r="BY724" s="2" t="s">
        <v>280</v>
      </c>
      <c r="BZ724" s="2" t="s">
        <v>245</v>
      </c>
      <c r="CA724" s="2" t="s">
        <v>4010</v>
      </c>
      <c r="CB724" s="2" t="s">
        <v>4014</v>
      </c>
      <c r="CC724" s="2" t="s">
        <v>246</v>
      </c>
      <c r="CD724" s="2" t="s">
        <v>233</v>
      </c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>
        <v>109</v>
      </c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</row>
    <row r="725">
      <c r="A725" s="2" t="s">
        <v>4015</v>
      </c>
      <c r="B725" s="2" t="s">
        <v>333</v>
      </c>
      <c r="C725" s="2" t="s">
        <v>1335</v>
      </c>
      <c r="D725" s="2" t="s">
        <v>335</v>
      </c>
      <c r="E725" s="2" t="s">
        <v>336</v>
      </c>
      <c r="F725" s="2" t="s">
        <v>3947</v>
      </c>
      <c r="G725" s="2" t="s">
        <v>3947</v>
      </c>
      <c r="H725" s="2" t="s">
        <v>3947</v>
      </c>
      <c r="I725" s="2" t="s">
        <v>338</v>
      </c>
      <c r="J725" s="2" t="s">
        <v>348</v>
      </c>
      <c r="K725" s="2" t="s">
        <v>4016</v>
      </c>
      <c r="L725" s="3">
        <v>24.3</v>
      </c>
      <c r="M725" s="3">
        <v>25.52</v>
      </c>
      <c r="N725" s="3">
        <v>54.99</v>
      </c>
      <c r="O725" s="2" t="s">
        <v>245</v>
      </c>
      <c r="P725" s="2" t="s">
        <v>741</v>
      </c>
      <c r="Q725" s="2" t="s">
        <v>239</v>
      </c>
      <c r="R725" s="2" t="s">
        <v>233</v>
      </c>
      <c r="S725" s="2" t="s">
        <v>4017</v>
      </c>
      <c r="T725" s="2" t="s">
        <v>3950</v>
      </c>
      <c r="U725" s="2" t="s">
        <v>233</v>
      </c>
      <c r="V725" s="2" t="s">
        <v>3951</v>
      </c>
      <c r="W725" s="2" t="s">
        <v>978</v>
      </c>
      <c r="X725" s="2" t="s">
        <v>233</v>
      </c>
      <c r="Y725" s="2" t="s">
        <v>3985</v>
      </c>
      <c r="Z725" s="4"/>
      <c r="AA725" s="4">
        <f>=ROUNDDOWN({0},0)</f>
      </c>
      <c r="AB725" s="5">
        <v>30</v>
      </c>
      <c r="AC725" s="2" t="s">
        <v>1341</v>
      </c>
      <c r="AD725" s="4">
        <v>307</v>
      </c>
      <c r="AE725" s="4">
        <v>307</v>
      </c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233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233</v>
      </c>
      <c r="AW725" s="8" t="s">
        <v>233</v>
      </c>
      <c r="AX725" s="4" t="s">
        <v>233</v>
      </c>
      <c r="AY725" s="8" t="s">
        <v>233</v>
      </c>
      <c r="AZ725" s="7" t="s">
        <v>233</v>
      </c>
      <c r="BA725" s="7" t="s">
        <v>233</v>
      </c>
      <c r="BB725" s="7"/>
      <c r="BC725" s="4" t="s">
        <v>233</v>
      </c>
      <c r="BD725" s="8" t="s">
        <v>233</v>
      </c>
      <c r="BE725" s="4" t="s">
        <v>233</v>
      </c>
      <c r="BF725" s="8" t="s">
        <v>233</v>
      </c>
      <c r="BG725" s="7" t="s">
        <v>233</v>
      </c>
      <c r="BH725" s="7" t="s">
        <v>233</v>
      </c>
      <c r="BI725" s="7"/>
      <c r="BJ725" s="4"/>
      <c r="BK725" s="8"/>
      <c r="BL725" s="2" t="s">
        <v>233</v>
      </c>
      <c r="BM725" s="7"/>
      <c r="BN725" s="7"/>
      <c r="BO725" s="4"/>
      <c r="BP725" s="8"/>
      <c r="BQ725" s="4"/>
      <c r="BR725" s="8"/>
      <c r="BS725" s="7"/>
      <c r="BT725" s="7"/>
      <c r="BU725" s="2" t="s">
        <v>4018</v>
      </c>
      <c r="BV725" s="2" t="s">
        <v>233</v>
      </c>
      <c r="BW725" s="2" t="s">
        <v>233</v>
      </c>
      <c r="BX725" s="2" t="s">
        <v>3953</v>
      </c>
      <c r="BY725" s="2" t="s">
        <v>280</v>
      </c>
      <c r="BZ725" s="2" t="s">
        <v>245</v>
      </c>
      <c r="CA725" s="2" t="s">
        <v>3976</v>
      </c>
      <c r="CB725" s="2" t="s">
        <v>1332</v>
      </c>
      <c r="CC725" s="2" t="s">
        <v>246</v>
      </c>
      <c r="CD725" s="2" t="s">
        <v>233</v>
      </c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>
        <v>307</v>
      </c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</row>
    <row r="726">
      <c r="A726" s="2" t="s">
        <v>4019</v>
      </c>
      <c r="B726" s="2" t="s">
        <v>333</v>
      </c>
      <c r="C726" s="2" t="s">
        <v>1335</v>
      </c>
      <c r="D726" s="2" t="s">
        <v>335</v>
      </c>
      <c r="E726" s="2" t="s">
        <v>336</v>
      </c>
      <c r="F726" s="2" t="s">
        <v>3947</v>
      </c>
      <c r="G726" s="2" t="s">
        <v>3947</v>
      </c>
      <c r="H726" s="2" t="s">
        <v>3947</v>
      </c>
      <c r="I726" s="2" t="s">
        <v>338</v>
      </c>
      <c r="J726" s="2" t="s">
        <v>328</v>
      </c>
      <c r="K726" s="2" t="s">
        <v>4016</v>
      </c>
      <c r="L726" s="3">
        <v>28.98</v>
      </c>
      <c r="M726" s="3">
        <v>30.43</v>
      </c>
      <c r="N726" s="3">
        <v>64.99</v>
      </c>
      <c r="O726" s="2" t="s">
        <v>245</v>
      </c>
      <c r="P726" s="2" t="s">
        <v>272</v>
      </c>
      <c r="Q726" s="2" t="s">
        <v>239</v>
      </c>
      <c r="R726" s="2" t="s">
        <v>233</v>
      </c>
      <c r="S726" s="2" t="s">
        <v>4017</v>
      </c>
      <c r="T726" s="2" t="s">
        <v>3950</v>
      </c>
      <c r="U726" s="2" t="s">
        <v>233</v>
      </c>
      <c r="V726" s="2" t="s">
        <v>3951</v>
      </c>
      <c r="W726" s="2" t="s">
        <v>978</v>
      </c>
      <c r="X726" s="2" t="s">
        <v>233</v>
      </c>
      <c r="Y726" s="2" t="s">
        <v>3985</v>
      </c>
      <c r="Z726" s="4"/>
      <c r="AA726" s="4">
        <f>=ROUNDDOWN({0},0)</f>
      </c>
      <c r="AB726" s="5">
        <v>9</v>
      </c>
      <c r="AC726" s="2" t="s">
        <v>1341</v>
      </c>
      <c r="AD726" s="4">
        <v>97</v>
      </c>
      <c r="AE726" s="4">
        <v>97</v>
      </c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233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233</v>
      </c>
      <c r="AW726" s="8" t="s">
        <v>233</v>
      </c>
      <c r="AX726" s="4" t="s">
        <v>233</v>
      </c>
      <c r="AY726" s="8" t="s">
        <v>233</v>
      </c>
      <c r="AZ726" s="7" t="s">
        <v>233</v>
      </c>
      <c r="BA726" s="7" t="s">
        <v>233</v>
      </c>
      <c r="BB726" s="7"/>
      <c r="BC726" s="4" t="s">
        <v>233</v>
      </c>
      <c r="BD726" s="8" t="s">
        <v>233</v>
      </c>
      <c r="BE726" s="4" t="s">
        <v>233</v>
      </c>
      <c r="BF726" s="8" t="s">
        <v>233</v>
      </c>
      <c r="BG726" s="7" t="s">
        <v>233</v>
      </c>
      <c r="BH726" s="7" t="s">
        <v>233</v>
      </c>
      <c r="BI726" s="7"/>
      <c r="BJ726" s="4"/>
      <c r="BK726" s="8"/>
      <c r="BL726" s="2" t="s">
        <v>4020</v>
      </c>
      <c r="BM726" s="7"/>
      <c r="BN726" s="7"/>
      <c r="BO726" s="4"/>
      <c r="BP726" s="8"/>
      <c r="BQ726" s="4"/>
      <c r="BR726" s="8"/>
      <c r="BS726" s="7"/>
      <c r="BT726" s="7"/>
      <c r="BU726" s="2" t="s">
        <v>4021</v>
      </c>
      <c r="BV726" s="2" t="s">
        <v>233</v>
      </c>
      <c r="BW726" s="2" t="s">
        <v>233</v>
      </c>
      <c r="BX726" s="2" t="s">
        <v>3953</v>
      </c>
      <c r="BY726" s="2" t="s">
        <v>280</v>
      </c>
      <c r="BZ726" s="2" t="s">
        <v>245</v>
      </c>
      <c r="CA726" s="2" t="s">
        <v>3976</v>
      </c>
      <c r="CB726" s="2" t="s">
        <v>4022</v>
      </c>
      <c r="CC726" s="2" t="s">
        <v>246</v>
      </c>
      <c r="CD726" s="2" t="s">
        <v>233</v>
      </c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>
        <v>97</v>
      </c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</row>
    <row r="727">
      <c r="A727" s="2" t="s">
        <v>4023</v>
      </c>
      <c r="B727" s="2" t="s">
        <v>333</v>
      </c>
      <c r="C727" s="2" t="s">
        <v>1335</v>
      </c>
      <c r="D727" s="2" t="s">
        <v>335</v>
      </c>
      <c r="E727" s="2" t="s">
        <v>336</v>
      </c>
      <c r="F727" s="2" t="s">
        <v>3947</v>
      </c>
      <c r="G727" s="2" t="s">
        <v>3947</v>
      </c>
      <c r="H727" s="2" t="s">
        <v>3947</v>
      </c>
      <c r="I727" s="2" t="s">
        <v>338</v>
      </c>
      <c r="J727" s="2" t="s">
        <v>348</v>
      </c>
      <c r="K727" s="2" t="s">
        <v>4024</v>
      </c>
      <c r="L727" s="3">
        <v>24.3</v>
      </c>
      <c r="M727" s="3">
        <v>25.52</v>
      </c>
      <c r="N727" s="3">
        <v>54.99</v>
      </c>
      <c r="O727" s="2" t="s">
        <v>245</v>
      </c>
      <c r="P727" s="2" t="s">
        <v>741</v>
      </c>
      <c r="Q727" s="2" t="s">
        <v>239</v>
      </c>
      <c r="R727" s="2" t="s">
        <v>233</v>
      </c>
      <c r="S727" s="2" t="s">
        <v>4025</v>
      </c>
      <c r="T727" s="2" t="s">
        <v>3950</v>
      </c>
      <c r="U727" s="2" t="s">
        <v>233</v>
      </c>
      <c r="V727" s="2" t="s">
        <v>1340</v>
      </c>
      <c r="W727" s="2" t="s">
        <v>978</v>
      </c>
      <c r="X727" s="2" t="s">
        <v>233</v>
      </c>
      <c r="Y727" s="2" t="s">
        <v>4026</v>
      </c>
      <c r="Z727" s="4"/>
      <c r="AA727" s="4">
        <f>=ROUNDDOWN({0},0)</f>
      </c>
      <c r="AB727" s="5">
        <v>31</v>
      </c>
      <c r="AC727" s="2" t="s">
        <v>1341</v>
      </c>
      <c r="AD727" s="4">
        <v>309</v>
      </c>
      <c r="AE727" s="4">
        <v>309</v>
      </c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233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233</v>
      </c>
      <c r="AW727" s="8" t="s">
        <v>233</v>
      </c>
      <c r="AX727" s="4" t="s">
        <v>233</v>
      </c>
      <c r="AY727" s="8" t="s">
        <v>233</v>
      </c>
      <c r="AZ727" s="7" t="s">
        <v>233</v>
      </c>
      <c r="BA727" s="7" t="s">
        <v>233</v>
      </c>
      <c r="BB727" s="7"/>
      <c r="BC727" s="4" t="s">
        <v>233</v>
      </c>
      <c r="BD727" s="8" t="s">
        <v>233</v>
      </c>
      <c r="BE727" s="4" t="s">
        <v>233</v>
      </c>
      <c r="BF727" s="8" t="s">
        <v>233</v>
      </c>
      <c r="BG727" s="7" t="s">
        <v>233</v>
      </c>
      <c r="BH727" s="7" t="s">
        <v>233</v>
      </c>
      <c r="BI727" s="7"/>
      <c r="BJ727" s="4"/>
      <c r="BK727" s="8"/>
      <c r="BL727" s="2" t="s">
        <v>233</v>
      </c>
      <c r="BM727" s="7"/>
      <c r="BN727" s="7"/>
      <c r="BO727" s="4"/>
      <c r="BP727" s="8"/>
      <c r="BQ727" s="4"/>
      <c r="BR727" s="8"/>
      <c r="BS727" s="7"/>
      <c r="BT727" s="7"/>
      <c r="BU727" s="2" t="s">
        <v>4027</v>
      </c>
      <c r="BV727" s="2" t="s">
        <v>233</v>
      </c>
      <c r="BW727" s="2" t="s">
        <v>233</v>
      </c>
      <c r="BX727" s="2" t="s">
        <v>3953</v>
      </c>
      <c r="BY727" s="2" t="s">
        <v>280</v>
      </c>
      <c r="BZ727" s="2" t="s">
        <v>245</v>
      </c>
      <c r="CA727" s="2" t="s">
        <v>4010</v>
      </c>
      <c r="CB727" s="2" t="s">
        <v>4028</v>
      </c>
      <c r="CC727" s="2" t="s">
        <v>246</v>
      </c>
      <c r="CD727" s="2" t="s">
        <v>233</v>
      </c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>
        <v>309</v>
      </c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</row>
    <row r="728">
      <c r="A728" s="2" t="s">
        <v>4029</v>
      </c>
      <c r="B728" s="2" t="s">
        <v>333</v>
      </c>
      <c r="C728" s="2" t="s">
        <v>1335</v>
      </c>
      <c r="D728" s="2" t="s">
        <v>335</v>
      </c>
      <c r="E728" s="2" t="s">
        <v>336</v>
      </c>
      <c r="F728" s="2" t="s">
        <v>3947</v>
      </c>
      <c r="G728" s="2" t="s">
        <v>3947</v>
      </c>
      <c r="H728" s="2" t="s">
        <v>3947</v>
      </c>
      <c r="I728" s="2" t="s">
        <v>338</v>
      </c>
      <c r="J728" s="2" t="s">
        <v>328</v>
      </c>
      <c r="K728" s="2" t="s">
        <v>4024</v>
      </c>
      <c r="L728" s="3">
        <v>28.98</v>
      </c>
      <c r="M728" s="3">
        <v>30.43</v>
      </c>
      <c r="N728" s="3">
        <v>64.99</v>
      </c>
      <c r="O728" s="2" t="s">
        <v>245</v>
      </c>
      <c r="P728" s="2" t="s">
        <v>272</v>
      </c>
      <c r="Q728" s="2" t="s">
        <v>239</v>
      </c>
      <c r="R728" s="2" t="s">
        <v>233</v>
      </c>
      <c r="S728" s="2" t="s">
        <v>4025</v>
      </c>
      <c r="T728" s="2" t="s">
        <v>3950</v>
      </c>
      <c r="U728" s="2" t="s">
        <v>233</v>
      </c>
      <c r="V728" s="2" t="s">
        <v>1340</v>
      </c>
      <c r="W728" s="2" t="s">
        <v>978</v>
      </c>
      <c r="X728" s="2" t="s">
        <v>233</v>
      </c>
      <c r="Y728" s="2" t="s">
        <v>276</v>
      </c>
      <c r="Z728" s="4"/>
      <c r="AA728" s="4">
        <f>=ROUNDDOWN({0},0)</f>
      </c>
      <c r="AB728" s="5">
        <v>16</v>
      </c>
      <c r="AC728" s="2" t="s">
        <v>1341</v>
      </c>
      <c r="AD728" s="4">
        <v>168</v>
      </c>
      <c r="AE728" s="4">
        <v>168</v>
      </c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233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233</v>
      </c>
      <c r="AW728" s="8" t="s">
        <v>233</v>
      </c>
      <c r="AX728" s="4" t="s">
        <v>233</v>
      </c>
      <c r="AY728" s="8" t="s">
        <v>233</v>
      </c>
      <c r="AZ728" s="7" t="s">
        <v>233</v>
      </c>
      <c r="BA728" s="7" t="s">
        <v>233</v>
      </c>
      <c r="BB728" s="7"/>
      <c r="BC728" s="4" t="s">
        <v>233</v>
      </c>
      <c r="BD728" s="8" t="s">
        <v>233</v>
      </c>
      <c r="BE728" s="4" t="s">
        <v>233</v>
      </c>
      <c r="BF728" s="8" t="s">
        <v>233</v>
      </c>
      <c r="BG728" s="7" t="s">
        <v>233</v>
      </c>
      <c r="BH728" s="7" t="s">
        <v>233</v>
      </c>
      <c r="BI728" s="7"/>
      <c r="BJ728" s="4"/>
      <c r="BK728" s="8"/>
      <c r="BL728" s="2" t="s">
        <v>233</v>
      </c>
      <c r="BM728" s="7"/>
      <c r="BN728" s="7"/>
      <c r="BO728" s="4"/>
      <c r="BP728" s="8"/>
      <c r="BQ728" s="4"/>
      <c r="BR728" s="8"/>
      <c r="BS728" s="7"/>
      <c r="BT728" s="7"/>
      <c r="BU728" s="2" t="s">
        <v>4030</v>
      </c>
      <c r="BV728" s="2" t="s">
        <v>233</v>
      </c>
      <c r="BW728" s="2" t="s">
        <v>233</v>
      </c>
      <c r="BX728" s="2" t="s">
        <v>3953</v>
      </c>
      <c r="BY728" s="2" t="s">
        <v>280</v>
      </c>
      <c r="BZ728" s="2" t="s">
        <v>245</v>
      </c>
      <c r="CA728" s="2" t="s">
        <v>4010</v>
      </c>
      <c r="CB728" s="2" t="s">
        <v>4028</v>
      </c>
      <c r="CC728" s="2" t="s">
        <v>246</v>
      </c>
      <c r="CD728" s="2" t="s">
        <v>233</v>
      </c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>
        <v>168</v>
      </c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</row>
    <row r="729">
      <c r="A729" s="2" t="s">
        <v>4031</v>
      </c>
      <c r="B729" s="2" t="s">
        <v>333</v>
      </c>
      <c r="C729" s="2" t="s">
        <v>1335</v>
      </c>
      <c r="D729" s="2" t="s">
        <v>335</v>
      </c>
      <c r="E729" s="2" t="s">
        <v>336</v>
      </c>
      <c r="F729" s="2" t="s">
        <v>3947</v>
      </c>
      <c r="G729" s="2" t="s">
        <v>3947</v>
      </c>
      <c r="H729" s="2" t="s">
        <v>3947</v>
      </c>
      <c r="I729" s="2" t="s">
        <v>338</v>
      </c>
      <c r="J729" s="2" t="s">
        <v>546</v>
      </c>
      <c r="K729" s="2" t="s">
        <v>4024</v>
      </c>
      <c r="L729" s="3">
        <v>28.98</v>
      </c>
      <c r="M729" s="3">
        <v>30.43</v>
      </c>
      <c r="N729" s="3">
        <v>64.99</v>
      </c>
      <c r="O729" s="2" t="s">
        <v>245</v>
      </c>
      <c r="P729" s="2" t="s">
        <v>272</v>
      </c>
      <c r="Q729" s="2" t="s">
        <v>239</v>
      </c>
      <c r="R729" s="2" t="s">
        <v>233</v>
      </c>
      <c r="S729" s="2" t="s">
        <v>4025</v>
      </c>
      <c r="T729" s="2" t="s">
        <v>3950</v>
      </c>
      <c r="U729" s="2" t="s">
        <v>233</v>
      </c>
      <c r="V729" s="2" t="s">
        <v>1340</v>
      </c>
      <c r="W729" s="2" t="s">
        <v>978</v>
      </c>
      <c r="X729" s="2" t="s">
        <v>233</v>
      </c>
      <c r="Y729" s="2" t="s">
        <v>276</v>
      </c>
      <c r="Z729" s="4"/>
      <c r="AA729" s="4">
        <f>=ROUNDDOWN({0},0)</f>
      </c>
      <c r="AB729" s="5">
        <v>9</v>
      </c>
      <c r="AC729" s="2" t="s">
        <v>1341</v>
      </c>
      <c r="AD729" s="4">
        <v>96</v>
      </c>
      <c r="AE729" s="4">
        <v>96</v>
      </c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233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233</v>
      </c>
      <c r="AW729" s="8" t="s">
        <v>233</v>
      </c>
      <c r="AX729" s="4" t="s">
        <v>233</v>
      </c>
      <c r="AY729" s="8" t="s">
        <v>233</v>
      </c>
      <c r="AZ729" s="7" t="s">
        <v>233</v>
      </c>
      <c r="BA729" s="7" t="s">
        <v>233</v>
      </c>
      <c r="BB729" s="7"/>
      <c r="BC729" s="4" t="s">
        <v>233</v>
      </c>
      <c r="BD729" s="8" t="s">
        <v>233</v>
      </c>
      <c r="BE729" s="4" t="s">
        <v>233</v>
      </c>
      <c r="BF729" s="8" t="s">
        <v>233</v>
      </c>
      <c r="BG729" s="7" t="s">
        <v>233</v>
      </c>
      <c r="BH729" s="7" t="s">
        <v>233</v>
      </c>
      <c r="BI729" s="7"/>
      <c r="BJ729" s="4"/>
      <c r="BK729" s="8"/>
      <c r="BL729" s="2" t="s">
        <v>4032</v>
      </c>
      <c r="BM729" s="7"/>
      <c r="BN729" s="7"/>
      <c r="BO729" s="4"/>
      <c r="BP729" s="8"/>
      <c r="BQ729" s="4"/>
      <c r="BR729" s="8"/>
      <c r="BS729" s="7"/>
      <c r="BT729" s="7"/>
      <c r="BU729" s="2" t="s">
        <v>4033</v>
      </c>
      <c r="BV729" s="2" t="s">
        <v>233</v>
      </c>
      <c r="BW729" s="2" t="s">
        <v>233</v>
      </c>
      <c r="BX729" s="2" t="s">
        <v>3953</v>
      </c>
      <c r="BY729" s="2" t="s">
        <v>280</v>
      </c>
      <c r="BZ729" s="2" t="s">
        <v>245</v>
      </c>
      <c r="CA729" s="2" t="s">
        <v>4010</v>
      </c>
      <c r="CB729" s="2" t="s">
        <v>4034</v>
      </c>
      <c r="CC729" s="2" t="s">
        <v>246</v>
      </c>
      <c r="CD729" s="2" t="s">
        <v>233</v>
      </c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>
        <v>96</v>
      </c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</row>
    <row r="730">
      <c r="A730" s="2" t="s">
        <v>4035</v>
      </c>
      <c r="B730" s="2" t="s">
        <v>333</v>
      </c>
      <c r="C730" s="2" t="s">
        <v>1335</v>
      </c>
      <c r="D730" s="2" t="s">
        <v>335</v>
      </c>
      <c r="E730" s="2" t="s">
        <v>336</v>
      </c>
      <c r="F730" s="2" t="s">
        <v>3947</v>
      </c>
      <c r="G730" s="2" t="s">
        <v>3947</v>
      </c>
      <c r="H730" s="2" t="s">
        <v>3947</v>
      </c>
      <c r="I730" s="2" t="s">
        <v>338</v>
      </c>
      <c r="J730" s="2" t="s">
        <v>348</v>
      </c>
      <c r="K730" s="2" t="s">
        <v>2414</v>
      </c>
      <c r="L730" s="3">
        <v>24.3</v>
      </c>
      <c r="M730" s="3">
        <v>25.52</v>
      </c>
      <c r="N730" s="3">
        <v>54.99</v>
      </c>
      <c r="O730" s="2" t="s">
        <v>245</v>
      </c>
      <c r="P730" s="2" t="s">
        <v>1366</v>
      </c>
      <c r="Q730" s="2" t="s">
        <v>239</v>
      </c>
      <c r="R730" s="2" t="s">
        <v>233</v>
      </c>
      <c r="S730" s="2" t="s">
        <v>4036</v>
      </c>
      <c r="T730" s="2" t="s">
        <v>3950</v>
      </c>
      <c r="U730" s="2" t="s">
        <v>233</v>
      </c>
      <c r="V730" s="2" t="s">
        <v>1340</v>
      </c>
      <c r="W730" s="2" t="s">
        <v>978</v>
      </c>
      <c r="X730" s="2" t="s">
        <v>233</v>
      </c>
      <c r="Y730" s="2" t="s">
        <v>276</v>
      </c>
      <c r="Z730" s="4">
        <v>3</v>
      </c>
      <c r="AA730" s="4">
        <f>=ROUNDDOWN(0.0555555555555556,0)</f>
      </c>
      <c r="AB730" s="5">
        <v>54</v>
      </c>
      <c r="AC730" s="2" t="s">
        <v>1341</v>
      </c>
      <c r="AD730" s="4">
        <v>529</v>
      </c>
      <c r="AE730" s="4">
        <v>529</v>
      </c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233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233</v>
      </c>
      <c r="AW730" s="8" t="s">
        <v>233</v>
      </c>
      <c r="AX730" s="4" t="s">
        <v>233</v>
      </c>
      <c r="AY730" s="8" t="s">
        <v>233</v>
      </c>
      <c r="AZ730" s="7" t="s">
        <v>233</v>
      </c>
      <c r="BA730" s="7" t="s">
        <v>233</v>
      </c>
      <c r="BB730" s="7"/>
      <c r="BC730" s="4" t="s">
        <v>233</v>
      </c>
      <c r="BD730" s="8" t="s">
        <v>233</v>
      </c>
      <c r="BE730" s="4" t="s">
        <v>233</v>
      </c>
      <c r="BF730" s="8" t="s">
        <v>233</v>
      </c>
      <c r="BG730" s="7" t="s">
        <v>233</v>
      </c>
      <c r="BH730" s="7" t="s">
        <v>233</v>
      </c>
      <c r="BI730" s="7"/>
      <c r="BJ730" s="4"/>
      <c r="BK730" s="8"/>
      <c r="BL730" s="2" t="s">
        <v>233</v>
      </c>
      <c r="BM730" s="7"/>
      <c r="BN730" s="7"/>
      <c r="BO730" s="4"/>
      <c r="BP730" s="8"/>
      <c r="BQ730" s="4"/>
      <c r="BR730" s="8"/>
      <c r="BS730" s="7"/>
      <c r="BT730" s="7"/>
      <c r="BU730" s="2" t="s">
        <v>4037</v>
      </c>
      <c r="BV730" s="2" t="s">
        <v>233</v>
      </c>
      <c r="BW730" s="2" t="s">
        <v>233</v>
      </c>
      <c r="BX730" s="2" t="s">
        <v>3953</v>
      </c>
      <c r="BY730" s="2" t="s">
        <v>280</v>
      </c>
      <c r="BZ730" s="2" t="s">
        <v>245</v>
      </c>
      <c r="CA730" s="2" t="s">
        <v>4010</v>
      </c>
      <c r="CB730" s="2" t="s">
        <v>4028</v>
      </c>
      <c r="CC730" s="2" t="s">
        <v>246</v>
      </c>
      <c r="CD730" s="2" t="s">
        <v>233</v>
      </c>
      <c r="CE730" s="4">
        <v>3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>
        <v>529</v>
      </c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</row>
    <row r="731">
      <c r="A731" s="2" t="s">
        <v>4038</v>
      </c>
      <c r="B731" s="2" t="s">
        <v>333</v>
      </c>
      <c r="C731" s="2" t="s">
        <v>1335</v>
      </c>
      <c r="D731" s="2" t="s">
        <v>335</v>
      </c>
      <c r="E731" s="2" t="s">
        <v>336</v>
      </c>
      <c r="F731" s="2" t="s">
        <v>3947</v>
      </c>
      <c r="G731" s="2" t="s">
        <v>3947</v>
      </c>
      <c r="H731" s="2" t="s">
        <v>3947</v>
      </c>
      <c r="I731" s="2" t="s">
        <v>338</v>
      </c>
      <c r="J731" s="2" t="s">
        <v>328</v>
      </c>
      <c r="K731" s="2" t="s">
        <v>2414</v>
      </c>
      <c r="L731" s="3">
        <v>28.98</v>
      </c>
      <c r="M731" s="3">
        <v>30.43</v>
      </c>
      <c r="N731" s="3">
        <v>64.99</v>
      </c>
      <c r="O731" s="2" t="s">
        <v>245</v>
      </c>
      <c r="P731" s="2" t="s">
        <v>741</v>
      </c>
      <c r="Q731" s="2" t="s">
        <v>239</v>
      </c>
      <c r="R731" s="2" t="s">
        <v>233</v>
      </c>
      <c r="S731" s="2" t="s">
        <v>4036</v>
      </c>
      <c r="T731" s="2" t="s">
        <v>3950</v>
      </c>
      <c r="U731" s="2" t="s">
        <v>233</v>
      </c>
      <c r="V731" s="2" t="s">
        <v>1340</v>
      </c>
      <c r="W731" s="2" t="s">
        <v>978</v>
      </c>
      <c r="X731" s="2" t="s">
        <v>233</v>
      </c>
      <c r="Y731" s="2" t="s">
        <v>276</v>
      </c>
      <c r="Z731" s="4"/>
      <c r="AA731" s="4">
        <f>=ROUNDDOWN({0},0)</f>
      </c>
      <c r="AB731" s="5">
        <v>30</v>
      </c>
      <c r="AC731" s="2" t="s">
        <v>1341</v>
      </c>
      <c r="AD731" s="4">
        <v>295</v>
      </c>
      <c r="AE731" s="4">
        <v>295</v>
      </c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233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233</v>
      </c>
      <c r="AW731" s="8" t="s">
        <v>233</v>
      </c>
      <c r="AX731" s="4" t="s">
        <v>233</v>
      </c>
      <c r="AY731" s="8" t="s">
        <v>233</v>
      </c>
      <c r="AZ731" s="7" t="s">
        <v>233</v>
      </c>
      <c r="BA731" s="7" t="s">
        <v>233</v>
      </c>
      <c r="BB731" s="7"/>
      <c r="BC731" s="4" t="s">
        <v>233</v>
      </c>
      <c r="BD731" s="8" t="s">
        <v>233</v>
      </c>
      <c r="BE731" s="4" t="s">
        <v>233</v>
      </c>
      <c r="BF731" s="8" t="s">
        <v>233</v>
      </c>
      <c r="BG731" s="7" t="s">
        <v>233</v>
      </c>
      <c r="BH731" s="7" t="s">
        <v>233</v>
      </c>
      <c r="BI731" s="7"/>
      <c r="BJ731" s="4"/>
      <c r="BK731" s="8"/>
      <c r="BL731" s="2" t="s">
        <v>233</v>
      </c>
      <c r="BM731" s="7"/>
      <c r="BN731" s="7"/>
      <c r="BO731" s="4"/>
      <c r="BP731" s="8"/>
      <c r="BQ731" s="4"/>
      <c r="BR731" s="8"/>
      <c r="BS731" s="7"/>
      <c r="BT731" s="7"/>
      <c r="BU731" s="2" t="s">
        <v>4039</v>
      </c>
      <c r="BV731" s="2" t="s">
        <v>233</v>
      </c>
      <c r="BW731" s="2" t="s">
        <v>233</v>
      </c>
      <c r="BX731" s="2" t="s">
        <v>3953</v>
      </c>
      <c r="BY731" s="2" t="s">
        <v>280</v>
      </c>
      <c r="BZ731" s="2" t="s">
        <v>245</v>
      </c>
      <c r="CA731" s="2" t="s">
        <v>4010</v>
      </c>
      <c r="CB731" s="2" t="s">
        <v>4040</v>
      </c>
      <c r="CC731" s="2" t="s">
        <v>246</v>
      </c>
      <c r="CD731" s="2" t="s">
        <v>233</v>
      </c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>
        <v>295</v>
      </c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</row>
    <row r="732">
      <c r="A732" s="2" t="s">
        <v>4041</v>
      </c>
      <c r="B732" s="2" t="s">
        <v>333</v>
      </c>
      <c r="C732" s="2" t="s">
        <v>1335</v>
      </c>
      <c r="D732" s="2" t="s">
        <v>335</v>
      </c>
      <c r="E732" s="2" t="s">
        <v>336</v>
      </c>
      <c r="F732" s="2" t="s">
        <v>3947</v>
      </c>
      <c r="G732" s="2" t="s">
        <v>3947</v>
      </c>
      <c r="H732" s="2" t="s">
        <v>3947</v>
      </c>
      <c r="I732" s="2" t="s">
        <v>338</v>
      </c>
      <c r="J732" s="2" t="s">
        <v>270</v>
      </c>
      <c r="K732" s="2" t="s">
        <v>4042</v>
      </c>
      <c r="L732" s="3">
        <v>19.8</v>
      </c>
      <c r="M732" s="3">
        <v>20.79</v>
      </c>
      <c r="N732" s="3">
        <v>44.99</v>
      </c>
      <c r="O732" s="2" t="s">
        <v>245</v>
      </c>
      <c r="P732" s="2" t="s">
        <v>272</v>
      </c>
      <c r="Q732" s="2" t="s">
        <v>239</v>
      </c>
      <c r="R732" s="2" t="s">
        <v>233</v>
      </c>
      <c r="S732" s="2" t="s">
        <v>4043</v>
      </c>
      <c r="T732" s="2" t="s">
        <v>3950</v>
      </c>
      <c r="U732" s="2" t="s">
        <v>475</v>
      </c>
      <c r="V732" s="2" t="s">
        <v>3951</v>
      </c>
      <c r="W732" s="2" t="s">
        <v>978</v>
      </c>
      <c r="X732" s="2" t="s">
        <v>275</v>
      </c>
      <c r="Y732" s="2" t="s">
        <v>1604</v>
      </c>
      <c r="Z732" s="4">
        <v>54</v>
      </c>
      <c r="AA732" s="4">
        <f>=ROUNDDOWN(1.92857142857143,0)</f>
      </c>
      <c r="AB732" s="5">
        <v>28</v>
      </c>
      <c r="AC732" s="2" t="s">
        <v>1341</v>
      </c>
      <c r="AD732" s="4">
        <v>272</v>
      </c>
      <c r="AE732" s="4">
        <v>272</v>
      </c>
      <c r="AF732" s="6">
        <v>74</v>
      </c>
      <c r="AG732" s="6"/>
      <c r="AH732" s="7">
        <v>1</v>
      </c>
      <c r="AI732" s="4"/>
      <c r="AJ732" s="4">
        <f>=ROUNDDOWN({0},0)</f>
      </c>
      <c r="AK732" s="5"/>
      <c r="AL732" s="2" t="s">
        <v>233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233</v>
      </c>
      <c r="AW732" s="8" t="s">
        <v>233</v>
      </c>
      <c r="AX732" s="4" t="s">
        <v>233</v>
      </c>
      <c r="AY732" s="8" t="s">
        <v>233</v>
      </c>
      <c r="AZ732" s="7" t="s">
        <v>233</v>
      </c>
      <c r="BA732" s="7" t="s">
        <v>233</v>
      </c>
      <c r="BB732" s="7"/>
      <c r="BC732" s="4" t="s">
        <v>233</v>
      </c>
      <c r="BD732" s="8" t="s">
        <v>233</v>
      </c>
      <c r="BE732" s="4" t="s">
        <v>233</v>
      </c>
      <c r="BF732" s="8" t="s">
        <v>233</v>
      </c>
      <c r="BG732" s="7" t="s">
        <v>233</v>
      </c>
      <c r="BH732" s="7" t="s">
        <v>233</v>
      </c>
      <c r="BI732" s="7"/>
      <c r="BJ732" s="4">
        <v>1</v>
      </c>
      <c r="BK732" s="8">
        <v>21.13</v>
      </c>
      <c r="BL732" s="2" t="s">
        <v>1028</v>
      </c>
      <c r="BM732" s="7"/>
      <c r="BN732" s="7"/>
      <c r="BO732" s="4"/>
      <c r="BP732" s="8"/>
      <c r="BQ732" s="4"/>
      <c r="BR732" s="8"/>
      <c r="BS732" s="7"/>
      <c r="BT732" s="7"/>
      <c r="BU732" s="2" t="s">
        <v>4044</v>
      </c>
      <c r="BV732" s="2" t="s">
        <v>233</v>
      </c>
      <c r="BW732" s="2" t="s">
        <v>233</v>
      </c>
      <c r="BX732" s="2" t="s">
        <v>3953</v>
      </c>
      <c r="BY732" s="2" t="s">
        <v>280</v>
      </c>
      <c r="BZ732" s="2" t="s">
        <v>245</v>
      </c>
      <c r="CA732" s="2" t="s">
        <v>746</v>
      </c>
      <c r="CB732" s="2" t="s">
        <v>747</v>
      </c>
      <c r="CC732" s="2" t="s">
        <v>246</v>
      </c>
      <c r="CD732" s="2" t="s">
        <v>233</v>
      </c>
      <c r="CE732" s="4">
        <v>54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>
        <v>272</v>
      </c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</row>
    <row r="733">
      <c r="A733" s="2" t="s">
        <v>4045</v>
      </c>
      <c r="B733" s="2" t="s">
        <v>333</v>
      </c>
      <c r="C733" s="2" t="s">
        <v>1335</v>
      </c>
      <c r="D733" s="2" t="s">
        <v>335</v>
      </c>
      <c r="E733" s="2" t="s">
        <v>336</v>
      </c>
      <c r="F733" s="2" t="s">
        <v>3947</v>
      </c>
      <c r="G733" s="2" t="s">
        <v>3947</v>
      </c>
      <c r="H733" s="2" t="s">
        <v>3947</v>
      </c>
      <c r="I733" s="2" t="s">
        <v>338</v>
      </c>
      <c r="J733" s="2" t="s">
        <v>290</v>
      </c>
      <c r="K733" s="2" t="s">
        <v>4042</v>
      </c>
      <c r="L733" s="3">
        <v>21.78</v>
      </c>
      <c r="M733" s="3">
        <v>22.87</v>
      </c>
      <c r="N733" s="3">
        <v>49.99</v>
      </c>
      <c r="O733" s="2" t="s">
        <v>245</v>
      </c>
      <c r="P733" s="2" t="s">
        <v>741</v>
      </c>
      <c r="Q733" s="2" t="s">
        <v>239</v>
      </c>
      <c r="R733" s="2" t="s">
        <v>233</v>
      </c>
      <c r="S733" s="2" t="s">
        <v>4043</v>
      </c>
      <c r="T733" s="2" t="s">
        <v>3950</v>
      </c>
      <c r="U733" s="2" t="s">
        <v>342</v>
      </c>
      <c r="V733" s="2" t="s">
        <v>3951</v>
      </c>
      <c r="W733" s="2" t="s">
        <v>978</v>
      </c>
      <c r="X733" s="2" t="s">
        <v>275</v>
      </c>
      <c r="Y733" s="2" t="s">
        <v>1604</v>
      </c>
      <c r="Z733" s="4"/>
      <c r="AA733" s="4">
        <f>=ROUNDDOWN({0},0)</f>
      </c>
      <c r="AB733" s="5">
        <v>52</v>
      </c>
      <c r="AC733" s="2" t="s">
        <v>1341</v>
      </c>
      <c r="AD733" s="4">
        <v>504</v>
      </c>
      <c r="AE733" s="4">
        <v>504</v>
      </c>
      <c r="AF733" s="6">
        <v>74</v>
      </c>
      <c r="AG733" s="6"/>
      <c r="AH733" s="7">
        <v>0</v>
      </c>
      <c r="AI733" s="4"/>
      <c r="AJ733" s="4">
        <f>=ROUNDDOWN({0},0)</f>
      </c>
      <c r="AK733" s="5"/>
      <c r="AL733" s="2" t="s">
        <v>233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233</v>
      </c>
      <c r="AW733" s="8" t="s">
        <v>233</v>
      </c>
      <c r="AX733" s="4" t="s">
        <v>233</v>
      </c>
      <c r="AY733" s="8" t="s">
        <v>233</v>
      </c>
      <c r="AZ733" s="7" t="s">
        <v>233</v>
      </c>
      <c r="BA733" s="7" t="s">
        <v>233</v>
      </c>
      <c r="BB733" s="7"/>
      <c r="BC733" s="4" t="s">
        <v>233</v>
      </c>
      <c r="BD733" s="8" t="s">
        <v>233</v>
      </c>
      <c r="BE733" s="4" t="s">
        <v>233</v>
      </c>
      <c r="BF733" s="8" t="s">
        <v>233</v>
      </c>
      <c r="BG733" s="7" t="s">
        <v>233</v>
      </c>
      <c r="BH733" s="7" t="s">
        <v>233</v>
      </c>
      <c r="BI733" s="7"/>
      <c r="BJ733" s="4"/>
      <c r="BK733" s="8"/>
      <c r="BL733" s="2" t="s">
        <v>233</v>
      </c>
      <c r="BM733" s="7"/>
      <c r="BN733" s="7"/>
      <c r="BO733" s="4"/>
      <c r="BP733" s="8"/>
      <c r="BQ733" s="4"/>
      <c r="BR733" s="8"/>
      <c r="BS733" s="7"/>
      <c r="BT733" s="7"/>
      <c r="BU733" s="2" t="s">
        <v>4046</v>
      </c>
      <c r="BV733" s="2" t="s">
        <v>233</v>
      </c>
      <c r="BW733" s="2" t="s">
        <v>233</v>
      </c>
      <c r="BX733" s="2" t="s">
        <v>3953</v>
      </c>
      <c r="BY733" s="2" t="s">
        <v>280</v>
      </c>
      <c r="BZ733" s="2" t="s">
        <v>245</v>
      </c>
      <c r="CA733" s="2" t="s">
        <v>746</v>
      </c>
      <c r="CB733" s="2" t="s">
        <v>2373</v>
      </c>
      <c r="CC733" s="2" t="s">
        <v>246</v>
      </c>
      <c r="CD733" s="2" t="s">
        <v>233</v>
      </c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>
        <v>504</v>
      </c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</row>
    <row r="734">
      <c r="A734" s="2" t="s">
        <v>4047</v>
      </c>
      <c r="B734" s="2" t="s">
        <v>333</v>
      </c>
      <c r="C734" s="2" t="s">
        <v>1335</v>
      </c>
      <c r="D734" s="2" t="s">
        <v>335</v>
      </c>
      <c r="E734" s="2" t="s">
        <v>336</v>
      </c>
      <c r="F734" s="2" t="s">
        <v>3947</v>
      </c>
      <c r="G734" s="2" t="s">
        <v>3947</v>
      </c>
      <c r="H734" s="2" t="s">
        <v>3947</v>
      </c>
      <c r="I734" s="2" t="s">
        <v>338</v>
      </c>
      <c r="J734" s="2" t="s">
        <v>348</v>
      </c>
      <c r="K734" s="2" t="s">
        <v>4042</v>
      </c>
      <c r="L734" s="3">
        <v>24.3</v>
      </c>
      <c r="M734" s="3">
        <v>25.52</v>
      </c>
      <c r="N734" s="3">
        <v>54.99</v>
      </c>
      <c r="O734" s="2" t="s">
        <v>245</v>
      </c>
      <c r="P734" s="2" t="s">
        <v>741</v>
      </c>
      <c r="Q734" s="2" t="s">
        <v>239</v>
      </c>
      <c r="R734" s="2" t="s">
        <v>233</v>
      </c>
      <c r="S734" s="2" t="s">
        <v>4043</v>
      </c>
      <c r="T734" s="2" t="s">
        <v>3950</v>
      </c>
      <c r="U734" s="2" t="s">
        <v>342</v>
      </c>
      <c r="V734" s="2" t="s">
        <v>3951</v>
      </c>
      <c r="W734" s="2" t="s">
        <v>978</v>
      </c>
      <c r="X734" s="2" t="s">
        <v>275</v>
      </c>
      <c r="Y734" s="2" t="s">
        <v>1604</v>
      </c>
      <c r="Z734" s="4"/>
      <c r="AA734" s="4">
        <f>=ROUNDDOWN({0},0)</f>
      </c>
      <c r="AB734" s="5">
        <v>86</v>
      </c>
      <c r="AC734" s="2" t="s">
        <v>1341</v>
      </c>
      <c r="AD734" s="4">
        <v>829</v>
      </c>
      <c r="AE734" s="4">
        <v>829</v>
      </c>
      <c r="AF734" s="6">
        <v>74</v>
      </c>
      <c r="AG734" s="6"/>
      <c r="AH734" s="7">
        <v>0</v>
      </c>
      <c r="AI734" s="4"/>
      <c r="AJ734" s="4">
        <f>=ROUNDDOWN({0},0)</f>
      </c>
      <c r="AK734" s="5"/>
      <c r="AL734" s="2" t="s">
        <v>233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233</v>
      </c>
      <c r="AW734" s="8" t="s">
        <v>233</v>
      </c>
      <c r="AX734" s="4" t="s">
        <v>233</v>
      </c>
      <c r="AY734" s="8" t="s">
        <v>233</v>
      </c>
      <c r="AZ734" s="7" t="s">
        <v>233</v>
      </c>
      <c r="BA734" s="7" t="s">
        <v>233</v>
      </c>
      <c r="BB734" s="7"/>
      <c r="BC734" s="4" t="s">
        <v>233</v>
      </c>
      <c r="BD734" s="8" t="s">
        <v>233</v>
      </c>
      <c r="BE734" s="4" t="s">
        <v>233</v>
      </c>
      <c r="BF734" s="8" t="s">
        <v>233</v>
      </c>
      <c r="BG734" s="7" t="s">
        <v>233</v>
      </c>
      <c r="BH734" s="7" t="s">
        <v>233</v>
      </c>
      <c r="BI734" s="7"/>
      <c r="BJ734" s="4"/>
      <c r="BK734" s="8"/>
      <c r="BL734" s="2" t="s">
        <v>233</v>
      </c>
      <c r="BM734" s="7"/>
      <c r="BN734" s="7"/>
      <c r="BO734" s="4"/>
      <c r="BP734" s="8"/>
      <c r="BQ734" s="4"/>
      <c r="BR734" s="8"/>
      <c r="BS734" s="7"/>
      <c r="BT734" s="7"/>
      <c r="BU734" s="2" t="s">
        <v>4048</v>
      </c>
      <c r="BV734" s="2" t="s">
        <v>233</v>
      </c>
      <c r="BW734" s="2" t="s">
        <v>233</v>
      </c>
      <c r="BX734" s="2" t="s">
        <v>3953</v>
      </c>
      <c r="BY734" s="2" t="s">
        <v>280</v>
      </c>
      <c r="BZ734" s="2" t="s">
        <v>245</v>
      </c>
      <c r="CA734" s="2" t="s">
        <v>746</v>
      </c>
      <c r="CB734" s="2" t="s">
        <v>4049</v>
      </c>
      <c r="CC734" s="2" t="s">
        <v>246</v>
      </c>
      <c r="CD734" s="2" t="s">
        <v>233</v>
      </c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>
        <v>829</v>
      </c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</row>
    <row r="735">
      <c r="A735" s="2" t="s">
        <v>4050</v>
      </c>
      <c r="B735" s="2" t="s">
        <v>333</v>
      </c>
      <c r="C735" s="2" t="s">
        <v>1335</v>
      </c>
      <c r="D735" s="2" t="s">
        <v>335</v>
      </c>
      <c r="E735" s="2" t="s">
        <v>336</v>
      </c>
      <c r="F735" s="2" t="s">
        <v>3947</v>
      </c>
      <c r="G735" s="2" t="s">
        <v>3947</v>
      </c>
      <c r="H735" s="2" t="s">
        <v>3947</v>
      </c>
      <c r="I735" s="2" t="s">
        <v>338</v>
      </c>
      <c r="J735" s="2" t="s">
        <v>328</v>
      </c>
      <c r="K735" s="2" t="s">
        <v>4042</v>
      </c>
      <c r="L735" s="3">
        <v>28.98</v>
      </c>
      <c r="M735" s="3">
        <v>30.43</v>
      </c>
      <c r="N735" s="3">
        <v>64.99</v>
      </c>
      <c r="O735" s="2" t="s">
        <v>245</v>
      </c>
      <c r="P735" s="2" t="s">
        <v>741</v>
      </c>
      <c r="Q735" s="2" t="s">
        <v>239</v>
      </c>
      <c r="R735" s="2" t="s">
        <v>233</v>
      </c>
      <c r="S735" s="2" t="s">
        <v>4043</v>
      </c>
      <c r="T735" s="2" t="s">
        <v>3950</v>
      </c>
      <c r="U735" s="2" t="s">
        <v>342</v>
      </c>
      <c r="V735" s="2" t="s">
        <v>3951</v>
      </c>
      <c r="W735" s="2" t="s">
        <v>978</v>
      </c>
      <c r="X735" s="2" t="s">
        <v>275</v>
      </c>
      <c r="Y735" s="2" t="s">
        <v>1604</v>
      </c>
      <c r="Z735" s="4"/>
      <c r="AA735" s="4">
        <f>=ROUNDDOWN({0},0)</f>
      </c>
      <c r="AB735" s="5">
        <v>34</v>
      </c>
      <c r="AC735" s="2" t="s">
        <v>1341</v>
      </c>
      <c r="AD735" s="4">
        <v>341</v>
      </c>
      <c r="AE735" s="4">
        <v>341</v>
      </c>
      <c r="AF735" s="6">
        <v>74</v>
      </c>
      <c r="AG735" s="6"/>
      <c r="AH735" s="7">
        <v>0</v>
      </c>
      <c r="AI735" s="4"/>
      <c r="AJ735" s="4">
        <f>=ROUNDDOWN({0},0)</f>
      </c>
      <c r="AK735" s="5"/>
      <c r="AL735" s="2" t="s">
        <v>233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233</v>
      </c>
      <c r="AW735" s="8" t="s">
        <v>233</v>
      </c>
      <c r="AX735" s="4" t="s">
        <v>233</v>
      </c>
      <c r="AY735" s="8" t="s">
        <v>233</v>
      </c>
      <c r="AZ735" s="7" t="s">
        <v>233</v>
      </c>
      <c r="BA735" s="7" t="s">
        <v>233</v>
      </c>
      <c r="BB735" s="7"/>
      <c r="BC735" s="4" t="s">
        <v>233</v>
      </c>
      <c r="BD735" s="8" t="s">
        <v>233</v>
      </c>
      <c r="BE735" s="4" t="s">
        <v>233</v>
      </c>
      <c r="BF735" s="8" t="s">
        <v>233</v>
      </c>
      <c r="BG735" s="7" t="s">
        <v>233</v>
      </c>
      <c r="BH735" s="7" t="s">
        <v>233</v>
      </c>
      <c r="BI735" s="7"/>
      <c r="BJ735" s="4"/>
      <c r="BK735" s="8"/>
      <c r="BL735" s="2" t="s">
        <v>233</v>
      </c>
      <c r="BM735" s="7"/>
      <c r="BN735" s="7"/>
      <c r="BO735" s="4"/>
      <c r="BP735" s="8"/>
      <c r="BQ735" s="4"/>
      <c r="BR735" s="8"/>
      <c r="BS735" s="7"/>
      <c r="BT735" s="7"/>
      <c r="BU735" s="2" t="s">
        <v>4051</v>
      </c>
      <c r="BV735" s="2" t="s">
        <v>233</v>
      </c>
      <c r="BW735" s="2" t="s">
        <v>233</v>
      </c>
      <c r="BX735" s="2" t="s">
        <v>3953</v>
      </c>
      <c r="BY735" s="2" t="s">
        <v>280</v>
      </c>
      <c r="BZ735" s="2" t="s">
        <v>245</v>
      </c>
      <c r="CA735" s="2" t="s">
        <v>746</v>
      </c>
      <c r="CB735" s="2" t="s">
        <v>4049</v>
      </c>
      <c r="CC735" s="2" t="s">
        <v>246</v>
      </c>
      <c r="CD735" s="2" t="s">
        <v>233</v>
      </c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>
        <v>341</v>
      </c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</row>
    <row r="736">
      <c r="A736" s="2" t="s">
        <v>4052</v>
      </c>
      <c r="B736" s="2" t="s">
        <v>333</v>
      </c>
      <c r="C736" s="2" t="s">
        <v>1335</v>
      </c>
      <c r="D736" s="2" t="s">
        <v>335</v>
      </c>
      <c r="E736" s="2" t="s">
        <v>336</v>
      </c>
      <c r="F736" s="2" t="s">
        <v>3947</v>
      </c>
      <c r="G736" s="2" t="s">
        <v>3947</v>
      </c>
      <c r="H736" s="2" t="s">
        <v>3947</v>
      </c>
      <c r="I736" s="2" t="s">
        <v>338</v>
      </c>
      <c r="J736" s="2" t="s">
        <v>546</v>
      </c>
      <c r="K736" s="2" t="s">
        <v>4042</v>
      </c>
      <c r="L736" s="3">
        <v>28.98</v>
      </c>
      <c r="M736" s="3">
        <v>30.43</v>
      </c>
      <c r="N736" s="3">
        <v>64.99</v>
      </c>
      <c r="O736" s="2" t="s">
        <v>245</v>
      </c>
      <c r="P736" s="2" t="s">
        <v>272</v>
      </c>
      <c r="Q736" s="2" t="s">
        <v>239</v>
      </c>
      <c r="R736" s="2" t="s">
        <v>233</v>
      </c>
      <c r="S736" s="2" t="s">
        <v>4043</v>
      </c>
      <c r="T736" s="2" t="s">
        <v>3950</v>
      </c>
      <c r="U736" s="2" t="s">
        <v>342</v>
      </c>
      <c r="V736" s="2" t="s">
        <v>3951</v>
      </c>
      <c r="W736" s="2" t="s">
        <v>978</v>
      </c>
      <c r="X736" s="2" t="s">
        <v>275</v>
      </c>
      <c r="Y736" s="2" t="s">
        <v>1604</v>
      </c>
      <c r="Z736" s="4">
        <v>1</v>
      </c>
      <c r="AA736" s="4">
        <f>=ROUNDDOWN(0.0769230769230769,0)</f>
      </c>
      <c r="AB736" s="5">
        <v>13</v>
      </c>
      <c r="AC736" s="2" t="s">
        <v>1341</v>
      </c>
      <c r="AD736" s="4">
        <v>136</v>
      </c>
      <c r="AE736" s="4">
        <v>136</v>
      </c>
      <c r="AF736" s="6">
        <v>74</v>
      </c>
      <c r="AG736" s="6"/>
      <c r="AH736" s="7">
        <v>0</v>
      </c>
      <c r="AI736" s="4"/>
      <c r="AJ736" s="4">
        <f>=ROUNDDOWN({0},0)</f>
      </c>
      <c r="AK736" s="5"/>
      <c r="AL736" s="2" t="s">
        <v>233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233</v>
      </c>
      <c r="AW736" s="8" t="s">
        <v>233</v>
      </c>
      <c r="AX736" s="4" t="s">
        <v>233</v>
      </c>
      <c r="AY736" s="8" t="s">
        <v>233</v>
      </c>
      <c r="AZ736" s="7" t="s">
        <v>233</v>
      </c>
      <c r="BA736" s="7" t="s">
        <v>233</v>
      </c>
      <c r="BB736" s="7"/>
      <c r="BC736" s="4" t="s">
        <v>233</v>
      </c>
      <c r="BD736" s="8" t="s">
        <v>233</v>
      </c>
      <c r="BE736" s="4" t="s">
        <v>233</v>
      </c>
      <c r="BF736" s="8" t="s">
        <v>233</v>
      </c>
      <c r="BG736" s="7" t="s">
        <v>233</v>
      </c>
      <c r="BH736" s="7" t="s">
        <v>233</v>
      </c>
      <c r="BI736" s="7"/>
      <c r="BJ736" s="4"/>
      <c r="BK736" s="8"/>
      <c r="BL736" s="2" t="s">
        <v>233</v>
      </c>
      <c r="BM736" s="7"/>
      <c r="BN736" s="7"/>
      <c r="BO736" s="4"/>
      <c r="BP736" s="8"/>
      <c r="BQ736" s="4"/>
      <c r="BR736" s="8"/>
      <c r="BS736" s="7"/>
      <c r="BT736" s="7"/>
      <c r="BU736" s="2" t="s">
        <v>4053</v>
      </c>
      <c r="BV736" s="2" t="s">
        <v>233</v>
      </c>
      <c r="BW736" s="2" t="s">
        <v>233</v>
      </c>
      <c r="BX736" s="2" t="s">
        <v>3953</v>
      </c>
      <c r="BY736" s="2" t="s">
        <v>280</v>
      </c>
      <c r="BZ736" s="2" t="s">
        <v>245</v>
      </c>
      <c r="CA736" s="2" t="s">
        <v>746</v>
      </c>
      <c r="CB736" s="2" t="s">
        <v>4049</v>
      </c>
      <c r="CC736" s="2" t="s">
        <v>246</v>
      </c>
      <c r="CD736" s="2" t="s">
        <v>233</v>
      </c>
      <c r="CE736" s="4">
        <v>1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>
        <v>136</v>
      </c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</row>
    <row r="737">
      <c r="A737" s="2" t="s">
        <v>4054</v>
      </c>
      <c r="B737" s="2" t="s">
        <v>333</v>
      </c>
      <c r="C737" s="2" t="s">
        <v>1335</v>
      </c>
      <c r="D737" s="2" t="s">
        <v>335</v>
      </c>
      <c r="E737" s="2" t="s">
        <v>336</v>
      </c>
      <c r="F737" s="2" t="s">
        <v>3947</v>
      </c>
      <c r="G737" s="2" t="s">
        <v>3947</v>
      </c>
      <c r="H737" s="2" t="s">
        <v>3947</v>
      </c>
      <c r="I737" s="2" t="s">
        <v>338</v>
      </c>
      <c r="J737" s="2" t="s">
        <v>348</v>
      </c>
      <c r="K737" s="2" t="s">
        <v>4055</v>
      </c>
      <c r="L737" s="3">
        <v>24.3</v>
      </c>
      <c r="M737" s="3">
        <v>25.52</v>
      </c>
      <c r="N737" s="3">
        <v>54.99</v>
      </c>
      <c r="O737" s="2" t="s">
        <v>245</v>
      </c>
      <c r="P737" s="2" t="s">
        <v>272</v>
      </c>
      <c r="Q737" s="2" t="s">
        <v>239</v>
      </c>
      <c r="R737" s="2" t="s">
        <v>233</v>
      </c>
      <c r="S737" s="2" t="s">
        <v>3995</v>
      </c>
      <c r="T737" s="2" t="s">
        <v>3950</v>
      </c>
      <c r="U737" s="2" t="s">
        <v>342</v>
      </c>
      <c r="V737" s="2" t="s">
        <v>3951</v>
      </c>
      <c r="W737" s="2" t="s">
        <v>978</v>
      </c>
      <c r="X737" s="2" t="s">
        <v>233</v>
      </c>
      <c r="Y737" s="2" t="s">
        <v>3996</v>
      </c>
      <c r="Z737" s="4"/>
      <c r="AA737" s="4">
        <f>=ROUNDDOWN({0},0)</f>
      </c>
      <c r="AB737" s="5">
        <v>20</v>
      </c>
      <c r="AC737" s="2" t="s">
        <v>1341</v>
      </c>
      <c r="AD737" s="4">
        <v>206</v>
      </c>
      <c r="AE737" s="4">
        <v>206</v>
      </c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233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233</v>
      </c>
      <c r="AW737" s="8" t="s">
        <v>233</v>
      </c>
      <c r="AX737" s="4" t="s">
        <v>233</v>
      </c>
      <c r="AY737" s="8" t="s">
        <v>233</v>
      </c>
      <c r="AZ737" s="7" t="s">
        <v>233</v>
      </c>
      <c r="BA737" s="7" t="s">
        <v>233</v>
      </c>
      <c r="BB737" s="7"/>
      <c r="BC737" s="4" t="s">
        <v>233</v>
      </c>
      <c r="BD737" s="8" t="s">
        <v>233</v>
      </c>
      <c r="BE737" s="4" t="s">
        <v>233</v>
      </c>
      <c r="BF737" s="8" t="s">
        <v>233</v>
      </c>
      <c r="BG737" s="7" t="s">
        <v>233</v>
      </c>
      <c r="BH737" s="7" t="s">
        <v>233</v>
      </c>
      <c r="BI737" s="7"/>
      <c r="BJ737" s="4"/>
      <c r="BK737" s="8"/>
      <c r="BL737" s="2" t="s">
        <v>3928</v>
      </c>
      <c r="BM737" s="7"/>
      <c r="BN737" s="7"/>
      <c r="BO737" s="4"/>
      <c r="BP737" s="8"/>
      <c r="BQ737" s="4"/>
      <c r="BR737" s="8"/>
      <c r="BS737" s="7"/>
      <c r="BT737" s="7"/>
      <c r="BU737" s="2" t="s">
        <v>4056</v>
      </c>
      <c r="BV737" s="2" t="s">
        <v>233</v>
      </c>
      <c r="BW737" s="2" t="s">
        <v>233</v>
      </c>
      <c r="BX737" s="2" t="s">
        <v>3953</v>
      </c>
      <c r="BY737" s="2" t="s">
        <v>280</v>
      </c>
      <c r="BZ737" s="2" t="s">
        <v>245</v>
      </c>
      <c r="CA737" s="2" t="s">
        <v>3999</v>
      </c>
      <c r="CB737" s="2" t="s">
        <v>4057</v>
      </c>
      <c r="CC737" s="2" t="s">
        <v>246</v>
      </c>
      <c r="CD737" s="2" t="s">
        <v>233</v>
      </c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>
        <v>206</v>
      </c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</row>
    <row r="738">
      <c r="A738" s="2" t="s">
        <v>4058</v>
      </c>
      <c r="B738" s="2" t="s">
        <v>333</v>
      </c>
      <c r="C738" s="2" t="s">
        <v>1335</v>
      </c>
      <c r="D738" s="2" t="s">
        <v>335</v>
      </c>
      <c r="E738" s="2" t="s">
        <v>336</v>
      </c>
      <c r="F738" s="2" t="s">
        <v>3947</v>
      </c>
      <c r="G738" s="2" t="s">
        <v>3947</v>
      </c>
      <c r="H738" s="2" t="s">
        <v>3947</v>
      </c>
      <c r="I738" s="2" t="s">
        <v>338</v>
      </c>
      <c r="J738" s="2" t="s">
        <v>328</v>
      </c>
      <c r="K738" s="2" t="s">
        <v>4055</v>
      </c>
      <c r="L738" s="3">
        <v>28.98</v>
      </c>
      <c r="M738" s="3">
        <v>30.43</v>
      </c>
      <c r="N738" s="3">
        <v>64.99</v>
      </c>
      <c r="O738" s="2" t="s">
        <v>245</v>
      </c>
      <c r="P738" s="2" t="s">
        <v>272</v>
      </c>
      <c r="Q738" s="2" t="s">
        <v>239</v>
      </c>
      <c r="R738" s="2" t="s">
        <v>233</v>
      </c>
      <c r="S738" s="2" t="s">
        <v>3995</v>
      </c>
      <c r="T738" s="2" t="s">
        <v>3950</v>
      </c>
      <c r="U738" s="2" t="s">
        <v>342</v>
      </c>
      <c r="V738" s="2" t="s">
        <v>3951</v>
      </c>
      <c r="W738" s="2" t="s">
        <v>978</v>
      </c>
      <c r="X738" s="2" t="s">
        <v>233</v>
      </c>
      <c r="Y738" s="2" t="s">
        <v>3996</v>
      </c>
      <c r="Z738" s="4"/>
      <c r="AA738" s="4">
        <f>=ROUNDDOWN({0},0)</f>
      </c>
      <c r="AB738" s="5">
        <v>8</v>
      </c>
      <c r="AC738" s="2" t="s">
        <v>1341</v>
      </c>
      <c r="AD738" s="4">
        <v>87</v>
      </c>
      <c r="AE738" s="4">
        <v>87</v>
      </c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233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233</v>
      </c>
      <c r="AW738" s="8" t="s">
        <v>233</v>
      </c>
      <c r="AX738" s="4" t="s">
        <v>233</v>
      </c>
      <c r="AY738" s="8" t="s">
        <v>233</v>
      </c>
      <c r="AZ738" s="7" t="s">
        <v>233</v>
      </c>
      <c r="BA738" s="7" t="s">
        <v>233</v>
      </c>
      <c r="BB738" s="7"/>
      <c r="BC738" s="4" t="s">
        <v>233</v>
      </c>
      <c r="BD738" s="8" t="s">
        <v>233</v>
      </c>
      <c r="BE738" s="4" t="s">
        <v>233</v>
      </c>
      <c r="BF738" s="8" t="s">
        <v>233</v>
      </c>
      <c r="BG738" s="7" t="s">
        <v>233</v>
      </c>
      <c r="BH738" s="7" t="s">
        <v>233</v>
      </c>
      <c r="BI738" s="7"/>
      <c r="BJ738" s="4"/>
      <c r="BK738" s="8"/>
      <c r="BL738" s="2" t="s">
        <v>4059</v>
      </c>
      <c r="BM738" s="7"/>
      <c r="BN738" s="7"/>
      <c r="BO738" s="4"/>
      <c r="BP738" s="8"/>
      <c r="BQ738" s="4"/>
      <c r="BR738" s="8"/>
      <c r="BS738" s="7"/>
      <c r="BT738" s="7"/>
      <c r="BU738" s="2" t="s">
        <v>4060</v>
      </c>
      <c r="BV738" s="2" t="s">
        <v>233</v>
      </c>
      <c r="BW738" s="2" t="s">
        <v>233</v>
      </c>
      <c r="BX738" s="2" t="s">
        <v>3953</v>
      </c>
      <c r="BY738" s="2" t="s">
        <v>280</v>
      </c>
      <c r="BZ738" s="2" t="s">
        <v>245</v>
      </c>
      <c r="CA738" s="2" t="s">
        <v>4061</v>
      </c>
      <c r="CB738" s="2" t="s">
        <v>4062</v>
      </c>
      <c r="CC738" s="2" t="s">
        <v>246</v>
      </c>
      <c r="CD738" s="2" t="s">
        <v>233</v>
      </c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>
        <v>87</v>
      </c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</row>
    <row r="739">
      <c r="A739" s="2" t="s">
        <v>4063</v>
      </c>
      <c r="B739" s="2" t="s">
        <v>333</v>
      </c>
      <c r="C739" s="2" t="s">
        <v>1335</v>
      </c>
      <c r="D739" s="2" t="s">
        <v>335</v>
      </c>
      <c r="E739" s="2" t="s">
        <v>336</v>
      </c>
      <c r="F739" s="2" t="s">
        <v>3947</v>
      </c>
      <c r="G739" s="2" t="s">
        <v>3947</v>
      </c>
      <c r="H739" s="2" t="s">
        <v>3947</v>
      </c>
      <c r="I739" s="2" t="s">
        <v>338</v>
      </c>
      <c r="J739" s="2" t="s">
        <v>546</v>
      </c>
      <c r="K739" s="2" t="s">
        <v>4055</v>
      </c>
      <c r="L739" s="3">
        <v>28.98</v>
      </c>
      <c r="M739" s="3">
        <v>30.43</v>
      </c>
      <c r="N739" s="3">
        <v>64.99</v>
      </c>
      <c r="O739" s="2" t="s">
        <v>245</v>
      </c>
      <c r="P739" s="2" t="s">
        <v>272</v>
      </c>
      <c r="Q739" s="2" t="s">
        <v>239</v>
      </c>
      <c r="R739" s="2" t="s">
        <v>233</v>
      </c>
      <c r="S739" s="2" t="s">
        <v>3995</v>
      </c>
      <c r="T739" s="2" t="s">
        <v>3950</v>
      </c>
      <c r="U739" s="2" t="s">
        <v>342</v>
      </c>
      <c r="V739" s="2" t="s">
        <v>3951</v>
      </c>
      <c r="W739" s="2" t="s">
        <v>978</v>
      </c>
      <c r="X739" s="2" t="s">
        <v>233</v>
      </c>
      <c r="Y739" s="2" t="s">
        <v>3996</v>
      </c>
      <c r="Z739" s="4"/>
      <c r="AA739" s="4">
        <f>=ROUNDDOWN({0},0)</f>
      </c>
      <c r="AB739" s="5">
        <v>6</v>
      </c>
      <c r="AC739" s="2" t="s">
        <v>1341</v>
      </c>
      <c r="AD739" s="4">
        <v>74</v>
      </c>
      <c r="AE739" s="4">
        <v>74</v>
      </c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233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233</v>
      </c>
      <c r="AW739" s="8" t="s">
        <v>233</v>
      </c>
      <c r="AX739" s="4" t="s">
        <v>233</v>
      </c>
      <c r="AY739" s="8" t="s">
        <v>233</v>
      </c>
      <c r="AZ739" s="7" t="s">
        <v>233</v>
      </c>
      <c r="BA739" s="7" t="s">
        <v>233</v>
      </c>
      <c r="BB739" s="7"/>
      <c r="BC739" s="4" t="s">
        <v>233</v>
      </c>
      <c r="BD739" s="8" t="s">
        <v>233</v>
      </c>
      <c r="BE739" s="4" t="s">
        <v>233</v>
      </c>
      <c r="BF739" s="8" t="s">
        <v>233</v>
      </c>
      <c r="BG739" s="7" t="s">
        <v>233</v>
      </c>
      <c r="BH739" s="7" t="s">
        <v>233</v>
      </c>
      <c r="BI739" s="7"/>
      <c r="BJ739" s="4"/>
      <c r="BK739" s="8"/>
      <c r="BL739" s="2" t="s">
        <v>4064</v>
      </c>
      <c r="BM739" s="7"/>
      <c r="BN739" s="7"/>
      <c r="BO739" s="4"/>
      <c r="BP739" s="8"/>
      <c r="BQ739" s="4"/>
      <c r="BR739" s="8"/>
      <c r="BS739" s="7"/>
      <c r="BT739" s="7"/>
      <c r="BU739" s="2" t="s">
        <v>4065</v>
      </c>
      <c r="BV739" s="2" t="s">
        <v>233</v>
      </c>
      <c r="BW739" s="2" t="s">
        <v>233</v>
      </c>
      <c r="BX739" s="2" t="s">
        <v>3953</v>
      </c>
      <c r="BY739" s="2" t="s">
        <v>280</v>
      </c>
      <c r="BZ739" s="2" t="s">
        <v>245</v>
      </c>
      <c r="CA739" s="2" t="s">
        <v>4061</v>
      </c>
      <c r="CB739" s="2" t="s">
        <v>4066</v>
      </c>
      <c r="CC739" s="2" t="s">
        <v>246</v>
      </c>
      <c r="CD739" s="2" t="s">
        <v>233</v>
      </c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>
        <v>74</v>
      </c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</row>
    <row r="740">
      <c r="A740" s="2" t="s">
        <v>4067</v>
      </c>
      <c r="B740" s="2" t="s">
        <v>333</v>
      </c>
      <c r="C740" s="2" t="s">
        <v>1335</v>
      </c>
      <c r="D740" s="2" t="s">
        <v>335</v>
      </c>
      <c r="E740" s="2" t="s">
        <v>336</v>
      </c>
      <c r="F740" s="2" t="s">
        <v>3947</v>
      </c>
      <c r="G740" s="2" t="s">
        <v>3947</v>
      </c>
      <c r="H740" s="2" t="s">
        <v>3947</v>
      </c>
      <c r="I740" s="2" t="s">
        <v>338</v>
      </c>
      <c r="J740" s="2" t="s">
        <v>328</v>
      </c>
      <c r="K740" s="2" t="s">
        <v>4068</v>
      </c>
      <c r="L740" s="3">
        <v>28.98</v>
      </c>
      <c r="M740" s="3">
        <v>30.43</v>
      </c>
      <c r="N740" s="3">
        <v>64.99</v>
      </c>
      <c r="O740" s="2" t="s">
        <v>245</v>
      </c>
      <c r="P740" s="2" t="s">
        <v>272</v>
      </c>
      <c r="Q740" s="2" t="s">
        <v>239</v>
      </c>
      <c r="R740" s="2" t="s">
        <v>233</v>
      </c>
      <c r="S740" s="2" t="s">
        <v>4069</v>
      </c>
      <c r="T740" s="2" t="s">
        <v>3950</v>
      </c>
      <c r="U740" s="2" t="s">
        <v>233</v>
      </c>
      <c r="V740" s="2" t="s">
        <v>1340</v>
      </c>
      <c r="W740" s="2" t="s">
        <v>978</v>
      </c>
      <c r="X740" s="2" t="s">
        <v>233</v>
      </c>
      <c r="Y740" s="2" t="s">
        <v>3973</v>
      </c>
      <c r="Z740" s="4"/>
      <c r="AA740" s="4">
        <f>=ROUNDDOWN({0},0)</f>
      </c>
      <c r="AB740" s="5">
        <v>11</v>
      </c>
      <c r="AC740" s="2" t="s">
        <v>1341</v>
      </c>
      <c r="AD740" s="4">
        <v>117</v>
      </c>
      <c r="AE740" s="4">
        <v>117</v>
      </c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233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233</v>
      </c>
      <c r="AW740" s="8" t="s">
        <v>233</v>
      </c>
      <c r="AX740" s="4" t="s">
        <v>233</v>
      </c>
      <c r="AY740" s="8" t="s">
        <v>233</v>
      </c>
      <c r="AZ740" s="7" t="s">
        <v>233</v>
      </c>
      <c r="BA740" s="7" t="s">
        <v>233</v>
      </c>
      <c r="BB740" s="7"/>
      <c r="BC740" s="4" t="s">
        <v>233</v>
      </c>
      <c r="BD740" s="8" t="s">
        <v>233</v>
      </c>
      <c r="BE740" s="4" t="s">
        <v>233</v>
      </c>
      <c r="BF740" s="8" t="s">
        <v>233</v>
      </c>
      <c r="BG740" s="7" t="s">
        <v>233</v>
      </c>
      <c r="BH740" s="7" t="s">
        <v>233</v>
      </c>
      <c r="BI740" s="7"/>
      <c r="BJ740" s="4"/>
      <c r="BK740" s="8"/>
      <c r="BL740" s="2" t="s">
        <v>4070</v>
      </c>
      <c r="BM740" s="7"/>
      <c r="BN740" s="7"/>
      <c r="BO740" s="4"/>
      <c r="BP740" s="8"/>
      <c r="BQ740" s="4"/>
      <c r="BR740" s="8"/>
      <c r="BS740" s="7"/>
      <c r="BT740" s="7"/>
      <c r="BU740" s="2" t="s">
        <v>4071</v>
      </c>
      <c r="BV740" s="2" t="s">
        <v>233</v>
      </c>
      <c r="BW740" s="2" t="s">
        <v>233</v>
      </c>
      <c r="BX740" s="2" t="s">
        <v>3953</v>
      </c>
      <c r="BY740" s="2" t="s">
        <v>280</v>
      </c>
      <c r="BZ740" s="2" t="s">
        <v>245</v>
      </c>
      <c r="CA740" s="2" t="s">
        <v>3976</v>
      </c>
      <c r="CB740" s="2" t="s">
        <v>4022</v>
      </c>
      <c r="CC740" s="2" t="s">
        <v>246</v>
      </c>
      <c r="CD740" s="2" t="s">
        <v>233</v>
      </c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>
        <v>117</v>
      </c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</row>
    <row r="741">
      <c r="A741" s="2" t="s">
        <v>4072</v>
      </c>
      <c r="B741" s="2" t="s">
        <v>333</v>
      </c>
      <c r="C741" s="2" t="s">
        <v>1335</v>
      </c>
      <c r="D741" s="2" t="s">
        <v>335</v>
      </c>
      <c r="E741" s="2" t="s">
        <v>336</v>
      </c>
      <c r="F741" s="2" t="s">
        <v>3947</v>
      </c>
      <c r="G741" s="2" t="s">
        <v>3947</v>
      </c>
      <c r="H741" s="2" t="s">
        <v>3947</v>
      </c>
      <c r="I741" s="2" t="s">
        <v>338</v>
      </c>
      <c r="J741" s="2" t="s">
        <v>546</v>
      </c>
      <c r="K741" s="2" t="s">
        <v>4068</v>
      </c>
      <c r="L741" s="3">
        <v>28.98</v>
      </c>
      <c r="M741" s="3">
        <v>30.43</v>
      </c>
      <c r="N741" s="3">
        <v>64.99</v>
      </c>
      <c r="O741" s="2" t="s">
        <v>245</v>
      </c>
      <c r="P741" s="2" t="s">
        <v>272</v>
      </c>
      <c r="Q741" s="2" t="s">
        <v>239</v>
      </c>
      <c r="R741" s="2" t="s">
        <v>233</v>
      </c>
      <c r="S741" s="2" t="s">
        <v>4069</v>
      </c>
      <c r="T741" s="2" t="s">
        <v>3950</v>
      </c>
      <c r="U741" s="2" t="s">
        <v>233</v>
      </c>
      <c r="V741" s="2" t="s">
        <v>1340</v>
      </c>
      <c r="W741" s="2" t="s">
        <v>978</v>
      </c>
      <c r="X741" s="2" t="s">
        <v>233</v>
      </c>
      <c r="Y741" s="2" t="s">
        <v>3973</v>
      </c>
      <c r="Z741" s="4"/>
      <c r="AA741" s="4">
        <f>=ROUNDDOWN({0},0)</f>
      </c>
      <c r="AB741" s="5">
        <v>6</v>
      </c>
      <c r="AC741" s="2" t="s">
        <v>1341</v>
      </c>
      <c r="AD741" s="4">
        <v>68</v>
      </c>
      <c r="AE741" s="4">
        <v>68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233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233</v>
      </c>
      <c r="AW741" s="8" t="s">
        <v>233</v>
      </c>
      <c r="AX741" s="4" t="s">
        <v>233</v>
      </c>
      <c r="AY741" s="8" t="s">
        <v>233</v>
      </c>
      <c r="AZ741" s="7" t="s">
        <v>233</v>
      </c>
      <c r="BA741" s="7" t="s">
        <v>233</v>
      </c>
      <c r="BB741" s="7"/>
      <c r="BC741" s="4" t="s">
        <v>233</v>
      </c>
      <c r="BD741" s="8" t="s">
        <v>233</v>
      </c>
      <c r="BE741" s="4" t="s">
        <v>233</v>
      </c>
      <c r="BF741" s="8" t="s">
        <v>233</v>
      </c>
      <c r="BG741" s="7" t="s">
        <v>233</v>
      </c>
      <c r="BH741" s="7" t="s">
        <v>233</v>
      </c>
      <c r="BI741" s="7"/>
      <c r="BJ741" s="4"/>
      <c r="BK741" s="8"/>
      <c r="BL741" s="2" t="s">
        <v>4073</v>
      </c>
      <c r="BM741" s="7"/>
      <c r="BN741" s="7"/>
      <c r="BO741" s="4"/>
      <c r="BP741" s="8"/>
      <c r="BQ741" s="4"/>
      <c r="BR741" s="8"/>
      <c r="BS741" s="7"/>
      <c r="BT741" s="7"/>
      <c r="BU741" s="2" t="s">
        <v>4074</v>
      </c>
      <c r="BV741" s="2" t="s">
        <v>233</v>
      </c>
      <c r="BW741" s="2" t="s">
        <v>233</v>
      </c>
      <c r="BX741" s="2" t="s">
        <v>3953</v>
      </c>
      <c r="BY741" s="2" t="s">
        <v>280</v>
      </c>
      <c r="BZ741" s="2" t="s">
        <v>245</v>
      </c>
      <c r="CA741" s="2" t="s">
        <v>3976</v>
      </c>
      <c r="CB741" s="2" t="s">
        <v>4075</v>
      </c>
      <c r="CC741" s="2" t="s">
        <v>246</v>
      </c>
      <c r="CD741" s="2" t="s">
        <v>233</v>
      </c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>
        <v>68</v>
      </c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</row>
    <row r="742">
      <c r="A742" s="2" t="s">
        <v>4076</v>
      </c>
      <c r="B742" s="2" t="s">
        <v>333</v>
      </c>
      <c r="C742" s="2" t="s">
        <v>1335</v>
      </c>
      <c r="D742" s="2" t="s">
        <v>335</v>
      </c>
      <c r="E742" s="2" t="s">
        <v>336</v>
      </c>
      <c r="F742" s="2" t="s">
        <v>3947</v>
      </c>
      <c r="G742" s="2" t="s">
        <v>3947</v>
      </c>
      <c r="H742" s="2" t="s">
        <v>3947</v>
      </c>
      <c r="I742" s="2" t="s">
        <v>338</v>
      </c>
      <c r="J742" s="2" t="s">
        <v>348</v>
      </c>
      <c r="K742" s="2" t="s">
        <v>1380</v>
      </c>
      <c r="L742" s="3">
        <v>24.3</v>
      </c>
      <c r="M742" s="3">
        <v>25.52</v>
      </c>
      <c r="N742" s="3">
        <v>54.99</v>
      </c>
      <c r="O742" s="2" t="s">
        <v>245</v>
      </c>
      <c r="P742" s="2" t="s">
        <v>1366</v>
      </c>
      <c r="Q742" s="2" t="s">
        <v>239</v>
      </c>
      <c r="R742" s="2" t="s">
        <v>233</v>
      </c>
      <c r="S742" s="2" t="s">
        <v>4077</v>
      </c>
      <c r="T742" s="2" t="s">
        <v>3950</v>
      </c>
      <c r="U742" s="2" t="s">
        <v>233</v>
      </c>
      <c r="V742" s="2" t="s">
        <v>1340</v>
      </c>
      <c r="W742" s="2" t="s">
        <v>978</v>
      </c>
      <c r="X742" s="2" t="s">
        <v>233</v>
      </c>
      <c r="Y742" s="2" t="s">
        <v>276</v>
      </c>
      <c r="Z742" s="4"/>
      <c r="AA742" s="4">
        <f>=ROUNDDOWN({0},0)</f>
      </c>
      <c r="AB742" s="5">
        <v>52</v>
      </c>
      <c r="AC742" s="2" t="s">
        <v>1341</v>
      </c>
      <c r="AD742" s="4">
        <v>510</v>
      </c>
      <c r="AE742" s="4">
        <v>510</v>
      </c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233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233</v>
      </c>
      <c r="AW742" s="8" t="s">
        <v>233</v>
      </c>
      <c r="AX742" s="4" t="s">
        <v>233</v>
      </c>
      <c r="AY742" s="8" t="s">
        <v>233</v>
      </c>
      <c r="AZ742" s="7" t="s">
        <v>233</v>
      </c>
      <c r="BA742" s="7" t="s">
        <v>233</v>
      </c>
      <c r="BB742" s="7"/>
      <c r="BC742" s="4" t="s">
        <v>233</v>
      </c>
      <c r="BD742" s="8" t="s">
        <v>233</v>
      </c>
      <c r="BE742" s="4" t="s">
        <v>233</v>
      </c>
      <c r="BF742" s="8" t="s">
        <v>233</v>
      </c>
      <c r="BG742" s="7" t="s">
        <v>233</v>
      </c>
      <c r="BH742" s="7" t="s">
        <v>233</v>
      </c>
      <c r="BI742" s="7"/>
      <c r="BJ742" s="4"/>
      <c r="BK742" s="8"/>
      <c r="BL742" s="2" t="s">
        <v>233</v>
      </c>
      <c r="BM742" s="7"/>
      <c r="BN742" s="7"/>
      <c r="BO742" s="4"/>
      <c r="BP742" s="8"/>
      <c r="BQ742" s="4"/>
      <c r="BR742" s="8"/>
      <c r="BS742" s="7"/>
      <c r="BT742" s="7"/>
      <c r="BU742" s="2" t="s">
        <v>4078</v>
      </c>
      <c r="BV742" s="2" t="s">
        <v>233</v>
      </c>
      <c r="BW742" s="2" t="s">
        <v>233</v>
      </c>
      <c r="BX742" s="2" t="s">
        <v>3953</v>
      </c>
      <c r="BY742" s="2" t="s">
        <v>280</v>
      </c>
      <c r="BZ742" s="2" t="s">
        <v>245</v>
      </c>
      <c r="CA742" s="2" t="s">
        <v>4010</v>
      </c>
      <c r="CB742" s="2" t="s">
        <v>421</v>
      </c>
      <c r="CC742" s="2" t="s">
        <v>246</v>
      </c>
      <c r="CD742" s="2" t="s">
        <v>233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>
        <v>510</v>
      </c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</row>
    <row r="743">
      <c r="A743" s="2" t="s">
        <v>4079</v>
      </c>
      <c r="B743" s="2" t="s">
        <v>333</v>
      </c>
      <c r="C743" s="2" t="s">
        <v>1335</v>
      </c>
      <c r="D743" s="2" t="s">
        <v>335</v>
      </c>
      <c r="E743" s="2" t="s">
        <v>336</v>
      </c>
      <c r="F743" s="2" t="s">
        <v>3947</v>
      </c>
      <c r="G743" s="2" t="s">
        <v>3947</v>
      </c>
      <c r="H743" s="2" t="s">
        <v>3947</v>
      </c>
      <c r="I743" s="2" t="s">
        <v>338</v>
      </c>
      <c r="J743" s="2" t="s">
        <v>328</v>
      </c>
      <c r="K743" s="2" t="s">
        <v>1380</v>
      </c>
      <c r="L743" s="3">
        <v>28.98</v>
      </c>
      <c r="M743" s="3">
        <v>30.43</v>
      </c>
      <c r="N743" s="3">
        <v>64.99</v>
      </c>
      <c r="O743" s="2" t="s">
        <v>245</v>
      </c>
      <c r="P743" s="2" t="s">
        <v>741</v>
      </c>
      <c r="Q743" s="2" t="s">
        <v>239</v>
      </c>
      <c r="R743" s="2" t="s">
        <v>233</v>
      </c>
      <c r="S743" s="2" t="s">
        <v>4077</v>
      </c>
      <c r="T743" s="2" t="s">
        <v>3950</v>
      </c>
      <c r="U743" s="2" t="s">
        <v>233</v>
      </c>
      <c r="V743" s="2" t="s">
        <v>1340</v>
      </c>
      <c r="W743" s="2" t="s">
        <v>978</v>
      </c>
      <c r="X743" s="2" t="s">
        <v>233</v>
      </c>
      <c r="Y743" s="2" t="s">
        <v>276</v>
      </c>
      <c r="Z743" s="4"/>
      <c r="AA743" s="4">
        <f>=ROUNDDOWN({0},0)</f>
      </c>
      <c r="AB743" s="5">
        <v>27</v>
      </c>
      <c r="AC743" s="2" t="s">
        <v>1341</v>
      </c>
      <c r="AD743" s="4">
        <v>270</v>
      </c>
      <c r="AE743" s="4">
        <v>270</v>
      </c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233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233</v>
      </c>
      <c r="AW743" s="8" t="s">
        <v>233</v>
      </c>
      <c r="AX743" s="4" t="s">
        <v>233</v>
      </c>
      <c r="AY743" s="8" t="s">
        <v>233</v>
      </c>
      <c r="AZ743" s="7" t="s">
        <v>233</v>
      </c>
      <c r="BA743" s="7" t="s">
        <v>233</v>
      </c>
      <c r="BB743" s="7"/>
      <c r="BC743" s="4" t="s">
        <v>233</v>
      </c>
      <c r="BD743" s="8" t="s">
        <v>233</v>
      </c>
      <c r="BE743" s="4" t="s">
        <v>233</v>
      </c>
      <c r="BF743" s="8" t="s">
        <v>233</v>
      </c>
      <c r="BG743" s="7" t="s">
        <v>233</v>
      </c>
      <c r="BH743" s="7" t="s">
        <v>233</v>
      </c>
      <c r="BI743" s="7"/>
      <c r="BJ743" s="4"/>
      <c r="BK743" s="8"/>
      <c r="BL743" s="2" t="s">
        <v>4080</v>
      </c>
      <c r="BM743" s="7"/>
      <c r="BN743" s="7"/>
      <c r="BO743" s="4"/>
      <c r="BP743" s="8"/>
      <c r="BQ743" s="4"/>
      <c r="BR743" s="8"/>
      <c r="BS743" s="7"/>
      <c r="BT743" s="7"/>
      <c r="BU743" s="2" t="s">
        <v>4081</v>
      </c>
      <c r="BV743" s="2" t="s">
        <v>233</v>
      </c>
      <c r="BW743" s="2" t="s">
        <v>233</v>
      </c>
      <c r="BX743" s="2" t="s">
        <v>3953</v>
      </c>
      <c r="BY743" s="2" t="s">
        <v>280</v>
      </c>
      <c r="BZ743" s="2" t="s">
        <v>245</v>
      </c>
      <c r="CA743" s="2" t="s">
        <v>4010</v>
      </c>
      <c r="CB743" s="2" t="s">
        <v>4082</v>
      </c>
      <c r="CC743" s="2" t="s">
        <v>246</v>
      </c>
      <c r="CD743" s="2" t="s">
        <v>233</v>
      </c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>
        <v>270</v>
      </c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</row>
    <row r="744">
      <c r="A744" s="2" t="s">
        <v>4083</v>
      </c>
      <c r="B744" s="2" t="s">
        <v>333</v>
      </c>
      <c r="C744" s="2" t="s">
        <v>1335</v>
      </c>
      <c r="D744" s="2" t="s">
        <v>335</v>
      </c>
      <c r="E744" s="2" t="s">
        <v>336</v>
      </c>
      <c r="F744" s="2" t="s">
        <v>3947</v>
      </c>
      <c r="G744" s="2" t="s">
        <v>3947</v>
      </c>
      <c r="H744" s="2" t="s">
        <v>3947</v>
      </c>
      <c r="I744" s="2" t="s">
        <v>338</v>
      </c>
      <c r="J744" s="2" t="s">
        <v>546</v>
      </c>
      <c r="K744" s="2" t="s">
        <v>1380</v>
      </c>
      <c r="L744" s="3">
        <v>28.98</v>
      </c>
      <c r="M744" s="3">
        <v>30.43</v>
      </c>
      <c r="N744" s="3">
        <v>64.99</v>
      </c>
      <c r="O744" s="2" t="s">
        <v>245</v>
      </c>
      <c r="P744" s="2" t="s">
        <v>741</v>
      </c>
      <c r="Q744" s="2" t="s">
        <v>239</v>
      </c>
      <c r="R744" s="2" t="s">
        <v>233</v>
      </c>
      <c r="S744" s="2" t="s">
        <v>4077</v>
      </c>
      <c r="T744" s="2" t="s">
        <v>3950</v>
      </c>
      <c r="U744" s="2" t="s">
        <v>233</v>
      </c>
      <c r="V744" s="2" t="s">
        <v>1340</v>
      </c>
      <c r="W744" s="2" t="s">
        <v>978</v>
      </c>
      <c r="X744" s="2" t="s">
        <v>233</v>
      </c>
      <c r="Y744" s="2" t="s">
        <v>4084</v>
      </c>
      <c r="Z744" s="4"/>
      <c r="AA744" s="4">
        <f>=ROUNDDOWN({0},0)</f>
      </c>
      <c r="AB744" s="5">
        <v>16</v>
      </c>
      <c r="AC744" s="2" t="s">
        <v>1341</v>
      </c>
      <c r="AD744" s="4">
        <v>164</v>
      </c>
      <c r="AE744" s="4">
        <v>164</v>
      </c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233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233</v>
      </c>
      <c r="AW744" s="8" t="s">
        <v>233</v>
      </c>
      <c r="AX744" s="4" t="s">
        <v>233</v>
      </c>
      <c r="AY744" s="8" t="s">
        <v>233</v>
      </c>
      <c r="AZ744" s="7" t="s">
        <v>233</v>
      </c>
      <c r="BA744" s="7" t="s">
        <v>233</v>
      </c>
      <c r="BB744" s="7"/>
      <c r="BC744" s="4" t="s">
        <v>233</v>
      </c>
      <c r="BD744" s="8" t="s">
        <v>233</v>
      </c>
      <c r="BE744" s="4" t="s">
        <v>233</v>
      </c>
      <c r="BF744" s="8" t="s">
        <v>233</v>
      </c>
      <c r="BG744" s="7" t="s">
        <v>233</v>
      </c>
      <c r="BH744" s="7" t="s">
        <v>233</v>
      </c>
      <c r="BI744" s="7"/>
      <c r="BJ744" s="4"/>
      <c r="BK744" s="8"/>
      <c r="BL744" s="2" t="s">
        <v>233</v>
      </c>
      <c r="BM744" s="7"/>
      <c r="BN744" s="7"/>
      <c r="BO744" s="4"/>
      <c r="BP744" s="8"/>
      <c r="BQ744" s="4"/>
      <c r="BR744" s="8"/>
      <c r="BS744" s="7"/>
      <c r="BT744" s="7"/>
      <c r="BU744" s="2" t="s">
        <v>4085</v>
      </c>
      <c r="BV744" s="2" t="s">
        <v>233</v>
      </c>
      <c r="BW744" s="2" t="s">
        <v>233</v>
      </c>
      <c r="BX744" s="2" t="s">
        <v>3953</v>
      </c>
      <c r="BY744" s="2" t="s">
        <v>280</v>
      </c>
      <c r="BZ744" s="2" t="s">
        <v>245</v>
      </c>
      <c r="CA744" s="2" t="s">
        <v>4010</v>
      </c>
      <c r="CB744" s="2" t="s">
        <v>4082</v>
      </c>
      <c r="CC744" s="2" t="s">
        <v>246</v>
      </c>
      <c r="CD744" s="2" t="s">
        <v>233</v>
      </c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>
        <v>164</v>
      </c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</row>
    <row r="745">
      <c r="A745" s="2" t="s">
        <v>4086</v>
      </c>
      <c r="B745" s="2" t="s">
        <v>333</v>
      </c>
      <c r="C745" s="2" t="s">
        <v>1335</v>
      </c>
      <c r="D745" s="2" t="s">
        <v>335</v>
      </c>
      <c r="E745" s="2" t="s">
        <v>336</v>
      </c>
      <c r="F745" s="2" t="s">
        <v>3947</v>
      </c>
      <c r="G745" s="2" t="s">
        <v>3947</v>
      </c>
      <c r="H745" s="2" t="s">
        <v>3947</v>
      </c>
      <c r="I745" s="2" t="s">
        <v>338</v>
      </c>
      <c r="J745" s="2" t="s">
        <v>348</v>
      </c>
      <c r="K745" s="2" t="s">
        <v>4087</v>
      </c>
      <c r="L745" s="3">
        <v>24.3</v>
      </c>
      <c r="M745" s="3">
        <v>25.52</v>
      </c>
      <c r="N745" s="3">
        <v>54.99</v>
      </c>
      <c r="O745" s="2" t="s">
        <v>245</v>
      </c>
      <c r="P745" s="2" t="s">
        <v>741</v>
      </c>
      <c r="Q745" s="2" t="s">
        <v>239</v>
      </c>
      <c r="R745" s="2" t="s">
        <v>233</v>
      </c>
      <c r="S745" s="2" t="s">
        <v>4002</v>
      </c>
      <c r="T745" s="2" t="s">
        <v>3950</v>
      </c>
      <c r="U745" s="2" t="s">
        <v>342</v>
      </c>
      <c r="V745" s="2" t="s">
        <v>1658</v>
      </c>
      <c r="W745" s="2" t="s">
        <v>978</v>
      </c>
      <c r="X745" s="2" t="s">
        <v>233</v>
      </c>
      <c r="Y745" s="2" t="s">
        <v>3996</v>
      </c>
      <c r="Z745" s="4">
        <v>3</v>
      </c>
      <c r="AA745" s="4">
        <f>=ROUNDDOWN(0.111111111111111,0)</f>
      </c>
      <c r="AB745" s="5">
        <v>27</v>
      </c>
      <c r="AC745" s="2" t="s">
        <v>1341</v>
      </c>
      <c r="AD745" s="4">
        <v>277</v>
      </c>
      <c r="AE745" s="4">
        <v>277</v>
      </c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233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233</v>
      </c>
      <c r="AW745" s="8" t="s">
        <v>233</v>
      </c>
      <c r="AX745" s="4" t="s">
        <v>233</v>
      </c>
      <c r="AY745" s="8" t="s">
        <v>233</v>
      </c>
      <c r="AZ745" s="7" t="s">
        <v>233</v>
      </c>
      <c r="BA745" s="7" t="s">
        <v>233</v>
      </c>
      <c r="BB745" s="7"/>
      <c r="BC745" s="4" t="s">
        <v>233</v>
      </c>
      <c r="BD745" s="8" t="s">
        <v>233</v>
      </c>
      <c r="BE745" s="4" t="s">
        <v>233</v>
      </c>
      <c r="BF745" s="8" t="s">
        <v>233</v>
      </c>
      <c r="BG745" s="7" t="s">
        <v>233</v>
      </c>
      <c r="BH745" s="7" t="s">
        <v>233</v>
      </c>
      <c r="BI745" s="7"/>
      <c r="BJ745" s="4"/>
      <c r="BK745" s="8"/>
      <c r="BL745" s="2" t="s">
        <v>744</v>
      </c>
      <c r="BM745" s="7"/>
      <c r="BN745" s="7"/>
      <c r="BO745" s="4"/>
      <c r="BP745" s="8"/>
      <c r="BQ745" s="4"/>
      <c r="BR745" s="8"/>
      <c r="BS745" s="7"/>
      <c r="BT745" s="7"/>
      <c r="BU745" s="2" t="s">
        <v>4088</v>
      </c>
      <c r="BV745" s="2" t="s">
        <v>233</v>
      </c>
      <c r="BW745" s="2" t="s">
        <v>233</v>
      </c>
      <c r="BX745" s="2" t="s">
        <v>3953</v>
      </c>
      <c r="BY745" s="2" t="s">
        <v>280</v>
      </c>
      <c r="BZ745" s="2" t="s">
        <v>245</v>
      </c>
      <c r="CA745" s="2" t="s">
        <v>4061</v>
      </c>
      <c r="CB745" s="2" t="s">
        <v>4089</v>
      </c>
      <c r="CC745" s="2" t="s">
        <v>246</v>
      </c>
      <c r="CD745" s="2" t="s">
        <v>233</v>
      </c>
      <c r="CE745" s="4">
        <v>3</v>
      </c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>
        <v>277</v>
      </c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</row>
    <row r="746">
      <c r="A746" s="2" t="s">
        <v>4090</v>
      </c>
      <c r="B746" s="2" t="s">
        <v>333</v>
      </c>
      <c r="C746" s="2" t="s">
        <v>1335</v>
      </c>
      <c r="D746" s="2" t="s">
        <v>335</v>
      </c>
      <c r="E746" s="2" t="s">
        <v>336</v>
      </c>
      <c r="F746" s="2" t="s">
        <v>3947</v>
      </c>
      <c r="G746" s="2" t="s">
        <v>3947</v>
      </c>
      <c r="H746" s="2" t="s">
        <v>3947</v>
      </c>
      <c r="I746" s="2" t="s">
        <v>338</v>
      </c>
      <c r="J746" s="2" t="s">
        <v>546</v>
      </c>
      <c r="K746" s="2" t="s">
        <v>4087</v>
      </c>
      <c r="L746" s="3">
        <v>28.98</v>
      </c>
      <c r="M746" s="3">
        <v>30.43</v>
      </c>
      <c r="N746" s="3">
        <v>64.99</v>
      </c>
      <c r="O746" s="2" t="s">
        <v>245</v>
      </c>
      <c r="P746" s="2" t="s">
        <v>272</v>
      </c>
      <c r="Q746" s="2" t="s">
        <v>239</v>
      </c>
      <c r="R746" s="2" t="s">
        <v>233</v>
      </c>
      <c r="S746" s="2" t="s">
        <v>4002</v>
      </c>
      <c r="T746" s="2" t="s">
        <v>3950</v>
      </c>
      <c r="U746" s="2" t="s">
        <v>342</v>
      </c>
      <c r="V746" s="2" t="s">
        <v>1658</v>
      </c>
      <c r="W746" s="2" t="s">
        <v>978</v>
      </c>
      <c r="X746" s="2" t="s">
        <v>233</v>
      </c>
      <c r="Y746" s="2" t="s">
        <v>3996</v>
      </c>
      <c r="Z746" s="4"/>
      <c r="AA746" s="4">
        <f>=ROUNDDOWN({0},0)</f>
      </c>
      <c r="AB746" s="5">
        <v>6</v>
      </c>
      <c r="AC746" s="2" t="s">
        <v>1341</v>
      </c>
      <c r="AD746" s="4">
        <v>68</v>
      </c>
      <c r="AE746" s="4">
        <v>68</v>
      </c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233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233</v>
      </c>
      <c r="AW746" s="8" t="s">
        <v>233</v>
      </c>
      <c r="AX746" s="4" t="s">
        <v>233</v>
      </c>
      <c r="AY746" s="8" t="s">
        <v>233</v>
      </c>
      <c r="AZ746" s="7" t="s">
        <v>233</v>
      </c>
      <c r="BA746" s="7" t="s">
        <v>233</v>
      </c>
      <c r="BB746" s="7"/>
      <c r="BC746" s="4" t="s">
        <v>233</v>
      </c>
      <c r="BD746" s="8" t="s">
        <v>233</v>
      </c>
      <c r="BE746" s="4" t="s">
        <v>233</v>
      </c>
      <c r="BF746" s="8" t="s">
        <v>233</v>
      </c>
      <c r="BG746" s="7" t="s">
        <v>233</v>
      </c>
      <c r="BH746" s="7" t="s">
        <v>233</v>
      </c>
      <c r="BI746" s="7"/>
      <c r="BJ746" s="4"/>
      <c r="BK746" s="8"/>
      <c r="BL746" s="2" t="s">
        <v>4091</v>
      </c>
      <c r="BM746" s="7"/>
      <c r="BN746" s="7"/>
      <c r="BO746" s="4"/>
      <c r="BP746" s="8"/>
      <c r="BQ746" s="4"/>
      <c r="BR746" s="8"/>
      <c r="BS746" s="7"/>
      <c r="BT746" s="7"/>
      <c r="BU746" s="2" t="s">
        <v>4092</v>
      </c>
      <c r="BV746" s="2" t="s">
        <v>233</v>
      </c>
      <c r="BW746" s="2" t="s">
        <v>233</v>
      </c>
      <c r="BX746" s="2" t="s">
        <v>3953</v>
      </c>
      <c r="BY746" s="2" t="s">
        <v>280</v>
      </c>
      <c r="BZ746" s="2" t="s">
        <v>245</v>
      </c>
      <c r="CA746" s="2" t="s">
        <v>4061</v>
      </c>
      <c r="CB746" s="2" t="s">
        <v>4093</v>
      </c>
      <c r="CC746" s="2" t="s">
        <v>246</v>
      </c>
      <c r="CD746" s="2" t="s">
        <v>233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>
        <v>68</v>
      </c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</row>
    <row r="747">
      <c r="A747" s="2" t="s">
        <v>4094</v>
      </c>
      <c r="B747" s="2" t="s">
        <v>333</v>
      </c>
      <c r="C747" s="2" t="s">
        <v>1335</v>
      </c>
      <c r="D747" s="2" t="s">
        <v>335</v>
      </c>
      <c r="E747" s="2" t="s">
        <v>336</v>
      </c>
      <c r="F747" s="2" t="s">
        <v>3947</v>
      </c>
      <c r="G747" s="2" t="s">
        <v>3947</v>
      </c>
      <c r="H747" s="2" t="s">
        <v>3947</v>
      </c>
      <c r="I747" s="2" t="s">
        <v>338</v>
      </c>
      <c r="J747" s="2" t="s">
        <v>270</v>
      </c>
      <c r="K747" s="2" t="s">
        <v>4095</v>
      </c>
      <c r="L747" s="3">
        <v>19.8</v>
      </c>
      <c r="M747" s="3">
        <v>20.79</v>
      </c>
      <c r="N747" s="3">
        <v>44.99</v>
      </c>
      <c r="O747" s="2" t="s">
        <v>245</v>
      </c>
      <c r="P747" s="2" t="s">
        <v>272</v>
      </c>
      <c r="Q747" s="2" t="s">
        <v>239</v>
      </c>
      <c r="R747" s="2" t="s">
        <v>233</v>
      </c>
      <c r="S747" s="2" t="s">
        <v>4096</v>
      </c>
      <c r="T747" s="2" t="s">
        <v>3950</v>
      </c>
      <c r="U747" s="2" t="s">
        <v>233</v>
      </c>
      <c r="V747" s="2" t="s">
        <v>3951</v>
      </c>
      <c r="W747" s="2" t="s">
        <v>978</v>
      </c>
      <c r="X747" s="2" t="s">
        <v>233</v>
      </c>
      <c r="Y747" s="2" t="s">
        <v>3985</v>
      </c>
      <c r="Z747" s="4">
        <v>3</v>
      </c>
      <c r="AA747" s="4">
        <f>=ROUNDDOWN(0.333333333333333,0)</f>
      </c>
      <c r="AB747" s="5">
        <v>9</v>
      </c>
      <c r="AC747" s="2" t="s">
        <v>1341</v>
      </c>
      <c r="AD747" s="4">
        <v>98</v>
      </c>
      <c r="AE747" s="4">
        <v>98</v>
      </c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233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233</v>
      </c>
      <c r="AW747" s="8" t="s">
        <v>233</v>
      </c>
      <c r="AX747" s="4" t="s">
        <v>233</v>
      </c>
      <c r="AY747" s="8" t="s">
        <v>233</v>
      </c>
      <c r="AZ747" s="7" t="s">
        <v>233</v>
      </c>
      <c r="BA747" s="7" t="s">
        <v>233</v>
      </c>
      <c r="BB747" s="7"/>
      <c r="BC747" s="4" t="s">
        <v>233</v>
      </c>
      <c r="BD747" s="8" t="s">
        <v>233</v>
      </c>
      <c r="BE747" s="4" t="s">
        <v>233</v>
      </c>
      <c r="BF747" s="8" t="s">
        <v>233</v>
      </c>
      <c r="BG747" s="7" t="s">
        <v>233</v>
      </c>
      <c r="BH747" s="7" t="s">
        <v>233</v>
      </c>
      <c r="BI747" s="7"/>
      <c r="BJ747" s="4"/>
      <c r="BK747" s="8"/>
      <c r="BL747" s="2" t="s">
        <v>233</v>
      </c>
      <c r="BM747" s="7"/>
      <c r="BN747" s="7"/>
      <c r="BO747" s="4"/>
      <c r="BP747" s="8"/>
      <c r="BQ747" s="4"/>
      <c r="BR747" s="8"/>
      <c r="BS747" s="7"/>
      <c r="BT747" s="7"/>
      <c r="BU747" s="2" t="s">
        <v>4097</v>
      </c>
      <c r="BV747" s="2" t="s">
        <v>233</v>
      </c>
      <c r="BW747" s="2" t="s">
        <v>233</v>
      </c>
      <c r="BX747" s="2" t="s">
        <v>3953</v>
      </c>
      <c r="BY747" s="2" t="s">
        <v>280</v>
      </c>
      <c r="BZ747" s="2" t="s">
        <v>245</v>
      </c>
      <c r="CA747" s="2" t="s">
        <v>3976</v>
      </c>
      <c r="CB747" s="2" t="s">
        <v>3988</v>
      </c>
      <c r="CC747" s="2" t="s">
        <v>246</v>
      </c>
      <c r="CD747" s="2" t="s">
        <v>233</v>
      </c>
      <c r="CE747" s="4">
        <v>3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>
        <v>98</v>
      </c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</row>
    <row r="748">
      <c r="A748" s="2" t="s">
        <v>4098</v>
      </c>
      <c r="B748" s="2" t="s">
        <v>333</v>
      </c>
      <c r="C748" s="2" t="s">
        <v>1335</v>
      </c>
      <c r="D748" s="2" t="s">
        <v>335</v>
      </c>
      <c r="E748" s="2" t="s">
        <v>336</v>
      </c>
      <c r="F748" s="2" t="s">
        <v>3947</v>
      </c>
      <c r="G748" s="2" t="s">
        <v>3947</v>
      </c>
      <c r="H748" s="2" t="s">
        <v>3947</v>
      </c>
      <c r="I748" s="2" t="s">
        <v>338</v>
      </c>
      <c r="J748" s="2" t="s">
        <v>290</v>
      </c>
      <c r="K748" s="2" t="s">
        <v>4095</v>
      </c>
      <c r="L748" s="3">
        <v>21.78</v>
      </c>
      <c r="M748" s="3">
        <v>22.87</v>
      </c>
      <c r="N748" s="3">
        <v>49.99</v>
      </c>
      <c r="O748" s="2" t="s">
        <v>245</v>
      </c>
      <c r="P748" s="2" t="s">
        <v>272</v>
      </c>
      <c r="Q748" s="2" t="s">
        <v>239</v>
      </c>
      <c r="R748" s="2" t="s">
        <v>233</v>
      </c>
      <c r="S748" s="2" t="s">
        <v>4096</v>
      </c>
      <c r="T748" s="2" t="s">
        <v>3950</v>
      </c>
      <c r="U748" s="2" t="s">
        <v>233</v>
      </c>
      <c r="V748" s="2" t="s">
        <v>3951</v>
      </c>
      <c r="W748" s="2" t="s">
        <v>978</v>
      </c>
      <c r="X748" s="2" t="s">
        <v>233</v>
      </c>
      <c r="Y748" s="2" t="s">
        <v>3985</v>
      </c>
      <c r="Z748" s="4"/>
      <c r="AA748" s="4">
        <f>=ROUNDDOWN({0},0)</f>
      </c>
      <c r="AB748" s="5">
        <v>13</v>
      </c>
      <c r="AC748" s="2" t="s">
        <v>1341</v>
      </c>
      <c r="AD748" s="4">
        <v>133</v>
      </c>
      <c r="AE748" s="4">
        <v>133</v>
      </c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233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233</v>
      </c>
      <c r="AW748" s="8" t="s">
        <v>233</v>
      </c>
      <c r="AX748" s="4" t="s">
        <v>233</v>
      </c>
      <c r="AY748" s="8" t="s">
        <v>233</v>
      </c>
      <c r="AZ748" s="7" t="s">
        <v>233</v>
      </c>
      <c r="BA748" s="7" t="s">
        <v>233</v>
      </c>
      <c r="BB748" s="7"/>
      <c r="BC748" s="4" t="s">
        <v>233</v>
      </c>
      <c r="BD748" s="8" t="s">
        <v>233</v>
      </c>
      <c r="BE748" s="4" t="s">
        <v>233</v>
      </c>
      <c r="BF748" s="8" t="s">
        <v>233</v>
      </c>
      <c r="BG748" s="7" t="s">
        <v>233</v>
      </c>
      <c r="BH748" s="7" t="s">
        <v>233</v>
      </c>
      <c r="BI748" s="7"/>
      <c r="BJ748" s="4"/>
      <c r="BK748" s="8"/>
      <c r="BL748" s="2" t="s">
        <v>469</v>
      </c>
      <c r="BM748" s="7"/>
      <c r="BN748" s="7"/>
      <c r="BO748" s="4"/>
      <c r="BP748" s="8"/>
      <c r="BQ748" s="4"/>
      <c r="BR748" s="8"/>
      <c r="BS748" s="7"/>
      <c r="BT748" s="7"/>
      <c r="BU748" s="2" t="s">
        <v>4099</v>
      </c>
      <c r="BV748" s="2" t="s">
        <v>233</v>
      </c>
      <c r="BW748" s="2" t="s">
        <v>233</v>
      </c>
      <c r="BX748" s="2" t="s">
        <v>3953</v>
      </c>
      <c r="BY748" s="2" t="s">
        <v>280</v>
      </c>
      <c r="BZ748" s="2" t="s">
        <v>245</v>
      </c>
      <c r="CA748" s="2" t="s">
        <v>3976</v>
      </c>
      <c r="CB748" s="2" t="s">
        <v>3988</v>
      </c>
      <c r="CC748" s="2" t="s">
        <v>246</v>
      </c>
      <c r="CD748" s="2" t="s">
        <v>233</v>
      </c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>
        <v>133</v>
      </c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</row>
    <row r="749">
      <c r="A749" s="2" t="s">
        <v>4100</v>
      </c>
      <c r="B749" s="2" t="s">
        <v>333</v>
      </c>
      <c r="C749" s="2" t="s">
        <v>1335</v>
      </c>
      <c r="D749" s="2" t="s">
        <v>335</v>
      </c>
      <c r="E749" s="2" t="s">
        <v>336</v>
      </c>
      <c r="F749" s="2" t="s">
        <v>3947</v>
      </c>
      <c r="G749" s="2" t="s">
        <v>3947</v>
      </c>
      <c r="H749" s="2" t="s">
        <v>3947</v>
      </c>
      <c r="I749" s="2" t="s">
        <v>338</v>
      </c>
      <c r="J749" s="2" t="s">
        <v>348</v>
      </c>
      <c r="K749" s="2" t="s">
        <v>4095</v>
      </c>
      <c r="L749" s="3">
        <v>24.3</v>
      </c>
      <c r="M749" s="3">
        <v>25.52</v>
      </c>
      <c r="N749" s="3">
        <v>54.99</v>
      </c>
      <c r="O749" s="2" t="s">
        <v>245</v>
      </c>
      <c r="P749" s="2" t="s">
        <v>741</v>
      </c>
      <c r="Q749" s="2" t="s">
        <v>239</v>
      </c>
      <c r="R749" s="2" t="s">
        <v>233</v>
      </c>
      <c r="S749" s="2" t="s">
        <v>4101</v>
      </c>
      <c r="T749" s="2" t="s">
        <v>3950</v>
      </c>
      <c r="U749" s="2" t="s">
        <v>233</v>
      </c>
      <c r="V749" s="2" t="s">
        <v>3951</v>
      </c>
      <c r="W749" s="2" t="s">
        <v>978</v>
      </c>
      <c r="X749" s="2" t="s">
        <v>233</v>
      </c>
      <c r="Y749" s="2" t="s">
        <v>3985</v>
      </c>
      <c r="Z749" s="4">
        <v>1</v>
      </c>
      <c r="AA749" s="4">
        <f>=ROUNDDOWN(0.0526315789473684,0)</f>
      </c>
      <c r="AB749" s="5">
        <v>19</v>
      </c>
      <c r="AC749" s="2" t="s">
        <v>1341</v>
      </c>
      <c r="AD749" s="4">
        <v>190</v>
      </c>
      <c r="AE749" s="4">
        <v>190</v>
      </c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233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233</v>
      </c>
      <c r="AW749" s="8" t="s">
        <v>233</v>
      </c>
      <c r="AX749" s="4" t="s">
        <v>233</v>
      </c>
      <c r="AY749" s="8" t="s">
        <v>233</v>
      </c>
      <c r="AZ749" s="7" t="s">
        <v>233</v>
      </c>
      <c r="BA749" s="7" t="s">
        <v>233</v>
      </c>
      <c r="BB749" s="7"/>
      <c r="BC749" s="4" t="s">
        <v>233</v>
      </c>
      <c r="BD749" s="8" t="s">
        <v>233</v>
      </c>
      <c r="BE749" s="4" t="s">
        <v>233</v>
      </c>
      <c r="BF749" s="8" t="s">
        <v>233</v>
      </c>
      <c r="BG749" s="7" t="s">
        <v>233</v>
      </c>
      <c r="BH749" s="7" t="s">
        <v>233</v>
      </c>
      <c r="BI749" s="7"/>
      <c r="BJ749" s="4"/>
      <c r="BK749" s="8"/>
      <c r="BL749" s="2" t="s">
        <v>4102</v>
      </c>
      <c r="BM749" s="7"/>
      <c r="BN749" s="7"/>
      <c r="BO749" s="4"/>
      <c r="BP749" s="8"/>
      <c r="BQ749" s="4"/>
      <c r="BR749" s="8"/>
      <c r="BS749" s="7"/>
      <c r="BT749" s="7"/>
      <c r="BU749" s="2" t="s">
        <v>4103</v>
      </c>
      <c r="BV749" s="2" t="s">
        <v>233</v>
      </c>
      <c r="BW749" s="2" t="s">
        <v>233</v>
      </c>
      <c r="BX749" s="2" t="s">
        <v>3953</v>
      </c>
      <c r="BY749" s="2" t="s">
        <v>280</v>
      </c>
      <c r="BZ749" s="2" t="s">
        <v>245</v>
      </c>
      <c r="CA749" s="2" t="s">
        <v>3976</v>
      </c>
      <c r="CB749" s="2" t="s">
        <v>4104</v>
      </c>
      <c r="CC749" s="2" t="s">
        <v>246</v>
      </c>
      <c r="CD749" s="2" t="s">
        <v>233</v>
      </c>
      <c r="CE749" s="4">
        <v>1</v>
      </c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>
        <v>190</v>
      </c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</row>
    <row r="750">
      <c r="A750" s="2" t="s">
        <v>4105</v>
      </c>
      <c r="B750" s="2" t="s">
        <v>333</v>
      </c>
      <c r="C750" s="2" t="s">
        <v>1335</v>
      </c>
      <c r="D750" s="2" t="s">
        <v>335</v>
      </c>
      <c r="E750" s="2" t="s">
        <v>336</v>
      </c>
      <c r="F750" s="2" t="s">
        <v>3947</v>
      </c>
      <c r="G750" s="2" t="s">
        <v>3947</v>
      </c>
      <c r="H750" s="2" t="s">
        <v>3947</v>
      </c>
      <c r="I750" s="2" t="s">
        <v>338</v>
      </c>
      <c r="J750" s="2" t="s">
        <v>328</v>
      </c>
      <c r="K750" s="2" t="s">
        <v>4095</v>
      </c>
      <c r="L750" s="3">
        <v>28.98</v>
      </c>
      <c r="M750" s="3">
        <v>30.43</v>
      </c>
      <c r="N750" s="3">
        <v>64.99</v>
      </c>
      <c r="O750" s="2" t="s">
        <v>245</v>
      </c>
      <c r="P750" s="2" t="s">
        <v>272</v>
      </c>
      <c r="Q750" s="2" t="s">
        <v>239</v>
      </c>
      <c r="R750" s="2" t="s">
        <v>233</v>
      </c>
      <c r="S750" s="2" t="s">
        <v>4101</v>
      </c>
      <c r="T750" s="2" t="s">
        <v>3950</v>
      </c>
      <c r="U750" s="2" t="s">
        <v>233</v>
      </c>
      <c r="V750" s="2" t="s">
        <v>3951</v>
      </c>
      <c r="W750" s="2" t="s">
        <v>978</v>
      </c>
      <c r="X750" s="2" t="s">
        <v>233</v>
      </c>
      <c r="Y750" s="2" t="s">
        <v>3985</v>
      </c>
      <c r="Z750" s="4">
        <v>10</v>
      </c>
      <c r="AA750" s="4">
        <f>=ROUNDDOWN(1.25,0)</f>
      </c>
      <c r="AB750" s="5">
        <v>8</v>
      </c>
      <c r="AC750" s="2" t="s">
        <v>1341</v>
      </c>
      <c r="AD750" s="4">
        <v>84</v>
      </c>
      <c r="AE750" s="4">
        <v>84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233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233</v>
      </c>
      <c r="AW750" s="8" t="s">
        <v>233</v>
      </c>
      <c r="AX750" s="4" t="s">
        <v>233</v>
      </c>
      <c r="AY750" s="8" t="s">
        <v>233</v>
      </c>
      <c r="AZ750" s="7" t="s">
        <v>233</v>
      </c>
      <c r="BA750" s="7" t="s">
        <v>233</v>
      </c>
      <c r="BB750" s="7"/>
      <c r="BC750" s="4" t="s">
        <v>233</v>
      </c>
      <c r="BD750" s="8" t="s">
        <v>233</v>
      </c>
      <c r="BE750" s="4" t="s">
        <v>233</v>
      </c>
      <c r="BF750" s="8" t="s">
        <v>233</v>
      </c>
      <c r="BG750" s="7" t="s">
        <v>233</v>
      </c>
      <c r="BH750" s="7" t="s">
        <v>233</v>
      </c>
      <c r="BI750" s="7"/>
      <c r="BJ750" s="4">
        <v>2</v>
      </c>
      <c r="BK750" s="8">
        <v>60.4</v>
      </c>
      <c r="BL750" s="2" t="s">
        <v>3094</v>
      </c>
      <c r="BM750" s="7"/>
      <c r="BN750" s="7"/>
      <c r="BO750" s="4"/>
      <c r="BP750" s="8"/>
      <c r="BQ750" s="4"/>
      <c r="BR750" s="8"/>
      <c r="BS750" s="7"/>
      <c r="BT750" s="7"/>
      <c r="BU750" s="2" t="s">
        <v>4106</v>
      </c>
      <c r="BV750" s="2" t="s">
        <v>233</v>
      </c>
      <c r="BW750" s="2" t="s">
        <v>233</v>
      </c>
      <c r="BX750" s="2" t="s">
        <v>3953</v>
      </c>
      <c r="BY750" s="2" t="s">
        <v>280</v>
      </c>
      <c r="BZ750" s="2" t="s">
        <v>245</v>
      </c>
      <c r="CA750" s="2" t="s">
        <v>3976</v>
      </c>
      <c r="CB750" s="2" t="s">
        <v>4022</v>
      </c>
      <c r="CC750" s="2" t="s">
        <v>246</v>
      </c>
      <c r="CD750" s="2" t="s">
        <v>233</v>
      </c>
      <c r="CE750" s="4">
        <v>10</v>
      </c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>
        <v>84</v>
      </c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</row>
    <row r="751">
      <c r="A751" s="2" t="s">
        <v>4107</v>
      </c>
      <c r="B751" s="2" t="s">
        <v>333</v>
      </c>
      <c r="C751" s="2" t="s">
        <v>1335</v>
      </c>
      <c r="D751" s="2" t="s">
        <v>335</v>
      </c>
      <c r="E751" s="2" t="s">
        <v>336</v>
      </c>
      <c r="F751" s="2" t="s">
        <v>3947</v>
      </c>
      <c r="G751" s="2" t="s">
        <v>3947</v>
      </c>
      <c r="H751" s="2" t="s">
        <v>3947</v>
      </c>
      <c r="I751" s="2" t="s">
        <v>338</v>
      </c>
      <c r="J751" s="2" t="s">
        <v>546</v>
      </c>
      <c r="K751" s="2" t="s">
        <v>4095</v>
      </c>
      <c r="L751" s="3">
        <v>28.98</v>
      </c>
      <c r="M751" s="3">
        <v>30.43</v>
      </c>
      <c r="N751" s="3">
        <v>64.99</v>
      </c>
      <c r="O751" s="2" t="s">
        <v>245</v>
      </c>
      <c r="P751" s="2" t="s">
        <v>272</v>
      </c>
      <c r="Q751" s="2" t="s">
        <v>239</v>
      </c>
      <c r="R751" s="2" t="s">
        <v>233</v>
      </c>
      <c r="S751" s="2" t="s">
        <v>4101</v>
      </c>
      <c r="T751" s="2" t="s">
        <v>3950</v>
      </c>
      <c r="U751" s="2" t="s">
        <v>233</v>
      </c>
      <c r="V751" s="2" t="s">
        <v>3951</v>
      </c>
      <c r="W751" s="2" t="s">
        <v>978</v>
      </c>
      <c r="X751" s="2" t="s">
        <v>233</v>
      </c>
      <c r="Y751" s="2" t="s">
        <v>3985</v>
      </c>
      <c r="Z751" s="4"/>
      <c r="AA751" s="4">
        <f>=ROUNDDOWN({0},0)</f>
      </c>
      <c r="AB751" s="5">
        <v>4</v>
      </c>
      <c r="AC751" s="2" t="s">
        <v>1341</v>
      </c>
      <c r="AD751" s="4">
        <v>53</v>
      </c>
      <c r="AE751" s="4">
        <v>53</v>
      </c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233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233</v>
      </c>
      <c r="AW751" s="8" t="s">
        <v>233</v>
      </c>
      <c r="AX751" s="4" t="s">
        <v>233</v>
      </c>
      <c r="AY751" s="8" t="s">
        <v>233</v>
      </c>
      <c r="AZ751" s="7" t="s">
        <v>233</v>
      </c>
      <c r="BA751" s="7" t="s">
        <v>233</v>
      </c>
      <c r="BB751" s="7"/>
      <c r="BC751" s="4" t="s">
        <v>233</v>
      </c>
      <c r="BD751" s="8" t="s">
        <v>233</v>
      </c>
      <c r="BE751" s="4" t="s">
        <v>233</v>
      </c>
      <c r="BF751" s="8" t="s">
        <v>233</v>
      </c>
      <c r="BG751" s="7" t="s">
        <v>233</v>
      </c>
      <c r="BH751" s="7" t="s">
        <v>233</v>
      </c>
      <c r="BI751" s="7"/>
      <c r="BJ751" s="4"/>
      <c r="BK751" s="8"/>
      <c r="BL751" s="2" t="s">
        <v>2961</v>
      </c>
      <c r="BM751" s="7"/>
      <c r="BN751" s="7"/>
      <c r="BO751" s="4"/>
      <c r="BP751" s="8"/>
      <c r="BQ751" s="4"/>
      <c r="BR751" s="8"/>
      <c r="BS751" s="7"/>
      <c r="BT751" s="7"/>
      <c r="BU751" s="2" t="s">
        <v>4108</v>
      </c>
      <c r="BV751" s="2" t="s">
        <v>233</v>
      </c>
      <c r="BW751" s="2" t="s">
        <v>233</v>
      </c>
      <c r="BX751" s="2" t="s">
        <v>3953</v>
      </c>
      <c r="BY751" s="2" t="s">
        <v>280</v>
      </c>
      <c r="BZ751" s="2" t="s">
        <v>245</v>
      </c>
      <c r="CA751" s="2" t="s">
        <v>3976</v>
      </c>
      <c r="CB751" s="2" t="s">
        <v>3988</v>
      </c>
      <c r="CC751" s="2" t="s">
        <v>246</v>
      </c>
      <c r="CD751" s="2" t="s">
        <v>233</v>
      </c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>
        <v>53</v>
      </c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</row>
    <row r="752">
      <c r="A752" s="2" t="s">
        <v>4109</v>
      </c>
      <c r="B752" s="2" t="s">
        <v>333</v>
      </c>
      <c r="C752" s="2" t="s">
        <v>1335</v>
      </c>
      <c r="D752" s="2" t="s">
        <v>335</v>
      </c>
      <c r="E752" s="2" t="s">
        <v>336</v>
      </c>
      <c r="F752" s="2" t="s">
        <v>3947</v>
      </c>
      <c r="G752" s="2" t="s">
        <v>3947</v>
      </c>
      <c r="H752" s="2" t="s">
        <v>3947</v>
      </c>
      <c r="I752" s="2" t="s">
        <v>338</v>
      </c>
      <c r="J752" s="2" t="s">
        <v>270</v>
      </c>
      <c r="K752" s="2" t="s">
        <v>4110</v>
      </c>
      <c r="L752" s="3">
        <v>19.8</v>
      </c>
      <c r="M752" s="3">
        <v>20.79</v>
      </c>
      <c r="N752" s="3">
        <v>44.99</v>
      </c>
      <c r="O752" s="2" t="s">
        <v>245</v>
      </c>
      <c r="P752" s="2" t="s">
        <v>272</v>
      </c>
      <c r="Q752" s="2" t="s">
        <v>239</v>
      </c>
      <c r="R752" s="2" t="s">
        <v>233</v>
      </c>
      <c r="S752" s="2" t="s">
        <v>4111</v>
      </c>
      <c r="T752" s="2" t="s">
        <v>3950</v>
      </c>
      <c r="U752" s="2" t="s">
        <v>233</v>
      </c>
      <c r="V752" s="2" t="s">
        <v>3951</v>
      </c>
      <c r="W752" s="2" t="s">
        <v>978</v>
      </c>
      <c r="X752" s="2" t="s">
        <v>233</v>
      </c>
      <c r="Y752" s="2" t="s">
        <v>3973</v>
      </c>
      <c r="Z752" s="4">
        <v>19</v>
      </c>
      <c r="AA752" s="4">
        <f>=ROUNDDOWN(3.16666666666667,0)</f>
      </c>
      <c r="AB752" s="5">
        <v>6</v>
      </c>
      <c r="AC752" s="2" t="s">
        <v>1341</v>
      </c>
      <c r="AD752" s="4">
        <v>66</v>
      </c>
      <c r="AE752" s="4">
        <v>66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233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233</v>
      </c>
      <c r="AW752" s="8" t="s">
        <v>233</v>
      </c>
      <c r="AX752" s="4" t="s">
        <v>233</v>
      </c>
      <c r="AY752" s="8" t="s">
        <v>233</v>
      </c>
      <c r="AZ752" s="7" t="s">
        <v>233</v>
      </c>
      <c r="BA752" s="7" t="s">
        <v>233</v>
      </c>
      <c r="BB752" s="7"/>
      <c r="BC752" s="4" t="s">
        <v>233</v>
      </c>
      <c r="BD752" s="8" t="s">
        <v>233</v>
      </c>
      <c r="BE752" s="4" t="s">
        <v>233</v>
      </c>
      <c r="BF752" s="8" t="s">
        <v>233</v>
      </c>
      <c r="BG752" s="7" t="s">
        <v>233</v>
      </c>
      <c r="BH752" s="7" t="s">
        <v>233</v>
      </c>
      <c r="BI752" s="7"/>
      <c r="BJ752" s="4">
        <v>8</v>
      </c>
      <c r="BK752" s="8">
        <v>206.25</v>
      </c>
      <c r="BL752" s="2" t="s">
        <v>4112</v>
      </c>
      <c r="BM752" s="7"/>
      <c r="BN752" s="7"/>
      <c r="BO752" s="4"/>
      <c r="BP752" s="8"/>
      <c r="BQ752" s="4"/>
      <c r="BR752" s="8"/>
      <c r="BS752" s="7"/>
      <c r="BT752" s="7"/>
      <c r="BU752" s="2" t="s">
        <v>4113</v>
      </c>
      <c r="BV752" s="2" t="s">
        <v>233</v>
      </c>
      <c r="BW752" s="2" t="s">
        <v>233</v>
      </c>
      <c r="BX752" s="2" t="s">
        <v>3953</v>
      </c>
      <c r="BY752" s="2" t="s">
        <v>280</v>
      </c>
      <c r="BZ752" s="2" t="s">
        <v>245</v>
      </c>
      <c r="CA752" s="2" t="s">
        <v>3976</v>
      </c>
      <c r="CB752" s="2" t="s">
        <v>4114</v>
      </c>
      <c r="CC752" s="2" t="s">
        <v>246</v>
      </c>
      <c r="CD752" s="2" t="s">
        <v>233</v>
      </c>
      <c r="CE752" s="4">
        <v>19</v>
      </c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>
        <v>66</v>
      </c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</row>
    <row r="753">
      <c r="A753" s="2" t="s">
        <v>4115</v>
      </c>
      <c r="B753" s="2" t="s">
        <v>333</v>
      </c>
      <c r="C753" s="2" t="s">
        <v>1335</v>
      </c>
      <c r="D753" s="2" t="s">
        <v>335</v>
      </c>
      <c r="E753" s="2" t="s">
        <v>336</v>
      </c>
      <c r="F753" s="2" t="s">
        <v>3947</v>
      </c>
      <c r="G753" s="2" t="s">
        <v>3947</v>
      </c>
      <c r="H753" s="2" t="s">
        <v>3947</v>
      </c>
      <c r="I753" s="2" t="s">
        <v>338</v>
      </c>
      <c r="J753" s="2" t="s">
        <v>290</v>
      </c>
      <c r="K753" s="2" t="s">
        <v>4110</v>
      </c>
      <c r="L753" s="3">
        <v>21.78</v>
      </c>
      <c r="M753" s="3">
        <v>22.87</v>
      </c>
      <c r="N753" s="3">
        <v>49.99</v>
      </c>
      <c r="O753" s="2" t="s">
        <v>245</v>
      </c>
      <c r="P753" s="2" t="s">
        <v>272</v>
      </c>
      <c r="Q753" s="2" t="s">
        <v>239</v>
      </c>
      <c r="R753" s="2" t="s">
        <v>233</v>
      </c>
      <c r="S753" s="2" t="s">
        <v>4111</v>
      </c>
      <c r="T753" s="2" t="s">
        <v>3950</v>
      </c>
      <c r="U753" s="2" t="s">
        <v>233</v>
      </c>
      <c r="V753" s="2" t="s">
        <v>3951</v>
      </c>
      <c r="W753" s="2" t="s">
        <v>978</v>
      </c>
      <c r="X753" s="2" t="s">
        <v>233</v>
      </c>
      <c r="Y753" s="2" t="s">
        <v>3973</v>
      </c>
      <c r="Z753" s="4">
        <v>3</v>
      </c>
      <c r="AA753" s="4">
        <f>=ROUNDDOWN(0.428571428571429,0)</f>
      </c>
      <c r="AB753" s="5">
        <v>7</v>
      </c>
      <c r="AC753" s="2" t="s">
        <v>1341</v>
      </c>
      <c r="AD753" s="4">
        <v>78</v>
      </c>
      <c r="AE753" s="4">
        <v>78</v>
      </c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233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233</v>
      </c>
      <c r="AW753" s="8" t="s">
        <v>233</v>
      </c>
      <c r="AX753" s="4" t="s">
        <v>233</v>
      </c>
      <c r="AY753" s="8" t="s">
        <v>233</v>
      </c>
      <c r="AZ753" s="7" t="s">
        <v>233</v>
      </c>
      <c r="BA753" s="7" t="s">
        <v>233</v>
      </c>
      <c r="BB753" s="7"/>
      <c r="BC753" s="4" t="s">
        <v>233</v>
      </c>
      <c r="BD753" s="8" t="s">
        <v>233</v>
      </c>
      <c r="BE753" s="4" t="s">
        <v>233</v>
      </c>
      <c r="BF753" s="8" t="s">
        <v>233</v>
      </c>
      <c r="BG753" s="7" t="s">
        <v>233</v>
      </c>
      <c r="BH753" s="7" t="s">
        <v>233</v>
      </c>
      <c r="BI753" s="7"/>
      <c r="BJ753" s="4"/>
      <c r="BK753" s="8"/>
      <c r="BL753" s="2" t="s">
        <v>3966</v>
      </c>
      <c r="BM753" s="7"/>
      <c r="BN753" s="7"/>
      <c r="BO753" s="4"/>
      <c r="BP753" s="8"/>
      <c r="BQ753" s="4"/>
      <c r="BR753" s="8"/>
      <c r="BS753" s="7"/>
      <c r="BT753" s="7"/>
      <c r="BU753" s="2" t="s">
        <v>4116</v>
      </c>
      <c r="BV753" s="2" t="s">
        <v>233</v>
      </c>
      <c r="BW753" s="2" t="s">
        <v>233</v>
      </c>
      <c r="BX753" s="2" t="s">
        <v>3953</v>
      </c>
      <c r="BY753" s="2" t="s">
        <v>280</v>
      </c>
      <c r="BZ753" s="2" t="s">
        <v>245</v>
      </c>
      <c r="CA753" s="2" t="s">
        <v>3976</v>
      </c>
      <c r="CB753" s="2" t="s">
        <v>4117</v>
      </c>
      <c r="CC753" s="2" t="s">
        <v>246</v>
      </c>
      <c r="CD753" s="2" t="s">
        <v>233</v>
      </c>
      <c r="CE753" s="4">
        <v>3</v>
      </c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>
        <v>78</v>
      </c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</row>
    <row r="754">
      <c r="A754" s="2" t="s">
        <v>4118</v>
      </c>
      <c r="B754" s="2" t="s">
        <v>333</v>
      </c>
      <c r="C754" s="2" t="s">
        <v>1335</v>
      </c>
      <c r="D754" s="2" t="s">
        <v>335</v>
      </c>
      <c r="E754" s="2" t="s">
        <v>336</v>
      </c>
      <c r="F754" s="2" t="s">
        <v>3947</v>
      </c>
      <c r="G754" s="2" t="s">
        <v>3947</v>
      </c>
      <c r="H754" s="2" t="s">
        <v>3947</v>
      </c>
      <c r="I754" s="2" t="s">
        <v>338</v>
      </c>
      <c r="J754" s="2" t="s">
        <v>348</v>
      </c>
      <c r="K754" s="2" t="s">
        <v>4110</v>
      </c>
      <c r="L754" s="3">
        <v>24.3</v>
      </c>
      <c r="M754" s="3">
        <v>25.52</v>
      </c>
      <c r="N754" s="3">
        <v>54.99</v>
      </c>
      <c r="O754" s="2" t="s">
        <v>245</v>
      </c>
      <c r="P754" s="2" t="s">
        <v>272</v>
      </c>
      <c r="Q754" s="2" t="s">
        <v>239</v>
      </c>
      <c r="R754" s="2" t="s">
        <v>233</v>
      </c>
      <c r="S754" s="2" t="s">
        <v>4119</v>
      </c>
      <c r="T754" s="2" t="s">
        <v>3950</v>
      </c>
      <c r="U754" s="2" t="s">
        <v>233</v>
      </c>
      <c r="V754" s="2" t="s">
        <v>3951</v>
      </c>
      <c r="W754" s="2" t="s">
        <v>978</v>
      </c>
      <c r="X754" s="2" t="s">
        <v>233</v>
      </c>
      <c r="Y754" s="2" t="s">
        <v>4120</v>
      </c>
      <c r="Z754" s="4"/>
      <c r="AA754" s="4">
        <f>=ROUNDDOWN({0},0)</f>
      </c>
      <c r="AB754" s="5">
        <v>11</v>
      </c>
      <c r="AC754" s="2" t="s">
        <v>1341</v>
      </c>
      <c r="AD754" s="4">
        <v>122</v>
      </c>
      <c r="AE754" s="4">
        <v>122</v>
      </c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233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233</v>
      </c>
      <c r="AW754" s="8" t="s">
        <v>233</v>
      </c>
      <c r="AX754" s="4" t="s">
        <v>233</v>
      </c>
      <c r="AY754" s="8" t="s">
        <v>233</v>
      </c>
      <c r="AZ754" s="7" t="s">
        <v>233</v>
      </c>
      <c r="BA754" s="7" t="s">
        <v>233</v>
      </c>
      <c r="BB754" s="7"/>
      <c r="BC754" s="4" t="s">
        <v>233</v>
      </c>
      <c r="BD754" s="8" t="s">
        <v>233</v>
      </c>
      <c r="BE754" s="4" t="s">
        <v>233</v>
      </c>
      <c r="BF754" s="8" t="s">
        <v>233</v>
      </c>
      <c r="BG754" s="7" t="s">
        <v>233</v>
      </c>
      <c r="BH754" s="7" t="s">
        <v>233</v>
      </c>
      <c r="BI754" s="7"/>
      <c r="BJ754" s="4"/>
      <c r="BK754" s="8"/>
      <c r="BL754" s="2" t="s">
        <v>4121</v>
      </c>
      <c r="BM754" s="7"/>
      <c r="BN754" s="7"/>
      <c r="BO754" s="4"/>
      <c r="BP754" s="8"/>
      <c r="BQ754" s="4"/>
      <c r="BR754" s="8"/>
      <c r="BS754" s="7"/>
      <c r="BT754" s="7"/>
      <c r="BU754" s="2" t="s">
        <v>4122</v>
      </c>
      <c r="BV754" s="2" t="s">
        <v>233</v>
      </c>
      <c r="BW754" s="2" t="s">
        <v>233</v>
      </c>
      <c r="BX754" s="2" t="s">
        <v>3953</v>
      </c>
      <c r="BY754" s="2" t="s">
        <v>280</v>
      </c>
      <c r="BZ754" s="2" t="s">
        <v>245</v>
      </c>
      <c r="CA754" s="2" t="s">
        <v>3976</v>
      </c>
      <c r="CB754" s="2" t="s">
        <v>4104</v>
      </c>
      <c r="CC754" s="2" t="s">
        <v>246</v>
      </c>
      <c r="CD754" s="2" t="s">
        <v>233</v>
      </c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>
        <v>122</v>
      </c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</row>
    <row r="755">
      <c r="A755" s="2" t="s">
        <v>4123</v>
      </c>
      <c r="B755" s="2" t="s">
        <v>333</v>
      </c>
      <c r="C755" s="2" t="s">
        <v>1335</v>
      </c>
      <c r="D755" s="2" t="s">
        <v>335</v>
      </c>
      <c r="E755" s="2" t="s">
        <v>336</v>
      </c>
      <c r="F755" s="2" t="s">
        <v>3947</v>
      </c>
      <c r="G755" s="2" t="s">
        <v>3947</v>
      </c>
      <c r="H755" s="2" t="s">
        <v>3947</v>
      </c>
      <c r="I755" s="2" t="s">
        <v>338</v>
      </c>
      <c r="J755" s="2" t="s">
        <v>328</v>
      </c>
      <c r="K755" s="2" t="s">
        <v>4110</v>
      </c>
      <c r="L755" s="3">
        <v>28.98</v>
      </c>
      <c r="M755" s="3">
        <v>30.43</v>
      </c>
      <c r="N755" s="3">
        <v>64.99</v>
      </c>
      <c r="O755" s="2" t="s">
        <v>245</v>
      </c>
      <c r="P755" s="2" t="s">
        <v>272</v>
      </c>
      <c r="Q755" s="2" t="s">
        <v>239</v>
      </c>
      <c r="R755" s="2" t="s">
        <v>233</v>
      </c>
      <c r="S755" s="2" t="s">
        <v>4119</v>
      </c>
      <c r="T755" s="2" t="s">
        <v>3950</v>
      </c>
      <c r="U755" s="2" t="s">
        <v>233</v>
      </c>
      <c r="V755" s="2" t="s">
        <v>3951</v>
      </c>
      <c r="W755" s="2" t="s">
        <v>978</v>
      </c>
      <c r="X755" s="2" t="s">
        <v>233</v>
      </c>
      <c r="Y755" s="2" t="s">
        <v>3973</v>
      </c>
      <c r="Z755" s="4"/>
      <c r="AA755" s="4">
        <f>=ROUNDDOWN({0},0)</f>
      </c>
      <c r="AB755" s="5">
        <v>6</v>
      </c>
      <c r="AC755" s="2" t="s">
        <v>1341</v>
      </c>
      <c r="AD755" s="4">
        <v>66</v>
      </c>
      <c r="AE755" s="4">
        <v>66</v>
      </c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233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233</v>
      </c>
      <c r="AW755" s="8" t="s">
        <v>233</v>
      </c>
      <c r="AX755" s="4" t="s">
        <v>233</v>
      </c>
      <c r="AY755" s="8" t="s">
        <v>233</v>
      </c>
      <c r="AZ755" s="7" t="s">
        <v>233</v>
      </c>
      <c r="BA755" s="7" t="s">
        <v>233</v>
      </c>
      <c r="BB755" s="7"/>
      <c r="BC755" s="4" t="s">
        <v>233</v>
      </c>
      <c r="BD755" s="8" t="s">
        <v>233</v>
      </c>
      <c r="BE755" s="4" t="s">
        <v>233</v>
      </c>
      <c r="BF755" s="8" t="s">
        <v>233</v>
      </c>
      <c r="BG755" s="7" t="s">
        <v>233</v>
      </c>
      <c r="BH755" s="7" t="s">
        <v>233</v>
      </c>
      <c r="BI755" s="7"/>
      <c r="BJ755" s="4"/>
      <c r="BK755" s="8"/>
      <c r="BL755" s="2" t="s">
        <v>1184</v>
      </c>
      <c r="BM755" s="7"/>
      <c r="BN755" s="7"/>
      <c r="BO755" s="4"/>
      <c r="BP755" s="8"/>
      <c r="BQ755" s="4"/>
      <c r="BR755" s="8"/>
      <c r="BS755" s="7"/>
      <c r="BT755" s="7"/>
      <c r="BU755" s="2" t="s">
        <v>4124</v>
      </c>
      <c r="BV755" s="2" t="s">
        <v>233</v>
      </c>
      <c r="BW755" s="2" t="s">
        <v>233</v>
      </c>
      <c r="BX755" s="2" t="s">
        <v>3953</v>
      </c>
      <c r="BY755" s="2" t="s">
        <v>280</v>
      </c>
      <c r="BZ755" s="2" t="s">
        <v>245</v>
      </c>
      <c r="CA755" s="2" t="s">
        <v>3976</v>
      </c>
      <c r="CB755" s="2" t="s">
        <v>4125</v>
      </c>
      <c r="CC755" s="2" t="s">
        <v>246</v>
      </c>
      <c r="CD755" s="2" t="s">
        <v>233</v>
      </c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>
        <v>66</v>
      </c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</row>
    <row r="756">
      <c r="A756" s="2" t="s">
        <v>4126</v>
      </c>
      <c r="B756" s="2" t="s">
        <v>333</v>
      </c>
      <c r="C756" s="2" t="s">
        <v>1335</v>
      </c>
      <c r="D756" s="2" t="s">
        <v>335</v>
      </c>
      <c r="E756" s="2" t="s">
        <v>336</v>
      </c>
      <c r="F756" s="2" t="s">
        <v>3947</v>
      </c>
      <c r="G756" s="2" t="s">
        <v>3947</v>
      </c>
      <c r="H756" s="2" t="s">
        <v>3947</v>
      </c>
      <c r="I756" s="2" t="s">
        <v>338</v>
      </c>
      <c r="J756" s="2" t="s">
        <v>328</v>
      </c>
      <c r="K756" s="2" t="s">
        <v>4127</v>
      </c>
      <c r="L756" s="3">
        <v>28.98</v>
      </c>
      <c r="M756" s="3">
        <v>30.43</v>
      </c>
      <c r="N756" s="3">
        <v>64.99</v>
      </c>
      <c r="O756" s="2" t="s">
        <v>245</v>
      </c>
      <c r="P756" s="2" t="s">
        <v>311</v>
      </c>
      <c r="Q756" s="2" t="s">
        <v>239</v>
      </c>
      <c r="R756" s="2" t="s">
        <v>233</v>
      </c>
      <c r="S756" s="2" t="s">
        <v>4128</v>
      </c>
      <c r="T756" s="2" t="s">
        <v>3950</v>
      </c>
      <c r="U756" s="2" t="s">
        <v>233</v>
      </c>
      <c r="V756" s="2" t="s">
        <v>3951</v>
      </c>
      <c r="W756" s="2" t="s">
        <v>978</v>
      </c>
      <c r="X756" s="2" t="s">
        <v>233</v>
      </c>
      <c r="Y756" s="2" t="s">
        <v>276</v>
      </c>
      <c r="Z756" s="4"/>
      <c r="AA756" s="4">
        <f>=ROUNDDOWN({0},0)</f>
      </c>
      <c r="AB756" s="5">
        <v>10</v>
      </c>
      <c r="AC756" s="2" t="s">
        <v>233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233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 t="s">
        <v>233</v>
      </c>
      <c r="BD756" s="8" t="s">
        <v>233</v>
      </c>
      <c r="BE756" s="4" t="s">
        <v>233</v>
      </c>
      <c r="BF756" s="8" t="s">
        <v>233</v>
      </c>
      <c r="BG756" s="7" t="s">
        <v>233</v>
      </c>
      <c r="BH756" s="7" t="s">
        <v>233</v>
      </c>
      <c r="BI756" s="7"/>
      <c r="BJ756" s="4"/>
      <c r="BK756" s="8"/>
      <c r="BL756" s="2" t="s">
        <v>3646</v>
      </c>
      <c r="BM756" s="7"/>
      <c r="BN756" s="7"/>
      <c r="BO756" s="4"/>
      <c r="BP756" s="8"/>
      <c r="BQ756" s="4"/>
      <c r="BR756" s="8"/>
      <c r="BS756" s="7"/>
      <c r="BT756" s="7"/>
      <c r="BU756" s="2" t="s">
        <v>4129</v>
      </c>
      <c r="BV756" s="2" t="s">
        <v>233</v>
      </c>
      <c r="BW756" s="2" t="s">
        <v>233</v>
      </c>
      <c r="BX756" s="2" t="s">
        <v>595</v>
      </c>
      <c r="BY756" s="2" t="s">
        <v>280</v>
      </c>
      <c r="BZ756" s="2" t="s">
        <v>245</v>
      </c>
      <c r="CA756" s="2" t="s">
        <v>4010</v>
      </c>
      <c r="CB756" s="2" t="s">
        <v>4028</v>
      </c>
      <c r="CC756" s="2" t="s">
        <v>246</v>
      </c>
      <c r="CD756" s="2" t="s">
        <v>233</v>
      </c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</row>
    <row r="757">
      <c r="A757" s="2" t="s">
        <v>4130</v>
      </c>
      <c r="B757" s="2" t="s">
        <v>886</v>
      </c>
      <c r="C757" s="2" t="s">
        <v>1157</v>
      </c>
      <c r="D757" s="2" t="s">
        <v>1167</v>
      </c>
      <c r="E757" s="2" t="s">
        <v>1168</v>
      </c>
      <c r="F757" s="2" t="s">
        <v>4131</v>
      </c>
      <c r="G757" s="2" t="s">
        <v>4131</v>
      </c>
      <c r="H757" s="2" t="s">
        <v>4131</v>
      </c>
      <c r="I757" s="2" t="s">
        <v>4132</v>
      </c>
      <c r="J757" s="2" t="s">
        <v>892</v>
      </c>
      <c r="K757" s="2" t="s">
        <v>297</v>
      </c>
      <c r="L757" s="3">
        <v>62.74</v>
      </c>
      <c r="M757" s="3">
        <v>65.88</v>
      </c>
      <c r="N757" s="3">
        <v>134.99</v>
      </c>
      <c r="O757" s="2" t="s">
        <v>245</v>
      </c>
      <c r="P757" s="2" t="s">
        <v>272</v>
      </c>
      <c r="Q757" s="2" t="s">
        <v>239</v>
      </c>
      <c r="R757" s="2" t="s">
        <v>233</v>
      </c>
      <c r="S757" s="2" t="s">
        <v>233</v>
      </c>
      <c r="T757" s="2" t="s">
        <v>233</v>
      </c>
      <c r="U757" s="2" t="s">
        <v>491</v>
      </c>
      <c r="V757" s="2" t="s">
        <v>893</v>
      </c>
      <c r="W757" s="2" t="s">
        <v>275</v>
      </c>
      <c r="X757" s="2" t="s">
        <v>233</v>
      </c>
      <c r="Y757" s="2" t="s">
        <v>4133</v>
      </c>
      <c r="Z757" s="4">
        <v>110</v>
      </c>
      <c r="AA757" s="4">
        <f>=ROUNDDOWN(36.6666666666667,0)</f>
      </c>
      <c r="AB757" s="5">
        <v>3</v>
      </c>
      <c r="AC757" s="2" t="s">
        <v>233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233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>
        <v>8</v>
      </c>
      <c r="BK757" s="8">
        <v>705.53</v>
      </c>
      <c r="BL757" s="2" t="s">
        <v>4134</v>
      </c>
      <c r="BM757" s="7"/>
      <c r="BN757" s="7"/>
      <c r="BO757" s="4"/>
      <c r="BP757" s="8"/>
      <c r="BQ757" s="4"/>
      <c r="BR757" s="8"/>
      <c r="BS757" s="7"/>
      <c r="BT757" s="7"/>
      <c r="BU757" s="2" t="s">
        <v>4135</v>
      </c>
      <c r="BV757" s="2" t="s">
        <v>233</v>
      </c>
      <c r="BW757" s="2" t="s">
        <v>233</v>
      </c>
      <c r="BX757" s="2" t="s">
        <v>243</v>
      </c>
      <c r="BY757" s="2" t="s">
        <v>280</v>
      </c>
      <c r="BZ757" s="2" t="s">
        <v>245</v>
      </c>
      <c r="CA757" s="2" t="s">
        <v>4136</v>
      </c>
      <c r="CB757" s="2" t="s">
        <v>4000</v>
      </c>
      <c r="CC757" s="2" t="s">
        <v>246</v>
      </c>
      <c r="CD757" s="2" t="s">
        <v>233</v>
      </c>
      <c r="CE757" s="4"/>
      <c r="CF757" s="4">
        <v>110</v>
      </c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</row>
    <row r="758">
      <c r="A758" s="2" t="s">
        <v>4137</v>
      </c>
      <c r="B758" s="2" t="s">
        <v>1066</v>
      </c>
      <c r="C758" s="2" t="s">
        <v>530</v>
      </c>
      <c r="D758" s="2" t="s">
        <v>2140</v>
      </c>
      <c r="E758" s="2" t="s">
        <v>3232</v>
      </c>
      <c r="F758" s="2" t="s">
        <v>4138</v>
      </c>
      <c r="G758" s="2" t="s">
        <v>4139</v>
      </c>
      <c r="H758" s="2" t="s">
        <v>4140</v>
      </c>
      <c r="I758" s="2" t="s">
        <v>4141</v>
      </c>
      <c r="J758" s="2" t="s">
        <v>892</v>
      </c>
      <c r="K758" s="2" t="s">
        <v>4142</v>
      </c>
      <c r="L758" s="3">
        <v>256.5</v>
      </c>
      <c r="M758" s="3">
        <v>269.32</v>
      </c>
      <c r="N758" s="3">
        <v>549</v>
      </c>
      <c r="O758" s="2" t="s">
        <v>245</v>
      </c>
      <c r="P758" s="2" t="s">
        <v>393</v>
      </c>
      <c r="Q758" s="2" t="s">
        <v>239</v>
      </c>
      <c r="R758" s="2" t="s">
        <v>233</v>
      </c>
      <c r="S758" s="2" t="s">
        <v>4143</v>
      </c>
      <c r="T758" s="2" t="s">
        <v>233</v>
      </c>
      <c r="U758" s="2" t="s">
        <v>233</v>
      </c>
      <c r="V758" s="2" t="s">
        <v>893</v>
      </c>
      <c r="W758" s="2" t="s">
        <v>1763</v>
      </c>
      <c r="X758" s="2" t="s">
        <v>451</v>
      </c>
      <c r="Y758" s="2" t="s">
        <v>2615</v>
      </c>
      <c r="Z758" s="4">
        <v>67</v>
      </c>
      <c r="AA758" s="4">
        <f>=ROUNDDOWN(33.5,0)</f>
      </c>
      <c r="AB758" s="5">
        <v>2</v>
      </c>
      <c r="AC758" s="2" t="s">
        <v>233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233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>
        <v>9</v>
      </c>
      <c r="BK758" s="8">
        <v>2391.72</v>
      </c>
      <c r="BL758" s="2" t="s">
        <v>4144</v>
      </c>
      <c r="BM758" s="7"/>
      <c r="BN758" s="7"/>
      <c r="BO758" s="4"/>
      <c r="BP758" s="8"/>
      <c r="BQ758" s="4"/>
      <c r="BR758" s="8"/>
      <c r="BS758" s="7"/>
      <c r="BT758" s="7"/>
      <c r="BU758" s="2" t="s">
        <v>4145</v>
      </c>
      <c r="BV758" s="2" t="s">
        <v>233</v>
      </c>
      <c r="BW758" s="2" t="s">
        <v>233</v>
      </c>
      <c r="BX758" s="2" t="s">
        <v>233</v>
      </c>
      <c r="BY758" s="2" t="s">
        <v>280</v>
      </c>
      <c r="BZ758" s="2" t="s">
        <v>245</v>
      </c>
      <c r="CA758" s="2" t="s">
        <v>4146</v>
      </c>
      <c r="CB758" s="2" t="s">
        <v>4147</v>
      </c>
      <c r="CC758" s="2" t="s">
        <v>246</v>
      </c>
      <c r="CD758" s="2" t="s">
        <v>233</v>
      </c>
      <c r="CE758" s="4"/>
      <c r="CF758" s="4">
        <v>67</v>
      </c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</row>
    <row r="759">
      <c r="A759" s="2" t="s">
        <v>4148</v>
      </c>
      <c r="B759" s="2" t="s">
        <v>333</v>
      </c>
      <c r="C759" s="2" t="s">
        <v>1050</v>
      </c>
      <c r="D759" s="2" t="s">
        <v>335</v>
      </c>
      <c r="E759" s="2" t="s">
        <v>336</v>
      </c>
      <c r="F759" s="2" t="s">
        <v>4149</v>
      </c>
      <c r="G759" s="2" t="s">
        <v>4149</v>
      </c>
      <c r="H759" s="2" t="s">
        <v>4149</v>
      </c>
      <c r="I759" s="2" t="s">
        <v>4150</v>
      </c>
      <c r="J759" s="2" t="s">
        <v>270</v>
      </c>
      <c r="K759" s="2" t="s">
        <v>4151</v>
      </c>
      <c r="L759" s="3">
        <v>14.89</v>
      </c>
      <c r="M759" s="3">
        <v>15.63</v>
      </c>
      <c r="N759" s="3">
        <v>31.99</v>
      </c>
      <c r="O759" s="2" t="s">
        <v>245</v>
      </c>
      <c r="P759" s="2" t="s">
        <v>741</v>
      </c>
      <c r="Q759" s="2" t="s">
        <v>239</v>
      </c>
      <c r="R759" s="2" t="s">
        <v>233</v>
      </c>
      <c r="S759" s="2" t="s">
        <v>4152</v>
      </c>
      <c r="T759" s="2" t="s">
        <v>3950</v>
      </c>
      <c r="U759" s="2" t="s">
        <v>475</v>
      </c>
      <c r="V759" s="2" t="s">
        <v>3836</v>
      </c>
      <c r="W759" s="2" t="s">
        <v>275</v>
      </c>
      <c r="X759" s="2" t="s">
        <v>978</v>
      </c>
      <c r="Y759" s="2" t="s">
        <v>4153</v>
      </c>
      <c r="Z759" s="4"/>
      <c r="AA759" s="4">
        <f>=ROUNDDOWN({0},0)</f>
      </c>
      <c r="AB759" s="5">
        <v>46</v>
      </c>
      <c r="AC759" s="2" t="s">
        <v>1341</v>
      </c>
      <c r="AD759" s="4">
        <v>456</v>
      </c>
      <c r="AE759" s="4">
        <v>456</v>
      </c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233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233</v>
      </c>
      <c r="AW759" s="8" t="s">
        <v>233</v>
      </c>
      <c r="AX759" s="4" t="s">
        <v>233</v>
      </c>
      <c r="AY759" s="8" t="s">
        <v>233</v>
      </c>
      <c r="AZ759" s="7" t="s">
        <v>233</v>
      </c>
      <c r="BA759" s="7" t="s">
        <v>233</v>
      </c>
      <c r="BB759" s="7"/>
      <c r="BC759" s="4" t="s">
        <v>233</v>
      </c>
      <c r="BD759" s="8" t="s">
        <v>233</v>
      </c>
      <c r="BE759" s="4" t="s">
        <v>233</v>
      </c>
      <c r="BF759" s="8" t="s">
        <v>233</v>
      </c>
      <c r="BG759" s="7" t="s">
        <v>233</v>
      </c>
      <c r="BH759" s="7" t="s">
        <v>233</v>
      </c>
      <c r="BI759" s="7"/>
      <c r="BJ759" s="4"/>
      <c r="BK759" s="8"/>
      <c r="BL759" s="2" t="s">
        <v>233</v>
      </c>
      <c r="BM759" s="7"/>
      <c r="BN759" s="7"/>
      <c r="BO759" s="4"/>
      <c r="BP759" s="8"/>
      <c r="BQ759" s="4"/>
      <c r="BR759" s="8"/>
      <c r="BS759" s="7"/>
      <c r="BT759" s="7"/>
      <c r="BU759" s="2" t="s">
        <v>4154</v>
      </c>
      <c r="BV759" s="2" t="s">
        <v>233</v>
      </c>
      <c r="BW759" s="2" t="s">
        <v>233</v>
      </c>
      <c r="BX759" s="2" t="s">
        <v>233</v>
      </c>
      <c r="BY759" s="2" t="s">
        <v>280</v>
      </c>
      <c r="BZ759" s="2" t="s">
        <v>245</v>
      </c>
      <c r="CA759" s="2" t="s">
        <v>4155</v>
      </c>
      <c r="CB759" s="2" t="s">
        <v>4156</v>
      </c>
      <c r="CC759" s="2" t="s">
        <v>246</v>
      </c>
      <c r="CD759" s="2" t="s">
        <v>233</v>
      </c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>
        <v>456</v>
      </c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</row>
    <row r="760">
      <c r="A760" s="2" t="s">
        <v>4157</v>
      </c>
      <c r="B760" s="2" t="s">
        <v>333</v>
      </c>
      <c r="C760" s="2" t="s">
        <v>1050</v>
      </c>
      <c r="D760" s="2" t="s">
        <v>335</v>
      </c>
      <c r="E760" s="2" t="s">
        <v>336</v>
      </c>
      <c r="F760" s="2" t="s">
        <v>4149</v>
      </c>
      <c r="G760" s="2" t="s">
        <v>4149</v>
      </c>
      <c r="H760" s="2" t="s">
        <v>4149</v>
      </c>
      <c r="I760" s="2" t="s">
        <v>4150</v>
      </c>
      <c r="J760" s="2" t="s">
        <v>290</v>
      </c>
      <c r="K760" s="2" t="s">
        <v>4151</v>
      </c>
      <c r="L760" s="3">
        <v>19.57</v>
      </c>
      <c r="M760" s="3">
        <v>20.55</v>
      </c>
      <c r="N760" s="3">
        <v>42.99</v>
      </c>
      <c r="O760" s="2" t="s">
        <v>245</v>
      </c>
      <c r="P760" s="2" t="s">
        <v>1366</v>
      </c>
      <c r="Q760" s="2" t="s">
        <v>239</v>
      </c>
      <c r="R760" s="2" t="s">
        <v>233</v>
      </c>
      <c r="S760" s="2" t="s">
        <v>4152</v>
      </c>
      <c r="T760" s="2" t="s">
        <v>3950</v>
      </c>
      <c r="U760" s="2" t="s">
        <v>342</v>
      </c>
      <c r="V760" s="2" t="s">
        <v>3836</v>
      </c>
      <c r="W760" s="2" t="s">
        <v>275</v>
      </c>
      <c r="X760" s="2" t="s">
        <v>978</v>
      </c>
      <c r="Y760" s="2" t="s">
        <v>4153</v>
      </c>
      <c r="Z760" s="4">
        <v>1</v>
      </c>
      <c r="AA760" s="4">
        <f>=ROUNDDOWN(0.0204081632653061,0)</f>
      </c>
      <c r="AB760" s="5">
        <v>49</v>
      </c>
      <c r="AC760" s="2" t="s">
        <v>1341</v>
      </c>
      <c r="AD760" s="4">
        <v>477</v>
      </c>
      <c r="AE760" s="4">
        <v>477</v>
      </c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233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233</v>
      </c>
      <c r="AW760" s="8" t="s">
        <v>233</v>
      </c>
      <c r="AX760" s="4" t="s">
        <v>233</v>
      </c>
      <c r="AY760" s="8" t="s">
        <v>233</v>
      </c>
      <c r="AZ760" s="7" t="s">
        <v>233</v>
      </c>
      <c r="BA760" s="7" t="s">
        <v>233</v>
      </c>
      <c r="BB760" s="7"/>
      <c r="BC760" s="4" t="s">
        <v>233</v>
      </c>
      <c r="BD760" s="8" t="s">
        <v>233</v>
      </c>
      <c r="BE760" s="4" t="s">
        <v>233</v>
      </c>
      <c r="BF760" s="8" t="s">
        <v>233</v>
      </c>
      <c r="BG760" s="7" t="s">
        <v>233</v>
      </c>
      <c r="BH760" s="7" t="s">
        <v>233</v>
      </c>
      <c r="BI760" s="7"/>
      <c r="BJ760" s="4">
        <v>1</v>
      </c>
      <c r="BK760" s="8">
        <v>20.55</v>
      </c>
      <c r="BL760" s="2" t="s">
        <v>744</v>
      </c>
      <c r="BM760" s="7"/>
      <c r="BN760" s="7"/>
      <c r="BO760" s="4"/>
      <c r="BP760" s="8"/>
      <c r="BQ760" s="4"/>
      <c r="BR760" s="8"/>
      <c r="BS760" s="7"/>
      <c r="BT760" s="7"/>
      <c r="BU760" s="2" t="s">
        <v>4158</v>
      </c>
      <c r="BV760" s="2" t="s">
        <v>233</v>
      </c>
      <c r="BW760" s="2" t="s">
        <v>233</v>
      </c>
      <c r="BX760" s="2" t="s">
        <v>233</v>
      </c>
      <c r="BY760" s="2" t="s">
        <v>280</v>
      </c>
      <c r="BZ760" s="2" t="s">
        <v>245</v>
      </c>
      <c r="CA760" s="2" t="s">
        <v>4159</v>
      </c>
      <c r="CB760" s="2" t="s">
        <v>4160</v>
      </c>
      <c r="CC760" s="2" t="s">
        <v>246</v>
      </c>
      <c r="CD760" s="2" t="s">
        <v>233</v>
      </c>
      <c r="CE760" s="4">
        <v>1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>
        <v>477</v>
      </c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</row>
    <row r="761">
      <c r="A761" s="2" t="s">
        <v>4161</v>
      </c>
      <c r="B761" s="2" t="s">
        <v>333</v>
      </c>
      <c r="C761" s="2" t="s">
        <v>1050</v>
      </c>
      <c r="D761" s="2" t="s">
        <v>335</v>
      </c>
      <c r="E761" s="2" t="s">
        <v>336</v>
      </c>
      <c r="F761" s="2" t="s">
        <v>4149</v>
      </c>
      <c r="G761" s="2" t="s">
        <v>4149</v>
      </c>
      <c r="H761" s="2" t="s">
        <v>4149</v>
      </c>
      <c r="I761" s="2" t="s">
        <v>4150</v>
      </c>
      <c r="J761" s="2" t="s">
        <v>348</v>
      </c>
      <c r="K761" s="2" t="s">
        <v>4151</v>
      </c>
      <c r="L761" s="3">
        <v>22.21</v>
      </c>
      <c r="M761" s="3">
        <v>23.32</v>
      </c>
      <c r="N761" s="3">
        <v>47.99</v>
      </c>
      <c r="O761" s="2" t="s">
        <v>245</v>
      </c>
      <c r="P761" s="2" t="s">
        <v>763</v>
      </c>
      <c r="Q761" s="2" t="s">
        <v>239</v>
      </c>
      <c r="R761" s="2" t="s">
        <v>233</v>
      </c>
      <c r="S761" s="2" t="s">
        <v>4152</v>
      </c>
      <c r="T761" s="2" t="s">
        <v>3950</v>
      </c>
      <c r="U761" s="2" t="s">
        <v>342</v>
      </c>
      <c r="V761" s="2" t="s">
        <v>3836</v>
      </c>
      <c r="W761" s="2" t="s">
        <v>275</v>
      </c>
      <c r="X761" s="2" t="s">
        <v>978</v>
      </c>
      <c r="Y761" s="2" t="s">
        <v>4153</v>
      </c>
      <c r="Z761" s="4"/>
      <c r="AA761" s="4">
        <f>=ROUNDDOWN({0},0)</f>
      </c>
      <c r="AB761" s="5">
        <v>63</v>
      </c>
      <c r="AC761" s="2" t="s">
        <v>1341</v>
      </c>
      <c r="AD761" s="4">
        <v>609</v>
      </c>
      <c r="AE761" s="4">
        <v>609</v>
      </c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233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233</v>
      </c>
      <c r="AW761" s="8" t="s">
        <v>233</v>
      </c>
      <c r="AX761" s="4" t="s">
        <v>233</v>
      </c>
      <c r="AY761" s="8" t="s">
        <v>233</v>
      </c>
      <c r="AZ761" s="7" t="s">
        <v>233</v>
      </c>
      <c r="BA761" s="7" t="s">
        <v>233</v>
      </c>
      <c r="BB761" s="7"/>
      <c r="BC761" s="4" t="s">
        <v>233</v>
      </c>
      <c r="BD761" s="8" t="s">
        <v>233</v>
      </c>
      <c r="BE761" s="4" t="s">
        <v>233</v>
      </c>
      <c r="BF761" s="8" t="s">
        <v>233</v>
      </c>
      <c r="BG761" s="7" t="s">
        <v>233</v>
      </c>
      <c r="BH761" s="7" t="s">
        <v>233</v>
      </c>
      <c r="BI761" s="7"/>
      <c r="BJ761" s="4"/>
      <c r="BK761" s="8"/>
      <c r="BL761" s="2" t="s">
        <v>233</v>
      </c>
      <c r="BM761" s="7"/>
      <c r="BN761" s="7"/>
      <c r="BO761" s="4"/>
      <c r="BP761" s="8"/>
      <c r="BQ761" s="4"/>
      <c r="BR761" s="8"/>
      <c r="BS761" s="7"/>
      <c r="BT761" s="7"/>
      <c r="BU761" s="2" t="s">
        <v>4162</v>
      </c>
      <c r="BV761" s="2" t="s">
        <v>233</v>
      </c>
      <c r="BW761" s="2" t="s">
        <v>233</v>
      </c>
      <c r="BX761" s="2" t="s">
        <v>233</v>
      </c>
      <c r="BY761" s="2" t="s">
        <v>280</v>
      </c>
      <c r="BZ761" s="2" t="s">
        <v>245</v>
      </c>
      <c r="CA761" s="2" t="s">
        <v>4163</v>
      </c>
      <c r="CB761" s="2" t="s">
        <v>4093</v>
      </c>
      <c r="CC761" s="2" t="s">
        <v>246</v>
      </c>
      <c r="CD761" s="2" t="s">
        <v>233</v>
      </c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>
        <v>609</v>
      </c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</row>
    <row r="762">
      <c r="A762" s="2" t="s">
        <v>4164</v>
      </c>
      <c r="B762" s="2" t="s">
        <v>333</v>
      </c>
      <c r="C762" s="2" t="s">
        <v>1050</v>
      </c>
      <c r="D762" s="2" t="s">
        <v>335</v>
      </c>
      <c r="E762" s="2" t="s">
        <v>336</v>
      </c>
      <c r="F762" s="2" t="s">
        <v>4149</v>
      </c>
      <c r="G762" s="2" t="s">
        <v>4149</v>
      </c>
      <c r="H762" s="2" t="s">
        <v>4149</v>
      </c>
      <c r="I762" s="2" t="s">
        <v>4150</v>
      </c>
      <c r="J762" s="2" t="s">
        <v>328</v>
      </c>
      <c r="K762" s="2" t="s">
        <v>4151</v>
      </c>
      <c r="L762" s="3">
        <v>27.39</v>
      </c>
      <c r="M762" s="3">
        <v>28.76</v>
      </c>
      <c r="N762" s="3">
        <v>62.99</v>
      </c>
      <c r="O762" s="2" t="s">
        <v>245</v>
      </c>
      <c r="P762" s="2" t="s">
        <v>272</v>
      </c>
      <c r="Q762" s="2" t="s">
        <v>239</v>
      </c>
      <c r="R762" s="2" t="s">
        <v>233</v>
      </c>
      <c r="S762" s="2" t="s">
        <v>4152</v>
      </c>
      <c r="T762" s="2" t="s">
        <v>3950</v>
      </c>
      <c r="U762" s="2" t="s">
        <v>342</v>
      </c>
      <c r="V762" s="2" t="s">
        <v>3836</v>
      </c>
      <c r="W762" s="2" t="s">
        <v>275</v>
      </c>
      <c r="X762" s="2" t="s">
        <v>978</v>
      </c>
      <c r="Y762" s="2" t="s">
        <v>4153</v>
      </c>
      <c r="Z762" s="4"/>
      <c r="AA762" s="4">
        <f>=ROUNDDOWN({0},0)</f>
      </c>
      <c r="AB762" s="5">
        <v>23</v>
      </c>
      <c r="AC762" s="2" t="s">
        <v>1341</v>
      </c>
      <c r="AD762" s="4">
        <v>234</v>
      </c>
      <c r="AE762" s="4">
        <v>234</v>
      </c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233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233</v>
      </c>
      <c r="AW762" s="8" t="s">
        <v>233</v>
      </c>
      <c r="AX762" s="4" t="s">
        <v>233</v>
      </c>
      <c r="AY762" s="8" t="s">
        <v>233</v>
      </c>
      <c r="AZ762" s="7" t="s">
        <v>233</v>
      </c>
      <c r="BA762" s="7" t="s">
        <v>233</v>
      </c>
      <c r="BB762" s="7"/>
      <c r="BC762" s="4" t="s">
        <v>233</v>
      </c>
      <c r="BD762" s="8" t="s">
        <v>233</v>
      </c>
      <c r="BE762" s="4" t="s">
        <v>233</v>
      </c>
      <c r="BF762" s="8" t="s">
        <v>233</v>
      </c>
      <c r="BG762" s="7" t="s">
        <v>233</v>
      </c>
      <c r="BH762" s="7" t="s">
        <v>233</v>
      </c>
      <c r="BI762" s="7"/>
      <c r="BJ762" s="4"/>
      <c r="BK762" s="8"/>
      <c r="BL762" s="2" t="s">
        <v>4165</v>
      </c>
      <c r="BM762" s="7"/>
      <c r="BN762" s="7"/>
      <c r="BO762" s="4"/>
      <c r="BP762" s="8"/>
      <c r="BQ762" s="4"/>
      <c r="BR762" s="8"/>
      <c r="BS762" s="7"/>
      <c r="BT762" s="7"/>
      <c r="BU762" s="2" t="s">
        <v>4166</v>
      </c>
      <c r="BV762" s="2" t="s">
        <v>233</v>
      </c>
      <c r="BW762" s="2" t="s">
        <v>233</v>
      </c>
      <c r="BX762" s="2" t="s">
        <v>233</v>
      </c>
      <c r="BY762" s="2" t="s">
        <v>280</v>
      </c>
      <c r="BZ762" s="2" t="s">
        <v>245</v>
      </c>
      <c r="CA762" s="2" t="s">
        <v>4159</v>
      </c>
      <c r="CB762" s="2" t="s">
        <v>4167</v>
      </c>
      <c r="CC762" s="2" t="s">
        <v>246</v>
      </c>
      <c r="CD762" s="2" t="s">
        <v>233</v>
      </c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>
        <v>234</v>
      </c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</row>
    <row r="763">
      <c r="A763" s="2" t="s">
        <v>4168</v>
      </c>
      <c r="B763" s="2" t="s">
        <v>333</v>
      </c>
      <c r="C763" s="2" t="s">
        <v>1050</v>
      </c>
      <c r="D763" s="2" t="s">
        <v>335</v>
      </c>
      <c r="E763" s="2" t="s">
        <v>336</v>
      </c>
      <c r="F763" s="2" t="s">
        <v>4149</v>
      </c>
      <c r="G763" s="2" t="s">
        <v>4149</v>
      </c>
      <c r="H763" s="2" t="s">
        <v>4149</v>
      </c>
      <c r="I763" s="2" t="s">
        <v>4150</v>
      </c>
      <c r="J763" s="2" t="s">
        <v>284</v>
      </c>
      <c r="K763" s="2" t="s">
        <v>4169</v>
      </c>
      <c r="L763" s="3">
        <v>16.16</v>
      </c>
      <c r="M763" s="3">
        <v>16.97</v>
      </c>
      <c r="N763" s="3">
        <v>34.99</v>
      </c>
      <c r="O763" s="2" t="s">
        <v>245</v>
      </c>
      <c r="P763" s="2" t="s">
        <v>272</v>
      </c>
      <c r="Q763" s="2" t="s">
        <v>239</v>
      </c>
      <c r="R763" s="2" t="s">
        <v>233</v>
      </c>
      <c r="S763" s="2" t="s">
        <v>4170</v>
      </c>
      <c r="T763" s="2" t="s">
        <v>3950</v>
      </c>
      <c r="U763" s="2" t="s">
        <v>233</v>
      </c>
      <c r="V763" s="2" t="s">
        <v>3951</v>
      </c>
      <c r="W763" s="2" t="s">
        <v>275</v>
      </c>
      <c r="X763" s="2" t="s">
        <v>233</v>
      </c>
      <c r="Y763" s="2" t="s">
        <v>3973</v>
      </c>
      <c r="Z763" s="4">
        <v>16</v>
      </c>
      <c r="AA763" s="4">
        <f>=ROUNDDOWN(1.06666666666667,0)</f>
      </c>
      <c r="AB763" s="5">
        <v>15</v>
      </c>
      <c r="AC763" s="2" t="s">
        <v>1341</v>
      </c>
      <c r="AD763" s="4">
        <v>155</v>
      </c>
      <c r="AE763" s="4">
        <v>155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233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233</v>
      </c>
      <c r="AW763" s="8" t="s">
        <v>233</v>
      </c>
      <c r="AX763" s="4" t="s">
        <v>233</v>
      </c>
      <c r="AY763" s="8" t="s">
        <v>233</v>
      </c>
      <c r="AZ763" s="7" t="s">
        <v>233</v>
      </c>
      <c r="BA763" s="7" t="s">
        <v>233</v>
      </c>
      <c r="BB763" s="7"/>
      <c r="BC763" s="4" t="s">
        <v>233</v>
      </c>
      <c r="BD763" s="8" t="s">
        <v>233</v>
      </c>
      <c r="BE763" s="4" t="s">
        <v>233</v>
      </c>
      <c r="BF763" s="8" t="s">
        <v>233</v>
      </c>
      <c r="BG763" s="7" t="s">
        <v>233</v>
      </c>
      <c r="BH763" s="7" t="s">
        <v>233</v>
      </c>
      <c r="BI763" s="7"/>
      <c r="BJ763" s="4">
        <v>16</v>
      </c>
      <c r="BK763" s="8">
        <v>291.46</v>
      </c>
      <c r="BL763" s="2" t="s">
        <v>4171</v>
      </c>
      <c r="BM763" s="7"/>
      <c r="BN763" s="7"/>
      <c r="BO763" s="4"/>
      <c r="BP763" s="8"/>
      <c r="BQ763" s="4"/>
      <c r="BR763" s="8"/>
      <c r="BS763" s="7"/>
      <c r="BT763" s="7"/>
      <c r="BU763" s="2" t="s">
        <v>4172</v>
      </c>
      <c r="BV763" s="2" t="s">
        <v>233</v>
      </c>
      <c r="BW763" s="2" t="s">
        <v>233</v>
      </c>
      <c r="BX763" s="2" t="s">
        <v>233</v>
      </c>
      <c r="BY763" s="2" t="s">
        <v>280</v>
      </c>
      <c r="BZ763" s="2" t="s">
        <v>245</v>
      </c>
      <c r="CA763" s="2" t="s">
        <v>4173</v>
      </c>
      <c r="CB763" s="2" t="s">
        <v>4114</v>
      </c>
      <c r="CC763" s="2" t="s">
        <v>246</v>
      </c>
      <c r="CD763" s="2" t="s">
        <v>233</v>
      </c>
      <c r="CE763" s="4">
        <v>16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>
        <v>155</v>
      </c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</row>
    <row r="764">
      <c r="A764" s="2" t="s">
        <v>4174</v>
      </c>
      <c r="B764" s="2" t="s">
        <v>333</v>
      </c>
      <c r="C764" s="2" t="s">
        <v>1050</v>
      </c>
      <c r="D764" s="2" t="s">
        <v>335</v>
      </c>
      <c r="E764" s="2" t="s">
        <v>336</v>
      </c>
      <c r="F764" s="2" t="s">
        <v>4149</v>
      </c>
      <c r="G764" s="2" t="s">
        <v>4149</v>
      </c>
      <c r="H764" s="2" t="s">
        <v>4149</v>
      </c>
      <c r="I764" s="2" t="s">
        <v>4150</v>
      </c>
      <c r="J764" s="2" t="s">
        <v>290</v>
      </c>
      <c r="K764" s="2" t="s">
        <v>4169</v>
      </c>
      <c r="L764" s="3">
        <v>19.57</v>
      </c>
      <c r="M764" s="3">
        <v>20.55</v>
      </c>
      <c r="N764" s="3">
        <v>42.99</v>
      </c>
      <c r="O764" s="2" t="s">
        <v>245</v>
      </c>
      <c r="P764" s="2" t="s">
        <v>272</v>
      </c>
      <c r="Q764" s="2" t="s">
        <v>239</v>
      </c>
      <c r="R764" s="2" t="s">
        <v>233</v>
      </c>
      <c r="S764" s="2" t="s">
        <v>4170</v>
      </c>
      <c r="T764" s="2" t="s">
        <v>3950</v>
      </c>
      <c r="U764" s="2" t="s">
        <v>342</v>
      </c>
      <c r="V764" s="2" t="s">
        <v>3951</v>
      </c>
      <c r="W764" s="2" t="s">
        <v>275</v>
      </c>
      <c r="X764" s="2" t="s">
        <v>233</v>
      </c>
      <c r="Y764" s="2" t="s">
        <v>3973</v>
      </c>
      <c r="Z764" s="4"/>
      <c r="AA764" s="4">
        <f>=ROUNDDOWN({0},0)</f>
      </c>
      <c r="AB764" s="5">
        <v>25</v>
      </c>
      <c r="AC764" s="2" t="s">
        <v>1341</v>
      </c>
      <c r="AD764" s="4">
        <v>251</v>
      </c>
      <c r="AE764" s="4">
        <v>251</v>
      </c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233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233</v>
      </c>
      <c r="AW764" s="8" t="s">
        <v>233</v>
      </c>
      <c r="AX764" s="4" t="s">
        <v>233</v>
      </c>
      <c r="AY764" s="8" t="s">
        <v>233</v>
      </c>
      <c r="AZ764" s="7" t="s">
        <v>233</v>
      </c>
      <c r="BA764" s="7" t="s">
        <v>233</v>
      </c>
      <c r="BB764" s="7"/>
      <c r="BC764" s="4" t="s">
        <v>233</v>
      </c>
      <c r="BD764" s="8" t="s">
        <v>233</v>
      </c>
      <c r="BE764" s="4" t="s">
        <v>233</v>
      </c>
      <c r="BF764" s="8" t="s">
        <v>233</v>
      </c>
      <c r="BG764" s="7" t="s">
        <v>233</v>
      </c>
      <c r="BH764" s="7" t="s">
        <v>233</v>
      </c>
      <c r="BI764" s="7"/>
      <c r="BJ764" s="4"/>
      <c r="BK764" s="8"/>
      <c r="BL764" s="2" t="s">
        <v>3966</v>
      </c>
      <c r="BM764" s="7"/>
      <c r="BN764" s="7"/>
      <c r="BO764" s="4"/>
      <c r="BP764" s="8"/>
      <c r="BQ764" s="4"/>
      <c r="BR764" s="8"/>
      <c r="BS764" s="7"/>
      <c r="BT764" s="7"/>
      <c r="BU764" s="2" t="s">
        <v>4175</v>
      </c>
      <c r="BV764" s="2" t="s">
        <v>233</v>
      </c>
      <c r="BW764" s="2" t="s">
        <v>233</v>
      </c>
      <c r="BX764" s="2" t="s">
        <v>233</v>
      </c>
      <c r="BY764" s="2" t="s">
        <v>280</v>
      </c>
      <c r="BZ764" s="2" t="s">
        <v>245</v>
      </c>
      <c r="CA764" s="2" t="s">
        <v>4173</v>
      </c>
      <c r="CB764" s="2" t="s">
        <v>1333</v>
      </c>
      <c r="CC764" s="2" t="s">
        <v>246</v>
      </c>
      <c r="CD764" s="2" t="s">
        <v>233</v>
      </c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>
        <v>251</v>
      </c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</row>
    <row r="765">
      <c r="A765" s="2" t="s">
        <v>4176</v>
      </c>
      <c r="B765" s="2" t="s">
        <v>333</v>
      </c>
      <c r="C765" s="2" t="s">
        <v>1050</v>
      </c>
      <c r="D765" s="2" t="s">
        <v>335</v>
      </c>
      <c r="E765" s="2" t="s">
        <v>336</v>
      </c>
      <c r="F765" s="2" t="s">
        <v>4149</v>
      </c>
      <c r="G765" s="2" t="s">
        <v>4149</v>
      </c>
      <c r="H765" s="2" t="s">
        <v>4149</v>
      </c>
      <c r="I765" s="2" t="s">
        <v>4150</v>
      </c>
      <c r="J765" s="2" t="s">
        <v>348</v>
      </c>
      <c r="K765" s="2" t="s">
        <v>4169</v>
      </c>
      <c r="L765" s="3">
        <v>22.21</v>
      </c>
      <c r="M765" s="3">
        <v>23.32</v>
      </c>
      <c r="N765" s="3">
        <v>47.99</v>
      </c>
      <c r="O765" s="2" t="s">
        <v>245</v>
      </c>
      <c r="P765" s="2" t="s">
        <v>741</v>
      </c>
      <c r="Q765" s="2" t="s">
        <v>239</v>
      </c>
      <c r="R765" s="2" t="s">
        <v>233</v>
      </c>
      <c r="S765" s="2" t="s">
        <v>4170</v>
      </c>
      <c r="T765" s="2" t="s">
        <v>3950</v>
      </c>
      <c r="U765" s="2" t="s">
        <v>342</v>
      </c>
      <c r="V765" s="2" t="s">
        <v>3951</v>
      </c>
      <c r="W765" s="2" t="s">
        <v>275</v>
      </c>
      <c r="X765" s="2" t="s">
        <v>233</v>
      </c>
      <c r="Y765" s="2" t="s">
        <v>3973</v>
      </c>
      <c r="Z765" s="4"/>
      <c r="AA765" s="4">
        <f>=ROUNDDOWN({0},0)</f>
      </c>
      <c r="AB765" s="5">
        <v>40</v>
      </c>
      <c r="AC765" s="2" t="s">
        <v>1341</v>
      </c>
      <c r="AD765" s="4">
        <v>392</v>
      </c>
      <c r="AE765" s="4">
        <v>392</v>
      </c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233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233</v>
      </c>
      <c r="AW765" s="8" t="s">
        <v>233</v>
      </c>
      <c r="AX765" s="4" t="s">
        <v>233</v>
      </c>
      <c r="AY765" s="8" t="s">
        <v>233</v>
      </c>
      <c r="AZ765" s="7" t="s">
        <v>233</v>
      </c>
      <c r="BA765" s="7" t="s">
        <v>233</v>
      </c>
      <c r="BB765" s="7"/>
      <c r="BC765" s="4" t="s">
        <v>233</v>
      </c>
      <c r="BD765" s="8" t="s">
        <v>233</v>
      </c>
      <c r="BE765" s="4" t="s">
        <v>233</v>
      </c>
      <c r="BF765" s="8" t="s">
        <v>233</v>
      </c>
      <c r="BG765" s="7" t="s">
        <v>233</v>
      </c>
      <c r="BH765" s="7" t="s">
        <v>233</v>
      </c>
      <c r="BI765" s="7"/>
      <c r="BJ765" s="4"/>
      <c r="BK765" s="8"/>
      <c r="BL765" s="2" t="s">
        <v>4177</v>
      </c>
      <c r="BM765" s="7"/>
      <c r="BN765" s="7"/>
      <c r="BO765" s="4"/>
      <c r="BP765" s="8"/>
      <c r="BQ765" s="4"/>
      <c r="BR765" s="8"/>
      <c r="BS765" s="7"/>
      <c r="BT765" s="7"/>
      <c r="BU765" s="2" t="s">
        <v>4178</v>
      </c>
      <c r="BV765" s="2" t="s">
        <v>233</v>
      </c>
      <c r="BW765" s="2" t="s">
        <v>233</v>
      </c>
      <c r="BX765" s="2" t="s">
        <v>233</v>
      </c>
      <c r="BY765" s="2" t="s">
        <v>280</v>
      </c>
      <c r="BZ765" s="2" t="s">
        <v>245</v>
      </c>
      <c r="CA765" s="2" t="s">
        <v>4173</v>
      </c>
      <c r="CB765" s="2" t="s">
        <v>4179</v>
      </c>
      <c r="CC765" s="2" t="s">
        <v>246</v>
      </c>
      <c r="CD765" s="2" t="s">
        <v>233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>
        <v>392</v>
      </c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</row>
    <row r="766">
      <c r="A766" s="2" t="s">
        <v>4180</v>
      </c>
      <c r="B766" s="2" t="s">
        <v>333</v>
      </c>
      <c r="C766" s="2" t="s">
        <v>1050</v>
      </c>
      <c r="D766" s="2" t="s">
        <v>335</v>
      </c>
      <c r="E766" s="2" t="s">
        <v>336</v>
      </c>
      <c r="F766" s="2" t="s">
        <v>4149</v>
      </c>
      <c r="G766" s="2" t="s">
        <v>4149</v>
      </c>
      <c r="H766" s="2" t="s">
        <v>4149</v>
      </c>
      <c r="I766" s="2" t="s">
        <v>4150</v>
      </c>
      <c r="J766" s="2" t="s">
        <v>328</v>
      </c>
      <c r="K766" s="2" t="s">
        <v>4169</v>
      </c>
      <c r="L766" s="3">
        <v>27.39</v>
      </c>
      <c r="M766" s="3">
        <v>28.76</v>
      </c>
      <c r="N766" s="3">
        <v>62.99</v>
      </c>
      <c r="O766" s="2" t="s">
        <v>245</v>
      </c>
      <c r="P766" s="2" t="s">
        <v>272</v>
      </c>
      <c r="Q766" s="2" t="s">
        <v>239</v>
      </c>
      <c r="R766" s="2" t="s">
        <v>233</v>
      </c>
      <c r="S766" s="2" t="s">
        <v>4170</v>
      </c>
      <c r="T766" s="2" t="s">
        <v>3950</v>
      </c>
      <c r="U766" s="2" t="s">
        <v>342</v>
      </c>
      <c r="V766" s="2" t="s">
        <v>3951</v>
      </c>
      <c r="W766" s="2" t="s">
        <v>275</v>
      </c>
      <c r="X766" s="2" t="s">
        <v>233</v>
      </c>
      <c r="Y766" s="2" t="s">
        <v>3973</v>
      </c>
      <c r="Z766" s="4">
        <v>420</v>
      </c>
      <c r="AA766" s="4">
        <f>=ROUNDDOWN(30,0)</f>
      </c>
      <c r="AB766" s="5">
        <v>14</v>
      </c>
      <c r="AC766" s="2" t="s">
        <v>233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233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233</v>
      </c>
      <c r="AW766" s="8" t="s">
        <v>233</v>
      </c>
      <c r="AX766" s="4" t="s">
        <v>233</v>
      </c>
      <c r="AY766" s="8" t="s">
        <v>233</v>
      </c>
      <c r="AZ766" s="7" t="s">
        <v>233</v>
      </c>
      <c r="BA766" s="7" t="s">
        <v>233</v>
      </c>
      <c r="BB766" s="7"/>
      <c r="BC766" s="4" t="s">
        <v>233</v>
      </c>
      <c r="BD766" s="8" t="s">
        <v>233</v>
      </c>
      <c r="BE766" s="4" t="s">
        <v>233</v>
      </c>
      <c r="BF766" s="8" t="s">
        <v>233</v>
      </c>
      <c r="BG766" s="7" t="s">
        <v>233</v>
      </c>
      <c r="BH766" s="7" t="s">
        <v>233</v>
      </c>
      <c r="BI766" s="7"/>
      <c r="BJ766" s="4">
        <v>17</v>
      </c>
      <c r="BK766" s="8">
        <v>518.75</v>
      </c>
      <c r="BL766" s="2" t="s">
        <v>2961</v>
      </c>
      <c r="BM766" s="7"/>
      <c r="BN766" s="7"/>
      <c r="BO766" s="4"/>
      <c r="BP766" s="8"/>
      <c r="BQ766" s="4"/>
      <c r="BR766" s="8"/>
      <c r="BS766" s="7"/>
      <c r="BT766" s="7"/>
      <c r="BU766" s="2" t="s">
        <v>4181</v>
      </c>
      <c r="BV766" s="2" t="s">
        <v>233</v>
      </c>
      <c r="BW766" s="2" t="s">
        <v>233</v>
      </c>
      <c r="BX766" s="2" t="s">
        <v>233</v>
      </c>
      <c r="BY766" s="2" t="s">
        <v>280</v>
      </c>
      <c r="BZ766" s="2" t="s">
        <v>245</v>
      </c>
      <c r="CA766" s="2" t="s">
        <v>4173</v>
      </c>
      <c r="CB766" s="2" t="s">
        <v>3977</v>
      </c>
      <c r="CC766" s="2" t="s">
        <v>246</v>
      </c>
      <c r="CD766" s="2" t="s">
        <v>233</v>
      </c>
      <c r="CE766" s="4">
        <v>420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</row>
    <row r="767">
      <c r="A767" s="2" t="s">
        <v>4182</v>
      </c>
      <c r="B767" s="2" t="s">
        <v>333</v>
      </c>
      <c r="C767" s="2" t="s">
        <v>1050</v>
      </c>
      <c r="D767" s="2" t="s">
        <v>335</v>
      </c>
      <c r="E767" s="2" t="s">
        <v>336</v>
      </c>
      <c r="F767" s="2" t="s">
        <v>4149</v>
      </c>
      <c r="G767" s="2" t="s">
        <v>4149</v>
      </c>
      <c r="H767" s="2" t="s">
        <v>4149</v>
      </c>
      <c r="I767" s="2" t="s">
        <v>4150</v>
      </c>
      <c r="J767" s="2" t="s">
        <v>546</v>
      </c>
      <c r="K767" s="2" t="s">
        <v>4169</v>
      </c>
      <c r="L767" s="3">
        <v>27.39</v>
      </c>
      <c r="M767" s="3">
        <v>28.76</v>
      </c>
      <c r="N767" s="3">
        <v>62.99</v>
      </c>
      <c r="O767" s="2" t="s">
        <v>245</v>
      </c>
      <c r="P767" s="2" t="s">
        <v>272</v>
      </c>
      <c r="Q767" s="2" t="s">
        <v>239</v>
      </c>
      <c r="R767" s="2" t="s">
        <v>233</v>
      </c>
      <c r="S767" s="2" t="s">
        <v>4170</v>
      </c>
      <c r="T767" s="2" t="s">
        <v>3950</v>
      </c>
      <c r="U767" s="2" t="s">
        <v>233</v>
      </c>
      <c r="V767" s="2" t="s">
        <v>3951</v>
      </c>
      <c r="W767" s="2" t="s">
        <v>275</v>
      </c>
      <c r="X767" s="2" t="s">
        <v>233</v>
      </c>
      <c r="Y767" s="2" t="s">
        <v>3973</v>
      </c>
      <c r="Z767" s="4"/>
      <c r="AA767" s="4">
        <f>=ROUNDDOWN({0},0)</f>
      </c>
      <c r="AB767" s="5">
        <v>10</v>
      </c>
      <c r="AC767" s="2" t="s">
        <v>1341</v>
      </c>
      <c r="AD767" s="4">
        <v>110</v>
      </c>
      <c r="AE767" s="4">
        <v>110</v>
      </c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233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233</v>
      </c>
      <c r="AW767" s="8" t="s">
        <v>233</v>
      </c>
      <c r="AX767" s="4" t="s">
        <v>233</v>
      </c>
      <c r="AY767" s="8" t="s">
        <v>233</v>
      </c>
      <c r="AZ767" s="7" t="s">
        <v>233</v>
      </c>
      <c r="BA767" s="7" t="s">
        <v>233</v>
      </c>
      <c r="BB767" s="7"/>
      <c r="BC767" s="4" t="s">
        <v>233</v>
      </c>
      <c r="BD767" s="8" t="s">
        <v>233</v>
      </c>
      <c r="BE767" s="4" t="s">
        <v>233</v>
      </c>
      <c r="BF767" s="8" t="s">
        <v>233</v>
      </c>
      <c r="BG767" s="7" t="s">
        <v>233</v>
      </c>
      <c r="BH767" s="7" t="s">
        <v>233</v>
      </c>
      <c r="BI767" s="7"/>
      <c r="BJ767" s="4"/>
      <c r="BK767" s="8"/>
      <c r="BL767" s="2" t="s">
        <v>4183</v>
      </c>
      <c r="BM767" s="7"/>
      <c r="BN767" s="7"/>
      <c r="BO767" s="4"/>
      <c r="BP767" s="8"/>
      <c r="BQ767" s="4"/>
      <c r="BR767" s="8"/>
      <c r="BS767" s="7"/>
      <c r="BT767" s="7"/>
      <c r="BU767" s="2" t="s">
        <v>4184</v>
      </c>
      <c r="BV767" s="2" t="s">
        <v>233</v>
      </c>
      <c r="BW767" s="2" t="s">
        <v>233</v>
      </c>
      <c r="BX767" s="2" t="s">
        <v>233</v>
      </c>
      <c r="BY767" s="2" t="s">
        <v>280</v>
      </c>
      <c r="BZ767" s="2" t="s">
        <v>245</v>
      </c>
      <c r="CA767" s="2" t="s">
        <v>4173</v>
      </c>
      <c r="CB767" s="2" t="s">
        <v>879</v>
      </c>
      <c r="CC767" s="2" t="s">
        <v>246</v>
      </c>
      <c r="CD767" s="2" t="s">
        <v>233</v>
      </c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>
        <v>110</v>
      </c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</row>
    <row r="768">
      <c r="A768" s="2" t="s">
        <v>4185</v>
      </c>
      <c r="B768" s="2" t="s">
        <v>333</v>
      </c>
      <c r="C768" s="2" t="s">
        <v>1050</v>
      </c>
      <c r="D768" s="2" t="s">
        <v>335</v>
      </c>
      <c r="E768" s="2" t="s">
        <v>336</v>
      </c>
      <c r="F768" s="2" t="s">
        <v>4149</v>
      </c>
      <c r="G768" s="2" t="s">
        <v>4149</v>
      </c>
      <c r="H768" s="2" t="s">
        <v>4149</v>
      </c>
      <c r="I768" s="2" t="s">
        <v>4150</v>
      </c>
      <c r="J768" s="2" t="s">
        <v>270</v>
      </c>
      <c r="K768" s="2" t="s">
        <v>4186</v>
      </c>
      <c r="L768" s="3">
        <v>14.89</v>
      </c>
      <c r="M768" s="3">
        <v>15.63</v>
      </c>
      <c r="N768" s="3">
        <v>31.99</v>
      </c>
      <c r="O768" s="2" t="s">
        <v>245</v>
      </c>
      <c r="P768" s="2" t="s">
        <v>311</v>
      </c>
      <c r="Q768" s="2" t="s">
        <v>239</v>
      </c>
      <c r="R768" s="2" t="s">
        <v>233</v>
      </c>
      <c r="S768" s="2" t="s">
        <v>4187</v>
      </c>
      <c r="T768" s="2" t="s">
        <v>3950</v>
      </c>
      <c r="U768" s="2" t="s">
        <v>233</v>
      </c>
      <c r="V768" s="2" t="s">
        <v>1085</v>
      </c>
      <c r="W768" s="2" t="s">
        <v>275</v>
      </c>
      <c r="X768" s="2" t="s">
        <v>233</v>
      </c>
      <c r="Y768" s="2" t="s">
        <v>3973</v>
      </c>
      <c r="Z768" s="4"/>
      <c r="AA768" s="4">
        <f>=ROUNDDOWN({0},0)</f>
      </c>
      <c r="AB768" s="5">
        <v>14</v>
      </c>
      <c r="AC768" s="2" t="s">
        <v>233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233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233</v>
      </c>
      <c r="AW768" s="8" t="s">
        <v>233</v>
      </c>
      <c r="AX768" s="4" t="s">
        <v>233</v>
      </c>
      <c r="AY768" s="8" t="s">
        <v>233</v>
      </c>
      <c r="AZ768" s="7" t="s">
        <v>233</v>
      </c>
      <c r="BA768" s="7" t="s">
        <v>233</v>
      </c>
      <c r="BB768" s="7"/>
      <c r="BC768" s="4" t="s">
        <v>233</v>
      </c>
      <c r="BD768" s="8" t="s">
        <v>233</v>
      </c>
      <c r="BE768" s="4" t="s">
        <v>233</v>
      </c>
      <c r="BF768" s="8" t="s">
        <v>233</v>
      </c>
      <c r="BG768" s="7" t="s">
        <v>233</v>
      </c>
      <c r="BH768" s="7" t="s">
        <v>233</v>
      </c>
      <c r="BI768" s="7"/>
      <c r="BJ768" s="4"/>
      <c r="BK768" s="8"/>
      <c r="BL768" s="2" t="s">
        <v>233</v>
      </c>
      <c r="BM768" s="7"/>
      <c r="BN768" s="7"/>
      <c r="BO768" s="4"/>
      <c r="BP768" s="8"/>
      <c r="BQ768" s="4"/>
      <c r="BR768" s="8"/>
      <c r="BS768" s="7"/>
      <c r="BT768" s="7"/>
      <c r="BU768" s="2" t="s">
        <v>4188</v>
      </c>
      <c r="BV768" s="2" t="s">
        <v>233</v>
      </c>
      <c r="BW768" s="2" t="s">
        <v>233</v>
      </c>
      <c r="BX768" s="2" t="s">
        <v>595</v>
      </c>
      <c r="BY768" s="2" t="s">
        <v>280</v>
      </c>
      <c r="BZ768" s="2" t="s">
        <v>245</v>
      </c>
      <c r="CA768" s="2" t="s">
        <v>4173</v>
      </c>
      <c r="CB768" s="2" t="s">
        <v>4189</v>
      </c>
      <c r="CC768" s="2" t="s">
        <v>246</v>
      </c>
      <c r="CD768" s="2" t="s">
        <v>233</v>
      </c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</row>
    <row r="769">
      <c r="A769" s="2" t="s">
        <v>4190</v>
      </c>
      <c r="B769" s="2" t="s">
        <v>333</v>
      </c>
      <c r="C769" s="2" t="s">
        <v>1050</v>
      </c>
      <c r="D769" s="2" t="s">
        <v>335</v>
      </c>
      <c r="E769" s="2" t="s">
        <v>336</v>
      </c>
      <c r="F769" s="2" t="s">
        <v>4149</v>
      </c>
      <c r="G769" s="2" t="s">
        <v>4149</v>
      </c>
      <c r="H769" s="2" t="s">
        <v>4149</v>
      </c>
      <c r="I769" s="2" t="s">
        <v>4150</v>
      </c>
      <c r="J769" s="2" t="s">
        <v>284</v>
      </c>
      <c r="K769" s="2" t="s">
        <v>4186</v>
      </c>
      <c r="L769" s="3">
        <v>16.16</v>
      </c>
      <c r="M769" s="3">
        <v>16.97</v>
      </c>
      <c r="N769" s="3">
        <v>34.99</v>
      </c>
      <c r="O769" s="2" t="s">
        <v>245</v>
      </c>
      <c r="P769" s="2" t="s">
        <v>311</v>
      </c>
      <c r="Q769" s="2" t="s">
        <v>239</v>
      </c>
      <c r="R769" s="2" t="s">
        <v>233</v>
      </c>
      <c r="S769" s="2" t="s">
        <v>4187</v>
      </c>
      <c r="T769" s="2" t="s">
        <v>3950</v>
      </c>
      <c r="U769" s="2" t="s">
        <v>233</v>
      </c>
      <c r="V769" s="2" t="s">
        <v>1085</v>
      </c>
      <c r="W769" s="2" t="s">
        <v>275</v>
      </c>
      <c r="X769" s="2" t="s">
        <v>233</v>
      </c>
      <c r="Y769" s="2" t="s">
        <v>3973</v>
      </c>
      <c r="Z769" s="4"/>
      <c r="AA769" s="4">
        <f>=ROUNDDOWN({0},0)</f>
      </c>
      <c r="AB769" s="5">
        <v>12</v>
      </c>
      <c r="AC769" s="2" t="s">
        <v>233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233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233</v>
      </c>
      <c r="AW769" s="8" t="s">
        <v>233</v>
      </c>
      <c r="AX769" s="4" t="s">
        <v>233</v>
      </c>
      <c r="AY769" s="8" t="s">
        <v>233</v>
      </c>
      <c r="AZ769" s="7" t="s">
        <v>233</v>
      </c>
      <c r="BA769" s="7" t="s">
        <v>233</v>
      </c>
      <c r="BB769" s="7"/>
      <c r="BC769" s="4" t="s">
        <v>233</v>
      </c>
      <c r="BD769" s="8" t="s">
        <v>233</v>
      </c>
      <c r="BE769" s="4" t="s">
        <v>233</v>
      </c>
      <c r="BF769" s="8" t="s">
        <v>233</v>
      </c>
      <c r="BG769" s="7" t="s">
        <v>233</v>
      </c>
      <c r="BH769" s="7" t="s">
        <v>233</v>
      </c>
      <c r="BI769" s="7"/>
      <c r="BJ769" s="4"/>
      <c r="BK769" s="8"/>
      <c r="BL769" s="2" t="s">
        <v>233</v>
      </c>
      <c r="BM769" s="7"/>
      <c r="BN769" s="7"/>
      <c r="BO769" s="4"/>
      <c r="BP769" s="8"/>
      <c r="BQ769" s="4"/>
      <c r="BR769" s="8"/>
      <c r="BS769" s="7"/>
      <c r="BT769" s="7"/>
      <c r="BU769" s="2" t="s">
        <v>4191</v>
      </c>
      <c r="BV769" s="2" t="s">
        <v>233</v>
      </c>
      <c r="BW769" s="2" t="s">
        <v>233</v>
      </c>
      <c r="BX769" s="2" t="s">
        <v>595</v>
      </c>
      <c r="BY769" s="2" t="s">
        <v>280</v>
      </c>
      <c r="BZ769" s="2" t="s">
        <v>245</v>
      </c>
      <c r="CA769" s="2" t="s">
        <v>4173</v>
      </c>
      <c r="CB769" s="2" t="s">
        <v>4192</v>
      </c>
      <c r="CC769" s="2" t="s">
        <v>246</v>
      </c>
      <c r="CD769" s="2" t="s">
        <v>233</v>
      </c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</row>
    <row r="770">
      <c r="A770" s="2" t="s">
        <v>4193</v>
      </c>
      <c r="B770" s="2" t="s">
        <v>333</v>
      </c>
      <c r="C770" s="2" t="s">
        <v>1050</v>
      </c>
      <c r="D770" s="2" t="s">
        <v>335</v>
      </c>
      <c r="E770" s="2" t="s">
        <v>336</v>
      </c>
      <c r="F770" s="2" t="s">
        <v>4149</v>
      </c>
      <c r="G770" s="2" t="s">
        <v>4149</v>
      </c>
      <c r="H770" s="2" t="s">
        <v>4149</v>
      </c>
      <c r="I770" s="2" t="s">
        <v>4150</v>
      </c>
      <c r="J770" s="2" t="s">
        <v>290</v>
      </c>
      <c r="K770" s="2" t="s">
        <v>4186</v>
      </c>
      <c r="L770" s="3">
        <v>19.57</v>
      </c>
      <c r="M770" s="3">
        <v>20.55</v>
      </c>
      <c r="N770" s="3">
        <v>42.99</v>
      </c>
      <c r="O770" s="2" t="s">
        <v>245</v>
      </c>
      <c r="P770" s="2" t="s">
        <v>311</v>
      </c>
      <c r="Q770" s="2" t="s">
        <v>239</v>
      </c>
      <c r="R770" s="2" t="s">
        <v>233</v>
      </c>
      <c r="S770" s="2" t="s">
        <v>4187</v>
      </c>
      <c r="T770" s="2" t="s">
        <v>3950</v>
      </c>
      <c r="U770" s="2" t="s">
        <v>233</v>
      </c>
      <c r="V770" s="2" t="s">
        <v>1085</v>
      </c>
      <c r="W770" s="2" t="s">
        <v>275</v>
      </c>
      <c r="X770" s="2" t="s">
        <v>233</v>
      </c>
      <c r="Y770" s="2" t="s">
        <v>3973</v>
      </c>
      <c r="Z770" s="4"/>
      <c r="AA770" s="4">
        <f>=ROUNDDOWN({0},0)</f>
      </c>
      <c r="AB770" s="5">
        <v>15</v>
      </c>
      <c r="AC770" s="2" t="s">
        <v>233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233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233</v>
      </c>
      <c r="AW770" s="8" t="s">
        <v>233</v>
      </c>
      <c r="AX770" s="4" t="s">
        <v>233</v>
      </c>
      <c r="AY770" s="8" t="s">
        <v>233</v>
      </c>
      <c r="AZ770" s="7" t="s">
        <v>233</v>
      </c>
      <c r="BA770" s="7" t="s">
        <v>233</v>
      </c>
      <c r="BB770" s="7"/>
      <c r="BC770" s="4" t="s">
        <v>233</v>
      </c>
      <c r="BD770" s="8" t="s">
        <v>233</v>
      </c>
      <c r="BE770" s="4" t="s">
        <v>233</v>
      </c>
      <c r="BF770" s="8" t="s">
        <v>233</v>
      </c>
      <c r="BG770" s="7" t="s">
        <v>233</v>
      </c>
      <c r="BH770" s="7" t="s">
        <v>233</v>
      </c>
      <c r="BI770" s="7"/>
      <c r="BJ770" s="4"/>
      <c r="BK770" s="8"/>
      <c r="BL770" s="2" t="s">
        <v>233</v>
      </c>
      <c r="BM770" s="7"/>
      <c r="BN770" s="7"/>
      <c r="BO770" s="4"/>
      <c r="BP770" s="8"/>
      <c r="BQ770" s="4"/>
      <c r="BR770" s="8"/>
      <c r="BS770" s="7"/>
      <c r="BT770" s="7"/>
      <c r="BU770" s="2" t="s">
        <v>4194</v>
      </c>
      <c r="BV770" s="2" t="s">
        <v>233</v>
      </c>
      <c r="BW770" s="2" t="s">
        <v>233</v>
      </c>
      <c r="BX770" s="2" t="s">
        <v>595</v>
      </c>
      <c r="BY770" s="2" t="s">
        <v>280</v>
      </c>
      <c r="BZ770" s="2" t="s">
        <v>245</v>
      </c>
      <c r="CA770" s="2" t="s">
        <v>4173</v>
      </c>
      <c r="CB770" s="2" t="s">
        <v>4114</v>
      </c>
      <c r="CC770" s="2" t="s">
        <v>246</v>
      </c>
      <c r="CD770" s="2" t="s">
        <v>233</v>
      </c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</row>
    <row r="771">
      <c r="A771" s="2" t="s">
        <v>4195</v>
      </c>
      <c r="B771" s="2" t="s">
        <v>333</v>
      </c>
      <c r="C771" s="2" t="s">
        <v>1050</v>
      </c>
      <c r="D771" s="2" t="s">
        <v>335</v>
      </c>
      <c r="E771" s="2" t="s">
        <v>336</v>
      </c>
      <c r="F771" s="2" t="s">
        <v>4149</v>
      </c>
      <c r="G771" s="2" t="s">
        <v>4149</v>
      </c>
      <c r="H771" s="2" t="s">
        <v>4149</v>
      </c>
      <c r="I771" s="2" t="s">
        <v>4150</v>
      </c>
      <c r="J771" s="2" t="s">
        <v>270</v>
      </c>
      <c r="K771" s="2" t="s">
        <v>4196</v>
      </c>
      <c r="L771" s="3">
        <v>14.89</v>
      </c>
      <c r="M771" s="3">
        <v>15.63</v>
      </c>
      <c r="N771" s="3">
        <v>31.99</v>
      </c>
      <c r="O771" s="2" t="s">
        <v>245</v>
      </c>
      <c r="P771" s="2" t="s">
        <v>272</v>
      </c>
      <c r="Q771" s="2" t="s">
        <v>239</v>
      </c>
      <c r="R771" s="2" t="s">
        <v>233</v>
      </c>
      <c r="S771" s="2" t="s">
        <v>4197</v>
      </c>
      <c r="T771" s="2" t="s">
        <v>3950</v>
      </c>
      <c r="U771" s="2" t="s">
        <v>475</v>
      </c>
      <c r="V771" s="2" t="s">
        <v>1658</v>
      </c>
      <c r="W771" s="2" t="s">
        <v>275</v>
      </c>
      <c r="X771" s="2" t="s">
        <v>451</v>
      </c>
      <c r="Y771" s="2" t="s">
        <v>4198</v>
      </c>
      <c r="Z771" s="4"/>
      <c r="AA771" s="4">
        <f>=ROUNDDOWN({0},0)</f>
      </c>
      <c r="AB771" s="5">
        <v>33</v>
      </c>
      <c r="AC771" s="2" t="s">
        <v>1341</v>
      </c>
      <c r="AD771" s="4">
        <v>323</v>
      </c>
      <c r="AE771" s="4">
        <v>323</v>
      </c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233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233</v>
      </c>
      <c r="AW771" s="8" t="s">
        <v>233</v>
      </c>
      <c r="AX771" s="4" t="s">
        <v>233</v>
      </c>
      <c r="AY771" s="8" t="s">
        <v>233</v>
      </c>
      <c r="AZ771" s="7" t="s">
        <v>233</v>
      </c>
      <c r="BA771" s="7" t="s">
        <v>233</v>
      </c>
      <c r="BB771" s="7"/>
      <c r="BC771" s="4" t="s">
        <v>233</v>
      </c>
      <c r="BD771" s="8" t="s">
        <v>233</v>
      </c>
      <c r="BE771" s="4" t="s">
        <v>233</v>
      </c>
      <c r="BF771" s="8" t="s">
        <v>233</v>
      </c>
      <c r="BG771" s="7" t="s">
        <v>233</v>
      </c>
      <c r="BH771" s="7" t="s">
        <v>233</v>
      </c>
      <c r="BI771" s="7"/>
      <c r="BJ771" s="4"/>
      <c r="BK771" s="8"/>
      <c r="BL771" s="2" t="s">
        <v>4199</v>
      </c>
      <c r="BM771" s="7"/>
      <c r="BN771" s="7"/>
      <c r="BO771" s="4"/>
      <c r="BP771" s="8"/>
      <c r="BQ771" s="4"/>
      <c r="BR771" s="8"/>
      <c r="BS771" s="7"/>
      <c r="BT771" s="7"/>
      <c r="BU771" s="2" t="s">
        <v>4200</v>
      </c>
      <c r="BV771" s="2" t="s">
        <v>233</v>
      </c>
      <c r="BW771" s="2" t="s">
        <v>233</v>
      </c>
      <c r="BX771" s="2" t="s">
        <v>233</v>
      </c>
      <c r="BY771" s="2" t="s">
        <v>280</v>
      </c>
      <c r="BZ771" s="2" t="s">
        <v>245</v>
      </c>
      <c r="CA771" s="2" t="s">
        <v>624</v>
      </c>
      <c r="CB771" s="2" t="s">
        <v>4201</v>
      </c>
      <c r="CC771" s="2" t="s">
        <v>246</v>
      </c>
      <c r="CD771" s="2" t="s">
        <v>233</v>
      </c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>
        <v>323</v>
      </c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</row>
    <row r="772">
      <c r="A772" s="2" t="s">
        <v>4202</v>
      </c>
      <c r="B772" s="2" t="s">
        <v>333</v>
      </c>
      <c r="C772" s="2" t="s">
        <v>1050</v>
      </c>
      <c r="D772" s="2" t="s">
        <v>335</v>
      </c>
      <c r="E772" s="2" t="s">
        <v>336</v>
      </c>
      <c r="F772" s="2" t="s">
        <v>4149</v>
      </c>
      <c r="G772" s="2" t="s">
        <v>4149</v>
      </c>
      <c r="H772" s="2" t="s">
        <v>4149</v>
      </c>
      <c r="I772" s="2" t="s">
        <v>4150</v>
      </c>
      <c r="J772" s="2" t="s">
        <v>284</v>
      </c>
      <c r="K772" s="2" t="s">
        <v>4196</v>
      </c>
      <c r="L772" s="3">
        <v>16.16</v>
      </c>
      <c r="M772" s="3">
        <v>16.97</v>
      </c>
      <c r="N772" s="3">
        <v>34.99</v>
      </c>
      <c r="O772" s="2" t="s">
        <v>245</v>
      </c>
      <c r="P772" s="2" t="s">
        <v>272</v>
      </c>
      <c r="Q772" s="2" t="s">
        <v>239</v>
      </c>
      <c r="R772" s="2" t="s">
        <v>233</v>
      </c>
      <c r="S772" s="2" t="s">
        <v>4197</v>
      </c>
      <c r="T772" s="2" t="s">
        <v>3950</v>
      </c>
      <c r="U772" s="2" t="s">
        <v>475</v>
      </c>
      <c r="V772" s="2" t="s">
        <v>1658</v>
      </c>
      <c r="W772" s="2" t="s">
        <v>275</v>
      </c>
      <c r="X772" s="2" t="s">
        <v>451</v>
      </c>
      <c r="Y772" s="2" t="s">
        <v>4198</v>
      </c>
      <c r="Z772" s="4"/>
      <c r="AA772" s="4">
        <f>=ROUNDDOWN({0},0)</f>
      </c>
      <c r="AB772" s="5">
        <v>26</v>
      </c>
      <c r="AC772" s="2" t="s">
        <v>1341</v>
      </c>
      <c r="AD772" s="4">
        <v>260</v>
      </c>
      <c r="AE772" s="4">
        <v>260</v>
      </c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233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233</v>
      </c>
      <c r="AW772" s="8" t="s">
        <v>233</v>
      </c>
      <c r="AX772" s="4" t="s">
        <v>233</v>
      </c>
      <c r="AY772" s="8" t="s">
        <v>233</v>
      </c>
      <c r="AZ772" s="7" t="s">
        <v>233</v>
      </c>
      <c r="BA772" s="7" t="s">
        <v>233</v>
      </c>
      <c r="BB772" s="7"/>
      <c r="BC772" s="4" t="s">
        <v>233</v>
      </c>
      <c r="BD772" s="8" t="s">
        <v>233</v>
      </c>
      <c r="BE772" s="4" t="s">
        <v>233</v>
      </c>
      <c r="BF772" s="8" t="s">
        <v>233</v>
      </c>
      <c r="BG772" s="7" t="s">
        <v>233</v>
      </c>
      <c r="BH772" s="7" t="s">
        <v>233</v>
      </c>
      <c r="BI772" s="7"/>
      <c r="BJ772" s="4"/>
      <c r="BK772" s="8"/>
      <c r="BL772" s="2" t="s">
        <v>1292</v>
      </c>
      <c r="BM772" s="7"/>
      <c r="BN772" s="7"/>
      <c r="BO772" s="4"/>
      <c r="BP772" s="8"/>
      <c r="BQ772" s="4"/>
      <c r="BR772" s="8"/>
      <c r="BS772" s="7"/>
      <c r="BT772" s="7"/>
      <c r="BU772" s="2" t="s">
        <v>4203</v>
      </c>
      <c r="BV772" s="2" t="s">
        <v>233</v>
      </c>
      <c r="BW772" s="2" t="s">
        <v>233</v>
      </c>
      <c r="BX772" s="2" t="s">
        <v>233</v>
      </c>
      <c r="BY772" s="2" t="s">
        <v>280</v>
      </c>
      <c r="BZ772" s="2" t="s">
        <v>245</v>
      </c>
      <c r="CA772" s="2" t="s">
        <v>624</v>
      </c>
      <c r="CB772" s="2" t="s">
        <v>4204</v>
      </c>
      <c r="CC772" s="2" t="s">
        <v>246</v>
      </c>
      <c r="CD772" s="2" t="s">
        <v>233</v>
      </c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>
        <v>260</v>
      </c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</row>
    <row r="773">
      <c r="A773" s="2" t="s">
        <v>4205</v>
      </c>
      <c r="B773" s="2" t="s">
        <v>333</v>
      </c>
      <c r="C773" s="2" t="s">
        <v>1050</v>
      </c>
      <c r="D773" s="2" t="s">
        <v>335</v>
      </c>
      <c r="E773" s="2" t="s">
        <v>336</v>
      </c>
      <c r="F773" s="2" t="s">
        <v>4149</v>
      </c>
      <c r="G773" s="2" t="s">
        <v>4149</v>
      </c>
      <c r="H773" s="2" t="s">
        <v>4149</v>
      </c>
      <c r="I773" s="2" t="s">
        <v>4150</v>
      </c>
      <c r="J773" s="2" t="s">
        <v>290</v>
      </c>
      <c r="K773" s="2" t="s">
        <v>4196</v>
      </c>
      <c r="L773" s="3">
        <v>19.57</v>
      </c>
      <c r="M773" s="3">
        <v>20.55</v>
      </c>
      <c r="N773" s="3">
        <v>42.99</v>
      </c>
      <c r="O773" s="2" t="s">
        <v>245</v>
      </c>
      <c r="P773" s="2" t="s">
        <v>741</v>
      </c>
      <c r="Q773" s="2" t="s">
        <v>239</v>
      </c>
      <c r="R773" s="2" t="s">
        <v>233</v>
      </c>
      <c r="S773" s="2" t="s">
        <v>4197</v>
      </c>
      <c r="T773" s="2" t="s">
        <v>3950</v>
      </c>
      <c r="U773" s="2" t="s">
        <v>342</v>
      </c>
      <c r="V773" s="2" t="s">
        <v>1658</v>
      </c>
      <c r="W773" s="2" t="s">
        <v>275</v>
      </c>
      <c r="X773" s="2" t="s">
        <v>451</v>
      </c>
      <c r="Y773" s="2" t="s">
        <v>4198</v>
      </c>
      <c r="Z773" s="4"/>
      <c r="AA773" s="4">
        <f>=ROUNDDOWN({0},0)</f>
      </c>
      <c r="AB773" s="5">
        <v>41</v>
      </c>
      <c r="AC773" s="2" t="s">
        <v>1341</v>
      </c>
      <c r="AD773" s="4">
        <v>398</v>
      </c>
      <c r="AE773" s="4">
        <v>398</v>
      </c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233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233</v>
      </c>
      <c r="AW773" s="8" t="s">
        <v>233</v>
      </c>
      <c r="AX773" s="4" t="s">
        <v>233</v>
      </c>
      <c r="AY773" s="8" t="s">
        <v>233</v>
      </c>
      <c r="AZ773" s="7" t="s">
        <v>233</v>
      </c>
      <c r="BA773" s="7" t="s">
        <v>233</v>
      </c>
      <c r="BB773" s="7"/>
      <c r="BC773" s="4" t="s">
        <v>233</v>
      </c>
      <c r="BD773" s="8" t="s">
        <v>233</v>
      </c>
      <c r="BE773" s="4" t="s">
        <v>233</v>
      </c>
      <c r="BF773" s="8" t="s">
        <v>233</v>
      </c>
      <c r="BG773" s="7" t="s">
        <v>233</v>
      </c>
      <c r="BH773" s="7" t="s">
        <v>233</v>
      </c>
      <c r="BI773" s="7"/>
      <c r="BJ773" s="4"/>
      <c r="BK773" s="8"/>
      <c r="BL773" s="2" t="s">
        <v>4206</v>
      </c>
      <c r="BM773" s="7"/>
      <c r="BN773" s="7"/>
      <c r="BO773" s="4"/>
      <c r="BP773" s="8"/>
      <c r="BQ773" s="4"/>
      <c r="BR773" s="8"/>
      <c r="BS773" s="7"/>
      <c r="BT773" s="7"/>
      <c r="BU773" s="2" t="s">
        <v>4207</v>
      </c>
      <c r="BV773" s="2" t="s">
        <v>233</v>
      </c>
      <c r="BW773" s="2" t="s">
        <v>233</v>
      </c>
      <c r="BX773" s="2" t="s">
        <v>233</v>
      </c>
      <c r="BY773" s="2" t="s">
        <v>280</v>
      </c>
      <c r="BZ773" s="2" t="s">
        <v>245</v>
      </c>
      <c r="CA773" s="2" t="s">
        <v>624</v>
      </c>
      <c r="CB773" s="2" t="s">
        <v>4208</v>
      </c>
      <c r="CC773" s="2" t="s">
        <v>246</v>
      </c>
      <c r="CD773" s="2" t="s">
        <v>233</v>
      </c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>
        <v>398</v>
      </c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</row>
    <row r="774">
      <c r="A774" s="2" t="s">
        <v>4209</v>
      </c>
      <c r="B774" s="2" t="s">
        <v>333</v>
      </c>
      <c r="C774" s="2" t="s">
        <v>1050</v>
      </c>
      <c r="D774" s="2" t="s">
        <v>335</v>
      </c>
      <c r="E774" s="2" t="s">
        <v>336</v>
      </c>
      <c r="F774" s="2" t="s">
        <v>4149</v>
      </c>
      <c r="G774" s="2" t="s">
        <v>4149</v>
      </c>
      <c r="H774" s="2" t="s">
        <v>4149</v>
      </c>
      <c r="I774" s="2" t="s">
        <v>4150</v>
      </c>
      <c r="J774" s="2" t="s">
        <v>284</v>
      </c>
      <c r="K774" s="2" t="s">
        <v>4210</v>
      </c>
      <c r="L774" s="3">
        <v>16.16</v>
      </c>
      <c r="M774" s="3">
        <v>16.97</v>
      </c>
      <c r="N774" s="3">
        <v>34.99</v>
      </c>
      <c r="O774" s="2" t="s">
        <v>237</v>
      </c>
      <c r="P774" s="2" t="s">
        <v>311</v>
      </c>
      <c r="Q774" s="2" t="s">
        <v>239</v>
      </c>
      <c r="R774" s="2" t="s">
        <v>233</v>
      </c>
      <c r="S774" s="2" t="s">
        <v>4211</v>
      </c>
      <c r="T774" s="2" t="s">
        <v>3950</v>
      </c>
      <c r="U774" s="2" t="s">
        <v>475</v>
      </c>
      <c r="V774" s="2" t="s">
        <v>3951</v>
      </c>
      <c r="W774" s="2" t="s">
        <v>275</v>
      </c>
      <c r="X774" s="2" t="s">
        <v>451</v>
      </c>
      <c r="Y774" s="2" t="s">
        <v>1399</v>
      </c>
      <c r="Z774" s="4"/>
      <c r="AA774" s="4">
        <f>=ROUNDDOWN({0},0)</f>
      </c>
      <c r="AB774" s="5">
        <v>5.5</v>
      </c>
      <c r="AC774" s="2" t="s">
        <v>233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233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233</v>
      </c>
      <c r="AW774" s="8" t="s">
        <v>233</v>
      </c>
      <c r="AX774" s="4" t="s">
        <v>233</v>
      </c>
      <c r="AY774" s="8" t="s">
        <v>233</v>
      </c>
      <c r="AZ774" s="7" t="s">
        <v>233</v>
      </c>
      <c r="BA774" s="7" t="s">
        <v>233</v>
      </c>
      <c r="BB774" s="7"/>
      <c r="BC774" s="4" t="s">
        <v>233</v>
      </c>
      <c r="BD774" s="8" t="s">
        <v>233</v>
      </c>
      <c r="BE774" s="4" t="s">
        <v>233</v>
      </c>
      <c r="BF774" s="8" t="s">
        <v>233</v>
      </c>
      <c r="BG774" s="7" t="s">
        <v>233</v>
      </c>
      <c r="BH774" s="7" t="s">
        <v>233</v>
      </c>
      <c r="BI774" s="7"/>
      <c r="BJ774" s="4"/>
      <c r="BK774" s="8"/>
      <c r="BL774" s="2" t="s">
        <v>4212</v>
      </c>
      <c r="BM774" s="7"/>
      <c r="BN774" s="7"/>
      <c r="BO774" s="4"/>
      <c r="BP774" s="8"/>
      <c r="BQ774" s="4"/>
      <c r="BR774" s="8"/>
      <c r="BS774" s="7"/>
      <c r="BT774" s="7"/>
      <c r="BU774" s="2" t="s">
        <v>4213</v>
      </c>
      <c r="BV774" s="2" t="s">
        <v>233</v>
      </c>
      <c r="BW774" s="2" t="s">
        <v>233</v>
      </c>
      <c r="BX774" s="2" t="s">
        <v>595</v>
      </c>
      <c r="BY774" s="2" t="s">
        <v>280</v>
      </c>
      <c r="BZ774" s="2" t="s">
        <v>245</v>
      </c>
      <c r="CA774" s="2" t="s">
        <v>4214</v>
      </c>
      <c r="CB774" s="2" t="s">
        <v>4215</v>
      </c>
      <c r="CC774" s="2" t="s">
        <v>246</v>
      </c>
      <c r="CD774" s="2" t="s">
        <v>233</v>
      </c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</row>
    <row r="775">
      <c r="A775" s="2" t="s">
        <v>4216</v>
      </c>
      <c r="B775" s="2" t="s">
        <v>333</v>
      </c>
      <c r="C775" s="2" t="s">
        <v>1050</v>
      </c>
      <c r="D775" s="2" t="s">
        <v>335</v>
      </c>
      <c r="E775" s="2" t="s">
        <v>336</v>
      </c>
      <c r="F775" s="2" t="s">
        <v>4149</v>
      </c>
      <c r="G775" s="2" t="s">
        <v>4149</v>
      </c>
      <c r="H775" s="2" t="s">
        <v>4149</v>
      </c>
      <c r="I775" s="2" t="s">
        <v>4150</v>
      </c>
      <c r="J775" s="2" t="s">
        <v>290</v>
      </c>
      <c r="K775" s="2" t="s">
        <v>4210</v>
      </c>
      <c r="L775" s="3">
        <v>19.57</v>
      </c>
      <c r="M775" s="3">
        <v>20.55</v>
      </c>
      <c r="N775" s="3">
        <v>42.99</v>
      </c>
      <c r="O775" s="2" t="s">
        <v>237</v>
      </c>
      <c r="P775" s="2" t="s">
        <v>311</v>
      </c>
      <c r="Q775" s="2" t="s">
        <v>239</v>
      </c>
      <c r="R775" s="2" t="s">
        <v>233</v>
      </c>
      <c r="S775" s="2" t="s">
        <v>4211</v>
      </c>
      <c r="T775" s="2" t="s">
        <v>3950</v>
      </c>
      <c r="U775" s="2" t="s">
        <v>342</v>
      </c>
      <c r="V775" s="2" t="s">
        <v>3951</v>
      </c>
      <c r="W775" s="2" t="s">
        <v>275</v>
      </c>
      <c r="X775" s="2" t="s">
        <v>451</v>
      </c>
      <c r="Y775" s="2" t="s">
        <v>1399</v>
      </c>
      <c r="Z775" s="4">
        <v>302</v>
      </c>
      <c r="AA775" s="4">
        <f>=ROUNDDOWN(68.6363636363636,0)</f>
      </c>
      <c r="AB775" s="5">
        <v>4.4</v>
      </c>
      <c r="AC775" s="2" t="s">
        <v>233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233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233</v>
      </c>
      <c r="AW775" s="8" t="s">
        <v>233</v>
      </c>
      <c r="AX775" s="4" t="s">
        <v>233</v>
      </c>
      <c r="AY775" s="8" t="s">
        <v>233</v>
      </c>
      <c r="AZ775" s="7" t="s">
        <v>233</v>
      </c>
      <c r="BA775" s="7" t="s">
        <v>233</v>
      </c>
      <c r="BB775" s="7"/>
      <c r="BC775" s="4" t="s">
        <v>233</v>
      </c>
      <c r="BD775" s="8" t="s">
        <v>233</v>
      </c>
      <c r="BE775" s="4" t="s">
        <v>233</v>
      </c>
      <c r="BF775" s="8" t="s">
        <v>233</v>
      </c>
      <c r="BG775" s="7" t="s">
        <v>233</v>
      </c>
      <c r="BH775" s="7" t="s">
        <v>233</v>
      </c>
      <c r="BI775" s="7"/>
      <c r="BJ775" s="4">
        <v>13</v>
      </c>
      <c r="BK775" s="8">
        <v>283.13</v>
      </c>
      <c r="BL775" s="2" t="s">
        <v>4217</v>
      </c>
      <c r="BM775" s="7"/>
      <c r="BN775" s="7"/>
      <c r="BO775" s="4"/>
      <c r="BP775" s="8"/>
      <c r="BQ775" s="4"/>
      <c r="BR775" s="8"/>
      <c r="BS775" s="7"/>
      <c r="BT775" s="7"/>
      <c r="BU775" s="2" t="s">
        <v>4218</v>
      </c>
      <c r="BV775" s="2" t="s">
        <v>233</v>
      </c>
      <c r="BW775" s="2" t="s">
        <v>233</v>
      </c>
      <c r="BX775" s="2" t="s">
        <v>595</v>
      </c>
      <c r="BY775" s="2" t="s">
        <v>280</v>
      </c>
      <c r="BZ775" s="2" t="s">
        <v>245</v>
      </c>
      <c r="CA775" s="2" t="s">
        <v>4214</v>
      </c>
      <c r="CB775" s="2" t="s">
        <v>4219</v>
      </c>
      <c r="CC775" s="2" t="s">
        <v>246</v>
      </c>
      <c r="CD775" s="2" t="s">
        <v>233</v>
      </c>
      <c r="CE775" s="4">
        <v>302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</row>
    <row r="776">
      <c r="A776" s="2" t="s">
        <v>4220</v>
      </c>
      <c r="B776" s="2" t="s">
        <v>333</v>
      </c>
      <c r="C776" s="2" t="s">
        <v>1050</v>
      </c>
      <c r="D776" s="2" t="s">
        <v>335</v>
      </c>
      <c r="E776" s="2" t="s">
        <v>336</v>
      </c>
      <c r="F776" s="2" t="s">
        <v>4149</v>
      </c>
      <c r="G776" s="2" t="s">
        <v>4149</v>
      </c>
      <c r="H776" s="2" t="s">
        <v>4149</v>
      </c>
      <c r="I776" s="2" t="s">
        <v>4150</v>
      </c>
      <c r="J776" s="2" t="s">
        <v>348</v>
      </c>
      <c r="K776" s="2" t="s">
        <v>4210</v>
      </c>
      <c r="L776" s="3">
        <v>22.21</v>
      </c>
      <c r="M776" s="3">
        <v>23.32</v>
      </c>
      <c r="N776" s="3">
        <v>47.99</v>
      </c>
      <c r="O776" s="2" t="s">
        <v>237</v>
      </c>
      <c r="P776" s="2" t="s">
        <v>311</v>
      </c>
      <c r="Q776" s="2" t="s">
        <v>239</v>
      </c>
      <c r="R776" s="2" t="s">
        <v>233</v>
      </c>
      <c r="S776" s="2" t="s">
        <v>4211</v>
      </c>
      <c r="T776" s="2" t="s">
        <v>3950</v>
      </c>
      <c r="U776" s="2" t="s">
        <v>342</v>
      </c>
      <c r="V776" s="2" t="s">
        <v>3951</v>
      </c>
      <c r="W776" s="2" t="s">
        <v>275</v>
      </c>
      <c r="X776" s="2" t="s">
        <v>451</v>
      </c>
      <c r="Y776" s="2" t="s">
        <v>1399</v>
      </c>
      <c r="Z776" s="4">
        <v>506</v>
      </c>
      <c r="AA776" s="4">
        <f>=ROUNDDOWN(48.1904761904762,0)</f>
      </c>
      <c r="AB776" s="5">
        <v>10.5</v>
      </c>
      <c r="AC776" s="2" t="s">
        <v>233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233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233</v>
      </c>
      <c r="AW776" s="8" t="s">
        <v>233</v>
      </c>
      <c r="AX776" s="4" t="s">
        <v>233</v>
      </c>
      <c r="AY776" s="8" t="s">
        <v>233</v>
      </c>
      <c r="AZ776" s="7" t="s">
        <v>233</v>
      </c>
      <c r="BA776" s="7" t="s">
        <v>233</v>
      </c>
      <c r="BB776" s="7"/>
      <c r="BC776" s="4" t="s">
        <v>233</v>
      </c>
      <c r="BD776" s="8" t="s">
        <v>233</v>
      </c>
      <c r="BE776" s="4" t="s">
        <v>233</v>
      </c>
      <c r="BF776" s="8" t="s">
        <v>233</v>
      </c>
      <c r="BG776" s="7" t="s">
        <v>233</v>
      </c>
      <c r="BH776" s="7" t="s">
        <v>233</v>
      </c>
      <c r="BI776" s="7"/>
      <c r="BJ776" s="4">
        <v>14</v>
      </c>
      <c r="BK776" s="8">
        <v>348.95</v>
      </c>
      <c r="BL776" s="2" t="s">
        <v>2741</v>
      </c>
      <c r="BM776" s="7"/>
      <c r="BN776" s="7"/>
      <c r="BO776" s="4"/>
      <c r="BP776" s="8"/>
      <c r="BQ776" s="4"/>
      <c r="BR776" s="8"/>
      <c r="BS776" s="7"/>
      <c r="BT776" s="7"/>
      <c r="BU776" s="2" t="s">
        <v>4221</v>
      </c>
      <c r="BV776" s="2" t="s">
        <v>233</v>
      </c>
      <c r="BW776" s="2" t="s">
        <v>233</v>
      </c>
      <c r="BX776" s="2" t="s">
        <v>595</v>
      </c>
      <c r="BY776" s="2" t="s">
        <v>280</v>
      </c>
      <c r="BZ776" s="2" t="s">
        <v>245</v>
      </c>
      <c r="CA776" s="2" t="s">
        <v>4214</v>
      </c>
      <c r="CB776" s="2" t="s">
        <v>4222</v>
      </c>
      <c r="CC776" s="2" t="s">
        <v>246</v>
      </c>
      <c r="CD776" s="2" t="s">
        <v>233</v>
      </c>
      <c r="CE776" s="4">
        <v>506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</row>
    <row r="777">
      <c r="A777" s="2" t="s">
        <v>4223</v>
      </c>
      <c r="B777" s="2" t="s">
        <v>333</v>
      </c>
      <c r="C777" s="2" t="s">
        <v>1050</v>
      </c>
      <c r="D777" s="2" t="s">
        <v>335</v>
      </c>
      <c r="E777" s="2" t="s">
        <v>336</v>
      </c>
      <c r="F777" s="2" t="s">
        <v>4149</v>
      </c>
      <c r="G777" s="2" t="s">
        <v>4149</v>
      </c>
      <c r="H777" s="2" t="s">
        <v>4149</v>
      </c>
      <c r="I777" s="2" t="s">
        <v>4150</v>
      </c>
      <c r="J777" s="2" t="s">
        <v>328</v>
      </c>
      <c r="K777" s="2" t="s">
        <v>4210</v>
      </c>
      <c r="L777" s="3">
        <v>27.39</v>
      </c>
      <c r="M777" s="3">
        <v>28.76</v>
      </c>
      <c r="N777" s="3">
        <v>62.99</v>
      </c>
      <c r="O777" s="2" t="s">
        <v>237</v>
      </c>
      <c r="P777" s="2" t="s">
        <v>311</v>
      </c>
      <c r="Q777" s="2" t="s">
        <v>239</v>
      </c>
      <c r="R777" s="2" t="s">
        <v>233</v>
      </c>
      <c r="S777" s="2" t="s">
        <v>4211</v>
      </c>
      <c r="T777" s="2" t="s">
        <v>3950</v>
      </c>
      <c r="U777" s="2" t="s">
        <v>342</v>
      </c>
      <c r="V777" s="2" t="s">
        <v>3951</v>
      </c>
      <c r="W777" s="2" t="s">
        <v>275</v>
      </c>
      <c r="X777" s="2" t="s">
        <v>451</v>
      </c>
      <c r="Y777" s="2" t="s">
        <v>1399</v>
      </c>
      <c r="Z777" s="4">
        <v>273</v>
      </c>
      <c r="AA777" s="4">
        <f>=ROUNDDOWN(273,0)</f>
      </c>
      <c r="AB777" s="5">
        <v>1</v>
      </c>
      <c r="AC777" s="2" t="s">
        <v>233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233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233</v>
      </c>
      <c r="AW777" s="8" t="s">
        <v>233</v>
      </c>
      <c r="AX777" s="4" t="s">
        <v>233</v>
      </c>
      <c r="AY777" s="8" t="s">
        <v>233</v>
      </c>
      <c r="AZ777" s="7" t="s">
        <v>233</v>
      </c>
      <c r="BA777" s="7" t="s">
        <v>233</v>
      </c>
      <c r="BB777" s="7"/>
      <c r="BC777" s="4" t="s">
        <v>233</v>
      </c>
      <c r="BD777" s="8" t="s">
        <v>233</v>
      </c>
      <c r="BE777" s="4" t="s">
        <v>233</v>
      </c>
      <c r="BF777" s="8" t="s">
        <v>233</v>
      </c>
      <c r="BG777" s="7" t="s">
        <v>233</v>
      </c>
      <c r="BH777" s="7" t="s">
        <v>233</v>
      </c>
      <c r="BI777" s="7"/>
      <c r="BJ777" s="4">
        <v>5</v>
      </c>
      <c r="BK777" s="8">
        <v>147.94</v>
      </c>
      <c r="BL777" s="2" t="s">
        <v>4224</v>
      </c>
      <c r="BM777" s="7"/>
      <c r="BN777" s="7"/>
      <c r="BO777" s="4"/>
      <c r="BP777" s="8"/>
      <c r="BQ777" s="4"/>
      <c r="BR777" s="8"/>
      <c r="BS777" s="7"/>
      <c r="BT777" s="7"/>
      <c r="BU777" s="2" t="s">
        <v>4225</v>
      </c>
      <c r="BV777" s="2" t="s">
        <v>233</v>
      </c>
      <c r="BW777" s="2" t="s">
        <v>233</v>
      </c>
      <c r="BX777" s="2" t="s">
        <v>595</v>
      </c>
      <c r="BY777" s="2" t="s">
        <v>280</v>
      </c>
      <c r="BZ777" s="2" t="s">
        <v>245</v>
      </c>
      <c r="CA777" s="2" t="s">
        <v>4214</v>
      </c>
      <c r="CB777" s="2" t="s">
        <v>3751</v>
      </c>
      <c r="CC777" s="2" t="s">
        <v>246</v>
      </c>
      <c r="CD777" s="2" t="s">
        <v>233</v>
      </c>
      <c r="CE777" s="4">
        <v>273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</row>
    <row r="778">
      <c r="A778" s="2" t="s">
        <v>4226</v>
      </c>
      <c r="B778" s="2" t="s">
        <v>333</v>
      </c>
      <c r="C778" s="2" t="s">
        <v>1050</v>
      </c>
      <c r="D778" s="2" t="s">
        <v>335</v>
      </c>
      <c r="E778" s="2" t="s">
        <v>336</v>
      </c>
      <c r="F778" s="2" t="s">
        <v>4149</v>
      </c>
      <c r="G778" s="2" t="s">
        <v>4149</v>
      </c>
      <c r="H778" s="2" t="s">
        <v>4149</v>
      </c>
      <c r="I778" s="2" t="s">
        <v>4150</v>
      </c>
      <c r="J778" s="2" t="s">
        <v>270</v>
      </c>
      <c r="K778" s="2" t="s">
        <v>4227</v>
      </c>
      <c r="L778" s="3">
        <v>14.89</v>
      </c>
      <c r="M778" s="3">
        <v>15.63</v>
      </c>
      <c r="N778" s="3">
        <v>31.99</v>
      </c>
      <c r="O778" s="2" t="s">
        <v>245</v>
      </c>
      <c r="P778" s="2" t="s">
        <v>272</v>
      </c>
      <c r="Q778" s="2" t="s">
        <v>239</v>
      </c>
      <c r="R778" s="2" t="s">
        <v>233</v>
      </c>
      <c r="S778" s="2" t="s">
        <v>4228</v>
      </c>
      <c r="T778" s="2" t="s">
        <v>3950</v>
      </c>
      <c r="U778" s="2" t="s">
        <v>475</v>
      </c>
      <c r="V778" s="2" t="s">
        <v>3951</v>
      </c>
      <c r="W778" s="2" t="s">
        <v>275</v>
      </c>
      <c r="X778" s="2" t="s">
        <v>978</v>
      </c>
      <c r="Y778" s="2" t="s">
        <v>4153</v>
      </c>
      <c r="Z778" s="4">
        <v>1</v>
      </c>
      <c r="AA778" s="4">
        <f>=ROUNDDOWN(0.0212765957446809,0)</f>
      </c>
      <c r="AB778" s="5">
        <v>47</v>
      </c>
      <c r="AC778" s="2" t="s">
        <v>1341</v>
      </c>
      <c r="AD778" s="4">
        <v>459</v>
      </c>
      <c r="AE778" s="4">
        <v>459</v>
      </c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233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233</v>
      </c>
      <c r="AW778" s="8" t="s">
        <v>233</v>
      </c>
      <c r="AX778" s="4" t="s">
        <v>233</v>
      </c>
      <c r="AY778" s="8" t="s">
        <v>233</v>
      </c>
      <c r="AZ778" s="7" t="s">
        <v>233</v>
      </c>
      <c r="BA778" s="7" t="s">
        <v>233</v>
      </c>
      <c r="BB778" s="7"/>
      <c r="BC778" s="4" t="s">
        <v>233</v>
      </c>
      <c r="BD778" s="8" t="s">
        <v>233</v>
      </c>
      <c r="BE778" s="4" t="s">
        <v>233</v>
      </c>
      <c r="BF778" s="8" t="s">
        <v>233</v>
      </c>
      <c r="BG778" s="7" t="s">
        <v>233</v>
      </c>
      <c r="BH778" s="7" t="s">
        <v>233</v>
      </c>
      <c r="BI778" s="7"/>
      <c r="BJ778" s="4"/>
      <c r="BK778" s="8"/>
      <c r="BL778" s="2" t="s">
        <v>233</v>
      </c>
      <c r="BM778" s="7"/>
      <c r="BN778" s="7"/>
      <c r="BO778" s="4"/>
      <c r="BP778" s="8"/>
      <c r="BQ778" s="4"/>
      <c r="BR778" s="8"/>
      <c r="BS778" s="7"/>
      <c r="BT778" s="7"/>
      <c r="BU778" s="2" t="s">
        <v>4229</v>
      </c>
      <c r="BV778" s="2" t="s">
        <v>233</v>
      </c>
      <c r="BW778" s="2" t="s">
        <v>233</v>
      </c>
      <c r="BX778" s="2" t="s">
        <v>233</v>
      </c>
      <c r="BY778" s="2" t="s">
        <v>280</v>
      </c>
      <c r="BZ778" s="2" t="s">
        <v>245</v>
      </c>
      <c r="CA778" s="2" t="s">
        <v>4163</v>
      </c>
      <c r="CB778" s="2" t="s">
        <v>4167</v>
      </c>
      <c r="CC778" s="2" t="s">
        <v>246</v>
      </c>
      <c r="CD778" s="2" t="s">
        <v>233</v>
      </c>
      <c r="CE778" s="4">
        <v>1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>
        <v>459</v>
      </c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</row>
    <row r="779">
      <c r="A779" s="2" t="s">
        <v>4230</v>
      </c>
      <c r="B779" s="2" t="s">
        <v>333</v>
      </c>
      <c r="C779" s="2" t="s">
        <v>1050</v>
      </c>
      <c r="D779" s="2" t="s">
        <v>335</v>
      </c>
      <c r="E779" s="2" t="s">
        <v>336</v>
      </c>
      <c r="F779" s="2" t="s">
        <v>4149</v>
      </c>
      <c r="G779" s="2" t="s">
        <v>4149</v>
      </c>
      <c r="H779" s="2" t="s">
        <v>4149</v>
      </c>
      <c r="I779" s="2" t="s">
        <v>4150</v>
      </c>
      <c r="J779" s="2" t="s">
        <v>290</v>
      </c>
      <c r="K779" s="2" t="s">
        <v>4227</v>
      </c>
      <c r="L779" s="3">
        <v>19.57</v>
      </c>
      <c r="M779" s="3">
        <v>20.55</v>
      </c>
      <c r="N779" s="3">
        <v>42.99</v>
      </c>
      <c r="O779" s="2" t="s">
        <v>245</v>
      </c>
      <c r="P779" s="2" t="s">
        <v>272</v>
      </c>
      <c r="Q779" s="2" t="s">
        <v>239</v>
      </c>
      <c r="R779" s="2" t="s">
        <v>233</v>
      </c>
      <c r="S779" s="2" t="s">
        <v>4228</v>
      </c>
      <c r="T779" s="2" t="s">
        <v>3950</v>
      </c>
      <c r="U779" s="2" t="s">
        <v>342</v>
      </c>
      <c r="V779" s="2" t="s">
        <v>3951</v>
      </c>
      <c r="W779" s="2" t="s">
        <v>275</v>
      </c>
      <c r="X779" s="2" t="s">
        <v>978</v>
      </c>
      <c r="Y779" s="2" t="s">
        <v>4153</v>
      </c>
      <c r="Z779" s="4"/>
      <c r="AA779" s="4">
        <f>=ROUNDDOWN({0},0)</f>
      </c>
      <c r="AB779" s="5">
        <v>37</v>
      </c>
      <c r="AC779" s="2" t="s">
        <v>1341</v>
      </c>
      <c r="AD779" s="4">
        <v>371</v>
      </c>
      <c r="AE779" s="4">
        <v>371</v>
      </c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233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233</v>
      </c>
      <c r="AW779" s="8" t="s">
        <v>233</v>
      </c>
      <c r="AX779" s="4" t="s">
        <v>233</v>
      </c>
      <c r="AY779" s="8" t="s">
        <v>233</v>
      </c>
      <c r="AZ779" s="7" t="s">
        <v>233</v>
      </c>
      <c r="BA779" s="7" t="s">
        <v>233</v>
      </c>
      <c r="BB779" s="7"/>
      <c r="BC779" s="4" t="s">
        <v>233</v>
      </c>
      <c r="BD779" s="8" t="s">
        <v>233</v>
      </c>
      <c r="BE779" s="4" t="s">
        <v>233</v>
      </c>
      <c r="BF779" s="8" t="s">
        <v>233</v>
      </c>
      <c r="BG779" s="7" t="s">
        <v>233</v>
      </c>
      <c r="BH779" s="7" t="s">
        <v>233</v>
      </c>
      <c r="BI779" s="7"/>
      <c r="BJ779" s="4"/>
      <c r="BK779" s="8"/>
      <c r="BL779" s="2" t="s">
        <v>233</v>
      </c>
      <c r="BM779" s="7"/>
      <c r="BN779" s="7"/>
      <c r="BO779" s="4"/>
      <c r="BP779" s="8"/>
      <c r="BQ779" s="4"/>
      <c r="BR779" s="8"/>
      <c r="BS779" s="7"/>
      <c r="BT779" s="7"/>
      <c r="BU779" s="2" t="s">
        <v>4231</v>
      </c>
      <c r="BV779" s="2" t="s">
        <v>233</v>
      </c>
      <c r="BW779" s="2" t="s">
        <v>233</v>
      </c>
      <c r="BX779" s="2" t="s">
        <v>233</v>
      </c>
      <c r="BY779" s="2" t="s">
        <v>280</v>
      </c>
      <c r="BZ779" s="2" t="s">
        <v>245</v>
      </c>
      <c r="CA779" s="2" t="s">
        <v>4155</v>
      </c>
      <c r="CB779" s="2" t="s">
        <v>1378</v>
      </c>
      <c r="CC779" s="2" t="s">
        <v>246</v>
      </c>
      <c r="CD779" s="2" t="s">
        <v>233</v>
      </c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>
        <v>371</v>
      </c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</row>
    <row r="780">
      <c r="A780" s="2" t="s">
        <v>4232</v>
      </c>
      <c r="B780" s="2" t="s">
        <v>333</v>
      </c>
      <c r="C780" s="2" t="s">
        <v>1050</v>
      </c>
      <c r="D780" s="2" t="s">
        <v>335</v>
      </c>
      <c r="E780" s="2" t="s">
        <v>336</v>
      </c>
      <c r="F780" s="2" t="s">
        <v>4149</v>
      </c>
      <c r="G780" s="2" t="s">
        <v>4149</v>
      </c>
      <c r="H780" s="2" t="s">
        <v>4149</v>
      </c>
      <c r="I780" s="2" t="s">
        <v>4150</v>
      </c>
      <c r="J780" s="2" t="s">
        <v>348</v>
      </c>
      <c r="K780" s="2" t="s">
        <v>4227</v>
      </c>
      <c r="L780" s="3">
        <v>22.21</v>
      </c>
      <c r="M780" s="3">
        <v>23.32</v>
      </c>
      <c r="N780" s="3">
        <v>47.99</v>
      </c>
      <c r="O780" s="2" t="s">
        <v>245</v>
      </c>
      <c r="P780" s="2" t="s">
        <v>763</v>
      </c>
      <c r="Q780" s="2" t="s">
        <v>239</v>
      </c>
      <c r="R780" s="2" t="s">
        <v>233</v>
      </c>
      <c r="S780" s="2" t="s">
        <v>4228</v>
      </c>
      <c r="T780" s="2" t="s">
        <v>3950</v>
      </c>
      <c r="U780" s="2" t="s">
        <v>342</v>
      </c>
      <c r="V780" s="2" t="s">
        <v>3951</v>
      </c>
      <c r="W780" s="2" t="s">
        <v>275</v>
      </c>
      <c r="X780" s="2" t="s">
        <v>978</v>
      </c>
      <c r="Y780" s="2" t="s">
        <v>4153</v>
      </c>
      <c r="Z780" s="4">
        <v>1</v>
      </c>
      <c r="AA780" s="4">
        <f>=ROUNDDOWN(0.0175438596491228,0)</f>
      </c>
      <c r="AB780" s="5">
        <v>57</v>
      </c>
      <c r="AC780" s="2" t="s">
        <v>1341</v>
      </c>
      <c r="AD780" s="4">
        <v>559</v>
      </c>
      <c r="AE780" s="4">
        <v>559</v>
      </c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233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233</v>
      </c>
      <c r="AW780" s="8" t="s">
        <v>233</v>
      </c>
      <c r="AX780" s="4" t="s">
        <v>233</v>
      </c>
      <c r="AY780" s="8" t="s">
        <v>233</v>
      </c>
      <c r="AZ780" s="7" t="s">
        <v>233</v>
      </c>
      <c r="BA780" s="7" t="s">
        <v>233</v>
      </c>
      <c r="BB780" s="7"/>
      <c r="BC780" s="4" t="s">
        <v>233</v>
      </c>
      <c r="BD780" s="8" t="s">
        <v>233</v>
      </c>
      <c r="BE780" s="4" t="s">
        <v>233</v>
      </c>
      <c r="BF780" s="8" t="s">
        <v>233</v>
      </c>
      <c r="BG780" s="7" t="s">
        <v>233</v>
      </c>
      <c r="BH780" s="7" t="s">
        <v>233</v>
      </c>
      <c r="BI780" s="7"/>
      <c r="BJ780" s="4"/>
      <c r="BK780" s="8"/>
      <c r="BL780" s="2" t="s">
        <v>233</v>
      </c>
      <c r="BM780" s="7"/>
      <c r="BN780" s="7"/>
      <c r="BO780" s="4"/>
      <c r="BP780" s="8"/>
      <c r="BQ780" s="4"/>
      <c r="BR780" s="8"/>
      <c r="BS780" s="7"/>
      <c r="BT780" s="7"/>
      <c r="BU780" s="2" t="s">
        <v>4233</v>
      </c>
      <c r="BV780" s="2" t="s">
        <v>233</v>
      </c>
      <c r="BW780" s="2" t="s">
        <v>233</v>
      </c>
      <c r="BX780" s="2" t="s">
        <v>233</v>
      </c>
      <c r="BY780" s="2" t="s">
        <v>280</v>
      </c>
      <c r="BZ780" s="2" t="s">
        <v>245</v>
      </c>
      <c r="CA780" s="2" t="s">
        <v>4159</v>
      </c>
      <c r="CB780" s="2" t="s">
        <v>4234</v>
      </c>
      <c r="CC780" s="2" t="s">
        <v>246</v>
      </c>
      <c r="CD780" s="2" t="s">
        <v>233</v>
      </c>
      <c r="CE780" s="4">
        <v>1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>
        <v>559</v>
      </c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</row>
    <row r="781">
      <c r="A781" s="2" t="s">
        <v>4235</v>
      </c>
      <c r="B781" s="2" t="s">
        <v>333</v>
      </c>
      <c r="C781" s="2" t="s">
        <v>1050</v>
      </c>
      <c r="D781" s="2" t="s">
        <v>335</v>
      </c>
      <c r="E781" s="2" t="s">
        <v>336</v>
      </c>
      <c r="F781" s="2" t="s">
        <v>4149</v>
      </c>
      <c r="G781" s="2" t="s">
        <v>4149</v>
      </c>
      <c r="H781" s="2" t="s">
        <v>4149</v>
      </c>
      <c r="I781" s="2" t="s">
        <v>4150</v>
      </c>
      <c r="J781" s="2" t="s">
        <v>328</v>
      </c>
      <c r="K781" s="2" t="s">
        <v>4227</v>
      </c>
      <c r="L781" s="3">
        <v>27.39</v>
      </c>
      <c r="M781" s="3">
        <v>28.76</v>
      </c>
      <c r="N781" s="3">
        <v>62.99</v>
      </c>
      <c r="O781" s="2" t="s">
        <v>245</v>
      </c>
      <c r="P781" s="2" t="s">
        <v>272</v>
      </c>
      <c r="Q781" s="2" t="s">
        <v>239</v>
      </c>
      <c r="R781" s="2" t="s">
        <v>233</v>
      </c>
      <c r="S781" s="2" t="s">
        <v>4228</v>
      </c>
      <c r="T781" s="2" t="s">
        <v>3950</v>
      </c>
      <c r="U781" s="2" t="s">
        <v>342</v>
      </c>
      <c r="V781" s="2" t="s">
        <v>3951</v>
      </c>
      <c r="W781" s="2" t="s">
        <v>275</v>
      </c>
      <c r="X781" s="2" t="s">
        <v>978</v>
      </c>
      <c r="Y781" s="2" t="s">
        <v>4153</v>
      </c>
      <c r="Z781" s="4"/>
      <c r="AA781" s="4">
        <f>=ROUNDDOWN({0},0)</f>
      </c>
      <c r="AB781" s="5">
        <v>18</v>
      </c>
      <c r="AC781" s="2" t="s">
        <v>1341</v>
      </c>
      <c r="AD781" s="4">
        <v>179</v>
      </c>
      <c r="AE781" s="4">
        <v>179</v>
      </c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233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233</v>
      </c>
      <c r="AW781" s="8" t="s">
        <v>233</v>
      </c>
      <c r="AX781" s="4" t="s">
        <v>233</v>
      </c>
      <c r="AY781" s="8" t="s">
        <v>233</v>
      </c>
      <c r="AZ781" s="7" t="s">
        <v>233</v>
      </c>
      <c r="BA781" s="7" t="s">
        <v>233</v>
      </c>
      <c r="BB781" s="7"/>
      <c r="BC781" s="4" t="s">
        <v>233</v>
      </c>
      <c r="BD781" s="8" t="s">
        <v>233</v>
      </c>
      <c r="BE781" s="4" t="s">
        <v>233</v>
      </c>
      <c r="BF781" s="8" t="s">
        <v>233</v>
      </c>
      <c r="BG781" s="7" t="s">
        <v>233</v>
      </c>
      <c r="BH781" s="7" t="s">
        <v>233</v>
      </c>
      <c r="BI781" s="7"/>
      <c r="BJ781" s="4"/>
      <c r="BK781" s="8"/>
      <c r="BL781" s="2" t="s">
        <v>4236</v>
      </c>
      <c r="BM781" s="7"/>
      <c r="BN781" s="7"/>
      <c r="BO781" s="4"/>
      <c r="BP781" s="8"/>
      <c r="BQ781" s="4"/>
      <c r="BR781" s="8"/>
      <c r="BS781" s="7"/>
      <c r="BT781" s="7"/>
      <c r="BU781" s="2" t="s">
        <v>4237</v>
      </c>
      <c r="BV781" s="2" t="s">
        <v>233</v>
      </c>
      <c r="BW781" s="2" t="s">
        <v>233</v>
      </c>
      <c r="BX781" s="2" t="s">
        <v>233</v>
      </c>
      <c r="BY781" s="2" t="s">
        <v>280</v>
      </c>
      <c r="BZ781" s="2" t="s">
        <v>245</v>
      </c>
      <c r="CA781" s="2" t="s">
        <v>4159</v>
      </c>
      <c r="CB781" s="2" t="s">
        <v>4156</v>
      </c>
      <c r="CC781" s="2" t="s">
        <v>246</v>
      </c>
      <c r="CD781" s="2" t="s">
        <v>233</v>
      </c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>
        <v>179</v>
      </c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</row>
    <row r="782">
      <c r="A782" s="2" t="s">
        <v>4238</v>
      </c>
      <c r="B782" s="2" t="s">
        <v>333</v>
      </c>
      <c r="C782" s="2" t="s">
        <v>1050</v>
      </c>
      <c r="D782" s="2" t="s">
        <v>335</v>
      </c>
      <c r="E782" s="2" t="s">
        <v>336</v>
      </c>
      <c r="F782" s="2" t="s">
        <v>4149</v>
      </c>
      <c r="G782" s="2" t="s">
        <v>4149</v>
      </c>
      <c r="H782" s="2" t="s">
        <v>4149</v>
      </c>
      <c r="I782" s="2" t="s">
        <v>4150</v>
      </c>
      <c r="J782" s="2" t="s">
        <v>270</v>
      </c>
      <c r="K782" s="2" t="s">
        <v>4239</v>
      </c>
      <c r="L782" s="3">
        <v>14.89</v>
      </c>
      <c r="M782" s="3">
        <v>15.63</v>
      </c>
      <c r="N782" s="3">
        <v>31.99</v>
      </c>
      <c r="O782" s="2" t="s">
        <v>245</v>
      </c>
      <c r="P782" s="2" t="s">
        <v>272</v>
      </c>
      <c r="Q782" s="2" t="s">
        <v>239</v>
      </c>
      <c r="R782" s="2" t="s">
        <v>233</v>
      </c>
      <c r="S782" s="2" t="s">
        <v>4240</v>
      </c>
      <c r="T782" s="2" t="s">
        <v>3950</v>
      </c>
      <c r="U782" s="2" t="s">
        <v>233</v>
      </c>
      <c r="V782" s="2" t="s">
        <v>1085</v>
      </c>
      <c r="W782" s="2" t="s">
        <v>275</v>
      </c>
      <c r="X782" s="2" t="s">
        <v>233</v>
      </c>
      <c r="Y782" s="2" t="s">
        <v>3985</v>
      </c>
      <c r="Z782" s="4">
        <v>5</v>
      </c>
      <c r="AA782" s="4">
        <f>=ROUNDDOWN(0.147058823529412,0)</f>
      </c>
      <c r="AB782" s="5">
        <v>34</v>
      </c>
      <c r="AC782" s="2" t="s">
        <v>1341</v>
      </c>
      <c r="AD782" s="4">
        <v>341</v>
      </c>
      <c r="AE782" s="4">
        <v>341</v>
      </c>
      <c r="AF782" s="6">
        <v>65</v>
      </c>
      <c r="AG782" s="6"/>
      <c r="AH782" s="7">
        <v>0.6452</v>
      </c>
      <c r="AI782" s="4"/>
      <c r="AJ782" s="4">
        <f>=ROUNDDOWN({0},0)</f>
      </c>
      <c r="AK782" s="5"/>
      <c r="AL782" s="2" t="s">
        <v>233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233</v>
      </c>
      <c r="AW782" s="8" t="s">
        <v>233</v>
      </c>
      <c r="AX782" s="4" t="s">
        <v>233</v>
      </c>
      <c r="AY782" s="8" t="s">
        <v>233</v>
      </c>
      <c r="AZ782" s="7" t="s">
        <v>233</v>
      </c>
      <c r="BA782" s="7" t="s">
        <v>233</v>
      </c>
      <c r="BB782" s="7"/>
      <c r="BC782" s="4" t="s">
        <v>233</v>
      </c>
      <c r="BD782" s="8" t="s">
        <v>233</v>
      </c>
      <c r="BE782" s="4" t="s">
        <v>233</v>
      </c>
      <c r="BF782" s="8" t="s">
        <v>233</v>
      </c>
      <c r="BG782" s="7" t="s">
        <v>233</v>
      </c>
      <c r="BH782" s="7" t="s">
        <v>233</v>
      </c>
      <c r="BI782" s="7"/>
      <c r="BJ782" s="4">
        <v>49</v>
      </c>
      <c r="BK782" s="8">
        <v>810.35</v>
      </c>
      <c r="BL782" s="2" t="s">
        <v>4241</v>
      </c>
      <c r="BM782" s="7"/>
      <c r="BN782" s="7"/>
      <c r="BO782" s="4"/>
      <c r="BP782" s="8"/>
      <c r="BQ782" s="4"/>
      <c r="BR782" s="8"/>
      <c r="BS782" s="7"/>
      <c r="BT782" s="7"/>
      <c r="BU782" s="2" t="s">
        <v>4242</v>
      </c>
      <c r="BV782" s="2" t="s">
        <v>233</v>
      </c>
      <c r="BW782" s="2" t="s">
        <v>233</v>
      </c>
      <c r="BX782" s="2" t="s">
        <v>233</v>
      </c>
      <c r="BY782" s="2" t="s">
        <v>280</v>
      </c>
      <c r="BZ782" s="2" t="s">
        <v>245</v>
      </c>
      <c r="CA782" s="2" t="s">
        <v>4173</v>
      </c>
      <c r="CB782" s="2" t="s">
        <v>4114</v>
      </c>
      <c r="CC782" s="2" t="s">
        <v>246</v>
      </c>
      <c r="CD782" s="2" t="s">
        <v>233</v>
      </c>
      <c r="CE782" s="4">
        <v>5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>
        <v>341</v>
      </c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</row>
    <row r="783">
      <c r="A783" s="2" t="s">
        <v>4243</v>
      </c>
      <c r="B783" s="2" t="s">
        <v>333</v>
      </c>
      <c r="C783" s="2" t="s">
        <v>1050</v>
      </c>
      <c r="D783" s="2" t="s">
        <v>335</v>
      </c>
      <c r="E783" s="2" t="s">
        <v>336</v>
      </c>
      <c r="F783" s="2" t="s">
        <v>4149</v>
      </c>
      <c r="G783" s="2" t="s">
        <v>4149</v>
      </c>
      <c r="H783" s="2" t="s">
        <v>4149</v>
      </c>
      <c r="I783" s="2" t="s">
        <v>4150</v>
      </c>
      <c r="J783" s="2" t="s">
        <v>284</v>
      </c>
      <c r="K783" s="2" t="s">
        <v>4239</v>
      </c>
      <c r="L783" s="3">
        <v>16.16</v>
      </c>
      <c r="M783" s="3">
        <v>16.97</v>
      </c>
      <c r="N783" s="3">
        <v>34.99</v>
      </c>
      <c r="O783" s="2" t="s">
        <v>245</v>
      </c>
      <c r="P783" s="2" t="s">
        <v>272</v>
      </c>
      <c r="Q783" s="2" t="s">
        <v>239</v>
      </c>
      <c r="R783" s="2" t="s">
        <v>233</v>
      </c>
      <c r="S783" s="2" t="s">
        <v>4240</v>
      </c>
      <c r="T783" s="2" t="s">
        <v>3950</v>
      </c>
      <c r="U783" s="2" t="s">
        <v>233</v>
      </c>
      <c r="V783" s="2" t="s">
        <v>1085</v>
      </c>
      <c r="W783" s="2" t="s">
        <v>275</v>
      </c>
      <c r="X783" s="2" t="s">
        <v>233</v>
      </c>
      <c r="Y783" s="2" t="s">
        <v>3985</v>
      </c>
      <c r="Z783" s="4"/>
      <c r="AA783" s="4">
        <f>=ROUNDDOWN({0},0)</f>
      </c>
      <c r="AB783" s="5">
        <v>32</v>
      </c>
      <c r="AC783" s="2" t="s">
        <v>1341</v>
      </c>
      <c r="AD783" s="4">
        <v>320</v>
      </c>
      <c r="AE783" s="4">
        <v>320</v>
      </c>
      <c r="AF783" s="6">
        <v>65</v>
      </c>
      <c r="AG783" s="6"/>
      <c r="AH783" s="7">
        <v>0.1613</v>
      </c>
      <c r="AI783" s="4"/>
      <c r="AJ783" s="4">
        <f>=ROUNDDOWN({0},0)</f>
      </c>
      <c r="AK783" s="5"/>
      <c r="AL783" s="2" t="s">
        <v>233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233</v>
      </c>
      <c r="AW783" s="8" t="s">
        <v>233</v>
      </c>
      <c r="AX783" s="4" t="s">
        <v>233</v>
      </c>
      <c r="AY783" s="8" t="s">
        <v>233</v>
      </c>
      <c r="AZ783" s="7" t="s">
        <v>233</v>
      </c>
      <c r="BA783" s="7" t="s">
        <v>233</v>
      </c>
      <c r="BB783" s="7"/>
      <c r="BC783" s="4" t="s">
        <v>233</v>
      </c>
      <c r="BD783" s="8" t="s">
        <v>233</v>
      </c>
      <c r="BE783" s="4" t="s">
        <v>233</v>
      </c>
      <c r="BF783" s="8" t="s">
        <v>233</v>
      </c>
      <c r="BG783" s="7" t="s">
        <v>233</v>
      </c>
      <c r="BH783" s="7" t="s">
        <v>233</v>
      </c>
      <c r="BI783" s="7"/>
      <c r="BJ783" s="4">
        <v>17</v>
      </c>
      <c r="BK783" s="8">
        <v>318.3</v>
      </c>
      <c r="BL783" s="2" t="s">
        <v>4244</v>
      </c>
      <c r="BM783" s="7"/>
      <c r="BN783" s="7"/>
      <c r="BO783" s="4"/>
      <c r="BP783" s="8"/>
      <c r="BQ783" s="4"/>
      <c r="BR783" s="8"/>
      <c r="BS783" s="7"/>
      <c r="BT783" s="7"/>
      <c r="BU783" s="2" t="s">
        <v>4245</v>
      </c>
      <c r="BV783" s="2" t="s">
        <v>233</v>
      </c>
      <c r="BW783" s="2" t="s">
        <v>233</v>
      </c>
      <c r="BX783" s="2" t="s">
        <v>233</v>
      </c>
      <c r="BY783" s="2" t="s">
        <v>280</v>
      </c>
      <c r="BZ783" s="2" t="s">
        <v>245</v>
      </c>
      <c r="CA783" s="2" t="s">
        <v>4173</v>
      </c>
      <c r="CB783" s="2" t="s">
        <v>1378</v>
      </c>
      <c r="CC783" s="2" t="s">
        <v>246</v>
      </c>
      <c r="CD783" s="2" t="s">
        <v>233</v>
      </c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>
        <v>320</v>
      </c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</row>
    <row r="784">
      <c r="A784" s="2" t="s">
        <v>4246</v>
      </c>
      <c r="B784" s="2" t="s">
        <v>333</v>
      </c>
      <c r="C784" s="2" t="s">
        <v>1050</v>
      </c>
      <c r="D784" s="2" t="s">
        <v>335</v>
      </c>
      <c r="E784" s="2" t="s">
        <v>336</v>
      </c>
      <c r="F784" s="2" t="s">
        <v>4149</v>
      </c>
      <c r="G784" s="2" t="s">
        <v>4149</v>
      </c>
      <c r="H784" s="2" t="s">
        <v>4149</v>
      </c>
      <c r="I784" s="2" t="s">
        <v>4150</v>
      </c>
      <c r="J784" s="2" t="s">
        <v>290</v>
      </c>
      <c r="K784" s="2" t="s">
        <v>4239</v>
      </c>
      <c r="L784" s="3">
        <v>19.57</v>
      </c>
      <c r="M784" s="3">
        <v>20.55</v>
      </c>
      <c r="N784" s="3">
        <v>42.99</v>
      </c>
      <c r="O784" s="2" t="s">
        <v>245</v>
      </c>
      <c r="P784" s="2" t="s">
        <v>272</v>
      </c>
      <c r="Q784" s="2" t="s">
        <v>239</v>
      </c>
      <c r="R784" s="2" t="s">
        <v>233</v>
      </c>
      <c r="S784" s="2" t="s">
        <v>4240</v>
      </c>
      <c r="T784" s="2" t="s">
        <v>3950</v>
      </c>
      <c r="U784" s="2" t="s">
        <v>233</v>
      </c>
      <c r="V784" s="2" t="s">
        <v>1085</v>
      </c>
      <c r="W784" s="2" t="s">
        <v>275</v>
      </c>
      <c r="X784" s="2" t="s">
        <v>233</v>
      </c>
      <c r="Y784" s="2" t="s">
        <v>3985</v>
      </c>
      <c r="Z784" s="4"/>
      <c r="AA784" s="4">
        <f>=ROUNDDOWN({0},0)</f>
      </c>
      <c r="AB784" s="5">
        <v>20</v>
      </c>
      <c r="AC784" s="2" t="s">
        <v>1341</v>
      </c>
      <c r="AD784" s="4">
        <v>206</v>
      </c>
      <c r="AE784" s="4">
        <v>206</v>
      </c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233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233</v>
      </c>
      <c r="AW784" s="8" t="s">
        <v>233</v>
      </c>
      <c r="AX784" s="4" t="s">
        <v>233</v>
      </c>
      <c r="AY784" s="8" t="s">
        <v>233</v>
      </c>
      <c r="AZ784" s="7" t="s">
        <v>233</v>
      </c>
      <c r="BA784" s="7" t="s">
        <v>233</v>
      </c>
      <c r="BB784" s="7"/>
      <c r="BC784" s="4" t="s">
        <v>233</v>
      </c>
      <c r="BD784" s="8" t="s">
        <v>233</v>
      </c>
      <c r="BE784" s="4" t="s">
        <v>233</v>
      </c>
      <c r="BF784" s="8" t="s">
        <v>233</v>
      </c>
      <c r="BG784" s="7" t="s">
        <v>233</v>
      </c>
      <c r="BH784" s="7" t="s">
        <v>233</v>
      </c>
      <c r="BI784" s="7"/>
      <c r="BJ784" s="4"/>
      <c r="BK784" s="8"/>
      <c r="BL784" s="2" t="s">
        <v>4247</v>
      </c>
      <c r="BM784" s="7"/>
      <c r="BN784" s="7"/>
      <c r="BO784" s="4"/>
      <c r="BP784" s="8"/>
      <c r="BQ784" s="4"/>
      <c r="BR784" s="8"/>
      <c r="BS784" s="7"/>
      <c r="BT784" s="7"/>
      <c r="BU784" s="2" t="s">
        <v>4248</v>
      </c>
      <c r="BV784" s="2" t="s">
        <v>233</v>
      </c>
      <c r="BW784" s="2" t="s">
        <v>233</v>
      </c>
      <c r="BX784" s="2" t="s">
        <v>233</v>
      </c>
      <c r="BY784" s="2" t="s">
        <v>280</v>
      </c>
      <c r="BZ784" s="2" t="s">
        <v>245</v>
      </c>
      <c r="CA784" s="2" t="s">
        <v>4173</v>
      </c>
      <c r="CB784" s="2" t="s">
        <v>4117</v>
      </c>
      <c r="CC784" s="2" t="s">
        <v>246</v>
      </c>
      <c r="CD784" s="2" t="s">
        <v>233</v>
      </c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>
        <v>206</v>
      </c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</row>
    <row r="785">
      <c r="A785" s="2" t="s">
        <v>4249</v>
      </c>
      <c r="B785" s="2" t="s">
        <v>333</v>
      </c>
      <c r="C785" s="2" t="s">
        <v>1050</v>
      </c>
      <c r="D785" s="2" t="s">
        <v>335</v>
      </c>
      <c r="E785" s="2" t="s">
        <v>336</v>
      </c>
      <c r="F785" s="2" t="s">
        <v>4149</v>
      </c>
      <c r="G785" s="2" t="s">
        <v>4149</v>
      </c>
      <c r="H785" s="2" t="s">
        <v>4149</v>
      </c>
      <c r="I785" s="2" t="s">
        <v>4150</v>
      </c>
      <c r="J785" s="2" t="s">
        <v>348</v>
      </c>
      <c r="K785" s="2" t="s">
        <v>4239</v>
      </c>
      <c r="L785" s="3">
        <v>22.21</v>
      </c>
      <c r="M785" s="3">
        <v>23.32</v>
      </c>
      <c r="N785" s="3">
        <v>47.99</v>
      </c>
      <c r="O785" s="2" t="s">
        <v>245</v>
      </c>
      <c r="P785" s="2" t="s">
        <v>741</v>
      </c>
      <c r="Q785" s="2" t="s">
        <v>239</v>
      </c>
      <c r="R785" s="2" t="s">
        <v>233</v>
      </c>
      <c r="S785" s="2" t="s">
        <v>4240</v>
      </c>
      <c r="T785" s="2" t="s">
        <v>3950</v>
      </c>
      <c r="U785" s="2" t="s">
        <v>233</v>
      </c>
      <c r="V785" s="2" t="s">
        <v>1085</v>
      </c>
      <c r="W785" s="2" t="s">
        <v>275</v>
      </c>
      <c r="X785" s="2" t="s">
        <v>233</v>
      </c>
      <c r="Y785" s="2" t="s">
        <v>3985</v>
      </c>
      <c r="Z785" s="4">
        <v>3</v>
      </c>
      <c r="AA785" s="4">
        <f>=ROUNDDOWN(0.09375,0)</f>
      </c>
      <c r="AB785" s="5">
        <v>32</v>
      </c>
      <c r="AC785" s="2" t="s">
        <v>1341</v>
      </c>
      <c r="AD785" s="4">
        <v>319</v>
      </c>
      <c r="AE785" s="4">
        <v>319</v>
      </c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233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233</v>
      </c>
      <c r="AW785" s="8" t="s">
        <v>233</v>
      </c>
      <c r="AX785" s="4" t="s">
        <v>233</v>
      </c>
      <c r="AY785" s="8" t="s">
        <v>233</v>
      </c>
      <c r="AZ785" s="7" t="s">
        <v>233</v>
      </c>
      <c r="BA785" s="7" t="s">
        <v>233</v>
      </c>
      <c r="BB785" s="7"/>
      <c r="BC785" s="4" t="s">
        <v>233</v>
      </c>
      <c r="BD785" s="8" t="s">
        <v>233</v>
      </c>
      <c r="BE785" s="4" t="s">
        <v>233</v>
      </c>
      <c r="BF785" s="8" t="s">
        <v>233</v>
      </c>
      <c r="BG785" s="7" t="s">
        <v>233</v>
      </c>
      <c r="BH785" s="7" t="s">
        <v>233</v>
      </c>
      <c r="BI785" s="7"/>
      <c r="BJ785" s="4">
        <v>3</v>
      </c>
      <c r="BK785" s="8">
        <v>73.76</v>
      </c>
      <c r="BL785" s="2" t="s">
        <v>4250</v>
      </c>
      <c r="BM785" s="7"/>
      <c r="BN785" s="7"/>
      <c r="BO785" s="4"/>
      <c r="BP785" s="8"/>
      <c r="BQ785" s="4"/>
      <c r="BR785" s="8"/>
      <c r="BS785" s="7"/>
      <c r="BT785" s="7"/>
      <c r="BU785" s="2" t="s">
        <v>4251</v>
      </c>
      <c r="BV785" s="2" t="s">
        <v>233</v>
      </c>
      <c r="BW785" s="2" t="s">
        <v>233</v>
      </c>
      <c r="BX785" s="2" t="s">
        <v>233</v>
      </c>
      <c r="BY785" s="2" t="s">
        <v>280</v>
      </c>
      <c r="BZ785" s="2" t="s">
        <v>245</v>
      </c>
      <c r="CA785" s="2" t="s">
        <v>4173</v>
      </c>
      <c r="CB785" s="2" t="s">
        <v>4125</v>
      </c>
      <c r="CC785" s="2" t="s">
        <v>246</v>
      </c>
      <c r="CD785" s="2" t="s">
        <v>233</v>
      </c>
      <c r="CE785" s="4">
        <v>3</v>
      </c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>
        <v>319</v>
      </c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</row>
    <row r="786">
      <c r="A786" s="2" t="s">
        <v>4252</v>
      </c>
      <c r="B786" s="2" t="s">
        <v>333</v>
      </c>
      <c r="C786" s="2" t="s">
        <v>1050</v>
      </c>
      <c r="D786" s="2" t="s">
        <v>335</v>
      </c>
      <c r="E786" s="2" t="s">
        <v>336</v>
      </c>
      <c r="F786" s="2" t="s">
        <v>4149</v>
      </c>
      <c r="G786" s="2" t="s">
        <v>4149</v>
      </c>
      <c r="H786" s="2" t="s">
        <v>4149</v>
      </c>
      <c r="I786" s="2" t="s">
        <v>4150</v>
      </c>
      <c r="J786" s="2" t="s">
        <v>270</v>
      </c>
      <c r="K786" s="2" t="s">
        <v>3983</v>
      </c>
      <c r="L786" s="3">
        <v>14.89</v>
      </c>
      <c r="M786" s="3">
        <v>15.63</v>
      </c>
      <c r="N786" s="3">
        <v>31.99</v>
      </c>
      <c r="O786" s="2" t="s">
        <v>245</v>
      </c>
      <c r="P786" s="2" t="s">
        <v>1366</v>
      </c>
      <c r="Q786" s="2" t="s">
        <v>239</v>
      </c>
      <c r="R786" s="2" t="s">
        <v>233</v>
      </c>
      <c r="S786" s="2" t="s">
        <v>4253</v>
      </c>
      <c r="T786" s="2" t="s">
        <v>3950</v>
      </c>
      <c r="U786" s="2" t="s">
        <v>233</v>
      </c>
      <c r="V786" s="2" t="s">
        <v>1340</v>
      </c>
      <c r="W786" s="2" t="s">
        <v>275</v>
      </c>
      <c r="X786" s="2" t="s">
        <v>233</v>
      </c>
      <c r="Y786" s="2" t="s">
        <v>2637</v>
      </c>
      <c r="Z786" s="4"/>
      <c r="AA786" s="4">
        <f>=ROUNDDOWN({0},0)</f>
      </c>
      <c r="AB786" s="5">
        <v>58</v>
      </c>
      <c r="AC786" s="2" t="s">
        <v>1341</v>
      </c>
      <c r="AD786" s="4">
        <v>574</v>
      </c>
      <c r="AE786" s="4">
        <v>574</v>
      </c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233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233</v>
      </c>
      <c r="AW786" s="8" t="s">
        <v>233</v>
      </c>
      <c r="AX786" s="4" t="s">
        <v>233</v>
      </c>
      <c r="AY786" s="8" t="s">
        <v>233</v>
      </c>
      <c r="AZ786" s="7" t="s">
        <v>233</v>
      </c>
      <c r="BA786" s="7" t="s">
        <v>233</v>
      </c>
      <c r="BB786" s="7"/>
      <c r="BC786" s="4" t="s">
        <v>233</v>
      </c>
      <c r="BD786" s="8" t="s">
        <v>233</v>
      </c>
      <c r="BE786" s="4" t="s">
        <v>233</v>
      </c>
      <c r="BF786" s="8" t="s">
        <v>233</v>
      </c>
      <c r="BG786" s="7" t="s">
        <v>233</v>
      </c>
      <c r="BH786" s="7" t="s">
        <v>233</v>
      </c>
      <c r="BI786" s="7"/>
      <c r="BJ786" s="4"/>
      <c r="BK786" s="8"/>
      <c r="BL786" s="2" t="s">
        <v>233</v>
      </c>
      <c r="BM786" s="7"/>
      <c r="BN786" s="7"/>
      <c r="BO786" s="4"/>
      <c r="BP786" s="8"/>
      <c r="BQ786" s="4"/>
      <c r="BR786" s="8"/>
      <c r="BS786" s="7"/>
      <c r="BT786" s="7"/>
      <c r="BU786" s="2" t="s">
        <v>4254</v>
      </c>
      <c r="BV786" s="2" t="s">
        <v>233</v>
      </c>
      <c r="BW786" s="2" t="s">
        <v>233</v>
      </c>
      <c r="BX786" s="2" t="s">
        <v>233</v>
      </c>
      <c r="BY786" s="2" t="s">
        <v>280</v>
      </c>
      <c r="BZ786" s="2" t="s">
        <v>245</v>
      </c>
      <c r="CA786" s="2" t="s">
        <v>4010</v>
      </c>
      <c r="CB786" s="2" t="s">
        <v>4255</v>
      </c>
      <c r="CC786" s="2" t="s">
        <v>246</v>
      </c>
      <c r="CD786" s="2" t="s">
        <v>233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>
        <v>574</v>
      </c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</row>
    <row r="787">
      <c r="A787" s="2" t="s">
        <v>4256</v>
      </c>
      <c r="B787" s="2" t="s">
        <v>333</v>
      </c>
      <c r="C787" s="2" t="s">
        <v>1050</v>
      </c>
      <c r="D787" s="2" t="s">
        <v>335</v>
      </c>
      <c r="E787" s="2" t="s">
        <v>336</v>
      </c>
      <c r="F787" s="2" t="s">
        <v>4149</v>
      </c>
      <c r="G787" s="2" t="s">
        <v>4149</v>
      </c>
      <c r="H787" s="2" t="s">
        <v>4149</v>
      </c>
      <c r="I787" s="2" t="s">
        <v>4150</v>
      </c>
      <c r="J787" s="2" t="s">
        <v>284</v>
      </c>
      <c r="K787" s="2" t="s">
        <v>3983</v>
      </c>
      <c r="L787" s="3">
        <v>16.16</v>
      </c>
      <c r="M787" s="3">
        <v>16.97</v>
      </c>
      <c r="N787" s="3">
        <v>34.99</v>
      </c>
      <c r="O787" s="2" t="s">
        <v>245</v>
      </c>
      <c r="P787" s="2" t="s">
        <v>741</v>
      </c>
      <c r="Q787" s="2" t="s">
        <v>239</v>
      </c>
      <c r="R787" s="2" t="s">
        <v>233</v>
      </c>
      <c r="S787" s="2" t="s">
        <v>4253</v>
      </c>
      <c r="T787" s="2" t="s">
        <v>3950</v>
      </c>
      <c r="U787" s="2" t="s">
        <v>475</v>
      </c>
      <c r="V787" s="2" t="s">
        <v>1340</v>
      </c>
      <c r="W787" s="2" t="s">
        <v>275</v>
      </c>
      <c r="X787" s="2" t="s">
        <v>233</v>
      </c>
      <c r="Y787" s="2" t="s">
        <v>4257</v>
      </c>
      <c r="Z787" s="4">
        <v>9</v>
      </c>
      <c r="AA787" s="4">
        <f>=ROUNDDOWN(0.138461538461538,0)</f>
      </c>
      <c r="AB787" s="5">
        <v>65</v>
      </c>
      <c r="AC787" s="2" t="s">
        <v>1341</v>
      </c>
      <c r="AD787" s="4">
        <v>630</v>
      </c>
      <c r="AE787" s="4">
        <v>630</v>
      </c>
      <c r="AF787" s="6">
        <v>65</v>
      </c>
      <c r="AG787" s="6"/>
      <c r="AH787" s="7">
        <v>0.7097</v>
      </c>
      <c r="AI787" s="4"/>
      <c r="AJ787" s="4">
        <f>=ROUNDDOWN({0},0)</f>
      </c>
      <c r="AK787" s="5"/>
      <c r="AL787" s="2" t="s">
        <v>233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233</v>
      </c>
      <c r="AW787" s="8" t="s">
        <v>233</v>
      </c>
      <c r="AX787" s="4" t="s">
        <v>233</v>
      </c>
      <c r="AY787" s="8" t="s">
        <v>233</v>
      </c>
      <c r="AZ787" s="7" t="s">
        <v>233</v>
      </c>
      <c r="BA787" s="7" t="s">
        <v>233</v>
      </c>
      <c r="BB787" s="7"/>
      <c r="BC787" s="4" t="s">
        <v>233</v>
      </c>
      <c r="BD787" s="8" t="s">
        <v>233</v>
      </c>
      <c r="BE787" s="4" t="s">
        <v>233</v>
      </c>
      <c r="BF787" s="8" t="s">
        <v>233</v>
      </c>
      <c r="BG787" s="7" t="s">
        <v>233</v>
      </c>
      <c r="BH787" s="7" t="s">
        <v>233</v>
      </c>
      <c r="BI787" s="7"/>
      <c r="BJ787" s="4">
        <v>67</v>
      </c>
      <c r="BK787" s="8">
        <v>1220.9</v>
      </c>
      <c r="BL787" s="2" t="s">
        <v>4258</v>
      </c>
      <c r="BM787" s="7"/>
      <c r="BN787" s="7"/>
      <c r="BO787" s="4"/>
      <c r="BP787" s="8"/>
      <c r="BQ787" s="4"/>
      <c r="BR787" s="8"/>
      <c r="BS787" s="7"/>
      <c r="BT787" s="7"/>
      <c r="BU787" s="2" t="s">
        <v>4259</v>
      </c>
      <c r="BV787" s="2" t="s">
        <v>233</v>
      </c>
      <c r="BW787" s="2" t="s">
        <v>233</v>
      </c>
      <c r="BX787" s="2" t="s">
        <v>233</v>
      </c>
      <c r="BY787" s="2" t="s">
        <v>280</v>
      </c>
      <c r="BZ787" s="2" t="s">
        <v>245</v>
      </c>
      <c r="CA787" s="2" t="s">
        <v>4260</v>
      </c>
      <c r="CB787" s="2" t="s">
        <v>4261</v>
      </c>
      <c r="CC787" s="2" t="s">
        <v>246</v>
      </c>
      <c r="CD787" s="2" t="s">
        <v>233</v>
      </c>
      <c r="CE787" s="4">
        <v>9</v>
      </c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>
        <v>630</v>
      </c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</row>
    <row r="788">
      <c r="A788" s="2" t="s">
        <v>4262</v>
      </c>
      <c r="B788" s="2" t="s">
        <v>333</v>
      </c>
      <c r="C788" s="2" t="s">
        <v>1050</v>
      </c>
      <c r="D788" s="2" t="s">
        <v>335</v>
      </c>
      <c r="E788" s="2" t="s">
        <v>336</v>
      </c>
      <c r="F788" s="2" t="s">
        <v>4149</v>
      </c>
      <c r="G788" s="2" t="s">
        <v>4149</v>
      </c>
      <c r="H788" s="2" t="s">
        <v>4149</v>
      </c>
      <c r="I788" s="2" t="s">
        <v>4150</v>
      </c>
      <c r="J788" s="2" t="s">
        <v>348</v>
      </c>
      <c r="K788" s="2" t="s">
        <v>3983</v>
      </c>
      <c r="L788" s="3">
        <v>22.21</v>
      </c>
      <c r="M788" s="3">
        <v>23.32</v>
      </c>
      <c r="N788" s="3">
        <v>47.99</v>
      </c>
      <c r="O788" s="2" t="s">
        <v>245</v>
      </c>
      <c r="P788" s="2" t="s">
        <v>2943</v>
      </c>
      <c r="Q788" s="2" t="s">
        <v>239</v>
      </c>
      <c r="R788" s="2" t="s">
        <v>233</v>
      </c>
      <c r="S788" s="2" t="s">
        <v>4253</v>
      </c>
      <c r="T788" s="2" t="s">
        <v>3950</v>
      </c>
      <c r="U788" s="2" t="s">
        <v>233</v>
      </c>
      <c r="V788" s="2" t="s">
        <v>1340</v>
      </c>
      <c r="W788" s="2" t="s">
        <v>275</v>
      </c>
      <c r="X788" s="2" t="s">
        <v>233</v>
      </c>
      <c r="Y788" s="2" t="s">
        <v>276</v>
      </c>
      <c r="Z788" s="4"/>
      <c r="AA788" s="4">
        <f>=ROUNDDOWN({0},0)</f>
      </c>
      <c r="AB788" s="5">
        <v>74</v>
      </c>
      <c r="AC788" s="2" t="s">
        <v>1341</v>
      </c>
      <c r="AD788" s="4">
        <v>718</v>
      </c>
      <c r="AE788" s="4">
        <v>718</v>
      </c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233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233</v>
      </c>
      <c r="AW788" s="8" t="s">
        <v>233</v>
      </c>
      <c r="AX788" s="4" t="s">
        <v>233</v>
      </c>
      <c r="AY788" s="8" t="s">
        <v>233</v>
      </c>
      <c r="AZ788" s="7" t="s">
        <v>233</v>
      </c>
      <c r="BA788" s="7" t="s">
        <v>233</v>
      </c>
      <c r="BB788" s="7"/>
      <c r="BC788" s="4" t="s">
        <v>233</v>
      </c>
      <c r="BD788" s="8" t="s">
        <v>233</v>
      </c>
      <c r="BE788" s="4" t="s">
        <v>233</v>
      </c>
      <c r="BF788" s="8" t="s">
        <v>233</v>
      </c>
      <c r="BG788" s="7" t="s">
        <v>233</v>
      </c>
      <c r="BH788" s="7" t="s">
        <v>233</v>
      </c>
      <c r="BI788" s="7"/>
      <c r="BJ788" s="4"/>
      <c r="BK788" s="8"/>
      <c r="BL788" s="2" t="s">
        <v>1292</v>
      </c>
      <c r="BM788" s="7"/>
      <c r="BN788" s="7"/>
      <c r="BO788" s="4"/>
      <c r="BP788" s="8"/>
      <c r="BQ788" s="4"/>
      <c r="BR788" s="8"/>
      <c r="BS788" s="7"/>
      <c r="BT788" s="7"/>
      <c r="BU788" s="2" t="s">
        <v>4263</v>
      </c>
      <c r="BV788" s="2" t="s">
        <v>233</v>
      </c>
      <c r="BW788" s="2" t="s">
        <v>233</v>
      </c>
      <c r="BX788" s="2" t="s">
        <v>233</v>
      </c>
      <c r="BY788" s="2" t="s">
        <v>280</v>
      </c>
      <c r="BZ788" s="2" t="s">
        <v>245</v>
      </c>
      <c r="CA788" s="2" t="s">
        <v>4010</v>
      </c>
      <c r="CB788" s="2" t="s">
        <v>4264</v>
      </c>
      <c r="CC788" s="2" t="s">
        <v>246</v>
      </c>
      <c r="CD788" s="2" t="s">
        <v>233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>
        <v>718</v>
      </c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</row>
    <row r="789">
      <c r="A789" s="2" t="s">
        <v>4265</v>
      </c>
      <c r="B789" s="2" t="s">
        <v>333</v>
      </c>
      <c r="C789" s="2" t="s">
        <v>1050</v>
      </c>
      <c r="D789" s="2" t="s">
        <v>335</v>
      </c>
      <c r="E789" s="2" t="s">
        <v>336</v>
      </c>
      <c r="F789" s="2" t="s">
        <v>4149</v>
      </c>
      <c r="G789" s="2" t="s">
        <v>4149</v>
      </c>
      <c r="H789" s="2" t="s">
        <v>4149</v>
      </c>
      <c r="I789" s="2" t="s">
        <v>4150</v>
      </c>
      <c r="J789" s="2" t="s">
        <v>328</v>
      </c>
      <c r="K789" s="2" t="s">
        <v>3983</v>
      </c>
      <c r="L789" s="3">
        <v>27.39</v>
      </c>
      <c r="M789" s="3">
        <v>28.76</v>
      </c>
      <c r="N789" s="3">
        <v>62.99</v>
      </c>
      <c r="O789" s="2" t="s">
        <v>245</v>
      </c>
      <c r="P789" s="2" t="s">
        <v>272</v>
      </c>
      <c r="Q789" s="2" t="s">
        <v>239</v>
      </c>
      <c r="R789" s="2" t="s">
        <v>233</v>
      </c>
      <c r="S789" s="2" t="s">
        <v>4253</v>
      </c>
      <c r="T789" s="2" t="s">
        <v>3950</v>
      </c>
      <c r="U789" s="2" t="s">
        <v>233</v>
      </c>
      <c r="V789" s="2" t="s">
        <v>1340</v>
      </c>
      <c r="W789" s="2" t="s">
        <v>275</v>
      </c>
      <c r="X789" s="2" t="s">
        <v>233</v>
      </c>
      <c r="Y789" s="2" t="s">
        <v>276</v>
      </c>
      <c r="Z789" s="4">
        <v>31</v>
      </c>
      <c r="AA789" s="4">
        <f>=ROUNDDOWN(0.794871794871795,0)</f>
      </c>
      <c r="AB789" s="5">
        <v>39</v>
      </c>
      <c r="AC789" s="2" t="s">
        <v>1341</v>
      </c>
      <c r="AD789" s="4">
        <v>382</v>
      </c>
      <c r="AE789" s="4">
        <v>382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233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233</v>
      </c>
      <c r="AW789" s="8" t="s">
        <v>233</v>
      </c>
      <c r="AX789" s="4" t="s">
        <v>233</v>
      </c>
      <c r="AY789" s="8" t="s">
        <v>233</v>
      </c>
      <c r="AZ789" s="7" t="s">
        <v>233</v>
      </c>
      <c r="BA789" s="7" t="s">
        <v>233</v>
      </c>
      <c r="BB789" s="7"/>
      <c r="BC789" s="4" t="s">
        <v>233</v>
      </c>
      <c r="BD789" s="8" t="s">
        <v>233</v>
      </c>
      <c r="BE789" s="4" t="s">
        <v>233</v>
      </c>
      <c r="BF789" s="8" t="s">
        <v>233</v>
      </c>
      <c r="BG789" s="7" t="s">
        <v>233</v>
      </c>
      <c r="BH789" s="7" t="s">
        <v>233</v>
      </c>
      <c r="BI789" s="7"/>
      <c r="BJ789" s="4">
        <v>36</v>
      </c>
      <c r="BK789" s="8">
        <v>1076.37</v>
      </c>
      <c r="BL789" s="2" t="s">
        <v>4258</v>
      </c>
      <c r="BM789" s="7"/>
      <c r="BN789" s="7"/>
      <c r="BO789" s="4"/>
      <c r="BP789" s="8"/>
      <c r="BQ789" s="4"/>
      <c r="BR789" s="8"/>
      <c r="BS789" s="7"/>
      <c r="BT789" s="7"/>
      <c r="BU789" s="2" t="s">
        <v>4266</v>
      </c>
      <c r="BV789" s="2" t="s">
        <v>233</v>
      </c>
      <c r="BW789" s="2" t="s">
        <v>233</v>
      </c>
      <c r="BX789" s="2" t="s">
        <v>233</v>
      </c>
      <c r="BY789" s="2" t="s">
        <v>280</v>
      </c>
      <c r="BZ789" s="2" t="s">
        <v>245</v>
      </c>
      <c r="CA789" s="2" t="s">
        <v>4010</v>
      </c>
      <c r="CB789" s="2" t="s">
        <v>4267</v>
      </c>
      <c r="CC789" s="2" t="s">
        <v>246</v>
      </c>
      <c r="CD789" s="2" t="s">
        <v>233</v>
      </c>
      <c r="CE789" s="4">
        <v>31</v>
      </c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>
        <v>382</v>
      </c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</row>
    <row r="790">
      <c r="A790" s="2" t="s">
        <v>4268</v>
      </c>
      <c r="B790" s="2" t="s">
        <v>333</v>
      </c>
      <c r="C790" s="2" t="s">
        <v>1050</v>
      </c>
      <c r="D790" s="2" t="s">
        <v>335</v>
      </c>
      <c r="E790" s="2" t="s">
        <v>336</v>
      </c>
      <c r="F790" s="2" t="s">
        <v>4149</v>
      </c>
      <c r="G790" s="2" t="s">
        <v>4149</v>
      </c>
      <c r="H790" s="2" t="s">
        <v>4149</v>
      </c>
      <c r="I790" s="2" t="s">
        <v>4150</v>
      </c>
      <c r="J790" s="2" t="s">
        <v>546</v>
      </c>
      <c r="K790" s="2" t="s">
        <v>3983</v>
      </c>
      <c r="L790" s="3">
        <v>27.39</v>
      </c>
      <c r="M790" s="3">
        <v>28.76</v>
      </c>
      <c r="N790" s="3">
        <v>62.99</v>
      </c>
      <c r="O790" s="2" t="s">
        <v>245</v>
      </c>
      <c r="P790" s="2" t="s">
        <v>272</v>
      </c>
      <c r="Q790" s="2" t="s">
        <v>239</v>
      </c>
      <c r="R790" s="2" t="s">
        <v>233</v>
      </c>
      <c r="S790" s="2" t="s">
        <v>4253</v>
      </c>
      <c r="T790" s="2" t="s">
        <v>3950</v>
      </c>
      <c r="U790" s="2" t="s">
        <v>233</v>
      </c>
      <c r="V790" s="2" t="s">
        <v>1340</v>
      </c>
      <c r="W790" s="2" t="s">
        <v>275</v>
      </c>
      <c r="X790" s="2" t="s">
        <v>233</v>
      </c>
      <c r="Y790" s="2" t="s">
        <v>4257</v>
      </c>
      <c r="Z790" s="4">
        <v>2</v>
      </c>
      <c r="AA790" s="4">
        <f>=ROUNDDOWN(0.08,0)</f>
      </c>
      <c r="AB790" s="5">
        <v>25</v>
      </c>
      <c r="AC790" s="2" t="s">
        <v>1341</v>
      </c>
      <c r="AD790" s="4">
        <v>254</v>
      </c>
      <c r="AE790" s="4">
        <v>254</v>
      </c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233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233</v>
      </c>
      <c r="AW790" s="8" t="s">
        <v>233</v>
      </c>
      <c r="AX790" s="4" t="s">
        <v>233</v>
      </c>
      <c r="AY790" s="8" t="s">
        <v>233</v>
      </c>
      <c r="AZ790" s="7" t="s">
        <v>233</v>
      </c>
      <c r="BA790" s="7" t="s">
        <v>233</v>
      </c>
      <c r="BB790" s="7"/>
      <c r="BC790" s="4" t="s">
        <v>233</v>
      </c>
      <c r="BD790" s="8" t="s">
        <v>233</v>
      </c>
      <c r="BE790" s="4" t="s">
        <v>233</v>
      </c>
      <c r="BF790" s="8" t="s">
        <v>233</v>
      </c>
      <c r="BG790" s="7" t="s">
        <v>233</v>
      </c>
      <c r="BH790" s="7" t="s">
        <v>233</v>
      </c>
      <c r="BI790" s="7"/>
      <c r="BJ790" s="4"/>
      <c r="BK790" s="8"/>
      <c r="BL790" s="2" t="s">
        <v>4269</v>
      </c>
      <c r="BM790" s="7"/>
      <c r="BN790" s="7"/>
      <c r="BO790" s="4"/>
      <c r="BP790" s="8"/>
      <c r="BQ790" s="4"/>
      <c r="BR790" s="8"/>
      <c r="BS790" s="7"/>
      <c r="BT790" s="7"/>
      <c r="BU790" s="2" t="s">
        <v>4270</v>
      </c>
      <c r="BV790" s="2" t="s">
        <v>233</v>
      </c>
      <c r="BW790" s="2" t="s">
        <v>233</v>
      </c>
      <c r="BX790" s="2" t="s">
        <v>233</v>
      </c>
      <c r="BY790" s="2" t="s">
        <v>280</v>
      </c>
      <c r="BZ790" s="2" t="s">
        <v>245</v>
      </c>
      <c r="CA790" s="2" t="s">
        <v>4010</v>
      </c>
      <c r="CB790" s="2" t="s">
        <v>4271</v>
      </c>
      <c r="CC790" s="2" t="s">
        <v>246</v>
      </c>
      <c r="CD790" s="2" t="s">
        <v>233</v>
      </c>
      <c r="CE790" s="4">
        <v>2</v>
      </c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>
        <v>254</v>
      </c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</row>
    <row r="791">
      <c r="A791" s="2" t="s">
        <v>4272</v>
      </c>
      <c r="B791" s="2" t="s">
        <v>333</v>
      </c>
      <c r="C791" s="2" t="s">
        <v>1050</v>
      </c>
      <c r="D791" s="2" t="s">
        <v>335</v>
      </c>
      <c r="E791" s="2" t="s">
        <v>336</v>
      </c>
      <c r="F791" s="2" t="s">
        <v>4149</v>
      </c>
      <c r="G791" s="2" t="s">
        <v>4149</v>
      </c>
      <c r="H791" s="2" t="s">
        <v>4149</v>
      </c>
      <c r="I791" s="2" t="s">
        <v>4150</v>
      </c>
      <c r="J791" s="2" t="s">
        <v>270</v>
      </c>
      <c r="K791" s="2" t="s">
        <v>4273</v>
      </c>
      <c r="L791" s="3">
        <v>14.89</v>
      </c>
      <c r="M791" s="3">
        <v>15.63</v>
      </c>
      <c r="N791" s="3">
        <v>31.99</v>
      </c>
      <c r="O791" s="2" t="s">
        <v>245</v>
      </c>
      <c r="P791" s="2" t="s">
        <v>763</v>
      </c>
      <c r="Q791" s="2" t="s">
        <v>239</v>
      </c>
      <c r="R791" s="2" t="s">
        <v>233</v>
      </c>
      <c r="S791" s="2" t="s">
        <v>4274</v>
      </c>
      <c r="T791" s="2" t="s">
        <v>3950</v>
      </c>
      <c r="U791" s="2" t="s">
        <v>233</v>
      </c>
      <c r="V791" s="2" t="s">
        <v>3951</v>
      </c>
      <c r="W791" s="2" t="s">
        <v>275</v>
      </c>
      <c r="X791" s="2" t="s">
        <v>233</v>
      </c>
      <c r="Y791" s="2" t="s">
        <v>3973</v>
      </c>
      <c r="Z791" s="4">
        <v>2</v>
      </c>
      <c r="AA791" s="4">
        <f>=ROUNDDOWN(0.04,0)</f>
      </c>
      <c r="AB791" s="5">
        <v>50</v>
      </c>
      <c r="AC791" s="2" t="s">
        <v>1341</v>
      </c>
      <c r="AD791" s="4">
        <v>485</v>
      </c>
      <c r="AE791" s="4">
        <v>485</v>
      </c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233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233</v>
      </c>
      <c r="AW791" s="8" t="s">
        <v>233</v>
      </c>
      <c r="AX791" s="4" t="s">
        <v>233</v>
      </c>
      <c r="AY791" s="8" t="s">
        <v>233</v>
      </c>
      <c r="AZ791" s="7" t="s">
        <v>233</v>
      </c>
      <c r="BA791" s="7" t="s">
        <v>233</v>
      </c>
      <c r="BB791" s="7"/>
      <c r="BC791" s="4" t="s">
        <v>233</v>
      </c>
      <c r="BD791" s="8" t="s">
        <v>233</v>
      </c>
      <c r="BE791" s="4" t="s">
        <v>233</v>
      </c>
      <c r="BF791" s="8" t="s">
        <v>233</v>
      </c>
      <c r="BG791" s="7" t="s">
        <v>233</v>
      </c>
      <c r="BH791" s="7" t="s">
        <v>233</v>
      </c>
      <c r="BI791" s="7"/>
      <c r="BJ791" s="4"/>
      <c r="BK791" s="8"/>
      <c r="BL791" s="2" t="s">
        <v>1292</v>
      </c>
      <c r="BM791" s="7"/>
      <c r="BN791" s="7"/>
      <c r="BO791" s="4"/>
      <c r="BP791" s="8"/>
      <c r="BQ791" s="4"/>
      <c r="BR791" s="8"/>
      <c r="BS791" s="7"/>
      <c r="BT791" s="7"/>
      <c r="BU791" s="2" t="s">
        <v>4275</v>
      </c>
      <c r="BV791" s="2" t="s">
        <v>233</v>
      </c>
      <c r="BW791" s="2" t="s">
        <v>233</v>
      </c>
      <c r="BX791" s="2" t="s">
        <v>233</v>
      </c>
      <c r="BY791" s="2" t="s">
        <v>280</v>
      </c>
      <c r="BZ791" s="2" t="s">
        <v>245</v>
      </c>
      <c r="CA791" s="2" t="s">
        <v>4173</v>
      </c>
      <c r="CB791" s="2" t="s">
        <v>4075</v>
      </c>
      <c r="CC791" s="2" t="s">
        <v>246</v>
      </c>
      <c r="CD791" s="2" t="s">
        <v>233</v>
      </c>
      <c r="CE791" s="4">
        <v>2</v>
      </c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>
        <v>485</v>
      </c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</row>
    <row r="792">
      <c r="A792" s="2" t="s">
        <v>4276</v>
      </c>
      <c r="B792" s="2" t="s">
        <v>333</v>
      </c>
      <c r="C792" s="2" t="s">
        <v>1050</v>
      </c>
      <c r="D792" s="2" t="s">
        <v>335</v>
      </c>
      <c r="E792" s="2" t="s">
        <v>336</v>
      </c>
      <c r="F792" s="2" t="s">
        <v>4149</v>
      </c>
      <c r="G792" s="2" t="s">
        <v>4149</v>
      </c>
      <c r="H792" s="2" t="s">
        <v>4149</v>
      </c>
      <c r="I792" s="2" t="s">
        <v>4150</v>
      </c>
      <c r="J792" s="2" t="s">
        <v>284</v>
      </c>
      <c r="K792" s="2" t="s">
        <v>4273</v>
      </c>
      <c r="L792" s="3">
        <v>16.16</v>
      </c>
      <c r="M792" s="3">
        <v>16.97</v>
      </c>
      <c r="N792" s="3">
        <v>34.99</v>
      </c>
      <c r="O792" s="2" t="s">
        <v>245</v>
      </c>
      <c r="P792" s="2" t="s">
        <v>272</v>
      </c>
      <c r="Q792" s="2" t="s">
        <v>239</v>
      </c>
      <c r="R792" s="2" t="s">
        <v>233</v>
      </c>
      <c r="S792" s="2" t="s">
        <v>4274</v>
      </c>
      <c r="T792" s="2" t="s">
        <v>3950</v>
      </c>
      <c r="U792" s="2" t="s">
        <v>233</v>
      </c>
      <c r="V792" s="2" t="s">
        <v>3951</v>
      </c>
      <c r="W792" s="2" t="s">
        <v>275</v>
      </c>
      <c r="X792" s="2" t="s">
        <v>233</v>
      </c>
      <c r="Y792" s="2" t="s">
        <v>3973</v>
      </c>
      <c r="Z792" s="4">
        <v>2</v>
      </c>
      <c r="AA792" s="4">
        <f>=ROUNDDOWN(0.0833333333333333,0)</f>
      </c>
      <c r="AB792" s="5">
        <v>24</v>
      </c>
      <c r="AC792" s="2" t="s">
        <v>1341</v>
      </c>
      <c r="AD792" s="4">
        <v>241</v>
      </c>
      <c r="AE792" s="4">
        <v>241</v>
      </c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233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233</v>
      </c>
      <c r="AW792" s="8" t="s">
        <v>233</v>
      </c>
      <c r="AX792" s="4" t="s">
        <v>233</v>
      </c>
      <c r="AY792" s="8" t="s">
        <v>233</v>
      </c>
      <c r="AZ792" s="7" t="s">
        <v>233</v>
      </c>
      <c r="BA792" s="7" t="s">
        <v>233</v>
      </c>
      <c r="BB792" s="7"/>
      <c r="BC792" s="4" t="s">
        <v>233</v>
      </c>
      <c r="BD792" s="8" t="s">
        <v>233</v>
      </c>
      <c r="BE792" s="4" t="s">
        <v>233</v>
      </c>
      <c r="BF792" s="8" t="s">
        <v>233</v>
      </c>
      <c r="BG792" s="7" t="s">
        <v>233</v>
      </c>
      <c r="BH792" s="7" t="s">
        <v>233</v>
      </c>
      <c r="BI792" s="7"/>
      <c r="BJ792" s="4">
        <v>1</v>
      </c>
      <c r="BK792" s="8">
        <v>34.99</v>
      </c>
      <c r="BL792" s="2" t="s">
        <v>4277</v>
      </c>
      <c r="BM792" s="7"/>
      <c r="BN792" s="7"/>
      <c r="BO792" s="4"/>
      <c r="BP792" s="8"/>
      <c r="BQ792" s="4"/>
      <c r="BR792" s="8"/>
      <c r="BS792" s="7"/>
      <c r="BT792" s="7"/>
      <c r="BU792" s="2" t="s">
        <v>4278</v>
      </c>
      <c r="BV792" s="2" t="s">
        <v>233</v>
      </c>
      <c r="BW792" s="2" t="s">
        <v>233</v>
      </c>
      <c r="BX792" s="2" t="s">
        <v>233</v>
      </c>
      <c r="BY792" s="2" t="s">
        <v>280</v>
      </c>
      <c r="BZ792" s="2" t="s">
        <v>245</v>
      </c>
      <c r="CA792" s="2" t="s">
        <v>4173</v>
      </c>
      <c r="CB792" s="2" t="s">
        <v>4117</v>
      </c>
      <c r="CC792" s="2" t="s">
        <v>246</v>
      </c>
      <c r="CD792" s="2" t="s">
        <v>233</v>
      </c>
      <c r="CE792" s="4">
        <v>2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>
        <v>241</v>
      </c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</row>
    <row r="793">
      <c r="A793" s="2" t="s">
        <v>4279</v>
      </c>
      <c r="B793" s="2" t="s">
        <v>333</v>
      </c>
      <c r="C793" s="2" t="s">
        <v>1050</v>
      </c>
      <c r="D793" s="2" t="s">
        <v>335</v>
      </c>
      <c r="E793" s="2" t="s">
        <v>336</v>
      </c>
      <c r="F793" s="2" t="s">
        <v>4149</v>
      </c>
      <c r="G793" s="2" t="s">
        <v>4149</v>
      </c>
      <c r="H793" s="2" t="s">
        <v>4149</v>
      </c>
      <c r="I793" s="2" t="s">
        <v>4150</v>
      </c>
      <c r="J793" s="2" t="s">
        <v>348</v>
      </c>
      <c r="K793" s="2" t="s">
        <v>4273</v>
      </c>
      <c r="L793" s="3">
        <v>22.21</v>
      </c>
      <c r="M793" s="3">
        <v>23.32</v>
      </c>
      <c r="N793" s="3">
        <v>47.99</v>
      </c>
      <c r="O793" s="2" t="s">
        <v>245</v>
      </c>
      <c r="P793" s="2" t="s">
        <v>741</v>
      </c>
      <c r="Q793" s="2" t="s">
        <v>239</v>
      </c>
      <c r="R793" s="2" t="s">
        <v>233</v>
      </c>
      <c r="S793" s="2" t="s">
        <v>4274</v>
      </c>
      <c r="T793" s="2" t="s">
        <v>3950</v>
      </c>
      <c r="U793" s="2" t="s">
        <v>233</v>
      </c>
      <c r="V793" s="2" t="s">
        <v>3951</v>
      </c>
      <c r="W793" s="2" t="s">
        <v>275</v>
      </c>
      <c r="X793" s="2" t="s">
        <v>233</v>
      </c>
      <c r="Y793" s="2" t="s">
        <v>3973</v>
      </c>
      <c r="Z793" s="4">
        <v>1</v>
      </c>
      <c r="AA793" s="4">
        <f>=ROUNDDOWN(0.0303030303030303,0)</f>
      </c>
      <c r="AB793" s="5">
        <v>33</v>
      </c>
      <c r="AC793" s="2" t="s">
        <v>1341</v>
      </c>
      <c r="AD793" s="4">
        <v>325</v>
      </c>
      <c r="AE793" s="4">
        <v>325</v>
      </c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233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233</v>
      </c>
      <c r="AW793" s="8" t="s">
        <v>233</v>
      </c>
      <c r="AX793" s="4" t="s">
        <v>233</v>
      </c>
      <c r="AY793" s="8" t="s">
        <v>233</v>
      </c>
      <c r="AZ793" s="7" t="s">
        <v>233</v>
      </c>
      <c r="BA793" s="7" t="s">
        <v>233</v>
      </c>
      <c r="BB793" s="7"/>
      <c r="BC793" s="4" t="s">
        <v>233</v>
      </c>
      <c r="BD793" s="8" t="s">
        <v>233</v>
      </c>
      <c r="BE793" s="4" t="s">
        <v>233</v>
      </c>
      <c r="BF793" s="8" t="s">
        <v>233</v>
      </c>
      <c r="BG793" s="7" t="s">
        <v>233</v>
      </c>
      <c r="BH793" s="7" t="s">
        <v>233</v>
      </c>
      <c r="BI793" s="7"/>
      <c r="BJ793" s="4"/>
      <c r="BK793" s="8"/>
      <c r="BL793" s="2" t="s">
        <v>233</v>
      </c>
      <c r="BM793" s="7"/>
      <c r="BN793" s="7"/>
      <c r="BO793" s="4"/>
      <c r="BP793" s="8"/>
      <c r="BQ793" s="4"/>
      <c r="BR793" s="8"/>
      <c r="BS793" s="7"/>
      <c r="BT793" s="7"/>
      <c r="BU793" s="2" t="s">
        <v>4280</v>
      </c>
      <c r="BV793" s="2" t="s">
        <v>233</v>
      </c>
      <c r="BW793" s="2" t="s">
        <v>233</v>
      </c>
      <c r="BX793" s="2" t="s">
        <v>233</v>
      </c>
      <c r="BY793" s="2" t="s">
        <v>280</v>
      </c>
      <c r="BZ793" s="2" t="s">
        <v>245</v>
      </c>
      <c r="CA793" s="2" t="s">
        <v>4173</v>
      </c>
      <c r="CB793" s="2" t="s">
        <v>4117</v>
      </c>
      <c r="CC793" s="2" t="s">
        <v>246</v>
      </c>
      <c r="CD793" s="2" t="s">
        <v>233</v>
      </c>
      <c r="CE793" s="4">
        <v>1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>
        <v>325</v>
      </c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</row>
    <row r="794">
      <c r="A794" s="2" t="s">
        <v>4281</v>
      </c>
      <c r="B794" s="2" t="s">
        <v>333</v>
      </c>
      <c r="C794" s="2" t="s">
        <v>1050</v>
      </c>
      <c r="D794" s="2" t="s">
        <v>335</v>
      </c>
      <c r="E794" s="2" t="s">
        <v>336</v>
      </c>
      <c r="F794" s="2" t="s">
        <v>4149</v>
      </c>
      <c r="G794" s="2" t="s">
        <v>4149</v>
      </c>
      <c r="H794" s="2" t="s">
        <v>4149</v>
      </c>
      <c r="I794" s="2" t="s">
        <v>4150</v>
      </c>
      <c r="J794" s="2" t="s">
        <v>328</v>
      </c>
      <c r="K794" s="2" t="s">
        <v>4273</v>
      </c>
      <c r="L794" s="3">
        <v>27.39</v>
      </c>
      <c r="M794" s="3">
        <v>28.76</v>
      </c>
      <c r="N794" s="3">
        <v>62.99</v>
      </c>
      <c r="O794" s="2" t="s">
        <v>245</v>
      </c>
      <c r="P794" s="2" t="s">
        <v>272</v>
      </c>
      <c r="Q794" s="2" t="s">
        <v>239</v>
      </c>
      <c r="R794" s="2" t="s">
        <v>233</v>
      </c>
      <c r="S794" s="2" t="s">
        <v>4274</v>
      </c>
      <c r="T794" s="2" t="s">
        <v>3950</v>
      </c>
      <c r="U794" s="2" t="s">
        <v>233</v>
      </c>
      <c r="V794" s="2" t="s">
        <v>3951</v>
      </c>
      <c r="W794" s="2" t="s">
        <v>275</v>
      </c>
      <c r="X794" s="2" t="s">
        <v>233</v>
      </c>
      <c r="Y794" s="2" t="s">
        <v>3973</v>
      </c>
      <c r="Z794" s="4">
        <v>3</v>
      </c>
      <c r="AA794" s="4">
        <f>=ROUNDDOWN(0.1875,0)</f>
      </c>
      <c r="AB794" s="5">
        <v>16</v>
      </c>
      <c r="AC794" s="2" t="s">
        <v>1341</v>
      </c>
      <c r="AD794" s="4">
        <v>164</v>
      </c>
      <c r="AE794" s="4">
        <v>164</v>
      </c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233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233</v>
      </c>
      <c r="AW794" s="8" t="s">
        <v>233</v>
      </c>
      <c r="AX794" s="4" t="s">
        <v>233</v>
      </c>
      <c r="AY794" s="8" t="s">
        <v>233</v>
      </c>
      <c r="AZ794" s="7" t="s">
        <v>233</v>
      </c>
      <c r="BA794" s="7" t="s">
        <v>233</v>
      </c>
      <c r="BB794" s="7"/>
      <c r="BC794" s="4" t="s">
        <v>233</v>
      </c>
      <c r="BD794" s="8" t="s">
        <v>233</v>
      </c>
      <c r="BE794" s="4" t="s">
        <v>233</v>
      </c>
      <c r="BF794" s="8" t="s">
        <v>233</v>
      </c>
      <c r="BG794" s="7" t="s">
        <v>233</v>
      </c>
      <c r="BH794" s="7" t="s">
        <v>233</v>
      </c>
      <c r="BI794" s="7"/>
      <c r="BJ794" s="4"/>
      <c r="BK794" s="8"/>
      <c r="BL794" s="2" t="s">
        <v>233</v>
      </c>
      <c r="BM794" s="7"/>
      <c r="BN794" s="7"/>
      <c r="BO794" s="4"/>
      <c r="BP794" s="8"/>
      <c r="BQ794" s="4"/>
      <c r="BR794" s="8"/>
      <c r="BS794" s="7"/>
      <c r="BT794" s="7"/>
      <c r="BU794" s="2" t="s">
        <v>4282</v>
      </c>
      <c r="BV794" s="2" t="s">
        <v>233</v>
      </c>
      <c r="BW794" s="2" t="s">
        <v>233</v>
      </c>
      <c r="BX794" s="2" t="s">
        <v>233</v>
      </c>
      <c r="BY794" s="2" t="s">
        <v>280</v>
      </c>
      <c r="BZ794" s="2" t="s">
        <v>245</v>
      </c>
      <c r="CA794" s="2" t="s">
        <v>4173</v>
      </c>
      <c r="CB794" s="2" t="s">
        <v>4179</v>
      </c>
      <c r="CC794" s="2" t="s">
        <v>246</v>
      </c>
      <c r="CD794" s="2" t="s">
        <v>233</v>
      </c>
      <c r="CE794" s="4">
        <v>3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>
        <v>164</v>
      </c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</row>
    <row r="795">
      <c r="A795" s="2" t="s">
        <v>4283</v>
      </c>
      <c r="B795" s="2" t="s">
        <v>333</v>
      </c>
      <c r="C795" s="2" t="s">
        <v>1050</v>
      </c>
      <c r="D795" s="2" t="s">
        <v>335</v>
      </c>
      <c r="E795" s="2" t="s">
        <v>336</v>
      </c>
      <c r="F795" s="2" t="s">
        <v>4149</v>
      </c>
      <c r="G795" s="2" t="s">
        <v>4149</v>
      </c>
      <c r="H795" s="2" t="s">
        <v>4149</v>
      </c>
      <c r="I795" s="2" t="s">
        <v>4150</v>
      </c>
      <c r="J795" s="2" t="s">
        <v>270</v>
      </c>
      <c r="K795" s="2" t="s">
        <v>4284</v>
      </c>
      <c r="L795" s="3">
        <v>14.89</v>
      </c>
      <c r="M795" s="3">
        <v>15.63</v>
      </c>
      <c r="N795" s="3">
        <v>31.99</v>
      </c>
      <c r="O795" s="2" t="s">
        <v>245</v>
      </c>
      <c r="P795" s="2" t="s">
        <v>272</v>
      </c>
      <c r="Q795" s="2" t="s">
        <v>239</v>
      </c>
      <c r="R795" s="2" t="s">
        <v>233</v>
      </c>
      <c r="S795" s="2" t="s">
        <v>4285</v>
      </c>
      <c r="T795" s="2" t="s">
        <v>3950</v>
      </c>
      <c r="U795" s="2" t="s">
        <v>233</v>
      </c>
      <c r="V795" s="2" t="s">
        <v>241</v>
      </c>
      <c r="W795" s="2" t="s">
        <v>275</v>
      </c>
      <c r="X795" s="2" t="s">
        <v>233</v>
      </c>
      <c r="Y795" s="2" t="s">
        <v>276</v>
      </c>
      <c r="Z795" s="4"/>
      <c r="AA795" s="4">
        <f>=ROUNDDOWN({0},0)</f>
      </c>
      <c r="AB795" s="5">
        <v>47</v>
      </c>
      <c r="AC795" s="2" t="s">
        <v>1341</v>
      </c>
      <c r="AD795" s="4">
        <v>466</v>
      </c>
      <c r="AE795" s="4">
        <v>466</v>
      </c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233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233</v>
      </c>
      <c r="AW795" s="8" t="s">
        <v>233</v>
      </c>
      <c r="AX795" s="4" t="s">
        <v>233</v>
      </c>
      <c r="AY795" s="8" t="s">
        <v>233</v>
      </c>
      <c r="AZ795" s="7" t="s">
        <v>233</v>
      </c>
      <c r="BA795" s="7" t="s">
        <v>233</v>
      </c>
      <c r="BB795" s="7"/>
      <c r="BC795" s="4" t="s">
        <v>233</v>
      </c>
      <c r="BD795" s="8" t="s">
        <v>233</v>
      </c>
      <c r="BE795" s="4" t="s">
        <v>233</v>
      </c>
      <c r="BF795" s="8" t="s">
        <v>233</v>
      </c>
      <c r="BG795" s="7" t="s">
        <v>233</v>
      </c>
      <c r="BH795" s="7" t="s">
        <v>233</v>
      </c>
      <c r="BI795" s="7"/>
      <c r="BJ795" s="4"/>
      <c r="BK795" s="8"/>
      <c r="BL795" s="2" t="s">
        <v>233</v>
      </c>
      <c r="BM795" s="7"/>
      <c r="BN795" s="7"/>
      <c r="BO795" s="4"/>
      <c r="BP795" s="8"/>
      <c r="BQ795" s="4"/>
      <c r="BR795" s="8"/>
      <c r="BS795" s="7"/>
      <c r="BT795" s="7"/>
      <c r="BU795" s="2" t="s">
        <v>4286</v>
      </c>
      <c r="BV795" s="2" t="s">
        <v>233</v>
      </c>
      <c r="BW795" s="2" t="s">
        <v>233</v>
      </c>
      <c r="BX795" s="2" t="s">
        <v>233</v>
      </c>
      <c r="BY795" s="2" t="s">
        <v>280</v>
      </c>
      <c r="BZ795" s="2" t="s">
        <v>245</v>
      </c>
      <c r="CA795" s="2" t="s">
        <v>4010</v>
      </c>
      <c r="CB795" s="2" t="s">
        <v>4255</v>
      </c>
      <c r="CC795" s="2" t="s">
        <v>246</v>
      </c>
      <c r="CD795" s="2" t="s">
        <v>233</v>
      </c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>
        <v>466</v>
      </c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</row>
    <row r="796">
      <c r="A796" s="2" t="s">
        <v>4287</v>
      </c>
      <c r="B796" s="2" t="s">
        <v>333</v>
      </c>
      <c r="C796" s="2" t="s">
        <v>1050</v>
      </c>
      <c r="D796" s="2" t="s">
        <v>335</v>
      </c>
      <c r="E796" s="2" t="s">
        <v>336</v>
      </c>
      <c r="F796" s="2" t="s">
        <v>4149</v>
      </c>
      <c r="G796" s="2" t="s">
        <v>4149</v>
      </c>
      <c r="H796" s="2" t="s">
        <v>4149</v>
      </c>
      <c r="I796" s="2" t="s">
        <v>4150</v>
      </c>
      <c r="J796" s="2" t="s">
        <v>290</v>
      </c>
      <c r="K796" s="2" t="s">
        <v>4284</v>
      </c>
      <c r="L796" s="3">
        <v>19.57</v>
      </c>
      <c r="M796" s="3">
        <v>20.55</v>
      </c>
      <c r="N796" s="3">
        <v>42.99</v>
      </c>
      <c r="O796" s="2" t="s">
        <v>245</v>
      </c>
      <c r="P796" s="2" t="s">
        <v>741</v>
      </c>
      <c r="Q796" s="2" t="s">
        <v>239</v>
      </c>
      <c r="R796" s="2" t="s">
        <v>233</v>
      </c>
      <c r="S796" s="2" t="s">
        <v>4285</v>
      </c>
      <c r="T796" s="2" t="s">
        <v>3950</v>
      </c>
      <c r="U796" s="2" t="s">
        <v>233</v>
      </c>
      <c r="V796" s="2" t="s">
        <v>241</v>
      </c>
      <c r="W796" s="2" t="s">
        <v>275</v>
      </c>
      <c r="X796" s="2" t="s">
        <v>233</v>
      </c>
      <c r="Y796" s="2" t="s">
        <v>276</v>
      </c>
      <c r="Z796" s="4"/>
      <c r="AA796" s="4">
        <f>=ROUNDDOWN({0},0)</f>
      </c>
      <c r="AB796" s="5">
        <v>33</v>
      </c>
      <c r="AC796" s="2" t="s">
        <v>1341</v>
      </c>
      <c r="AD796" s="4">
        <v>333</v>
      </c>
      <c r="AE796" s="4">
        <v>333</v>
      </c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233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233</v>
      </c>
      <c r="AW796" s="8" t="s">
        <v>233</v>
      </c>
      <c r="AX796" s="4" t="s">
        <v>233</v>
      </c>
      <c r="AY796" s="8" t="s">
        <v>233</v>
      </c>
      <c r="AZ796" s="7" t="s">
        <v>233</v>
      </c>
      <c r="BA796" s="7" t="s">
        <v>233</v>
      </c>
      <c r="BB796" s="7"/>
      <c r="BC796" s="4" t="s">
        <v>233</v>
      </c>
      <c r="BD796" s="8" t="s">
        <v>233</v>
      </c>
      <c r="BE796" s="4" t="s">
        <v>233</v>
      </c>
      <c r="BF796" s="8" t="s">
        <v>233</v>
      </c>
      <c r="BG796" s="7" t="s">
        <v>233</v>
      </c>
      <c r="BH796" s="7" t="s">
        <v>233</v>
      </c>
      <c r="BI796" s="7"/>
      <c r="BJ796" s="4"/>
      <c r="BK796" s="8"/>
      <c r="BL796" s="2" t="s">
        <v>233</v>
      </c>
      <c r="BM796" s="7"/>
      <c r="BN796" s="7"/>
      <c r="BO796" s="4"/>
      <c r="BP796" s="8"/>
      <c r="BQ796" s="4"/>
      <c r="BR796" s="8"/>
      <c r="BS796" s="7"/>
      <c r="BT796" s="7"/>
      <c r="BU796" s="2" t="s">
        <v>4288</v>
      </c>
      <c r="BV796" s="2" t="s">
        <v>233</v>
      </c>
      <c r="BW796" s="2" t="s">
        <v>233</v>
      </c>
      <c r="BX796" s="2" t="s">
        <v>233</v>
      </c>
      <c r="BY796" s="2" t="s">
        <v>280</v>
      </c>
      <c r="BZ796" s="2" t="s">
        <v>245</v>
      </c>
      <c r="CA796" s="2" t="s">
        <v>4010</v>
      </c>
      <c r="CB796" s="2" t="s">
        <v>4289</v>
      </c>
      <c r="CC796" s="2" t="s">
        <v>246</v>
      </c>
      <c r="CD796" s="2" t="s">
        <v>233</v>
      </c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>
        <v>333</v>
      </c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</row>
    <row r="797">
      <c r="A797" s="2" t="s">
        <v>4290</v>
      </c>
      <c r="B797" s="2" t="s">
        <v>333</v>
      </c>
      <c r="C797" s="2" t="s">
        <v>1050</v>
      </c>
      <c r="D797" s="2" t="s">
        <v>335</v>
      </c>
      <c r="E797" s="2" t="s">
        <v>336</v>
      </c>
      <c r="F797" s="2" t="s">
        <v>4149</v>
      </c>
      <c r="G797" s="2" t="s">
        <v>4149</v>
      </c>
      <c r="H797" s="2" t="s">
        <v>4149</v>
      </c>
      <c r="I797" s="2" t="s">
        <v>4150</v>
      </c>
      <c r="J797" s="2" t="s">
        <v>328</v>
      </c>
      <c r="K797" s="2" t="s">
        <v>4284</v>
      </c>
      <c r="L797" s="3">
        <v>27.39</v>
      </c>
      <c r="M797" s="3">
        <v>28.76</v>
      </c>
      <c r="N797" s="3">
        <v>62.99</v>
      </c>
      <c r="O797" s="2" t="s">
        <v>245</v>
      </c>
      <c r="P797" s="2" t="s">
        <v>272</v>
      </c>
      <c r="Q797" s="2" t="s">
        <v>239</v>
      </c>
      <c r="R797" s="2" t="s">
        <v>233</v>
      </c>
      <c r="S797" s="2" t="s">
        <v>4285</v>
      </c>
      <c r="T797" s="2" t="s">
        <v>3950</v>
      </c>
      <c r="U797" s="2" t="s">
        <v>233</v>
      </c>
      <c r="V797" s="2" t="s">
        <v>241</v>
      </c>
      <c r="W797" s="2" t="s">
        <v>275</v>
      </c>
      <c r="X797" s="2" t="s">
        <v>233</v>
      </c>
      <c r="Y797" s="2" t="s">
        <v>276</v>
      </c>
      <c r="Z797" s="4"/>
      <c r="AA797" s="4">
        <f>=ROUNDDOWN({0},0)</f>
      </c>
      <c r="AB797" s="5">
        <v>19</v>
      </c>
      <c r="AC797" s="2" t="s">
        <v>1341</v>
      </c>
      <c r="AD797" s="4">
        <v>186</v>
      </c>
      <c r="AE797" s="4">
        <v>186</v>
      </c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233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233</v>
      </c>
      <c r="AW797" s="8" t="s">
        <v>233</v>
      </c>
      <c r="AX797" s="4" t="s">
        <v>233</v>
      </c>
      <c r="AY797" s="8" t="s">
        <v>233</v>
      </c>
      <c r="AZ797" s="7" t="s">
        <v>233</v>
      </c>
      <c r="BA797" s="7" t="s">
        <v>233</v>
      </c>
      <c r="BB797" s="7"/>
      <c r="BC797" s="4" t="s">
        <v>233</v>
      </c>
      <c r="BD797" s="8" t="s">
        <v>233</v>
      </c>
      <c r="BE797" s="4" t="s">
        <v>233</v>
      </c>
      <c r="BF797" s="8" t="s">
        <v>233</v>
      </c>
      <c r="BG797" s="7" t="s">
        <v>233</v>
      </c>
      <c r="BH797" s="7" t="s">
        <v>233</v>
      </c>
      <c r="BI797" s="7"/>
      <c r="BJ797" s="4"/>
      <c r="BK797" s="8"/>
      <c r="BL797" s="2" t="s">
        <v>233</v>
      </c>
      <c r="BM797" s="7"/>
      <c r="BN797" s="7"/>
      <c r="BO797" s="4"/>
      <c r="BP797" s="8"/>
      <c r="BQ797" s="4"/>
      <c r="BR797" s="8"/>
      <c r="BS797" s="7"/>
      <c r="BT797" s="7"/>
      <c r="BU797" s="2" t="s">
        <v>4291</v>
      </c>
      <c r="BV797" s="2" t="s">
        <v>233</v>
      </c>
      <c r="BW797" s="2" t="s">
        <v>233</v>
      </c>
      <c r="BX797" s="2" t="s">
        <v>233</v>
      </c>
      <c r="BY797" s="2" t="s">
        <v>280</v>
      </c>
      <c r="BZ797" s="2" t="s">
        <v>245</v>
      </c>
      <c r="CA797" s="2" t="s">
        <v>4010</v>
      </c>
      <c r="CB797" s="2" t="s">
        <v>4292</v>
      </c>
      <c r="CC797" s="2" t="s">
        <v>246</v>
      </c>
      <c r="CD797" s="2" t="s">
        <v>233</v>
      </c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>
        <v>186</v>
      </c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</row>
    <row r="798">
      <c r="A798" s="2" t="s">
        <v>4293</v>
      </c>
      <c r="B798" s="2" t="s">
        <v>333</v>
      </c>
      <c r="C798" s="2" t="s">
        <v>1050</v>
      </c>
      <c r="D798" s="2" t="s">
        <v>335</v>
      </c>
      <c r="E798" s="2" t="s">
        <v>336</v>
      </c>
      <c r="F798" s="2" t="s">
        <v>4149</v>
      </c>
      <c r="G798" s="2" t="s">
        <v>4149</v>
      </c>
      <c r="H798" s="2" t="s">
        <v>4149</v>
      </c>
      <c r="I798" s="2" t="s">
        <v>4150</v>
      </c>
      <c r="J798" s="2" t="s">
        <v>270</v>
      </c>
      <c r="K798" s="2" t="s">
        <v>4294</v>
      </c>
      <c r="L798" s="3">
        <v>14.89</v>
      </c>
      <c r="M798" s="3">
        <v>15.63</v>
      </c>
      <c r="N798" s="3">
        <v>31.99</v>
      </c>
      <c r="O798" s="2" t="s">
        <v>245</v>
      </c>
      <c r="P798" s="2" t="s">
        <v>1366</v>
      </c>
      <c r="Q798" s="2" t="s">
        <v>239</v>
      </c>
      <c r="R798" s="2" t="s">
        <v>233</v>
      </c>
      <c r="S798" s="2" t="s">
        <v>4295</v>
      </c>
      <c r="T798" s="2" t="s">
        <v>3950</v>
      </c>
      <c r="U798" s="2" t="s">
        <v>475</v>
      </c>
      <c r="V798" s="2" t="s">
        <v>1658</v>
      </c>
      <c r="W798" s="2" t="s">
        <v>275</v>
      </c>
      <c r="X798" s="2" t="s">
        <v>451</v>
      </c>
      <c r="Y798" s="2" t="s">
        <v>4296</v>
      </c>
      <c r="Z798" s="4">
        <v>3</v>
      </c>
      <c r="AA798" s="4">
        <f>=ROUNDDOWN(0.0375,0)</f>
      </c>
      <c r="AB798" s="5">
        <v>80</v>
      </c>
      <c r="AC798" s="2" t="s">
        <v>1341</v>
      </c>
      <c r="AD798" s="4">
        <v>784</v>
      </c>
      <c r="AE798" s="4">
        <v>784</v>
      </c>
      <c r="AF798" s="6">
        <v>65</v>
      </c>
      <c r="AG798" s="6"/>
      <c r="AH798" s="7">
        <v>0.0968</v>
      </c>
      <c r="AI798" s="4"/>
      <c r="AJ798" s="4">
        <f>=ROUNDDOWN({0},0)</f>
      </c>
      <c r="AK798" s="5"/>
      <c r="AL798" s="2" t="s">
        <v>233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233</v>
      </c>
      <c r="AW798" s="8" t="s">
        <v>233</v>
      </c>
      <c r="AX798" s="4" t="s">
        <v>233</v>
      </c>
      <c r="AY798" s="8" t="s">
        <v>233</v>
      </c>
      <c r="AZ798" s="7" t="s">
        <v>233</v>
      </c>
      <c r="BA798" s="7" t="s">
        <v>233</v>
      </c>
      <c r="BB798" s="7"/>
      <c r="BC798" s="4" t="s">
        <v>233</v>
      </c>
      <c r="BD798" s="8" t="s">
        <v>233</v>
      </c>
      <c r="BE798" s="4" t="s">
        <v>233</v>
      </c>
      <c r="BF798" s="8" t="s">
        <v>233</v>
      </c>
      <c r="BG798" s="7" t="s">
        <v>233</v>
      </c>
      <c r="BH798" s="7" t="s">
        <v>233</v>
      </c>
      <c r="BI798" s="7"/>
      <c r="BJ798" s="4">
        <v>8</v>
      </c>
      <c r="BK798" s="8">
        <v>133.23</v>
      </c>
      <c r="BL798" s="2" t="s">
        <v>4297</v>
      </c>
      <c r="BM798" s="7"/>
      <c r="BN798" s="7"/>
      <c r="BO798" s="4"/>
      <c r="BP798" s="8"/>
      <c r="BQ798" s="4"/>
      <c r="BR798" s="8"/>
      <c r="BS798" s="7"/>
      <c r="BT798" s="7"/>
      <c r="BU798" s="2" t="s">
        <v>4298</v>
      </c>
      <c r="BV798" s="2" t="s">
        <v>233</v>
      </c>
      <c r="BW798" s="2" t="s">
        <v>233</v>
      </c>
      <c r="BX798" s="2" t="s">
        <v>233</v>
      </c>
      <c r="BY798" s="2" t="s">
        <v>280</v>
      </c>
      <c r="BZ798" s="2" t="s">
        <v>245</v>
      </c>
      <c r="CA798" s="2" t="s">
        <v>777</v>
      </c>
      <c r="CB798" s="2" t="s">
        <v>4299</v>
      </c>
      <c r="CC798" s="2" t="s">
        <v>246</v>
      </c>
      <c r="CD798" s="2" t="s">
        <v>233</v>
      </c>
      <c r="CE798" s="4">
        <v>3</v>
      </c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>
        <v>784</v>
      </c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</row>
    <row r="799">
      <c r="A799" s="2" t="s">
        <v>4300</v>
      </c>
      <c r="B799" s="2" t="s">
        <v>333</v>
      </c>
      <c r="C799" s="2" t="s">
        <v>1050</v>
      </c>
      <c r="D799" s="2" t="s">
        <v>335</v>
      </c>
      <c r="E799" s="2" t="s">
        <v>336</v>
      </c>
      <c r="F799" s="2" t="s">
        <v>4149</v>
      </c>
      <c r="G799" s="2" t="s">
        <v>4149</v>
      </c>
      <c r="H799" s="2" t="s">
        <v>4149</v>
      </c>
      <c r="I799" s="2" t="s">
        <v>4150</v>
      </c>
      <c r="J799" s="2" t="s">
        <v>348</v>
      </c>
      <c r="K799" s="2" t="s">
        <v>4294</v>
      </c>
      <c r="L799" s="3">
        <v>22.21</v>
      </c>
      <c r="M799" s="3">
        <v>23.32</v>
      </c>
      <c r="N799" s="3">
        <v>47.99</v>
      </c>
      <c r="O799" s="2" t="s">
        <v>245</v>
      </c>
      <c r="P799" s="2" t="s">
        <v>1366</v>
      </c>
      <c r="Q799" s="2" t="s">
        <v>239</v>
      </c>
      <c r="R799" s="2" t="s">
        <v>233</v>
      </c>
      <c r="S799" s="2" t="s">
        <v>4295</v>
      </c>
      <c r="T799" s="2" t="s">
        <v>3950</v>
      </c>
      <c r="U799" s="2" t="s">
        <v>342</v>
      </c>
      <c r="V799" s="2" t="s">
        <v>1658</v>
      </c>
      <c r="W799" s="2" t="s">
        <v>275</v>
      </c>
      <c r="X799" s="2" t="s">
        <v>451</v>
      </c>
      <c r="Y799" s="2" t="s">
        <v>4296</v>
      </c>
      <c r="Z799" s="4"/>
      <c r="AA799" s="4">
        <f>=ROUNDDOWN({0},0)</f>
      </c>
      <c r="AB799" s="5">
        <v>63</v>
      </c>
      <c r="AC799" s="2" t="s">
        <v>1341</v>
      </c>
      <c r="AD799" s="4">
        <v>608</v>
      </c>
      <c r="AE799" s="4">
        <v>608</v>
      </c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233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233</v>
      </c>
      <c r="AW799" s="8" t="s">
        <v>233</v>
      </c>
      <c r="AX799" s="4" t="s">
        <v>233</v>
      </c>
      <c r="AY799" s="8" t="s">
        <v>233</v>
      </c>
      <c r="AZ799" s="7" t="s">
        <v>233</v>
      </c>
      <c r="BA799" s="7" t="s">
        <v>233</v>
      </c>
      <c r="BB799" s="7"/>
      <c r="BC799" s="4" t="s">
        <v>233</v>
      </c>
      <c r="BD799" s="8" t="s">
        <v>233</v>
      </c>
      <c r="BE799" s="4" t="s">
        <v>233</v>
      </c>
      <c r="BF799" s="8" t="s">
        <v>233</v>
      </c>
      <c r="BG799" s="7" t="s">
        <v>233</v>
      </c>
      <c r="BH799" s="7" t="s">
        <v>233</v>
      </c>
      <c r="BI799" s="7"/>
      <c r="BJ799" s="4">
        <v>8</v>
      </c>
      <c r="BK799" s="8">
        <v>200.77</v>
      </c>
      <c r="BL799" s="2" t="s">
        <v>4301</v>
      </c>
      <c r="BM799" s="7"/>
      <c r="BN799" s="7"/>
      <c r="BO799" s="4"/>
      <c r="BP799" s="8"/>
      <c r="BQ799" s="4"/>
      <c r="BR799" s="8"/>
      <c r="BS799" s="7"/>
      <c r="BT799" s="7"/>
      <c r="BU799" s="2" t="s">
        <v>4302</v>
      </c>
      <c r="BV799" s="2" t="s">
        <v>233</v>
      </c>
      <c r="BW799" s="2" t="s">
        <v>233</v>
      </c>
      <c r="BX799" s="2" t="s">
        <v>233</v>
      </c>
      <c r="BY799" s="2" t="s">
        <v>280</v>
      </c>
      <c r="BZ799" s="2" t="s">
        <v>245</v>
      </c>
      <c r="CA799" s="2" t="s">
        <v>777</v>
      </c>
      <c r="CB799" s="2" t="s">
        <v>4303</v>
      </c>
      <c r="CC799" s="2" t="s">
        <v>246</v>
      </c>
      <c r="CD799" s="2" t="s">
        <v>233</v>
      </c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>
        <v>608</v>
      </c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</row>
    <row r="800">
      <c r="A800" s="2" t="s">
        <v>4304</v>
      </c>
      <c r="B800" s="2" t="s">
        <v>333</v>
      </c>
      <c r="C800" s="2" t="s">
        <v>1050</v>
      </c>
      <c r="D800" s="2" t="s">
        <v>335</v>
      </c>
      <c r="E800" s="2" t="s">
        <v>336</v>
      </c>
      <c r="F800" s="2" t="s">
        <v>4149</v>
      </c>
      <c r="G800" s="2" t="s">
        <v>4149</v>
      </c>
      <c r="H800" s="2" t="s">
        <v>4149</v>
      </c>
      <c r="I800" s="2" t="s">
        <v>4150</v>
      </c>
      <c r="J800" s="2" t="s">
        <v>270</v>
      </c>
      <c r="K800" s="2" t="s">
        <v>4305</v>
      </c>
      <c r="L800" s="3">
        <v>14.89</v>
      </c>
      <c r="M800" s="3">
        <v>15.63</v>
      </c>
      <c r="N800" s="3">
        <v>31.99</v>
      </c>
      <c r="O800" s="2" t="s">
        <v>245</v>
      </c>
      <c r="P800" s="2" t="s">
        <v>272</v>
      </c>
      <c r="Q800" s="2" t="s">
        <v>239</v>
      </c>
      <c r="R800" s="2" t="s">
        <v>233</v>
      </c>
      <c r="S800" s="2" t="s">
        <v>4306</v>
      </c>
      <c r="T800" s="2" t="s">
        <v>3950</v>
      </c>
      <c r="U800" s="2" t="s">
        <v>475</v>
      </c>
      <c r="V800" s="2" t="s">
        <v>3951</v>
      </c>
      <c r="W800" s="2" t="s">
        <v>978</v>
      </c>
      <c r="X800" s="2" t="s">
        <v>275</v>
      </c>
      <c r="Y800" s="2" t="s">
        <v>4307</v>
      </c>
      <c r="Z800" s="4">
        <v>373</v>
      </c>
      <c r="AA800" s="4">
        <f>=ROUNDDOWN(31.0833333333333,0)</f>
      </c>
      <c r="AB800" s="5">
        <v>12</v>
      </c>
      <c r="AC800" s="2" t="s">
        <v>233</v>
      </c>
      <c r="AD800" s="4"/>
      <c r="AE800" s="4"/>
      <c r="AF800" s="6">
        <v>74</v>
      </c>
      <c r="AG800" s="6"/>
      <c r="AH800" s="7">
        <v>1</v>
      </c>
      <c r="AI800" s="4"/>
      <c r="AJ800" s="4">
        <f>=ROUNDDOWN({0},0)</f>
      </c>
      <c r="AK800" s="5"/>
      <c r="AL800" s="2" t="s">
        <v>233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233</v>
      </c>
      <c r="AW800" s="8" t="s">
        <v>233</v>
      </c>
      <c r="AX800" s="4" t="s">
        <v>233</v>
      </c>
      <c r="AY800" s="8" t="s">
        <v>233</v>
      </c>
      <c r="AZ800" s="7" t="s">
        <v>233</v>
      </c>
      <c r="BA800" s="7" t="s">
        <v>233</v>
      </c>
      <c r="BB800" s="7"/>
      <c r="BC800" s="4" t="s">
        <v>233</v>
      </c>
      <c r="BD800" s="8" t="s">
        <v>233</v>
      </c>
      <c r="BE800" s="4" t="s">
        <v>233</v>
      </c>
      <c r="BF800" s="8" t="s">
        <v>233</v>
      </c>
      <c r="BG800" s="7" t="s">
        <v>233</v>
      </c>
      <c r="BH800" s="7" t="s">
        <v>233</v>
      </c>
      <c r="BI800" s="7"/>
      <c r="BJ800" s="4">
        <v>27</v>
      </c>
      <c r="BK800" s="8">
        <v>445.51</v>
      </c>
      <c r="BL800" s="2" t="s">
        <v>4308</v>
      </c>
      <c r="BM800" s="7"/>
      <c r="BN800" s="7"/>
      <c r="BO800" s="4"/>
      <c r="BP800" s="8"/>
      <c r="BQ800" s="4"/>
      <c r="BR800" s="8"/>
      <c r="BS800" s="7"/>
      <c r="BT800" s="7"/>
      <c r="BU800" s="2" t="s">
        <v>4309</v>
      </c>
      <c r="BV800" s="2" t="s">
        <v>233</v>
      </c>
      <c r="BW800" s="2" t="s">
        <v>233</v>
      </c>
      <c r="BX800" s="2" t="s">
        <v>243</v>
      </c>
      <c r="BY800" s="2" t="s">
        <v>280</v>
      </c>
      <c r="BZ800" s="2" t="s">
        <v>245</v>
      </c>
      <c r="CA800" s="2" t="s">
        <v>4310</v>
      </c>
      <c r="CB800" s="2" t="s">
        <v>908</v>
      </c>
      <c r="CC800" s="2" t="s">
        <v>246</v>
      </c>
      <c r="CD800" s="2" t="s">
        <v>233</v>
      </c>
      <c r="CE800" s="4">
        <v>373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</row>
    <row r="801">
      <c r="A801" s="2" t="s">
        <v>4311</v>
      </c>
      <c r="B801" s="2" t="s">
        <v>333</v>
      </c>
      <c r="C801" s="2" t="s">
        <v>1050</v>
      </c>
      <c r="D801" s="2" t="s">
        <v>335</v>
      </c>
      <c r="E801" s="2" t="s">
        <v>336</v>
      </c>
      <c r="F801" s="2" t="s">
        <v>4149</v>
      </c>
      <c r="G801" s="2" t="s">
        <v>4149</v>
      </c>
      <c r="H801" s="2" t="s">
        <v>4149</v>
      </c>
      <c r="I801" s="2" t="s">
        <v>4150</v>
      </c>
      <c r="J801" s="2" t="s">
        <v>284</v>
      </c>
      <c r="K801" s="2" t="s">
        <v>4305</v>
      </c>
      <c r="L801" s="3">
        <v>16.16</v>
      </c>
      <c r="M801" s="3">
        <v>16.97</v>
      </c>
      <c r="N801" s="3">
        <v>34.99</v>
      </c>
      <c r="O801" s="2" t="s">
        <v>245</v>
      </c>
      <c r="P801" s="2" t="s">
        <v>272</v>
      </c>
      <c r="Q801" s="2" t="s">
        <v>239</v>
      </c>
      <c r="R801" s="2" t="s">
        <v>233</v>
      </c>
      <c r="S801" s="2" t="s">
        <v>4306</v>
      </c>
      <c r="T801" s="2" t="s">
        <v>3950</v>
      </c>
      <c r="U801" s="2" t="s">
        <v>475</v>
      </c>
      <c r="V801" s="2" t="s">
        <v>3951</v>
      </c>
      <c r="W801" s="2" t="s">
        <v>978</v>
      </c>
      <c r="X801" s="2" t="s">
        <v>275</v>
      </c>
      <c r="Y801" s="2" t="s">
        <v>4307</v>
      </c>
      <c r="Z801" s="4">
        <v>553</v>
      </c>
      <c r="AA801" s="4">
        <f>=ROUNDDOWN(69.125,0)</f>
      </c>
      <c r="AB801" s="5">
        <v>8</v>
      </c>
      <c r="AC801" s="2" t="s">
        <v>233</v>
      </c>
      <c r="AD801" s="4"/>
      <c r="AE801" s="4"/>
      <c r="AF801" s="6">
        <v>74</v>
      </c>
      <c r="AG801" s="6"/>
      <c r="AH801" s="7">
        <v>1</v>
      </c>
      <c r="AI801" s="4"/>
      <c r="AJ801" s="4">
        <f>=ROUNDDOWN({0},0)</f>
      </c>
      <c r="AK801" s="5"/>
      <c r="AL801" s="2" t="s">
        <v>233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233</v>
      </c>
      <c r="AW801" s="8" t="s">
        <v>233</v>
      </c>
      <c r="AX801" s="4" t="s">
        <v>233</v>
      </c>
      <c r="AY801" s="8" t="s">
        <v>233</v>
      </c>
      <c r="AZ801" s="7" t="s">
        <v>233</v>
      </c>
      <c r="BA801" s="7" t="s">
        <v>233</v>
      </c>
      <c r="BB801" s="7"/>
      <c r="BC801" s="4" t="s">
        <v>233</v>
      </c>
      <c r="BD801" s="8" t="s">
        <v>233</v>
      </c>
      <c r="BE801" s="4" t="s">
        <v>233</v>
      </c>
      <c r="BF801" s="8" t="s">
        <v>233</v>
      </c>
      <c r="BG801" s="7" t="s">
        <v>233</v>
      </c>
      <c r="BH801" s="7" t="s">
        <v>233</v>
      </c>
      <c r="BI801" s="7"/>
      <c r="BJ801" s="4">
        <v>6</v>
      </c>
      <c r="BK801" s="8">
        <v>131.59</v>
      </c>
      <c r="BL801" s="2" t="s">
        <v>4312</v>
      </c>
      <c r="BM801" s="7"/>
      <c r="BN801" s="7"/>
      <c r="BO801" s="4"/>
      <c r="BP801" s="8"/>
      <c r="BQ801" s="4"/>
      <c r="BR801" s="8"/>
      <c r="BS801" s="7"/>
      <c r="BT801" s="7"/>
      <c r="BU801" s="2" t="s">
        <v>4313</v>
      </c>
      <c r="BV801" s="2" t="s">
        <v>233</v>
      </c>
      <c r="BW801" s="2" t="s">
        <v>233</v>
      </c>
      <c r="BX801" s="2" t="s">
        <v>243</v>
      </c>
      <c r="BY801" s="2" t="s">
        <v>280</v>
      </c>
      <c r="BZ801" s="2" t="s">
        <v>245</v>
      </c>
      <c r="CA801" s="2" t="s">
        <v>4310</v>
      </c>
      <c r="CB801" s="2" t="s">
        <v>2112</v>
      </c>
      <c r="CC801" s="2" t="s">
        <v>246</v>
      </c>
      <c r="CD801" s="2" t="s">
        <v>233</v>
      </c>
      <c r="CE801" s="4">
        <v>553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</row>
    <row r="802">
      <c r="A802" s="2" t="s">
        <v>4314</v>
      </c>
      <c r="B802" s="2" t="s">
        <v>333</v>
      </c>
      <c r="C802" s="2" t="s">
        <v>1050</v>
      </c>
      <c r="D802" s="2" t="s">
        <v>335</v>
      </c>
      <c r="E802" s="2" t="s">
        <v>336</v>
      </c>
      <c r="F802" s="2" t="s">
        <v>4149</v>
      </c>
      <c r="G802" s="2" t="s">
        <v>4149</v>
      </c>
      <c r="H802" s="2" t="s">
        <v>4149</v>
      </c>
      <c r="I802" s="2" t="s">
        <v>4150</v>
      </c>
      <c r="J802" s="2" t="s">
        <v>290</v>
      </c>
      <c r="K802" s="2" t="s">
        <v>4305</v>
      </c>
      <c r="L802" s="3">
        <v>19.57</v>
      </c>
      <c r="M802" s="3">
        <v>20.55</v>
      </c>
      <c r="N802" s="3">
        <v>42.99</v>
      </c>
      <c r="O802" s="2" t="s">
        <v>245</v>
      </c>
      <c r="P802" s="2" t="s">
        <v>272</v>
      </c>
      <c r="Q802" s="2" t="s">
        <v>239</v>
      </c>
      <c r="R802" s="2" t="s">
        <v>233</v>
      </c>
      <c r="S802" s="2" t="s">
        <v>4306</v>
      </c>
      <c r="T802" s="2" t="s">
        <v>3950</v>
      </c>
      <c r="U802" s="2" t="s">
        <v>342</v>
      </c>
      <c r="V802" s="2" t="s">
        <v>3951</v>
      </c>
      <c r="W802" s="2" t="s">
        <v>978</v>
      </c>
      <c r="X802" s="2" t="s">
        <v>275</v>
      </c>
      <c r="Y802" s="2" t="s">
        <v>4307</v>
      </c>
      <c r="Z802" s="4">
        <v>469</v>
      </c>
      <c r="AA802" s="4">
        <f>=ROUNDDOWN(46.9,0)</f>
      </c>
      <c r="AB802" s="5">
        <v>10</v>
      </c>
      <c r="AC802" s="2" t="s">
        <v>233</v>
      </c>
      <c r="AD802" s="4"/>
      <c r="AE802" s="4"/>
      <c r="AF802" s="6">
        <v>74</v>
      </c>
      <c r="AG802" s="6"/>
      <c r="AH802" s="7">
        <v>1</v>
      </c>
      <c r="AI802" s="4"/>
      <c r="AJ802" s="4">
        <f>=ROUNDDOWN({0},0)</f>
      </c>
      <c r="AK802" s="5"/>
      <c r="AL802" s="2" t="s">
        <v>233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233</v>
      </c>
      <c r="AW802" s="8" t="s">
        <v>233</v>
      </c>
      <c r="AX802" s="4" t="s">
        <v>233</v>
      </c>
      <c r="AY802" s="8" t="s">
        <v>233</v>
      </c>
      <c r="AZ802" s="7" t="s">
        <v>233</v>
      </c>
      <c r="BA802" s="7" t="s">
        <v>233</v>
      </c>
      <c r="BB802" s="7"/>
      <c r="BC802" s="4" t="s">
        <v>233</v>
      </c>
      <c r="BD802" s="8" t="s">
        <v>233</v>
      </c>
      <c r="BE802" s="4" t="s">
        <v>233</v>
      </c>
      <c r="BF802" s="8" t="s">
        <v>233</v>
      </c>
      <c r="BG802" s="7" t="s">
        <v>233</v>
      </c>
      <c r="BH802" s="7" t="s">
        <v>233</v>
      </c>
      <c r="BI802" s="7"/>
      <c r="BJ802" s="4">
        <v>1</v>
      </c>
      <c r="BK802" s="8">
        <v>21.57</v>
      </c>
      <c r="BL802" s="2" t="s">
        <v>2404</v>
      </c>
      <c r="BM802" s="7"/>
      <c r="BN802" s="7"/>
      <c r="BO802" s="4"/>
      <c r="BP802" s="8"/>
      <c r="BQ802" s="4"/>
      <c r="BR802" s="8"/>
      <c r="BS802" s="7"/>
      <c r="BT802" s="7"/>
      <c r="BU802" s="2" t="s">
        <v>4315</v>
      </c>
      <c r="BV802" s="2" t="s">
        <v>233</v>
      </c>
      <c r="BW802" s="2" t="s">
        <v>233</v>
      </c>
      <c r="BX802" s="2" t="s">
        <v>243</v>
      </c>
      <c r="BY802" s="2" t="s">
        <v>280</v>
      </c>
      <c r="BZ802" s="2" t="s">
        <v>245</v>
      </c>
      <c r="CA802" s="2" t="s">
        <v>4310</v>
      </c>
      <c r="CB802" s="2" t="s">
        <v>4316</v>
      </c>
      <c r="CC802" s="2" t="s">
        <v>246</v>
      </c>
      <c r="CD802" s="2" t="s">
        <v>233</v>
      </c>
      <c r="CE802" s="4">
        <v>469</v>
      </c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</row>
    <row r="803">
      <c r="A803" s="2" t="s">
        <v>4317</v>
      </c>
      <c r="B803" s="2" t="s">
        <v>333</v>
      </c>
      <c r="C803" s="2" t="s">
        <v>1050</v>
      </c>
      <c r="D803" s="2" t="s">
        <v>335</v>
      </c>
      <c r="E803" s="2" t="s">
        <v>336</v>
      </c>
      <c r="F803" s="2" t="s">
        <v>4149</v>
      </c>
      <c r="G803" s="2" t="s">
        <v>4149</v>
      </c>
      <c r="H803" s="2" t="s">
        <v>4149</v>
      </c>
      <c r="I803" s="2" t="s">
        <v>4150</v>
      </c>
      <c r="J803" s="2" t="s">
        <v>348</v>
      </c>
      <c r="K803" s="2" t="s">
        <v>4305</v>
      </c>
      <c r="L803" s="3">
        <v>22.21</v>
      </c>
      <c r="M803" s="3">
        <v>23.32</v>
      </c>
      <c r="N803" s="3">
        <v>47.99</v>
      </c>
      <c r="O803" s="2" t="s">
        <v>245</v>
      </c>
      <c r="P803" s="2" t="s">
        <v>741</v>
      </c>
      <c r="Q803" s="2" t="s">
        <v>239</v>
      </c>
      <c r="R803" s="2" t="s">
        <v>233</v>
      </c>
      <c r="S803" s="2" t="s">
        <v>4306</v>
      </c>
      <c r="T803" s="2" t="s">
        <v>3950</v>
      </c>
      <c r="U803" s="2" t="s">
        <v>342</v>
      </c>
      <c r="V803" s="2" t="s">
        <v>3951</v>
      </c>
      <c r="W803" s="2" t="s">
        <v>978</v>
      </c>
      <c r="X803" s="2" t="s">
        <v>275</v>
      </c>
      <c r="Y803" s="2" t="s">
        <v>4307</v>
      </c>
      <c r="Z803" s="4">
        <v>114</v>
      </c>
      <c r="AA803" s="4">
        <f>=ROUNDDOWN(7.125,0)</f>
      </c>
      <c r="AB803" s="5">
        <v>16</v>
      </c>
      <c r="AC803" s="2" t="s">
        <v>1341</v>
      </c>
      <c r="AD803" s="4">
        <v>165</v>
      </c>
      <c r="AE803" s="4">
        <v>165</v>
      </c>
      <c r="AF803" s="6">
        <v>74</v>
      </c>
      <c r="AG803" s="6"/>
      <c r="AH803" s="7">
        <v>1</v>
      </c>
      <c r="AI803" s="4"/>
      <c r="AJ803" s="4">
        <f>=ROUNDDOWN({0},0)</f>
      </c>
      <c r="AK803" s="5"/>
      <c r="AL803" s="2" t="s">
        <v>233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233</v>
      </c>
      <c r="AW803" s="8" t="s">
        <v>233</v>
      </c>
      <c r="AX803" s="4" t="s">
        <v>233</v>
      </c>
      <c r="AY803" s="8" t="s">
        <v>233</v>
      </c>
      <c r="AZ803" s="7" t="s">
        <v>233</v>
      </c>
      <c r="BA803" s="7" t="s">
        <v>233</v>
      </c>
      <c r="BB803" s="7"/>
      <c r="BC803" s="4" t="s">
        <v>233</v>
      </c>
      <c r="BD803" s="8" t="s">
        <v>233</v>
      </c>
      <c r="BE803" s="4" t="s">
        <v>233</v>
      </c>
      <c r="BF803" s="8" t="s">
        <v>233</v>
      </c>
      <c r="BG803" s="7" t="s">
        <v>233</v>
      </c>
      <c r="BH803" s="7" t="s">
        <v>233</v>
      </c>
      <c r="BI803" s="7"/>
      <c r="BJ803" s="4">
        <v>12</v>
      </c>
      <c r="BK803" s="8">
        <v>287.86</v>
      </c>
      <c r="BL803" s="2" t="s">
        <v>584</v>
      </c>
      <c r="BM803" s="7"/>
      <c r="BN803" s="7"/>
      <c r="BO803" s="4"/>
      <c r="BP803" s="8"/>
      <c r="BQ803" s="4"/>
      <c r="BR803" s="8"/>
      <c r="BS803" s="7"/>
      <c r="BT803" s="7"/>
      <c r="BU803" s="2" t="s">
        <v>4318</v>
      </c>
      <c r="BV803" s="2" t="s">
        <v>233</v>
      </c>
      <c r="BW803" s="2" t="s">
        <v>233</v>
      </c>
      <c r="BX803" s="2" t="s">
        <v>243</v>
      </c>
      <c r="BY803" s="2" t="s">
        <v>280</v>
      </c>
      <c r="BZ803" s="2" t="s">
        <v>245</v>
      </c>
      <c r="CA803" s="2" t="s">
        <v>4310</v>
      </c>
      <c r="CB803" s="2" t="s">
        <v>1001</v>
      </c>
      <c r="CC803" s="2" t="s">
        <v>246</v>
      </c>
      <c r="CD803" s="2" t="s">
        <v>233</v>
      </c>
      <c r="CE803" s="4">
        <v>114</v>
      </c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>
        <v>165</v>
      </c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</row>
    <row r="804">
      <c r="A804" s="2" t="s">
        <v>4319</v>
      </c>
      <c r="B804" s="2" t="s">
        <v>333</v>
      </c>
      <c r="C804" s="2" t="s">
        <v>1050</v>
      </c>
      <c r="D804" s="2" t="s">
        <v>335</v>
      </c>
      <c r="E804" s="2" t="s">
        <v>336</v>
      </c>
      <c r="F804" s="2" t="s">
        <v>4149</v>
      </c>
      <c r="G804" s="2" t="s">
        <v>4149</v>
      </c>
      <c r="H804" s="2" t="s">
        <v>4149</v>
      </c>
      <c r="I804" s="2" t="s">
        <v>4150</v>
      </c>
      <c r="J804" s="2" t="s">
        <v>328</v>
      </c>
      <c r="K804" s="2" t="s">
        <v>4305</v>
      </c>
      <c r="L804" s="3">
        <v>27.39</v>
      </c>
      <c r="M804" s="3">
        <v>28.76</v>
      </c>
      <c r="N804" s="3">
        <v>62.99</v>
      </c>
      <c r="O804" s="2" t="s">
        <v>245</v>
      </c>
      <c r="P804" s="2" t="s">
        <v>272</v>
      </c>
      <c r="Q804" s="2" t="s">
        <v>239</v>
      </c>
      <c r="R804" s="2" t="s">
        <v>233</v>
      </c>
      <c r="S804" s="2" t="s">
        <v>4306</v>
      </c>
      <c r="T804" s="2" t="s">
        <v>3950</v>
      </c>
      <c r="U804" s="2" t="s">
        <v>342</v>
      </c>
      <c r="V804" s="2" t="s">
        <v>3951</v>
      </c>
      <c r="W804" s="2" t="s">
        <v>978</v>
      </c>
      <c r="X804" s="2" t="s">
        <v>275</v>
      </c>
      <c r="Y804" s="2" t="s">
        <v>4307</v>
      </c>
      <c r="Z804" s="4">
        <v>230</v>
      </c>
      <c r="AA804" s="4">
        <f>=ROUNDDOWN(46,0)</f>
      </c>
      <c r="AB804" s="5">
        <v>5</v>
      </c>
      <c r="AC804" s="2" t="s">
        <v>233</v>
      </c>
      <c r="AD804" s="4"/>
      <c r="AE804" s="4"/>
      <c r="AF804" s="6">
        <v>74</v>
      </c>
      <c r="AG804" s="6"/>
      <c r="AH804" s="7">
        <v>1</v>
      </c>
      <c r="AI804" s="4"/>
      <c r="AJ804" s="4">
        <f>=ROUNDDOWN({0},0)</f>
      </c>
      <c r="AK804" s="5"/>
      <c r="AL804" s="2" t="s">
        <v>233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233</v>
      </c>
      <c r="AW804" s="8" t="s">
        <v>233</v>
      </c>
      <c r="AX804" s="4" t="s">
        <v>233</v>
      </c>
      <c r="AY804" s="8" t="s">
        <v>233</v>
      </c>
      <c r="AZ804" s="7" t="s">
        <v>233</v>
      </c>
      <c r="BA804" s="7" t="s">
        <v>233</v>
      </c>
      <c r="BB804" s="7"/>
      <c r="BC804" s="4" t="s">
        <v>233</v>
      </c>
      <c r="BD804" s="8" t="s">
        <v>233</v>
      </c>
      <c r="BE804" s="4" t="s">
        <v>233</v>
      </c>
      <c r="BF804" s="8" t="s">
        <v>233</v>
      </c>
      <c r="BG804" s="7" t="s">
        <v>233</v>
      </c>
      <c r="BH804" s="7" t="s">
        <v>233</v>
      </c>
      <c r="BI804" s="7"/>
      <c r="BJ804" s="4">
        <v>4</v>
      </c>
      <c r="BK804" s="8">
        <v>129.24</v>
      </c>
      <c r="BL804" s="2" t="s">
        <v>2352</v>
      </c>
      <c r="BM804" s="7"/>
      <c r="BN804" s="7"/>
      <c r="BO804" s="4"/>
      <c r="BP804" s="8"/>
      <c r="BQ804" s="4"/>
      <c r="BR804" s="8"/>
      <c r="BS804" s="7"/>
      <c r="BT804" s="7"/>
      <c r="BU804" s="2" t="s">
        <v>4320</v>
      </c>
      <c r="BV804" s="2" t="s">
        <v>233</v>
      </c>
      <c r="BW804" s="2" t="s">
        <v>233</v>
      </c>
      <c r="BX804" s="2" t="s">
        <v>243</v>
      </c>
      <c r="BY804" s="2" t="s">
        <v>280</v>
      </c>
      <c r="BZ804" s="2" t="s">
        <v>245</v>
      </c>
      <c r="CA804" s="2" t="s">
        <v>4310</v>
      </c>
      <c r="CB804" s="2" t="s">
        <v>4321</v>
      </c>
      <c r="CC804" s="2" t="s">
        <v>246</v>
      </c>
      <c r="CD804" s="2" t="s">
        <v>233</v>
      </c>
      <c r="CE804" s="4">
        <v>230</v>
      </c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</row>
    <row r="805">
      <c r="A805" s="2" t="s">
        <v>4322</v>
      </c>
      <c r="B805" s="2" t="s">
        <v>333</v>
      </c>
      <c r="C805" s="2" t="s">
        <v>1050</v>
      </c>
      <c r="D805" s="2" t="s">
        <v>335</v>
      </c>
      <c r="E805" s="2" t="s">
        <v>336</v>
      </c>
      <c r="F805" s="2" t="s">
        <v>4149</v>
      </c>
      <c r="G805" s="2" t="s">
        <v>4149</v>
      </c>
      <c r="H805" s="2" t="s">
        <v>4149</v>
      </c>
      <c r="I805" s="2" t="s">
        <v>4150</v>
      </c>
      <c r="J805" s="2" t="s">
        <v>546</v>
      </c>
      <c r="K805" s="2" t="s">
        <v>4305</v>
      </c>
      <c r="L805" s="3">
        <v>27.39</v>
      </c>
      <c r="M805" s="3">
        <v>28.76</v>
      </c>
      <c r="N805" s="3">
        <v>62.99</v>
      </c>
      <c r="O805" s="2" t="s">
        <v>245</v>
      </c>
      <c r="P805" s="2" t="s">
        <v>272</v>
      </c>
      <c r="Q805" s="2" t="s">
        <v>239</v>
      </c>
      <c r="R805" s="2" t="s">
        <v>233</v>
      </c>
      <c r="S805" s="2" t="s">
        <v>4306</v>
      </c>
      <c r="T805" s="2" t="s">
        <v>3950</v>
      </c>
      <c r="U805" s="2" t="s">
        <v>342</v>
      </c>
      <c r="V805" s="2" t="s">
        <v>3951</v>
      </c>
      <c r="W805" s="2" t="s">
        <v>978</v>
      </c>
      <c r="X805" s="2" t="s">
        <v>275</v>
      </c>
      <c r="Y805" s="2" t="s">
        <v>4307</v>
      </c>
      <c r="Z805" s="4">
        <v>136</v>
      </c>
      <c r="AA805" s="4">
        <f>=ROUNDDOWN(27.2,0)</f>
      </c>
      <c r="AB805" s="5">
        <v>5</v>
      </c>
      <c r="AC805" s="2" t="s">
        <v>233</v>
      </c>
      <c r="AD805" s="4"/>
      <c r="AE805" s="4"/>
      <c r="AF805" s="6">
        <v>74</v>
      </c>
      <c r="AG805" s="6"/>
      <c r="AH805" s="7">
        <v>1</v>
      </c>
      <c r="AI805" s="4"/>
      <c r="AJ805" s="4">
        <f>=ROUNDDOWN({0},0)</f>
      </c>
      <c r="AK805" s="5"/>
      <c r="AL805" s="2" t="s">
        <v>233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233</v>
      </c>
      <c r="AW805" s="8" t="s">
        <v>233</v>
      </c>
      <c r="AX805" s="4" t="s">
        <v>233</v>
      </c>
      <c r="AY805" s="8" t="s">
        <v>233</v>
      </c>
      <c r="AZ805" s="7" t="s">
        <v>233</v>
      </c>
      <c r="BA805" s="7" t="s">
        <v>233</v>
      </c>
      <c r="BB805" s="7"/>
      <c r="BC805" s="4" t="s">
        <v>233</v>
      </c>
      <c r="BD805" s="8" t="s">
        <v>233</v>
      </c>
      <c r="BE805" s="4" t="s">
        <v>233</v>
      </c>
      <c r="BF805" s="8" t="s">
        <v>233</v>
      </c>
      <c r="BG805" s="7" t="s">
        <v>233</v>
      </c>
      <c r="BH805" s="7" t="s">
        <v>233</v>
      </c>
      <c r="BI805" s="7"/>
      <c r="BJ805" s="4">
        <v>6</v>
      </c>
      <c r="BK805" s="8">
        <v>176.56</v>
      </c>
      <c r="BL805" s="2" t="s">
        <v>465</v>
      </c>
      <c r="BM805" s="7"/>
      <c r="BN805" s="7"/>
      <c r="BO805" s="4"/>
      <c r="BP805" s="8"/>
      <c r="BQ805" s="4"/>
      <c r="BR805" s="8"/>
      <c r="BS805" s="7"/>
      <c r="BT805" s="7"/>
      <c r="BU805" s="2" t="s">
        <v>4323</v>
      </c>
      <c r="BV805" s="2" t="s">
        <v>233</v>
      </c>
      <c r="BW805" s="2" t="s">
        <v>233</v>
      </c>
      <c r="BX805" s="2" t="s">
        <v>243</v>
      </c>
      <c r="BY805" s="2" t="s">
        <v>280</v>
      </c>
      <c r="BZ805" s="2" t="s">
        <v>245</v>
      </c>
      <c r="CA805" s="2" t="s">
        <v>4310</v>
      </c>
      <c r="CB805" s="2" t="s">
        <v>4324</v>
      </c>
      <c r="CC805" s="2" t="s">
        <v>246</v>
      </c>
      <c r="CD805" s="2" t="s">
        <v>233</v>
      </c>
      <c r="CE805" s="4">
        <v>136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</row>
    <row r="806">
      <c r="A806" s="2" t="s">
        <v>4325</v>
      </c>
      <c r="B806" s="2" t="s">
        <v>333</v>
      </c>
      <c r="C806" s="2" t="s">
        <v>1050</v>
      </c>
      <c r="D806" s="2" t="s">
        <v>335</v>
      </c>
      <c r="E806" s="2" t="s">
        <v>336</v>
      </c>
      <c r="F806" s="2" t="s">
        <v>4149</v>
      </c>
      <c r="G806" s="2" t="s">
        <v>4149</v>
      </c>
      <c r="H806" s="2" t="s">
        <v>4149</v>
      </c>
      <c r="I806" s="2" t="s">
        <v>4150</v>
      </c>
      <c r="J806" s="2" t="s">
        <v>270</v>
      </c>
      <c r="K806" s="2" t="s">
        <v>4326</v>
      </c>
      <c r="L806" s="3">
        <v>14.89</v>
      </c>
      <c r="M806" s="3">
        <v>15.63</v>
      </c>
      <c r="N806" s="3">
        <v>31.99</v>
      </c>
      <c r="O806" s="2" t="s">
        <v>245</v>
      </c>
      <c r="P806" s="2" t="s">
        <v>272</v>
      </c>
      <c r="Q806" s="2" t="s">
        <v>239</v>
      </c>
      <c r="R806" s="2" t="s">
        <v>233</v>
      </c>
      <c r="S806" s="2" t="s">
        <v>4327</v>
      </c>
      <c r="T806" s="2" t="s">
        <v>3950</v>
      </c>
      <c r="U806" s="2" t="s">
        <v>475</v>
      </c>
      <c r="V806" s="2" t="s">
        <v>3951</v>
      </c>
      <c r="W806" s="2" t="s">
        <v>978</v>
      </c>
      <c r="X806" s="2" t="s">
        <v>275</v>
      </c>
      <c r="Y806" s="2" t="s">
        <v>4328</v>
      </c>
      <c r="Z806" s="4">
        <v>377</v>
      </c>
      <c r="AA806" s="4">
        <f>=ROUNDDOWN(25.1333333333333,0)</f>
      </c>
      <c r="AB806" s="5">
        <v>15</v>
      </c>
      <c r="AC806" s="2" t="s">
        <v>233</v>
      </c>
      <c r="AD806" s="4"/>
      <c r="AE806" s="4"/>
      <c r="AF806" s="6">
        <v>74</v>
      </c>
      <c r="AG806" s="6"/>
      <c r="AH806" s="7">
        <v>1</v>
      </c>
      <c r="AI806" s="4"/>
      <c r="AJ806" s="4">
        <f>=ROUNDDOWN({0},0)</f>
      </c>
      <c r="AK806" s="5"/>
      <c r="AL806" s="2" t="s">
        <v>233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233</v>
      </c>
      <c r="AW806" s="8" t="s">
        <v>233</v>
      </c>
      <c r="AX806" s="4" t="s">
        <v>233</v>
      </c>
      <c r="AY806" s="8" t="s">
        <v>233</v>
      </c>
      <c r="AZ806" s="7" t="s">
        <v>233</v>
      </c>
      <c r="BA806" s="7" t="s">
        <v>233</v>
      </c>
      <c r="BB806" s="7"/>
      <c r="BC806" s="4" t="s">
        <v>233</v>
      </c>
      <c r="BD806" s="8" t="s">
        <v>233</v>
      </c>
      <c r="BE806" s="4" t="s">
        <v>233</v>
      </c>
      <c r="BF806" s="8" t="s">
        <v>233</v>
      </c>
      <c r="BG806" s="7" t="s">
        <v>233</v>
      </c>
      <c r="BH806" s="7" t="s">
        <v>233</v>
      </c>
      <c r="BI806" s="7"/>
      <c r="BJ806" s="4">
        <v>11</v>
      </c>
      <c r="BK806" s="8">
        <v>176.9</v>
      </c>
      <c r="BL806" s="2" t="s">
        <v>4329</v>
      </c>
      <c r="BM806" s="7"/>
      <c r="BN806" s="7"/>
      <c r="BO806" s="4"/>
      <c r="BP806" s="8"/>
      <c r="BQ806" s="4"/>
      <c r="BR806" s="8"/>
      <c r="BS806" s="7"/>
      <c r="BT806" s="7"/>
      <c r="BU806" s="2" t="s">
        <v>4330</v>
      </c>
      <c r="BV806" s="2" t="s">
        <v>233</v>
      </c>
      <c r="BW806" s="2" t="s">
        <v>233</v>
      </c>
      <c r="BX806" s="2" t="s">
        <v>243</v>
      </c>
      <c r="BY806" s="2" t="s">
        <v>280</v>
      </c>
      <c r="BZ806" s="2" t="s">
        <v>245</v>
      </c>
      <c r="CA806" s="2" t="s">
        <v>4310</v>
      </c>
      <c r="CB806" s="2" t="s">
        <v>3042</v>
      </c>
      <c r="CC806" s="2" t="s">
        <v>246</v>
      </c>
      <c r="CD806" s="2" t="s">
        <v>233</v>
      </c>
      <c r="CE806" s="4">
        <v>377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</row>
    <row r="807">
      <c r="A807" s="2" t="s">
        <v>4331</v>
      </c>
      <c r="B807" s="2" t="s">
        <v>333</v>
      </c>
      <c r="C807" s="2" t="s">
        <v>1050</v>
      </c>
      <c r="D807" s="2" t="s">
        <v>335</v>
      </c>
      <c r="E807" s="2" t="s">
        <v>336</v>
      </c>
      <c r="F807" s="2" t="s">
        <v>4149</v>
      </c>
      <c r="G807" s="2" t="s">
        <v>4149</v>
      </c>
      <c r="H807" s="2" t="s">
        <v>4149</v>
      </c>
      <c r="I807" s="2" t="s">
        <v>4150</v>
      </c>
      <c r="J807" s="2" t="s">
        <v>284</v>
      </c>
      <c r="K807" s="2" t="s">
        <v>4326</v>
      </c>
      <c r="L807" s="3">
        <v>16.16</v>
      </c>
      <c r="M807" s="3">
        <v>16.97</v>
      </c>
      <c r="N807" s="3">
        <v>34.99</v>
      </c>
      <c r="O807" s="2" t="s">
        <v>245</v>
      </c>
      <c r="P807" s="2" t="s">
        <v>272</v>
      </c>
      <c r="Q807" s="2" t="s">
        <v>239</v>
      </c>
      <c r="R807" s="2" t="s">
        <v>233</v>
      </c>
      <c r="S807" s="2" t="s">
        <v>4327</v>
      </c>
      <c r="T807" s="2" t="s">
        <v>3950</v>
      </c>
      <c r="U807" s="2" t="s">
        <v>475</v>
      </c>
      <c r="V807" s="2" t="s">
        <v>3951</v>
      </c>
      <c r="W807" s="2" t="s">
        <v>978</v>
      </c>
      <c r="X807" s="2" t="s">
        <v>275</v>
      </c>
      <c r="Y807" s="2" t="s">
        <v>4328</v>
      </c>
      <c r="Z807" s="4">
        <v>341</v>
      </c>
      <c r="AA807" s="4">
        <f>=ROUNDDOWN(37.8888888888889,0)</f>
      </c>
      <c r="AB807" s="5">
        <v>9</v>
      </c>
      <c r="AC807" s="2" t="s">
        <v>233</v>
      </c>
      <c r="AD807" s="4"/>
      <c r="AE807" s="4"/>
      <c r="AF807" s="6">
        <v>74</v>
      </c>
      <c r="AG807" s="6"/>
      <c r="AH807" s="7">
        <v>1</v>
      </c>
      <c r="AI807" s="4"/>
      <c r="AJ807" s="4">
        <f>=ROUNDDOWN({0},0)</f>
      </c>
      <c r="AK807" s="5"/>
      <c r="AL807" s="2" t="s">
        <v>233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233</v>
      </c>
      <c r="AW807" s="8" t="s">
        <v>233</v>
      </c>
      <c r="AX807" s="4" t="s">
        <v>233</v>
      </c>
      <c r="AY807" s="8" t="s">
        <v>233</v>
      </c>
      <c r="AZ807" s="7" t="s">
        <v>233</v>
      </c>
      <c r="BA807" s="7" t="s">
        <v>233</v>
      </c>
      <c r="BB807" s="7"/>
      <c r="BC807" s="4" t="s">
        <v>233</v>
      </c>
      <c r="BD807" s="8" t="s">
        <v>233</v>
      </c>
      <c r="BE807" s="4" t="s">
        <v>233</v>
      </c>
      <c r="BF807" s="8" t="s">
        <v>233</v>
      </c>
      <c r="BG807" s="7" t="s">
        <v>233</v>
      </c>
      <c r="BH807" s="7" t="s">
        <v>233</v>
      </c>
      <c r="BI807" s="7"/>
      <c r="BJ807" s="4">
        <v>2</v>
      </c>
      <c r="BK807" s="8">
        <v>38</v>
      </c>
      <c r="BL807" s="2" t="s">
        <v>2554</v>
      </c>
      <c r="BM807" s="7"/>
      <c r="BN807" s="7"/>
      <c r="BO807" s="4"/>
      <c r="BP807" s="8"/>
      <c r="BQ807" s="4"/>
      <c r="BR807" s="8"/>
      <c r="BS807" s="7"/>
      <c r="BT807" s="7"/>
      <c r="BU807" s="2" t="s">
        <v>4332</v>
      </c>
      <c r="BV807" s="2" t="s">
        <v>233</v>
      </c>
      <c r="BW807" s="2" t="s">
        <v>233</v>
      </c>
      <c r="BX807" s="2" t="s">
        <v>243</v>
      </c>
      <c r="BY807" s="2" t="s">
        <v>280</v>
      </c>
      <c r="BZ807" s="2" t="s">
        <v>245</v>
      </c>
      <c r="CA807" s="2" t="s">
        <v>4310</v>
      </c>
      <c r="CB807" s="2" t="s">
        <v>2096</v>
      </c>
      <c r="CC807" s="2" t="s">
        <v>246</v>
      </c>
      <c r="CD807" s="2" t="s">
        <v>233</v>
      </c>
      <c r="CE807" s="4">
        <v>341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</row>
    <row r="808">
      <c r="A808" s="2" t="s">
        <v>4333</v>
      </c>
      <c r="B808" s="2" t="s">
        <v>333</v>
      </c>
      <c r="C808" s="2" t="s">
        <v>1050</v>
      </c>
      <c r="D808" s="2" t="s">
        <v>335</v>
      </c>
      <c r="E808" s="2" t="s">
        <v>336</v>
      </c>
      <c r="F808" s="2" t="s">
        <v>4149</v>
      </c>
      <c r="G808" s="2" t="s">
        <v>4149</v>
      </c>
      <c r="H808" s="2" t="s">
        <v>4149</v>
      </c>
      <c r="I808" s="2" t="s">
        <v>4150</v>
      </c>
      <c r="J808" s="2" t="s">
        <v>290</v>
      </c>
      <c r="K808" s="2" t="s">
        <v>4326</v>
      </c>
      <c r="L808" s="3">
        <v>19.57</v>
      </c>
      <c r="M808" s="3">
        <v>20.55</v>
      </c>
      <c r="N808" s="3">
        <v>42.99</v>
      </c>
      <c r="O808" s="2" t="s">
        <v>245</v>
      </c>
      <c r="P808" s="2" t="s">
        <v>272</v>
      </c>
      <c r="Q808" s="2" t="s">
        <v>239</v>
      </c>
      <c r="R808" s="2" t="s">
        <v>233</v>
      </c>
      <c r="S808" s="2" t="s">
        <v>4327</v>
      </c>
      <c r="T808" s="2" t="s">
        <v>3950</v>
      </c>
      <c r="U808" s="2" t="s">
        <v>342</v>
      </c>
      <c r="V808" s="2" t="s">
        <v>3951</v>
      </c>
      <c r="W808" s="2" t="s">
        <v>978</v>
      </c>
      <c r="X808" s="2" t="s">
        <v>275</v>
      </c>
      <c r="Y808" s="2" t="s">
        <v>4328</v>
      </c>
      <c r="Z808" s="4">
        <v>1</v>
      </c>
      <c r="AA808" s="4">
        <f>=ROUNDDOWN(0.0555555555555556,0)</f>
      </c>
      <c r="AB808" s="5">
        <v>18</v>
      </c>
      <c r="AC808" s="2" t="s">
        <v>1341</v>
      </c>
      <c r="AD808" s="4">
        <v>182</v>
      </c>
      <c r="AE808" s="4">
        <v>182</v>
      </c>
      <c r="AF808" s="6">
        <v>74</v>
      </c>
      <c r="AG808" s="6"/>
      <c r="AH808" s="7">
        <v>0</v>
      </c>
      <c r="AI808" s="4"/>
      <c r="AJ808" s="4">
        <f>=ROUNDDOWN({0},0)</f>
      </c>
      <c r="AK808" s="5"/>
      <c r="AL808" s="2" t="s">
        <v>233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233</v>
      </c>
      <c r="AW808" s="8" t="s">
        <v>233</v>
      </c>
      <c r="AX808" s="4" t="s">
        <v>233</v>
      </c>
      <c r="AY808" s="8" t="s">
        <v>233</v>
      </c>
      <c r="AZ808" s="7" t="s">
        <v>233</v>
      </c>
      <c r="BA808" s="7" t="s">
        <v>233</v>
      </c>
      <c r="BB808" s="7"/>
      <c r="BC808" s="4" t="s">
        <v>233</v>
      </c>
      <c r="BD808" s="8" t="s">
        <v>233</v>
      </c>
      <c r="BE808" s="4" t="s">
        <v>233</v>
      </c>
      <c r="BF808" s="8" t="s">
        <v>233</v>
      </c>
      <c r="BG808" s="7" t="s">
        <v>233</v>
      </c>
      <c r="BH808" s="7" t="s">
        <v>233</v>
      </c>
      <c r="BI808" s="7"/>
      <c r="BJ808" s="4"/>
      <c r="BK808" s="8"/>
      <c r="BL808" s="2" t="s">
        <v>233</v>
      </c>
      <c r="BM808" s="7"/>
      <c r="BN808" s="7"/>
      <c r="BO808" s="4"/>
      <c r="BP808" s="8"/>
      <c r="BQ808" s="4"/>
      <c r="BR808" s="8"/>
      <c r="BS808" s="7"/>
      <c r="BT808" s="7"/>
      <c r="BU808" s="2" t="s">
        <v>4334</v>
      </c>
      <c r="BV808" s="2" t="s">
        <v>233</v>
      </c>
      <c r="BW808" s="2" t="s">
        <v>233</v>
      </c>
      <c r="BX808" s="2" t="s">
        <v>243</v>
      </c>
      <c r="BY808" s="2" t="s">
        <v>280</v>
      </c>
      <c r="BZ808" s="2" t="s">
        <v>245</v>
      </c>
      <c r="CA808" s="2" t="s">
        <v>4310</v>
      </c>
      <c r="CB808" s="2" t="s">
        <v>3318</v>
      </c>
      <c r="CC808" s="2" t="s">
        <v>246</v>
      </c>
      <c r="CD808" s="2" t="s">
        <v>233</v>
      </c>
      <c r="CE808" s="4">
        <v>1</v>
      </c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>
        <v>182</v>
      </c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</row>
    <row r="809">
      <c r="A809" s="2" t="s">
        <v>4335</v>
      </c>
      <c r="B809" s="2" t="s">
        <v>333</v>
      </c>
      <c r="C809" s="2" t="s">
        <v>1050</v>
      </c>
      <c r="D809" s="2" t="s">
        <v>335</v>
      </c>
      <c r="E809" s="2" t="s">
        <v>336</v>
      </c>
      <c r="F809" s="2" t="s">
        <v>4149</v>
      </c>
      <c r="G809" s="2" t="s">
        <v>4149</v>
      </c>
      <c r="H809" s="2" t="s">
        <v>4149</v>
      </c>
      <c r="I809" s="2" t="s">
        <v>4150</v>
      </c>
      <c r="J809" s="2" t="s">
        <v>348</v>
      </c>
      <c r="K809" s="2" t="s">
        <v>4326</v>
      </c>
      <c r="L809" s="3">
        <v>22.21</v>
      </c>
      <c r="M809" s="3">
        <v>23.32</v>
      </c>
      <c r="N809" s="3">
        <v>47.99</v>
      </c>
      <c r="O809" s="2" t="s">
        <v>245</v>
      </c>
      <c r="P809" s="2" t="s">
        <v>763</v>
      </c>
      <c r="Q809" s="2" t="s">
        <v>239</v>
      </c>
      <c r="R809" s="2" t="s">
        <v>233</v>
      </c>
      <c r="S809" s="2" t="s">
        <v>4327</v>
      </c>
      <c r="T809" s="2" t="s">
        <v>3950</v>
      </c>
      <c r="U809" s="2" t="s">
        <v>342</v>
      </c>
      <c r="V809" s="2" t="s">
        <v>3951</v>
      </c>
      <c r="W809" s="2" t="s">
        <v>978</v>
      </c>
      <c r="X809" s="2" t="s">
        <v>275</v>
      </c>
      <c r="Y809" s="2" t="s">
        <v>2434</v>
      </c>
      <c r="Z809" s="4"/>
      <c r="AA809" s="4">
        <f>=ROUNDDOWN({0},0)</f>
      </c>
      <c r="AB809" s="5">
        <v>21</v>
      </c>
      <c r="AC809" s="2" t="s">
        <v>1341</v>
      </c>
      <c r="AD809" s="4">
        <v>215</v>
      </c>
      <c r="AE809" s="4">
        <v>215</v>
      </c>
      <c r="AF809" s="6">
        <v>74</v>
      </c>
      <c r="AG809" s="6"/>
      <c r="AH809" s="7">
        <v>0</v>
      </c>
      <c r="AI809" s="4"/>
      <c r="AJ809" s="4">
        <f>=ROUNDDOWN({0},0)</f>
      </c>
      <c r="AK809" s="5"/>
      <c r="AL809" s="2" t="s">
        <v>233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233</v>
      </c>
      <c r="AW809" s="8" t="s">
        <v>233</v>
      </c>
      <c r="AX809" s="4" t="s">
        <v>233</v>
      </c>
      <c r="AY809" s="8" t="s">
        <v>233</v>
      </c>
      <c r="AZ809" s="7" t="s">
        <v>233</v>
      </c>
      <c r="BA809" s="7" t="s">
        <v>233</v>
      </c>
      <c r="BB809" s="7"/>
      <c r="BC809" s="4" t="s">
        <v>233</v>
      </c>
      <c r="BD809" s="8" t="s">
        <v>233</v>
      </c>
      <c r="BE809" s="4" t="s">
        <v>233</v>
      </c>
      <c r="BF809" s="8" t="s">
        <v>233</v>
      </c>
      <c r="BG809" s="7" t="s">
        <v>233</v>
      </c>
      <c r="BH809" s="7" t="s">
        <v>233</v>
      </c>
      <c r="BI809" s="7"/>
      <c r="BJ809" s="4"/>
      <c r="BK809" s="8"/>
      <c r="BL809" s="2" t="s">
        <v>233</v>
      </c>
      <c r="BM809" s="7"/>
      <c r="BN809" s="7"/>
      <c r="BO809" s="4"/>
      <c r="BP809" s="8"/>
      <c r="BQ809" s="4"/>
      <c r="BR809" s="8"/>
      <c r="BS809" s="7"/>
      <c r="BT809" s="7"/>
      <c r="BU809" s="2" t="s">
        <v>4336</v>
      </c>
      <c r="BV809" s="2" t="s">
        <v>233</v>
      </c>
      <c r="BW809" s="2" t="s">
        <v>233</v>
      </c>
      <c r="BX809" s="2" t="s">
        <v>243</v>
      </c>
      <c r="BY809" s="2" t="s">
        <v>280</v>
      </c>
      <c r="BZ809" s="2" t="s">
        <v>245</v>
      </c>
      <c r="CA809" s="2" t="s">
        <v>4310</v>
      </c>
      <c r="CB809" s="2" t="s">
        <v>1106</v>
      </c>
      <c r="CC809" s="2" t="s">
        <v>246</v>
      </c>
      <c r="CD809" s="2" t="s">
        <v>233</v>
      </c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>
        <v>215</v>
      </c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</row>
    <row r="810">
      <c r="A810" s="2" t="s">
        <v>4337</v>
      </c>
      <c r="B810" s="2" t="s">
        <v>333</v>
      </c>
      <c r="C810" s="2" t="s">
        <v>1050</v>
      </c>
      <c r="D810" s="2" t="s">
        <v>335</v>
      </c>
      <c r="E810" s="2" t="s">
        <v>336</v>
      </c>
      <c r="F810" s="2" t="s">
        <v>4149</v>
      </c>
      <c r="G810" s="2" t="s">
        <v>4149</v>
      </c>
      <c r="H810" s="2" t="s">
        <v>4149</v>
      </c>
      <c r="I810" s="2" t="s">
        <v>4150</v>
      </c>
      <c r="J810" s="2" t="s">
        <v>328</v>
      </c>
      <c r="K810" s="2" t="s">
        <v>4326</v>
      </c>
      <c r="L810" s="3">
        <v>27.39</v>
      </c>
      <c r="M810" s="3">
        <v>28.76</v>
      </c>
      <c r="N810" s="3">
        <v>62.99</v>
      </c>
      <c r="O810" s="2" t="s">
        <v>245</v>
      </c>
      <c r="P810" s="2" t="s">
        <v>272</v>
      </c>
      <c r="Q810" s="2" t="s">
        <v>239</v>
      </c>
      <c r="R810" s="2" t="s">
        <v>233</v>
      </c>
      <c r="S810" s="2" t="s">
        <v>4327</v>
      </c>
      <c r="T810" s="2" t="s">
        <v>3950</v>
      </c>
      <c r="U810" s="2" t="s">
        <v>342</v>
      </c>
      <c r="V810" s="2" t="s">
        <v>3951</v>
      </c>
      <c r="W810" s="2" t="s">
        <v>978</v>
      </c>
      <c r="X810" s="2" t="s">
        <v>275</v>
      </c>
      <c r="Y810" s="2" t="s">
        <v>4328</v>
      </c>
      <c r="Z810" s="4"/>
      <c r="AA810" s="4">
        <f>=ROUNDDOWN({0},0)</f>
      </c>
      <c r="AB810" s="5">
        <v>9</v>
      </c>
      <c r="AC810" s="2" t="s">
        <v>1341</v>
      </c>
      <c r="AD810" s="4">
        <v>93</v>
      </c>
      <c r="AE810" s="4">
        <v>93</v>
      </c>
      <c r="AF810" s="6">
        <v>74</v>
      </c>
      <c r="AG810" s="6"/>
      <c r="AH810" s="7">
        <v>0</v>
      </c>
      <c r="AI810" s="4"/>
      <c r="AJ810" s="4">
        <f>=ROUNDDOWN({0},0)</f>
      </c>
      <c r="AK810" s="5"/>
      <c r="AL810" s="2" t="s">
        <v>233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233</v>
      </c>
      <c r="AW810" s="8" t="s">
        <v>233</v>
      </c>
      <c r="AX810" s="4" t="s">
        <v>233</v>
      </c>
      <c r="AY810" s="8" t="s">
        <v>233</v>
      </c>
      <c r="AZ810" s="7" t="s">
        <v>233</v>
      </c>
      <c r="BA810" s="7" t="s">
        <v>233</v>
      </c>
      <c r="BB810" s="7"/>
      <c r="BC810" s="4" t="s">
        <v>233</v>
      </c>
      <c r="BD810" s="8" t="s">
        <v>233</v>
      </c>
      <c r="BE810" s="4" t="s">
        <v>233</v>
      </c>
      <c r="BF810" s="8" t="s">
        <v>233</v>
      </c>
      <c r="BG810" s="7" t="s">
        <v>233</v>
      </c>
      <c r="BH810" s="7" t="s">
        <v>233</v>
      </c>
      <c r="BI810" s="7"/>
      <c r="BJ810" s="4"/>
      <c r="BK810" s="8"/>
      <c r="BL810" s="2" t="s">
        <v>233</v>
      </c>
      <c r="BM810" s="7"/>
      <c r="BN810" s="7"/>
      <c r="BO810" s="4"/>
      <c r="BP810" s="8"/>
      <c r="BQ810" s="4"/>
      <c r="BR810" s="8"/>
      <c r="BS810" s="7"/>
      <c r="BT810" s="7"/>
      <c r="BU810" s="2" t="s">
        <v>4338</v>
      </c>
      <c r="BV810" s="2" t="s">
        <v>233</v>
      </c>
      <c r="BW810" s="2" t="s">
        <v>233</v>
      </c>
      <c r="BX810" s="2" t="s">
        <v>243</v>
      </c>
      <c r="BY810" s="2" t="s">
        <v>280</v>
      </c>
      <c r="BZ810" s="2" t="s">
        <v>245</v>
      </c>
      <c r="CA810" s="2" t="s">
        <v>4310</v>
      </c>
      <c r="CB810" s="2" t="s">
        <v>2795</v>
      </c>
      <c r="CC810" s="2" t="s">
        <v>246</v>
      </c>
      <c r="CD810" s="2" t="s">
        <v>233</v>
      </c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>
        <v>93</v>
      </c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</row>
    <row r="811">
      <c r="A811" s="2" t="s">
        <v>4339</v>
      </c>
      <c r="B811" s="2" t="s">
        <v>333</v>
      </c>
      <c r="C811" s="2" t="s">
        <v>1050</v>
      </c>
      <c r="D811" s="2" t="s">
        <v>335</v>
      </c>
      <c r="E811" s="2" t="s">
        <v>336</v>
      </c>
      <c r="F811" s="2" t="s">
        <v>4149</v>
      </c>
      <c r="G811" s="2" t="s">
        <v>4149</v>
      </c>
      <c r="H811" s="2" t="s">
        <v>4149</v>
      </c>
      <c r="I811" s="2" t="s">
        <v>4150</v>
      </c>
      <c r="J811" s="2" t="s">
        <v>270</v>
      </c>
      <c r="K811" s="2" t="s">
        <v>4340</v>
      </c>
      <c r="L811" s="3">
        <v>14.89</v>
      </c>
      <c r="M811" s="3">
        <v>15.63</v>
      </c>
      <c r="N811" s="3">
        <v>31.99</v>
      </c>
      <c r="O811" s="2" t="s">
        <v>245</v>
      </c>
      <c r="P811" s="2" t="s">
        <v>272</v>
      </c>
      <c r="Q811" s="2" t="s">
        <v>239</v>
      </c>
      <c r="R811" s="2" t="s">
        <v>233</v>
      </c>
      <c r="S811" s="2" t="s">
        <v>4341</v>
      </c>
      <c r="T811" s="2" t="s">
        <v>3950</v>
      </c>
      <c r="U811" s="2" t="s">
        <v>475</v>
      </c>
      <c r="V811" s="2" t="s">
        <v>3951</v>
      </c>
      <c r="W811" s="2" t="s">
        <v>275</v>
      </c>
      <c r="X811" s="2" t="s">
        <v>978</v>
      </c>
      <c r="Y811" s="2" t="s">
        <v>4153</v>
      </c>
      <c r="Z811" s="4"/>
      <c r="AA811" s="4">
        <f>=ROUNDDOWN({0},0)</f>
      </c>
      <c r="AB811" s="5">
        <v>40</v>
      </c>
      <c r="AC811" s="2" t="s">
        <v>1341</v>
      </c>
      <c r="AD811" s="4">
        <v>401</v>
      </c>
      <c r="AE811" s="4">
        <v>401</v>
      </c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233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233</v>
      </c>
      <c r="AW811" s="8" t="s">
        <v>233</v>
      </c>
      <c r="AX811" s="4" t="s">
        <v>233</v>
      </c>
      <c r="AY811" s="8" t="s">
        <v>233</v>
      </c>
      <c r="AZ811" s="7" t="s">
        <v>233</v>
      </c>
      <c r="BA811" s="7" t="s">
        <v>233</v>
      </c>
      <c r="BB811" s="7"/>
      <c r="BC811" s="4" t="s">
        <v>233</v>
      </c>
      <c r="BD811" s="8" t="s">
        <v>233</v>
      </c>
      <c r="BE811" s="4" t="s">
        <v>233</v>
      </c>
      <c r="BF811" s="8" t="s">
        <v>233</v>
      </c>
      <c r="BG811" s="7" t="s">
        <v>233</v>
      </c>
      <c r="BH811" s="7" t="s">
        <v>233</v>
      </c>
      <c r="BI811" s="7"/>
      <c r="BJ811" s="4"/>
      <c r="BK811" s="8"/>
      <c r="BL811" s="2" t="s">
        <v>233</v>
      </c>
      <c r="BM811" s="7"/>
      <c r="BN811" s="7"/>
      <c r="BO811" s="4"/>
      <c r="BP811" s="8"/>
      <c r="BQ811" s="4"/>
      <c r="BR811" s="8"/>
      <c r="BS811" s="7"/>
      <c r="BT811" s="7"/>
      <c r="BU811" s="2" t="s">
        <v>4342</v>
      </c>
      <c r="BV811" s="2" t="s">
        <v>233</v>
      </c>
      <c r="BW811" s="2" t="s">
        <v>233</v>
      </c>
      <c r="BX811" s="2" t="s">
        <v>233</v>
      </c>
      <c r="BY811" s="2" t="s">
        <v>280</v>
      </c>
      <c r="BZ811" s="2" t="s">
        <v>245</v>
      </c>
      <c r="CA811" s="2" t="s">
        <v>4163</v>
      </c>
      <c r="CB811" s="2" t="s">
        <v>4159</v>
      </c>
      <c r="CC811" s="2" t="s">
        <v>246</v>
      </c>
      <c r="CD811" s="2" t="s">
        <v>233</v>
      </c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>
        <v>401</v>
      </c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</row>
    <row r="812">
      <c r="A812" s="2" t="s">
        <v>4343</v>
      </c>
      <c r="B812" s="2" t="s">
        <v>333</v>
      </c>
      <c r="C812" s="2" t="s">
        <v>1050</v>
      </c>
      <c r="D812" s="2" t="s">
        <v>335</v>
      </c>
      <c r="E812" s="2" t="s">
        <v>336</v>
      </c>
      <c r="F812" s="2" t="s">
        <v>4149</v>
      </c>
      <c r="G812" s="2" t="s">
        <v>4149</v>
      </c>
      <c r="H812" s="2" t="s">
        <v>4149</v>
      </c>
      <c r="I812" s="2" t="s">
        <v>4150</v>
      </c>
      <c r="J812" s="2" t="s">
        <v>290</v>
      </c>
      <c r="K812" s="2" t="s">
        <v>4340</v>
      </c>
      <c r="L812" s="3">
        <v>19.57</v>
      </c>
      <c r="M812" s="3">
        <v>20.55</v>
      </c>
      <c r="N812" s="3">
        <v>42.99</v>
      </c>
      <c r="O812" s="2" t="s">
        <v>245</v>
      </c>
      <c r="P812" s="2" t="s">
        <v>741</v>
      </c>
      <c r="Q812" s="2" t="s">
        <v>239</v>
      </c>
      <c r="R812" s="2" t="s">
        <v>233</v>
      </c>
      <c r="S812" s="2" t="s">
        <v>4341</v>
      </c>
      <c r="T812" s="2" t="s">
        <v>3950</v>
      </c>
      <c r="U812" s="2" t="s">
        <v>342</v>
      </c>
      <c r="V812" s="2" t="s">
        <v>3951</v>
      </c>
      <c r="W812" s="2" t="s">
        <v>275</v>
      </c>
      <c r="X812" s="2" t="s">
        <v>978</v>
      </c>
      <c r="Y812" s="2" t="s">
        <v>4153</v>
      </c>
      <c r="Z812" s="4"/>
      <c r="AA812" s="4">
        <f>=ROUNDDOWN({0},0)</f>
      </c>
      <c r="AB812" s="5">
        <v>31</v>
      </c>
      <c r="AC812" s="2" t="s">
        <v>1341</v>
      </c>
      <c r="AD812" s="4">
        <v>310</v>
      </c>
      <c r="AE812" s="4">
        <v>310</v>
      </c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233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233</v>
      </c>
      <c r="AW812" s="8" t="s">
        <v>233</v>
      </c>
      <c r="AX812" s="4" t="s">
        <v>233</v>
      </c>
      <c r="AY812" s="8" t="s">
        <v>233</v>
      </c>
      <c r="AZ812" s="7" t="s">
        <v>233</v>
      </c>
      <c r="BA812" s="7" t="s">
        <v>233</v>
      </c>
      <c r="BB812" s="7"/>
      <c r="BC812" s="4" t="s">
        <v>233</v>
      </c>
      <c r="BD812" s="8" t="s">
        <v>233</v>
      </c>
      <c r="BE812" s="4" t="s">
        <v>233</v>
      </c>
      <c r="BF812" s="8" t="s">
        <v>233</v>
      </c>
      <c r="BG812" s="7" t="s">
        <v>233</v>
      </c>
      <c r="BH812" s="7" t="s">
        <v>233</v>
      </c>
      <c r="BI812" s="7"/>
      <c r="BJ812" s="4"/>
      <c r="BK812" s="8"/>
      <c r="BL812" s="2" t="s">
        <v>233</v>
      </c>
      <c r="BM812" s="7"/>
      <c r="BN812" s="7"/>
      <c r="BO812" s="4"/>
      <c r="BP812" s="8"/>
      <c r="BQ812" s="4"/>
      <c r="BR812" s="8"/>
      <c r="BS812" s="7"/>
      <c r="BT812" s="7"/>
      <c r="BU812" s="2" t="s">
        <v>4344</v>
      </c>
      <c r="BV812" s="2" t="s">
        <v>233</v>
      </c>
      <c r="BW812" s="2" t="s">
        <v>233</v>
      </c>
      <c r="BX812" s="2" t="s">
        <v>233</v>
      </c>
      <c r="BY812" s="2" t="s">
        <v>280</v>
      </c>
      <c r="BZ812" s="2" t="s">
        <v>245</v>
      </c>
      <c r="CA812" s="2" t="s">
        <v>4159</v>
      </c>
      <c r="CB812" s="2" t="s">
        <v>4345</v>
      </c>
      <c r="CC812" s="2" t="s">
        <v>246</v>
      </c>
      <c r="CD812" s="2" t="s">
        <v>233</v>
      </c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>
        <v>310</v>
      </c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</row>
    <row r="813">
      <c r="A813" s="2" t="s">
        <v>4346</v>
      </c>
      <c r="B813" s="2" t="s">
        <v>333</v>
      </c>
      <c r="C813" s="2" t="s">
        <v>1050</v>
      </c>
      <c r="D813" s="2" t="s">
        <v>335</v>
      </c>
      <c r="E813" s="2" t="s">
        <v>336</v>
      </c>
      <c r="F813" s="2" t="s">
        <v>4149</v>
      </c>
      <c r="G813" s="2" t="s">
        <v>4149</v>
      </c>
      <c r="H813" s="2" t="s">
        <v>4149</v>
      </c>
      <c r="I813" s="2" t="s">
        <v>4150</v>
      </c>
      <c r="J813" s="2" t="s">
        <v>348</v>
      </c>
      <c r="K813" s="2" t="s">
        <v>4340</v>
      </c>
      <c r="L813" s="3">
        <v>22.21</v>
      </c>
      <c r="M813" s="3">
        <v>23.32</v>
      </c>
      <c r="N813" s="3">
        <v>47.99</v>
      </c>
      <c r="O813" s="2" t="s">
        <v>245</v>
      </c>
      <c r="P813" s="2" t="s">
        <v>741</v>
      </c>
      <c r="Q813" s="2" t="s">
        <v>239</v>
      </c>
      <c r="R813" s="2" t="s">
        <v>233</v>
      </c>
      <c r="S813" s="2" t="s">
        <v>4341</v>
      </c>
      <c r="T813" s="2" t="s">
        <v>3950</v>
      </c>
      <c r="U813" s="2" t="s">
        <v>342</v>
      </c>
      <c r="V813" s="2" t="s">
        <v>3951</v>
      </c>
      <c r="W813" s="2" t="s">
        <v>275</v>
      </c>
      <c r="X813" s="2" t="s">
        <v>978</v>
      </c>
      <c r="Y813" s="2" t="s">
        <v>4153</v>
      </c>
      <c r="Z813" s="4"/>
      <c r="AA813" s="4">
        <f>=ROUNDDOWN({0},0)</f>
      </c>
      <c r="AB813" s="5">
        <v>43</v>
      </c>
      <c r="AC813" s="2" t="s">
        <v>1341</v>
      </c>
      <c r="AD813" s="4">
        <v>422</v>
      </c>
      <c r="AE813" s="4">
        <v>422</v>
      </c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233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233</v>
      </c>
      <c r="AW813" s="8" t="s">
        <v>233</v>
      </c>
      <c r="AX813" s="4" t="s">
        <v>233</v>
      </c>
      <c r="AY813" s="8" t="s">
        <v>233</v>
      </c>
      <c r="AZ813" s="7" t="s">
        <v>233</v>
      </c>
      <c r="BA813" s="7" t="s">
        <v>233</v>
      </c>
      <c r="BB813" s="7"/>
      <c r="BC813" s="4" t="s">
        <v>233</v>
      </c>
      <c r="BD813" s="8" t="s">
        <v>233</v>
      </c>
      <c r="BE813" s="4" t="s">
        <v>233</v>
      </c>
      <c r="BF813" s="8" t="s">
        <v>233</v>
      </c>
      <c r="BG813" s="7" t="s">
        <v>233</v>
      </c>
      <c r="BH813" s="7" t="s">
        <v>233</v>
      </c>
      <c r="BI813" s="7"/>
      <c r="BJ813" s="4"/>
      <c r="BK813" s="8"/>
      <c r="BL813" s="2" t="s">
        <v>233</v>
      </c>
      <c r="BM813" s="7"/>
      <c r="BN813" s="7"/>
      <c r="BO813" s="4"/>
      <c r="BP813" s="8"/>
      <c r="BQ813" s="4"/>
      <c r="BR813" s="8"/>
      <c r="BS813" s="7"/>
      <c r="BT813" s="7"/>
      <c r="BU813" s="2" t="s">
        <v>4347</v>
      </c>
      <c r="BV813" s="2" t="s">
        <v>233</v>
      </c>
      <c r="BW813" s="2" t="s">
        <v>233</v>
      </c>
      <c r="BX813" s="2" t="s">
        <v>233</v>
      </c>
      <c r="BY813" s="2" t="s">
        <v>280</v>
      </c>
      <c r="BZ813" s="2" t="s">
        <v>245</v>
      </c>
      <c r="CA813" s="2" t="s">
        <v>4163</v>
      </c>
      <c r="CB813" s="2" t="s">
        <v>4156</v>
      </c>
      <c r="CC813" s="2" t="s">
        <v>246</v>
      </c>
      <c r="CD813" s="2" t="s">
        <v>233</v>
      </c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>
        <v>422</v>
      </c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</row>
    <row r="814">
      <c r="A814" s="2" t="s">
        <v>4348</v>
      </c>
      <c r="B814" s="2" t="s">
        <v>333</v>
      </c>
      <c r="C814" s="2" t="s">
        <v>1050</v>
      </c>
      <c r="D814" s="2" t="s">
        <v>335</v>
      </c>
      <c r="E814" s="2" t="s">
        <v>336</v>
      </c>
      <c r="F814" s="2" t="s">
        <v>4149</v>
      </c>
      <c r="G814" s="2" t="s">
        <v>4149</v>
      </c>
      <c r="H814" s="2" t="s">
        <v>4149</v>
      </c>
      <c r="I814" s="2" t="s">
        <v>4150</v>
      </c>
      <c r="J814" s="2" t="s">
        <v>328</v>
      </c>
      <c r="K814" s="2" t="s">
        <v>4340</v>
      </c>
      <c r="L814" s="3">
        <v>27.39</v>
      </c>
      <c r="M814" s="3">
        <v>28.76</v>
      </c>
      <c r="N814" s="3">
        <v>62.99</v>
      </c>
      <c r="O814" s="2" t="s">
        <v>245</v>
      </c>
      <c r="P814" s="2" t="s">
        <v>272</v>
      </c>
      <c r="Q814" s="2" t="s">
        <v>239</v>
      </c>
      <c r="R814" s="2" t="s">
        <v>233</v>
      </c>
      <c r="S814" s="2" t="s">
        <v>4341</v>
      </c>
      <c r="T814" s="2" t="s">
        <v>3950</v>
      </c>
      <c r="U814" s="2" t="s">
        <v>342</v>
      </c>
      <c r="V814" s="2" t="s">
        <v>3951</v>
      </c>
      <c r="W814" s="2" t="s">
        <v>275</v>
      </c>
      <c r="X814" s="2" t="s">
        <v>978</v>
      </c>
      <c r="Y814" s="2" t="s">
        <v>4153</v>
      </c>
      <c r="Z814" s="4"/>
      <c r="AA814" s="4">
        <f>=ROUNDDOWN({0},0)</f>
      </c>
      <c r="AB814" s="5">
        <v>15</v>
      </c>
      <c r="AC814" s="2" t="s">
        <v>1341</v>
      </c>
      <c r="AD814" s="4">
        <v>160</v>
      </c>
      <c r="AE814" s="4">
        <v>160</v>
      </c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233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233</v>
      </c>
      <c r="AW814" s="8" t="s">
        <v>233</v>
      </c>
      <c r="AX814" s="4" t="s">
        <v>233</v>
      </c>
      <c r="AY814" s="8" t="s">
        <v>233</v>
      </c>
      <c r="AZ814" s="7" t="s">
        <v>233</v>
      </c>
      <c r="BA814" s="7" t="s">
        <v>233</v>
      </c>
      <c r="BB814" s="7"/>
      <c r="BC814" s="4" t="s">
        <v>233</v>
      </c>
      <c r="BD814" s="8" t="s">
        <v>233</v>
      </c>
      <c r="BE814" s="4" t="s">
        <v>233</v>
      </c>
      <c r="BF814" s="8" t="s">
        <v>233</v>
      </c>
      <c r="BG814" s="7" t="s">
        <v>233</v>
      </c>
      <c r="BH814" s="7" t="s">
        <v>233</v>
      </c>
      <c r="BI814" s="7"/>
      <c r="BJ814" s="4"/>
      <c r="BK814" s="8"/>
      <c r="BL814" s="2" t="s">
        <v>4349</v>
      </c>
      <c r="BM814" s="7"/>
      <c r="BN814" s="7"/>
      <c r="BO814" s="4"/>
      <c r="BP814" s="8"/>
      <c r="BQ814" s="4"/>
      <c r="BR814" s="8"/>
      <c r="BS814" s="7"/>
      <c r="BT814" s="7"/>
      <c r="BU814" s="2" t="s">
        <v>4350</v>
      </c>
      <c r="BV814" s="2" t="s">
        <v>233</v>
      </c>
      <c r="BW814" s="2" t="s">
        <v>233</v>
      </c>
      <c r="BX814" s="2" t="s">
        <v>233</v>
      </c>
      <c r="BY814" s="2" t="s">
        <v>280</v>
      </c>
      <c r="BZ814" s="2" t="s">
        <v>245</v>
      </c>
      <c r="CA814" s="2" t="s">
        <v>4159</v>
      </c>
      <c r="CB814" s="2" t="s">
        <v>4160</v>
      </c>
      <c r="CC814" s="2" t="s">
        <v>246</v>
      </c>
      <c r="CD814" s="2" t="s">
        <v>233</v>
      </c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>
        <v>160</v>
      </c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</row>
    <row r="815">
      <c r="A815" s="2" t="s">
        <v>4351</v>
      </c>
      <c r="B815" s="2" t="s">
        <v>333</v>
      </c>
      <c r="C815" s="2" t="s">
        <v>1050</v>
      </c>
      <c r="D815" s="2" t="s">
        <v>335</v>
      </c>
      <c r="E815" s="2" t="s">
        <v>336</v>
      </c>
      <c r="F815" s="2" t="s">
        <v>4149</v>
      </c>
      <c r="G815" s="2" t="s">
        <v>4149</v>
      </c>
      <c r="H815" s="2" t="s">
        <v>4149</v>
      </c>
      <c r="I815" s="2" t="s">
        <v>4150</v>
      </c>
      <c r="J815" s="2" t="s">
        <v>270</v>
      </c>
      <c r="K815" s="2" t="s">
        <v>4352</v>
      </c>
      <c r="L815" s="3">
        <v>14.89</v>
      </c>
      <c r="M815" s="3">
        <v>15.63</v>
      </c>
      <c r="N815" s="3">
        <v>31.99</v>
      </c>
      <c r="O815" s="2" t="s">
        <v>245</v>
      </c>
      <c r="P815" s="2" t="s">
        <v>272</v>
      </c>
      <c r="Q815" s="2" t="s">
        <v>239</v>
      </c>
      <c r="R815" s="2" t="s">
        <v>233</v>
      </c>
      <c r="S815" s="2" t="s">
        <v>4353</v>
      </c>
      <c r="T815" s="2" t="s">
        <v>3950</v>
      </c>
      <c r="U815" s="2" t="s">
        <v>475</v>
      </c>
      <c r="V815" s="2" t="s">
        <v>3836</v>
      </c>
      <c r="W815" s="2" t="s">
        <v>275</v>
      </c>
      <c r="X815" s="2" t="s">
        <v>978</v>
      </c>
      <c r="Y815" s="2" t="s">
        <v>4153</v>
      </c>
      <c r="Z815" s="4">
        <v>3</v>
      </c>
      <c r="AA815" s="4">
        <f>=ROUNDDOWN(0.1,0)</f>
      </c>
      <c r="AB815" s="5">
        <v>30</v>
      </c>
      <c r="AC815" s="2" t="s">
        <v>1341</v>
      </c>
      <c r="AD815" s="4">
        <v>298</v>
      </c>
      <c r="AE815" s="4">
        <v>298</v>
      </c>
      <c r="AF815" s="6">
        <v>65</v>
      </c>
      <c r="AG815" s="6"/>
      <c r="AH815" s="7">
        <v>0.2903</v>
      </c>
      <c r="AI815" s="4"/>
      <c r="AJ815" s="4">
        <f>=ROUNDDOWN({0},0)</f>
      </c>
      <c r="AK815" s="5"/>
      <c r="AL815" s="2" t="s">
        <v>233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233</v>
      </c>
      <c r="AW815" s="8" t="s">
        <v>233</v>
      </c>
      <c r="AX815" s="4" t="s">
        <v>233</v>
      </c>
      <c r="AY815" s="8" t="s">
        <v>233</v>
      </c>
      <c r="AZ815" s="7" t="s">
        <v>233</v>
      </c>
      <c r="BA815" s="7" t="s">
        <v>233</v>
      </c>
      <c r="BB815" s="7"/>
      <c r="BC815" s="4" t="s">
        <v>233</v>
      </c>
      <c r="BD815" s="8" t="s">
        <v>233</v>
      </c>
      <c r="BE815" s="4" t="s">
        <v>233</v>
      </c>
      <c r="BF815" s="8" t="s">
        <v>233</v>
      </c>
      <c r="BG815" s="7" t="s">
        <v>233</v>
      </c>
      <c r="BH815" s="7" t="s">
        <v>233</v>
      </c>
      <c r="BI815" s="7"/>
      <c r="BJ815" s="4">
        <v>6</v>
      </c>
      <c r="BK815" s="8">
        <v>97.24</v>
      </c>
      <c r="BL815" s="2" t="s">
        <v>4354</v>
      </c>
      <c r="BM815" s="7"/>
      <c r="BN815" s="7"/>
      <c r="BO815" s="4"/>
      <c r="BP815" s="8"/>
      <c r="BQ815" s="4"/>
      <c r="BR815" s="8"/>
      <c r="BS815" s="7"/>
      <c r="BT815" s="7"/>
      <c r="BU815" s="2" t="s">
        <v>4355</v>
      </c>
      <c r="BV815" s="2" t="s">
        <v>233</v>
      </c>
      <c r="BW815" s="2" t="s">
        <v>233</v>
      </c>
      <c r="BX815" s="2" t="s">
        <v>233</v>
      </c>
      <c r="BY815" s="2" t="s">
        <v>280</v>
      </c>
      <c r="BZ815" s="2" t="s">
        <v>245</v>
      </c>
      <c r="CA815" s="2" t="s">
        <v>4155</v>
      </c>
      <c r="CB815" s="2" t="s">
        <v>4356</v>
      </c>
      <c r="CC815" s="2" t="s">
        <v>246</v>
      </c>
      <c r="CD815" s="2" t="s">
        <v>233</v>
      </c>
      <c r="CE815" s="4">
        <v>3</v>
      </c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>
        <v>298</v>
      </c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</row>
    <row r="816">
      <c r="A816" s="2" t="s">
        <v>4357</v>
      </c>
      <c r="B816" s="2" t="s">
        <v>333</v>
      </c>
      <c r="C816" s="2" t="s">
        <v>1050</v>
      </c>
      <c r="D816" s="2" t="s">
        <v>335</v>
      </c>
      <c r="E816" s="2" t="s">
        <v>336</v>
      </c>
      <c r="F816" s="2" t="s">
        <v>4149</v>
      </c>
      <c r="G816" s="2" t="s">
        <v>4149</v>
      </c>
      <c r="H816" s="2" t="s">
        <v>4149</v>
      </c>
      <c r="I816" s="2" t="s">
        <v>4150</v>
      </c>
      <c r="J816" s="2" t="s">
        <v>348</v>
      </c>
      <c r="K816" s="2" t="s">
        <v>4352</v>
      </c>
      <c r="L816" s="3">
        <v>22.21</v>
      </c>
      <c r="M816" s="3">
        <v>23.32</v>
      </c>
      <c r="N816" s="3">
        <v>47.99</v>
      </c>
      <c r="O816" s="2" t="s">
        <v>245</v>
      </c>
      <c r="P816" s="2" t="s">
        <v>1366</v>
      </c>
      <c r="Q816" s="2" t="s">
        <v>239</v>
      </c>
      <c r="R816" s="2" t="s">
        <v>233</v>
      </c>
      <c r="S816" s="2" t="s">
        <v>4353</v>
      </c>
      <c r="T816" s="2" t="s">
        <v>3950</v>
      </c>
      <c r="U816" s="2" t="s">
        <v>342</v>
      </c>
      <c r="V816" s="2" t="s">
        <v>3836</v>
      </c>
      <c r="W816" s="2" t="s">
        <v>275</v>
      </c>
      <c r="X816" s="2" t="s">
        <v>978</v>
      </c>
      <c r="Y816" s="2" t="s">
        <v>4153</v>
      </c>
      <c r="Z816" s="4">
        <v>2</v>
      </c>
      <c r="AA816" s="4">
        <f>=ROUNDDOWN(0.0232558139534884,0)</f>
      </c>
      <c r="AB816" s="5">
        <v>86</v>
      </c>
      <c r="AC816" s="2" t="s">
        <v>1341</v>
      </c>
      <c r="AD816" s="4">
        <v>832</v>
      </c>
      <c r="AE816" s="4">
        <v>832</v>
      </c>
      <c r="AF816" s="6">
        <v>65</v>
      </c>
      <c r="AG816" s="6"/>
      <c r="AH816" s="7">
        <v>0.0323</v>
      </c>
      <c r="AI816" s="4"/>
      <c r="AJ816" s="4">
        <f>=ROUNDDOWN({0},0)</f>
      </c>
      <c r="AK816" s="5"/>
      <c r="AL816" s="2" t="s">
        <v>233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233</v>
      </c>
      <c r="AW816" s="8" t="s">
        <v>233</v>
      </c>
      <c r="AX816" s="4" t="s">
        <v>233</v>
      </c>
      <c r="AY816" s="8" t="s">
        <v>233</v>
      </c>
      <c r="AZ816" s="7" t="s">
        <v>233</v>
      </c>
      <c r="BA816" s="7" t="s">
        <v>233</v>
      </c>
      <c r="BB816" s="7"/>
      <c r="BC816" s="4" t="s">
        <v>233</v>
      </c>
      <c r="BD816" s="8" t="s">
        <v>233</v>
      </c>
      <c r="BE816" s="4" t="s">
        <v>233</v>
      </c>
      <c r="BF816" s="8" t="s">
        <v>233</v>
      </c>
      <c r="BG816" s="7" t="s">
        <v>233</v>
      </c>
      <c r="BH816" s="7" t="s">
        <v>233</v>
      </c>
      <c r="BI816" s="7"/>
      <c r="BJ816" s="4">
        <v>8</v>
      </c>
      <c r="BK816" s="8">
        <v>194.09</v>
      </c>
      <c r="BL816" s="2" t="s">
        <v>2580</v>
      </c>
      <c r="BM816" s="7"/>
      <c r="BN816" s="7"/>
      <c r="BO816" s="4"/>
      <c r="BP816" s="8"/>
      <c r="BQ816" s="4"/>
      <c r="BR816" s="8"/>
      <c r="BS816" s="7"/>
      <c r="BT816" s="7"/>
      <c r="BU816" s="2" t="s">
        <v>4358</v>
      </c>
      <c r="BV816" s="2" t="s">
        <v>233</v>
      </c>
      <c r="BW816" s="2" t="s">
        <v>233</v>
      </c>
      <c r="BX816" s="2" t="s">
        <v>233</v>
      </c>
      <c r="BY816" s="2" t="s">
        <v>280</v>
      </c>
      <c r="BZ816" s="2" t="s">
        <v>245</v>
      </c>
      <c r="CA816" s="2" t="s">
        <v>4163</v>
      </c>
      <c r="CB816" s="2" t="s">
        <v>4093</v>
      </c>
      <c r="CC816" s="2" t="s">
        <v>246</v>
      </c>
      <c r="CD816" s="2" t="s">
        <v>233</v>
      </c>
      <c r="CE816" s="4">
        <v>2</v>
      </c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>
        <v>832</v>
      </c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</row>
    <row r="817">
      <c r="A817" s="2" t="s">
        <v>4359</v>
      </c>
      <c r="B817" s="2" t="s">
        <v>333</v>
      </c>
      <c r="C817" s="2" t="s">
        <v>1050</v>
      </c>
      <c r="D817" s="2" t="s">
        <v>335</v>
      </c>
      <c r="E817" s="2" t="s">
        <v>336</v>
      </c>
      <c r="F817" s="2" t="s">
        <v>4149</v>
      </c>
      <c r="G817" s="2" t="s">
        <v>4149</v>
      </c>
      <c r="H817" s="2" t="s">
        <v>4149</v>
      </c>
      <c r="I817" s="2" t="s">
        <v>4150</v>
      </c>
      <c r="J817" s="2" t="s">
        <v>270</v>
      </c>
      <c r="K817" s="2" t="s">
        <v>4360</v>
      </c>
      <c r="L817" s="3">
        <v>14.89</v>
      </c>
      <c r="M817" s="3">
        <v>15.63</v>
      </c>
      <c r="N817" s="3">
        <v>31.99</v>
      </c>
      <c r="O817" s="2" t="s">
        <v>245</v>
      </c>
      <c r="P817" s="2" t="s">
        <v>272</v>
      </c>
      <c r="Q817" s="2" t="s">
        <v>239</v>
      </c>
      <c r="R817" s="2" t="s">
        <v>233</v>
      </c>
      <c r="S817" s="2" t="s">
        <v>4361</v>
      </c>
      <c r="T817" s="2" t="s">
        <v>3950</v>
      </c>
      <c r="U817" s="2" t="s">
        <v>233</v>
      </c>
      <c r="V817" s="2" t="s">
        <v>1085</v>
      </c>
      <c r="W817" s="2" t="s">
        <v>275</v>
      </c>
      <c r="X817" s="2" t="s">
        <v>233</v>
      </c>
      <c r="Y817" s="2" t="s">
        <v>3985</v>
      </c>
      <c r="Z817" s="4"/>
      <c r="AA817" s="4">
        <f>=ROUNDDOWN({0},0)</f>
      </c>
      <c r="AB817" s="5">
        <v>46</v>
      </c>
      <c r="AC817" s="2" t="s">
        <v>1341</v>
      </c>
      <c r="AD817" s="4">
        <v>458</v>
      </c>
      <c r="AE817" s="4">
        <v>458</v>
      </c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233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233</v>
      </c>
      <c r="AW817" s="8" t="s">
        <v>233</v>
      </c>
      <c r="AX817" s="4" t="s">
        <v>233</v>
      </c>
      <c r="AY817" s="8" t="s">
        <v>233</v>
      </c>
      <c r="AZ817" s="7" t="s">
        <v>233</v>
      </c>
      <c r="BA817" s="7" t="s">
        <v>233</v>
      </c>
      <c r="BB817" s="7"/>
      <c r="BC817" s="4" t="s">
        <v>233</v>
      </c>
      <c r="BD817" s="8" t="s">
        <v>233</v>
      </c>
      <c r="BE817" s="4" t="s">
        <v>233</v>
      </c>
      <c r="BF817" s="8" t="s">
        <v>233</v>
      </c>
      <c r="BG817" s="7" t="s">
        <v>233</v>
      </c>
      <c r="BH817" s="7" t="s">
        <v>233</v>
      </c>
      <c r="BI817" s="7"/>
      <c r="BJ817" s="4"/>
      <c r="BK817" s="8"/>
      <c r="BL817" s="2" t="s">
        <v>233</v>
      </c>
      <c r="BM817" s="7"/>
      <c r="BN817" s="7"/>
      <c r="BO817" s="4"/>
      <c r="BP817" s="8"/>
      <c r="BQ817" s="4"/>
      <c r="BR817" s="8"/>
      <c r="BS817" s="7"/>
      <c r="BT817" s="7"/>
      <c r="BU817" s="2" t="s">
        <v>4362</v>
      </c>
      <c r="BV817" s="2" t="s">
        <v>233</v>
      </c>
      <c r="BW817" s="2" t="s">
        <v>233</v>
      </c>
      <c r="BX817" s="2" t="s">
        <v>233</v>
      </c>
      <c r="BY817" s="2" t="s">
        <v>280</v>
      </c>
      <c r="BZ817" s="2" t="s">
        <v>245</v>
      </c>
      <c r="CA817" s="2" t="s">
        <v>4173</v>
      </c>
      <c r="CB817" s="2" t="s">
        <v>1333</v>
      </c>
      <c r="CC817" s="2" t="s">
        <v>246</v>
      </c>
      <c r="CD817" s="2" t="s">
        <v>233</v>
      </c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>
        <v>458</v>
      </c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</row>
    <row r="818">
      <c r="A818" s="2" t="s">
        <v>4363</v>
      </c>
      <c r="B818" s="2" t="s">
        <v>333</v>
      </c>
      <c r="C818" s="2" t="s">
        <v>1050</v>
      </c>
      <c r="D818" s="2" t="s">
        <v>335</v>
      </c>
      <c r="E818" s="2" t="s">
        <v>336</v>
      </c>
      <c r="F818" s="2" t="s">
        <v>4149</v>
      </c>
      <c r="G818" s="2" t="s">
        <v>4149</v>
      </c>
      <c r="H818" s="2" t="s">
        <v>4149</v>
      </c>
      <c r="I818" s="2" t="s">
        <v>4150</v>
      </c>
      <c r="J818" s="2" t="s">
        <v>284</v>
      </c>
      <c r="K818" s="2" t="s">
        <v>4360</v>
      </c>
      <c r="L818" s="3">
        <v>16.16</v>
      </c>
      <c r="M818" s="3">
        <v>16.97</v>
      </c>
      <c r="N818" s="3">
        <v>34.99</v>
      </c>
      <c r="O818" s="2" t="s">
        <v>245</v>
      </c>
      <c r="P818" s="2" t="s">
        <v>272</v>
      </c>
      <c r="Q818" s="2" t="s">
        <v>239</v>
      </c>
      <c r="R818" s="2" t="s">
        <v>233</v>
      </c>
      <c r="S818" s="2" t="s">
        <v>4361</v>
      </c>
      <c r="T818" s="2" t="s">
        <v>3950</v>
      </c>
      <c r="U818" s="2" t="s">
        <v>233</v>
      </c>
      <c r="V818" s="2" t="s">
        <v>1085</v>
      </c>
      <c r="W818" s="2" t="s">
        <v>275</v>
      </c>
      <c r="X818" s="2" t="s">
        <v>233</v>
      </c>
      <c r="Y818" s="2" t="s">
        <v>3985</v>
      </c>
      <c r="Z818" s="4"/>
      <c r="AA818" s="4">
        <f>=ROUNDDOWN({0},0)</f>
      </c>
      <c r="AB818" s="5">
        <v>26</v>
      </c>
      <c r="AC818" s="2" t="s">
        <v>1341</v>
      </c>
      <c r="AD818" s="4">
        <v>259</v>
      </c>
      <c r="AE818" s="4">
        <v>259</v>
      </c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233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233</v>
      </c>
      <c r="AW818" s="8" t="s">
        <v>233</v>
      </c>
      <c r="AX818" s="4" t="s">
        <v>233</v>
      </c>
      <c r="AY818" s="8" t="s">
        <v>233</v>
      </c>
      <c r="AZ818" s="7" t="s">
        <v>233</v>
      </c>
      <c r="BA818" s="7" t="s">
        <v>233</v>
      </c>
      <c r="BB818" s="7"/>
      <c r="BC818" s="4" t="s">
        <v>233</v>
      </c>
      <c r="BD818" s="8" t="s">
        <v>233</v>
      </c>
      <c r="BE818" s="4" t="s">
        <v>233</v>
      </c>
      <c r="BF818" s="8" t="s">
        <v>233</v>
      </c>
      <c r="BG818" s="7" t="s">
        <v>233</v>
      </c>
      <c r="BH818" s="7" t="s">
        <v>233</v>
      </c>
      <c r="BI818" s="7"/>
      <c r="BJ818" s="4"/>
      <c r="BK818" s="8"/>
      <c r="BL818" s="2" t="s">
        <v>233</v>
      </c>
      <c r="BM818" s="7"/>
      <c r="BN818" s="7"/>
      <c r="BO818" s="4"/>
      <c r="BP818" s="8"/>
      <c r="BQ818" s="4"/>
      <c r="BR818" s="8"/>
      <c r="BS818" s="7"/>
      <c r="BT818" s="7"/>
      <c r="BU818" s="2" t="s">
        <v>4364</v>
      </c>
      <c r="BV818" s="2" t="s">
        <v>233</v>
      </c>
      <c r="BW818" s="2" t="s">
        <v>233</v>
      </c>
      <c r="BX818" s="2" t="s">
        <v>233</v>
      </c>
      <c r="BY818" s="2" t="s">
        <v>280</v>
      </c>
      <c r="BZ818" s="2" t="s">
        <v>245</v>
      </c>
      <c r="CA818" s="2" t="s">
        <v>4173</v>
      </c>
      <c r="CB818" s="2" t="s">
        <v>4365</v>
      </c>
      <c r="CC818" s="2" t="s">
        <v>246</v>
      </c>
      <c r="CD818" s="2" t="s">
        <v>233</v>
      </c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>
        <v>259</v>
      </c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</row>
    <row r="819">
      <c r="A819" s="2" t="s">
        <v>4366</v>
      </c>
      <c r="B819" s="2" t="s">
        <v>333</v>
      </c>
      <c r="C819" s="2" t="s">
        <v>1050</v>
      </c>
      <c r="D819" s="2" t="s">
        <v>335</v>
      </c>
      <c r="E819" s="2" t="s">
        <v>336</v>
      </c>
      <c r="F819" s="2" t="s">
        <v>4149</v>
      </c>
      <c r="G819" s="2" t="s">
        <v>4149</v>
      </c>
      <c r="H819" s="2" t="s">
        <v>4149</v>
      </c>
      <c r="I819" s="2" t="s">
        <v>4150</v>
      </c>
      <c r="J819" s="2" t="s">
        <v>290</v>
      </c>
      <c r="K819" s="2" t="s">
        <v>4360</v>
      </c>
      <c r="L819" s="3">
        <v>19.57</v>
      </c>
      <c r="M819" s="3">
        <v>20.55</v>
      </c>
      <c r="N819" s="3">
        <v>42.99</v>
      </c>
      <c r="O819" s="2" t="s">
        <v>245</v>
      </c>
      <c r="P819" s="2" t="s">
        <v>272</v>
      </c>
      <c r="Q819" s="2" t="s">
        <v>239</v>
      </c>
      <c r="R819" s="2" t="s">
        <v>233</v>
      </c>
      <c r="S819" s="2" t="s">
        <v>4361</v>
      </c>
      <c r="T819" s="2" t="s">
        <v>3950</v>
      </c>
      <c r="U819" s="2" t="s">
        <v>233</v>
      </c>
      <c r="V819" s="2" t="s">
        <v>1085</v>
      </c>
      <c r="W819" s="2" t="s">
        <v>275</v>
      </c>
      <c r="X819" s="2" t="s">
        <v>233</v>
      </c>
      <c r="Y819" s="2" t="s">
        <v>3985</v>
      </c>
      <c r="Z819" s="4"/>
      <c r="AA819" s="4">
        <f>=ROUNDDOWN({0},0)</f>
      </c>
      <c r="AB819" s="5">
        <v>22</v>
      </c>
      <c r="AC819" s="2" t="s">
        <v>1341</v>
      </c>
      <c r="AD819" s="4">
        <v>218</v>
      </c>
      <c r="AE819" s="4">
        <v>218</v>
      </c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233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233</v>
      </c>
      <c r="AW819" s="8" t="s">
        <v>233</v>
      </c>
      <c r="AX819" s="4" t="s">
        <v>233</v>
      </c>
      <c r="AY819" s="8" t="s">
        <v>233</v>
      </c>
      <c r="AZ819" s="7" t="s">
        <v>233</v>
      </c>
      <c r="BA819" s="7" t="s">
        <v>233</v>
      </c>
      <c r="BB819" s="7"/>
      <c r="BC819" s="4" t="s">
        <v>233</v>
      </c>
      <c r="BD819" s="8" t="s">
        <v>233</v>
      </c>
      <c r="BE819" s="4" t="s">
        <v>233</v>
      </c>
      <c r="BF819" s="8" t="s">
        <v>233</v>
      </c>
      <c r="BG819" s="7" t="s">
        <v>233</v>
      </c>
      <c r="BH819" s="7" t="s">
        <v>233</v>
      </c>
      <c r="BI819" s="7"/>
      <c r="BJ819" s="4"/>
      <c r="BK819" s="8"/>
      <c r="BL819" s="2" t="s">
        <v>4367</v>
      </c>
      <c r="BM819" s="7"/>
      <c r="BN819" s="7"/>
      <c r="BO819" s="4"/>
      <c r="BP819" s="8"/>
      <c r="BQ819" s="4"/>
      <c r="BR819" s="8"/>
      <c r="BS819" s="7"/>
      <c r="BT819" s="7"/>
      <c r="BU819" s="2" t="s">
        <v>4368</v>
      </c>
      <c r="BV819" s="2" t="s">
        <v>233</v>
      </c>
      <c r="BW819" s="2" t="s">
        <v>233</v>
      </c>
      <c r="BX819" s="2" t="s">
        <v>233</v>
      </c>
      <c r="BY819" s="2" t="s">
        <v>280</v>
      </c>
      <c r="BZ819" s="2" t="s">
        <v>245</v>
      </c>
      <c r="CA819" s="2" t="s">
        <v>4173</v>
      </c>
      <c r="CB819" s="2" t="s">
        <v>4179</v>
      </c>
      <c r="CC819" s="2" t="s">
        <v>246</v>
      </c>
      <c r="CD819" s="2" t="s">
        <v>233</v>
      </c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>
        <v>218</v>
      </c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</row>
    <row r="820">
      <c r="A820" s="2" t="s">
        <v>4369</v>
      </c>
      <c r="B820" s="2" t="s">
        <v>333</v>
      </c>
      <c r="C820" s="2" t="s">
        <v>1050</v>
      </c>
      <c r="D820" s="2" t="s">
        <v>335</v>
      </c>
      <c r="E820" s="2" t="s">
        <v>336</v>
      </c>
      <c r="F820" s="2" t="s">
        <v>4149</v>
      </c>
      <c r="G820" s="2" t="s">
        <v>4149</v>
      </c>
      <c r="H820" s="2" t="s">
        <v>4149</v>
      </c>
      <c r="I820" s="2" t="s">
        <v>4150</v>
      </c>
      <c r="J820" s="2" t="s">
        <v>348</v>
      </c>
      <c r="K820" s="2" t="s">
        <v>4360</v>
      </c>
      <c r="L820" s="3">
        <v>22.21</v>
      </c>
      <c r="M820" s="3">
        <v>23.32</v>
      </c>
      <c r="N820" s="3">
        <v>47.99</v>
      </c>
      <c r="O820" s="2" t="s">
        <v>245</v>
      </c>
      <c r="P820" s="2" t="s">
        <v>272</v>
      </c>
      <c r="Q820" s="2" t="s">
        <v>239</v>
      </c>
      <c r="R820" s="2" t="s">
        <v>233</v>
      </c>
      <c r="S820" s="2" t="s">
        <v>4361</v>
      </c>
      <c r="T820" s="2" t="s">
        <v>3950</v>
      </c>
      <c r="U820" s="2" t="s">
        <v>233</v>
      </c>
      <c r="V820" s="2" t="s">
        <v>1085</v>
      </c>
      <c r="W820" s="2" t="s">
        <v>275</v>
      </c>
      <c r="X820" s="2" t="s">
        <v>233</v>
      </c>
      <c r="Y820" s="2" t="s">
        <v>3985</v>
      </c>
      <c r="Z820" s="4"/>
      <c r="AA820" s="4">
        <f>=ROUNDDOWN({0},0)</f>
      </c>
      <c r="AB820" s="5">
        <v>31</v>
      </c>
      <c r="AC820" s="2" t="s">
        <v>1341</v>
      </c>
      <c r="AD820" s="4">
        <v>304</v>
      </c>
      <c r="AE820" s="4">
        <v>304</v>
      </c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233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233</v>
      </c>
      <c r="AW820" s="8" t="s">
        <v>233</v>
      </c>
      <c r="AX820" s="4" t="s">
        <v>233</v>
      </c>
      <c r="AY820" s="8" t="s">
        <v>233</v>
      </c>
      <c r="AZ820" s="7" t="s">
        <v>233</v>
      </c>
      <c r="BA820" s="7" t="s">
        <v>233</v>
      </c>
      <c r="BB820" s="7"/>
      <c r="BC820" s="4" t="s">
        <v>233</v>
      </c>
      <c r="BD820" s="8" t="s">
        <v>233</v>
      </c>
      <c r="BE820" s="4" t="s">
        <v>233</v>
      </c>
      <c r="BF820" s="8" t="s">
        <v>233</v>
      </c>
      <c r="BG820" s="7" t="s">
        <v>233</v>
      </c>
      <c r="BH820" s="7" t="s">
        <v>233</v>
      </c>
      <c r="BI820" s="7"/>
      <c r="BJ820" s="4"/>
      <c r="BK820" s="8"/>
      <c r="BL820" s="2" t="s">
        <v>4370</v>
      </c>
      <c r="BM820" s="7"/>
      <c r="BN820" s="7"/>
      <c r="BO820" s="4"/>
      <c r="BP820" s="8"/>
      <c r="BQ820" s="4"/>
      <c r="BR820" s="8"/>
      <c r="BS820" s="7"/>
      <c r="BT820" s="7"/>
      <c r="BU820" s="2" t="s">
        <v>4371</v>
      </c>
      <c r="BV820" s="2" t="s">
        <v>233</v>
      </c>
      <c r="BW820" s="2" t="s">
        <v>233</v>
      </c>
      <c r="BX820" s="2" t="s">
        <v>233</v>
      </c>
      <c r="BY820" s="2" t="s">
        <v>280</v>
      </c>
      <c r="BZ820" s="2" t="s">
        <v>245</v>
      </c>
      <c r="CA820" s="2" t="s">
        <v>4173</v>
      </c>
      <c r="CB820" s="2" t="s">
        <v>4372</v>
      </c>
      <c r="CC820" s="2" t="s">
        <v>246</v>
      </c>
      <c r="CD820" s="2" t="s">
        <v>233</v>
      </c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>
        <v>304</v>
      </c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</row>
    <row r="821">
      <c r="A821" s="2" t="s">
        <v>4373</v>
      </c>
      <c r="B821" s="2" t="s">
        <v>333</v>
      </c>
      <c r="C821" s="2" t="s">
        <v>1050</v>
      </c>
      <c r="D821" s="2" t="s">
        <v>335</v>
      </c>
      <c r="E821" s="2" t="s">
        <v>336</v>
      </c>
      <c r="F821" s="2" t="s">
        <v>4149</v>
      </c>
      <c r="G821" s="2" t="s">
        <v>4149</v>
      </c>
      <c r="H821" s="2" t="s">
        <v>4149</v>
      </c>
      <c r="I821" s="2" t="s">
        <v>4150</v>
      </c>
      <c r="J821" s="2" t="s">
        <v>546</v>
      </c>
      <c r="K821" s="2" t="s">
        <v>4360</v>
      </c>
      <c r="L821" s="3">
        <v>27.39</v>
      </c>
      <c r="M821" s="3">
        <v>28.76</v>
      </c>
      <c r="N821" s="3">
        <v>62.99</v>
      </c>
      <c r="O821" s="2" t="s">
        <v>245</v>
      </c>
      <c r="P821" s="2" t="s">
        <v>272</v>
      </c>
      <c r="Q821" s="2" t="s">
        <v>239</v>
      </c>
      <c r="R821" s="2" t="s">
        <v>233</v>
      </c>
      <c r="S821" s="2" t="s">
        <v>4361</v>
      </c>
      <c r="T821" s="2" t="s">
        <v>3950</v>
      </c>
      <c r="U821" s="2" t="s">
        <v>233</v>
      </c>
      <c r="V821" s="2" t="s">
        <v>1085</v>
      </c>
      <c r="W821" s="2" t="s">
        <v>275</v>
      </c>
      <c r="X821" s="2" t="s">
        <v>233</v>
      </c>
      <c r="Y821" s="2" t="s">
        <v>3985</v>
      </c>
      <c r="Z821" s="4"/>
      <c r="AA821" s="4">
        <f>=ROUNDDOWN({0},0)</f>
      </c>
      <c r="AB821" s="5">
        <v>11</v>
      </c>
      <c r="AC821" s="2" t="s">
        <v>1341</v>
      </c>
      <c r="AD821" s="4">
        <v>113</v>
      </c>
      <c r="AE821" s="4">
        <v>113</v>
      </c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233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233</v>
      </c>
      <c r="AW821" s="8" t="s">
        <v>233</v>
      </c>
      <c r="AX821" s="4" t="s">
        <v>233</v>
      </c>
      <c r="AY821" s="8" t="s">
        <v>233</v>
      </c>
      <c r="AZ821" s="7" t="s">
        <v>233</v>
      </c>
      <c r="BA821" s="7" t="s">
        <v>233</v>
      </c>
      <c r="BB821" s="7"/>
      <c r="BC821" s="4" t="s">
        <v>233</v>
      </c>
      <c r="BD821" s="8" t="s">
        <v>233</v>
      </c>
      <c r="BE821" s="4" t="s">
        <v>233</v>
      </c>
      <c r="BF821" s="8" t="s">
        <v>233</v>
      </c>
      <c r="BG821" s="7" t="s">
        <v>233</v>
      </c>
      <c r="BH821" s="7" t="s">
        <v>233</v>
      </c>
      <c r="BI821" s="7"/>
      <c r="BJ821" s="4"/>
      <c r="BK821" s="8"/>
      <c r="BL821" s="2" t="s">
        <v>233</v>
      </c>
      <c r="BM821" s="7"/>
      <c r="BN821" s="7"/>
      <c r="BO821" s="4"/>
      <c r="BP821" s="8"/>
      <c r="BQ821" s="4"/>
      <c r="BR821" s="8"/>
      <c r="BS821" s="7"/>
      <c r="BT821" s="7"/>
      <c r="BU821" s="2" t="s">
        <v>4374</v>
      </c>
      <c r="BV821" s="2" t="s">
        <v>233</v>
      </c>
      <c r="BW821" s="2" t="s">
        <v>233</v>
      </c>
      <c r="BX821" s="2" t="s">
        <v>233</v>
      </c>
      <c r="BY821" s="2" t="s">
        <v>280</v>
      </c>
      <c r="BZ821" s="2" t="s">
        <v>245</v>
      </c>
      <c r="CA821" s="2" t="s">
        <v>4173</v>
      </c>
      <c r="CB821" s="2" t="s">
        <v>879</v>
      </c>
      <c r="CC821" s="2" t="s">
        <v>246</v>
      </c>
      <c r="CD821" s="2" t="s">
        <v>233</v>
      </c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>
        <v>113</v>
      </c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</row>
    <row r="822">
      <c r="A822" s="2" t="s">
        <v>4375</v>
      </c>
      <c r="B822" s="2" t="s">
        <v>333</v>
      </c>
      <c r="C822" s="2" t="s">
        <v>1050</v>
      </c>
      <c r="D822" s="2" t="s">
        <v>335</v>
      </c>
      <c r="E822" s="2" t="s">
        <v>336</v>
      </c>
      <c r="F822" s="2" t="s">
        <v>4149</v>
      </c>
      <c r="G822" s="2" t="s">
        <v>4149</v>
      </c>
      <c r="H822" s="2" t="s">
        <v>4149</v>
      </c>
      <c r="I822" s="2" t="s">
        <v>4150</v>
      </c>
      <c r="J822" s="2" t="s">
        <v>270</v>
      </c>
      <c r="K822" s="2" t="s">
        <v>4376</v>
      </c>
      <c r="L822" s="3">
        <v>14.89</v>
      </c>
      <c r="M822" s="3">
        <v>15.63</v>
      </c>
      <c r="N822" s="3">
        <v>31.99</v>
      </c>
      <c r="O822" s="2" t="s">
        <v>245</v>
      </c>
      <c r="P822" s="2" t="s">
        <v>2943</v>
      </c>
      <c r="Q822" s="2" t="s">
        <v>239</v>
      </c>
      <c r="R822" s="2" t="s">
        <v>233</v>
      </c>
      <c r="S822" s="2" t="s">
        <v>4377</v>
      </c>
      <c r="T822" s="2" t="s">
        <v>3950</v>
      </c>
      <c r="U822" s="2" t="s">
        <v>475</v>
      </c>
      <c r="V822" s="2" t="s">
        <v>3951</v>
      </c>
      <c r="W822" s="2" t="s">
        <v>275</v>
      </c>
      <c r="X822" s="2" t="s">
        <v>978</v>
      </c>
      <c r="Y822" s="2" t="s">
        <v>4153</v>
      </c>
      <c r="Z822" s="4"/>
      <c r="AA822" s="4">
        <f>=ROUNDDOWN({0},0)</f>
      </c>
      <c r="AB822" s="5">
        <v>106</v>
      </c>
      <c r="AC822" s="2" t="s">
        <v>1341</v>
      </c>
      <c r="AD822" s="4">
        <v>1019</v>
      </c>
      <c r="AE822" s="4">
        <v>1019</v>
      </c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233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233</v>
      </c>
      <c r="AW822" s="8" t="s">
        <v>233</v>
      </c>
      <c r="AX822" s="4" t="s">
        <v>233</v>
      </c>
      <c r="AY822" s="8" t="s">
        <v>233</v>
      </c>
      <c r="AZ822" s="7" t="s">
        <v>233</v>
      </c>
      <c r="BA822" s="7" t="s">
        <v>233</v>
      </c>
      <c r="BB822" s="7"/>
      <c r="BC822" s="4" t="s">
        <v>233</v>
      </c>
      <c r="BD822" s="8" t="s">
        <v>233</v>
      </c>
      <c r="BE822" s="4" t="s">
        <v>233</v>
      </c>
      <c r="BF822" s="8" t="s">
        <v>233</v>
      </c>
      <c r="BG822" s="7" t="s">
        <v>233</v>
      </c>
      <c r="BH822" s="7" t="s">
        <v>233</v>
      </c>
      <c r="BI822" s="7"/>
      <c r="BJ822" s="4"/>
      <c r="BK822" s="8"/>
      <c r="BL822" s="2" t="s">
        <v>233</v>
      </c>
      <c r="BM822" s="7"/>
      <c r="BN822" s="7"/>
      <c r="BO822" s="4"/>
      <c r="BP822" s="8"/>
      <c r="BQ822" s="4"/>
      <c r="BR822" s="8"/>
      <c r="BS822" s="7"/>
      <c r="BT822" s="7"/>
      <c r="BU822" s="2" t="s">
        <v>4378</v>
      </c>
      <c r="BV822" s="2" t="s">
        <v>233</v>
      </c>
      <c r="BW822" s="2" t="s">
        <v>233</v>
      </c>
      <c r="BX822" s="2" t="s">
        <v>233</v>
      </c>
      <c r="BY822" s="2" t="s">
        <v>280</v>
      </c>
      <c r="BZ822" s="2" t="s">
        <v>245</v>
      </c>
      <c r="CA822" s="2" t="s">
        <v>4159</v>
      </c>
      <c r="CB822" s="2" t="s">
        <v>4066</v>
      </c>
      <c r="CC822" s="2" t="s">
        <v>246</v>
      </c>
      <c r="CD822" s="2" t="s">
        <v>233</v>
      </c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>
        <v>1019</v>
      </c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</row>
    <row r="823">
      <c r="A823" s="2" t="s">
        <v>4379</v>
      </c>
      <c r="B823" s="2" t="s">
        <v>333</v>
      </c>
      <c r="C823" s="2" t="s">
        <v>1050</v>
      </c>
      <c r="D823" s="2" t="s">
        <v>335</v>
      </c>
      <c r="E823" s="2" t="s">
        <v>336</v>
      </c>
      <c r="F823" s="2" t="s">
        <v>4149</v>
      </c>
      <c r="G823" s="2" t="s">
        <v>4149</v>
      </c>
      <c r="H823" s="2" t="s">
        <v>4149</v>
      </c>
      <c r="I823" s="2" t="s">
        <v>4150</v>
      </c>
      <c r="J823" s="2" t="s">
        <v>290</v>
      </c>
      <c r="K823" s="2" t="s">
        <v>4376</v>
      </c>
      <c r="L823" s="3">
        <v>19.57</v>
      </c>
      <c r="M823" s="3">
        <v>20.55</v>
      </c>
      <c r="N823" s="3">
        <v>42.99</v>
      </c>
      <c r="O823" s="2" t="s">
        <v>245</v>
      </c>
      <c r="P823" s="2" t="s">
        <v>1366</v>
      </c>
      <c r="Q823" s="2" t="s">
        <v>239</v>
      </c>
      <c r="R823" s="2" t="s">
        <v>233</v>
      </c>
      <c r="S823" s="2" t="s">
        <v>4377</v>
      </c>
      <c r="T823" s="2" t="s">
        <v>3950</v>
      </c>
      <c r="U823" s="2" t="s">
        <v>342</v>
      </c>
      <c r="V823" s="2" t="s">
        <v>3951</v>
      </c>
      <c r="W823" s="2" t="s">
        <v>275</v>
      </c>
      <c r="X823" s="2" t="s">
        <v>978</v>
      </c>
      <c r="Y823" s="2" t="s">
        <v>4153</v>
      </c>
      <c r="Z823" s="4">
        <v>5</v>
      </c>
      <c r="AA823" s="4">
        <f>=ROUNDDOWN(0.0704225352112676,0)</f>
      </c>
      <c r="AB823" s="5">
        <v>71</v>
      </c>
      <c r="AC823" s="2" t="s">
        <v>1341</v>
      </c>
      <c r="AD823" s="4">
        <v>690</v>
      </c>
      <c r="AE823" s="4">
        <v>690</v>
      </c>
      <c r="AF823" s="6">
        <v>65</v>
      </c>
      <c r="AG823" s="6"/>
      <c r="AH823" s="7">
        <v>0.4194</v>
      </c>
      <c r="AI823" s="4"/>
      <c r="AJ823" s="4">
        <f>=ROUNDDOWN({0},0)</f>
      </c>
      <c r="AK823" s="5"/>
      <c r="AL823" s="2" t="s">
        <v>233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233</v>
      </c>
      <c r="AW823" s="8" t="s">
        <v>233</v>
      </c>
      <c r="AX823" s="4" t="s">
        <v>233</v>
      </c>
      <c r="AY823" s="8" t="s">
        <v>233</v>
      </c>
      <c r="AZ823" s="7" t="s">
        <v>233</v>
      </c>
      <c r="BA823" s="7" t="s">
        <v>233</v>
      </c>
      <c r="BB823" s="7"/>
      <c r="BC823" s="4" t="s">
        <v>233</v>
      </c>
      <c r="BD823" s="8" t="s">
        <v>233</v>
      </c>
      <c r="BE823" s="4" t="s">
        <v>233</v>
      </c>
      <c r="BF823" s="8" t="s">
        <v>233</v>
      </c>
      <c r="BG823" s="7" t="s">
        <v>233</v>
      </c>
      <c r="BH823" s="7" t="s">
        <v>233</v>
      </c>
      <c r="BI823" s="7"/>
      <c r="BJ823" s="4">
        <v>31</v>
      </c>
      <c r="BK823" s="8">
        <v>664.51</v>
      </c>
      <c r="BL823" s="2" t="s">
        <v>4380</v>
      </c>
      <c r="BM823" s="7"/>
      <c r="BN823" s="7"/>
      <c r="BO823" s="4"/>
      <c r="BP823" s="8"/>
      <c r="BQ823" s="4"/>
      <c r="BR823" s="8"/>
      <c r="BS823" s="7"/>
      <c r="BT823" s="7"/>
      <c r="BU823" s="2" t="s">
        <v>4381</v>
      </c>
      <c r="BV823" s="2" t="s">
        <v>233</v>
      </c>
      <c r="BW823" s="2" t="s">
        <v>233</v>
      </c>
      <c r="BX823" s="2" t="s">
        <v>233</v>
      </c>
      <c r="BY823" s="2" t="s">
        <v>280</v>
      </c>
      <c r="BZ823" s="2" t="s">
        <v>245</v>
      </c>
      <c r="CA823" s="2" t="s">
        <v>4159</v>
      </c>
      <c r="CB823" s="2" t="s">
        <v>4345</v>
      </c>
      <c r="CC823" s="2" t="s">
        <v>246</v>
      </c>
      <c r="CD823" s="2" t="s">
        <v>233</v>
      </c>
      <c r="CE823" s="4">
        <v>5</v>
      </c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>
        <v>690</v>
      </c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</row>
    <row r="824">
      <c r="A824" s="2" t="s">
        <v>4382</v>
      </c>
      <c r="B824" s="2" t="s">
        <v>333</v>
      </c>
      <c r="C824" s="2" t="s">
        <v>1050</v>
      </c>
      <c r="D824" s="2" t="s">
        <v>335</v>
      </c>
      <c r="E824" s="2" t="s">
        <v>336</v>
      </c>
      <c r="F824" s="2" t="s">
        <v>4149</v>
      </c>
      <c r="G824" s="2" t="s">
        <v>4149</v>
      </c>
      <c r="H824" s="2" t="s">
        <v>4149</v>
      </c>
      <c r="I824" s="2" t="s">
        <v>4150</v>
      </c>
      <c r="J824" s="2" t="s">
        <v>348</v>
      </c>
      <c r="K824" s="2" t="s">
        <v>4376</v>
      </c>
      <c r="L824" s="3">
        <v>22.21</v>
      </c>
      <c r="M824" s="3">
        <v>23.32</v>
      </c>
      <c r="N824" s="3">
        <v>47.99</v>
      </c>
      <c r="O824" s="2" t="s">
        <v>245</v>
      </c>
      <c r="P824" s="2" t="s">
        <v>1366</v>
      </c>
      <c r="Q824" s="2" t="s">
        <v>239</v>
      </c>
      <c r="R824" s="2" t="s">
        <v>233</v>
      </c>
      <c r="S824" s="2" t="s">
        <v>4377</v>
      </c>
      <c r="T824" s="2" t="s">
        <v>3950</v>
      </c>
      <c r="U824" s="2" t="s">
        <v>342</v>
      </c>
      <c r="V824" s="2" t="s">
        <v>3951</v>
      </c>
      <c r="W824" s="2" t="s">
        <v>275</v>
      </c>
      <c r="X824" s="2" t="s">
        <v>978</v>
      </c>
      <c r="Y824" s="2" t="s">
        <v>4153</v>
      </c>
      <c r="Z824" s="4">
        <v>2</v>
      </c>
      <c r="AA824" s="4">
        <f>=ROUNDDOWN(0.03125,0)</f>
      </c>
      <c r="AB824" s="5">
        <v>64</v>
      </c>
      <c r="AC824" s="2" t="s">
        <v>1341</v>
      </c>
      <c r="AD824" s="4">
        <v>618</v>
      </c>
      <c r="AE824" s="4">
        <v>618</v>
      </c>
      <c r="AF824" s="6">
        <v>65</v>
      </c>
      <c r="AG824" s="6"/>
      <c r="AH824" s="7">
        <v>0.3226</v>
      </c>
      <c r="AI824" s="4"/>
      <c r="AJ824" s="4">
        <f>=ROUNDDOWN({0},0)</f>
      </c>
      <c r="AK824" s="5"/>
      <c r="AL824" s="2" t="s">
        <v>233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233</v>
      </c>
      <c r="AW824" s="8" t="s">
        <v>233</v>
      </c>
      <c r="AX824" s="4" t="s">
        <v>233</v>
      </c>
      <c r="AY824" s="8" t="s">
        <v>233</v>
      </c>
      <c r="AZ824" s="7" t="s">
        <v>233</v>
      </c>
      <c r="BA824" s="7" t="s">
        <v>233</v>
      </c>
      <c r="BB824" s="7"/>
      <c r="BC824" s="4" t="s">
        <v>233</v>
      </c>
      <c r="BD824" s="8" t="s">
        <v>233</v>
      </c>
      <c r="BE824" s="4" t="s">
        <v>233</v>
      </c>
      <c r="BF824" s="8" t="s">
        <v>233</v>
      </c>
      <c r="BG824" s="7" t="s">
        <v>233</v>
      </c>
      <c r="BH824" s="7" t="s">
        <v>233</v>
      </c>
      <c r="BI824" s="7"/>
      <c r="BJ824" s="4">
        <v>63</v>
      </c>
      <c r="BK824" s="8">
        <v>1520.89</v>
      </c>
      <c r="BL824" s="2" t="s">
        <v>4383</v>
      </c>
      <c r="BM824" s="7"/>
      <c r="BN824" s="7"/>
      <c r="BO824" s="4"/>
      <c r="BP824" s="8"/>
      <c r="BQ824" s="4"/>
      <c r="BR824" s="8"/>
      <c r="BS824" s="7"/>
      <c r="BT824" s="7"/>
      <c r="BU824" s="2" t="s">
        <v>4384</v>
      </c>
      <c r="BV824" s="2" t="s">
        <v>233</v>
      </c>
      <c r="BW824" s="2" t="s">
        <v>233</v>
      </c>
      <c r="BX824" s="2" t="s">
        <v>233</v>
      </c>
      <c r="BY824" s="2" t="s">
        <v>280</v>
      </c>
      <c r="BZ824" s="2" t="s">
        <v>245</v>
      </c>
      <c r="CA824" s="2" t="s">
        <v>4163</v>
      </c>
      <c r="CB824" s="2" t="s">
        <v>4093</v>
      </c>
      <c r="CC824" s="2" t="s">
        <v>246</v>
      </c>
      <c r="CD824" s="2" t="s">
        <v>233</v>
      </c>
      <c r="CE824" s="4">
        <v>2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>
        <v>618</v>
      </c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</row>
    <row r="825">
      <c r="A825" s="2" t="s">
        <v>4385</v>
      </c>
      <c r="B825" s="2" t="s">
        <v>333</v>
      </c>
      <c r="C825" s="2" t="s">
        <v>1050</v>
      </c>
      <c r="D825" s="2" t="s">
        <v>335</v>
      </c>
      <c r="E825" s="2" t="s">
        <v>336</v>
      </c>
      <c r="F825" s="2" t="s">
        <v>4149</v>
      </c>
      <c r="G825" s="2" t="s">
        <v>4149</v>
      </c>
      <c r="H825" s="2" t="s">
        <v>4149</v>
      </c>
      <c r="I825" s="2" t="s">
        <v>4150</v>
      </c>
      <c r="J825" s="2" t="s">
        <v>328</v>
      </c>
      <c r="K825" s="2" t="s">
        <v>4376</v>
      </c>
      <c r="L825" s="3">
        <v>27.39</v>
      </c>
      <c r="M825" s="3">
        <v>28.76</v>
      </c>
      <c r="N825" s="3">
        <v>62.99</v>
      </c>
      <c r="O825" s="2" t="s">
        <v>245</v>
      </c>
      <c r="P825" s="2" t="s">
        <v>272</v>
      </c>
      <c r="Q825" s="2" t="s">
        <v>239</v>
      </c>
      <c r="R825" s="2" t="s">
        <v>233</v>
      </c>
      <c r="S825" s="2" t="s">
        <v>4377</v>
      </c>
      <c r="T825" s="2" t="s">
        <v>3950</v>
      </c>
      <c r="U825" s="2" t="s">
        <v>342</v>
      </c>
      <c r="V825" s="2" t="s">
        <v>3951</v>
      </c>
      <c r="W825" s="2" t="s">
        <v>275</v>
      </c>
      <c r="X825" s="2" t="s">
        <v>978</v>
      </c>
      <c r="Y825" s="2" t="s">
        <v>4153</v>
      </c>
      <c r="Z825" s="4">
        <v>60</v>
      </c>
      <c r="AA825" s="4">
        <f>=ROUNDDOWN(2.14285714285714,0)</f>
      </c>
      <c r="AB825" s="5">
        <v>28</v>
      </c>
      <c r="AC825" s="2" t="s">
        <v>1341</v>
      </c>
      <c r="AD825" s="4">
        <v>284</v>
      </c>
      <c r="AE825" s="4">
        <v>284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233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233</v>
      </c>
      <c r="AW825" s="8" t="s">
        <v>233</v>
      </c>
      <c r="AX825" s="4" t="s">
        <v>233</v>
      </c>
      <c r="AY825" s="8" t="s">
        <v>233</v>
      </c>
      <c r="AZ825" s="7" t="s">
        <v>233</v>
      </c>
      <c r="BA825" s="7" t="s">
        <v>233</v>
      </c>
      <c r="BB825" s="7"/>
      <c r="BC825" s="4" t="s">
        <v>233</v>
      </c>
      <c r="BD825" s="8" t="s">
        <v>233</v>
      </c>
      <c r="BE825" s="4" t="s">
        <v>233</v>
      </c>
      <c r="BF825" s="8" t="s">
        <v>233</v>
      </c>
      <c r="BG825" s="7" t="s">
        <v>233</v>
      </c>
      <c r="BH825" s="7" t="s">
        <v>233</v>
      </c>
      <c r="BI825" s="7"/>
      <c r="BJ825" s="4">
        <v>12</v>
      </c>
      <c r="BK825" s="8">
        <v>364.91</v>
      </c>
      <c r="BL825" s="2" t="s">
        <v>4386</v>
      </c>
      <c r="BM825" s="7"/>
      <c r="BN825" s="7"/>
      <c r="BO825" s="4"/>
      <c r="BP825" s="8"/>
      <c r="BQ825" s="4"/>
      <c r="BR825" s="8"/>
      <c r="BS825" s="7"/>
      <c r="BT825" s="7"/>
      <c r="BU825" s="2" t="s">
        <v>4387</v>
      </c>
      <c r="BV825" s="2" t="s">
        <v>233</v>
      </c>
      <c r="BW825" s="2" t="s">
        <v>233</v>
      </c>
      <c r="BX825" s="2" t="s">
        <v>233</v>
      </c>
      <c r="BY825" s="2" t="s">
        <v>280</v>
      </c>
      <c r="BZ825" s="2" t="s">
        <v>245</v>
      </c>
      <c r="CA825" s="2" t="s">
        <v>4159</v>
      </c>
      <c r="CB825" s="2" t="s">
        <v>1378</v>
      </c>
      <c r="CC825" s="2" t="s">
        <v>246</v>
      </c>
      <c r="CD825" s="2" t="s">
        <v>233</v>
      </c>
      <c r="CE825" s="4">
        <v>60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>
        <v>284</v>
      </c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</row>
    <row r="826">
      <c r="A826" s="2" t="s">
        <v>4388</v>
      </c>
      <c r="B826" s="2" t="s">
        <v>333</v>
      </c>
      <c r="C826" s="2" t="s">
        <v>1050</v>
      </c>
      <c r="D826" s="2" t="s">
        <v>335</v>
      </c>
      <c r="E826" s="2" t="s">
        <v>336</v>
      </c>
      <c r="F826" s="2" t="s">
        <v>4149</v>
      </c>
      <c r="G826" s="2" t="s">
        <v>4149</v>
      </c>
      <c r="H826" s="2" t="s">
        <v>4149</v>
      </c>
      <c r="I826" s="2" t="s">
        <v>4150</v>
      </c>
      <c r="J826" s="2" t="s">
        <v>270</v>
      </c>
      <c r="K826" s="2" t="s">
        <v>4389</v>
      </c>
      <c r="L826" s="3">
        <v>14.89</v>
      </c>
      <c r="M826" s="3">
        <v>15.63</v>
      </c>
      <c r="N826" s="3">
        <v>31.99</v>
      </c>
      <c r="O826" s="2" t="s">
        <v>245</v>
      </c>
      <c r="P826" s="2" t="s">
        <v>272</v>
      </c>
      <c r="Q826" s="2" t="s">
        <v>239</v>
      </c>
      <c r="R826" s="2" t="s">
        <v>233</v>
      </c>
      <c r="S826" s="2" t="s">
        <v>4390</v>
      </c>
      <c r="T826" s="2" t="s">
        <v>3950</v>
      </c>
      <c r="U826" s="2" t="s">
        <v>233</v>
      </c>
      <c r="V826" s="2" t="s">
        <v>241</v>
      </c>
      <c r="W826" s="2" t="s">
        <v>275</v>
      </c>
      <c r="X826" s="2" t="s">
        <v>233</v>
      </c>
      <c r="Y826" s="2" t="s">
        <v>276</v>
      </c>
      <c r="Z826" s="4"/>
      <c r="AA826" s="4">
        <f>=ROUNDDOWN({0},0)</f>
      </c>
      <c r="AB826" s="5">
        <v>55</v>
      </c>
      <c r="AC826" s="2" t="s">
        <v>1341</v>
      </c>
      <c r="AD826" s="4">
        <v>536</v>
      </c>
      <c r="AE826" s="4">
        <v>536</v>
      </c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233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233</v>
      </c>
      <c r="AW826" s="8" t="s">
        <v>233</v>
      </c>
      <c r="AX826" s="4" t="s">
        <v>233</v>
      </c>
      <c r="AY826" s="8" t="s">
        <v>233</v>
      </c>
      <c r="AZ826" s="7" t="s">
        <v>233</v>
      </c>
      <c r="BA826" s="7" t="s">
        <v>233</v>
      </c>
      <c r="BB826" s="7"/>
      <c r="BC826" s="4" t="s">
        <v>233</v>
      </c>
      <c r="BD826" s="8" t="s">
        <v>233</v>
      </c>
      <c r="BE826" s="4" t="s">
        <v>233</v>
      </c>
      <c r="BF826" s="8" t="s">
        <v>233</v>
      </c>
      <c r="BG826" s="7" t="s">
        <v>233</v>
      </c>
      <c r="BH826" s="7" t="s">
        <v>233</v>
      </c>
      <c r="BI826" s="7"/>
      <c r="BJ826" s="4"/>
      <c r="BK826" s="8"/>
      <c r="BL826" s="2" t="s">
        <v>233</v>
      </c>
      <c r="BM826" s="7"/>
      <c r="BN826" s="7"/>
      <c r="BO826" s="4"/>
      <c r="BP826" s="8"/>
      <c r="BQ826" s="4"/>
      <c r="BR826" s="8"/>
      <c r="BS826" s="7"/>
      <c r="BT826" s="7"/>
      <c r="BU826" s="2" t="s">
        <v>4391</v>
      </c>
      <c r="BV826" s="2" t="s">
        <v>233</v>
      </c>
      <c r="BW826" s="2" t="s">
        <v>233</v>
      </c>
      <c r="BX826" s="2" t="s">
        <v>233</v>
      </c>
      <c r="BY826" s="2" t="s">
        <v>280</v>
      </c>
      <c r="BZ826" s="2" t="s">
        <v>245</v>
      </c>
      <c r="CA826" s="2" t="s">
        <v>4010</v>
      </c>
      <c r="CB826" s="2" t="s">
        <v>1154</v>
      </c>
      <c r="CC826" s="2" t="s">
        <v>246</v>
      </c>
      <c r="CD826" s="2" t="s">
        <v>233</v>
      </c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>
        <v>536</v>
      </c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</row>
    <row r="827">
      <c r="A827" s="2" t="s">
        <v>4392</v>
      </c>
      <c r="B827" s="2" t="s">
        <v>333</v>
      </c>
      <c r="C827" s="2" t="s">
        <v>1050</v>
      </c>
      <c r="D827" s="2" t="s">
        <v>335</v>
      </c>
      <c r="E827" s="2" t="s">
        <v>336</v>
      </c>
      <c r="F827" s="2" t="s">
        <v>4149</v>
      </c>
      <c r="G827" s="2" t="s">
        <v>4149</v>
      </c>
      <c r="H827" s="2" t="s">
        <v>4149</v>
      </c>
      <c r="I827" s="2" t="s">
        <v>4150</v>
      </c>
      <c r="J827" s="2" t="s">
        <v>290</v>
      </c>
      <c r="K827" s="2" t="s">
        <v>4389</v>
      </c>
      <c r="L827" s="3">
        <v>19.57</v>
      </c>
      <c r="M827" s="3">
        <v>20.55</v>
      </c>
      <c r="N827" s="3">
        <v>42.99</v>
      </c>
      <c r="O827" s="2" t="s">
        <v>245</v>
      </c>
      <c r="P827" s="2" t="s">
        <v>741</v>
      </c>
      <c r="Q827" s="2" t="s">
        <v>239</v>
      </c>
      <c r="R827" s="2" t="s">
        <v>233</v>
      </c>
      <c r="S827" s="2" t="s">
        <v>4390</v>
      </c>
      <c r="T827" s="2" t="s">
        <v>3950</v>
      </c>
      <c r="U827" s="2" t="s">
        <v>233</v>
      </c>
      <c r="V827" s="2" t="s">
        <v>241</v>
      </c>
      <c r="W827" s="2" t="s">
        <v>275</v>
      </c>
      <c r="X827" s="2" t="s">
        <v>233</v>
      </c>
      <c r="Y827" s="2" t="s">
        <v>276</v>
      </c>
      <c r="Z827" s="4"/>
      <c r="AA827" s="4">
        <f>=ROUNDDOWN({0},0)</f>
      </c>
      <c r="AB827" s="5">
        <v>42</v>
      </c>
      <c r="AC827" s="2" t="s">
        <v>1341</v>
      </c>
      <c r="AD827" s="4">
        <v>409</v>
      </c>
      <c r="AE827" s="4">
        <v>409</v>
      </c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233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233</v>
      </c>
      <c r="AW827" s="8" t="s">
        <v>233</v>
      </c>
      <c r="AX827" s="4" t="s">
        <v>233</v>
      </c>
      <c r="AY827" s="8" t="s">
        <v>233</v>
      </c>
      <c r="AZ827" s="7" t="s">
        <v>233</v>
      </c>
      <c r="BA827" s="7" t="s">
        <v>233</v>
      </c>
      <c r="BB827" s="7"/>
      <c r="BC827" s="4" t="s">
        <v>233</v>
      </c>
      <c r="BD827" s="8" t="s">
        <v>233</v>
      </c>
      <c r="BE827" s="4" t="s">
        <v>233</v>
      </c>
      <c r="BF827" s="8" t="s">
        <v>233</v>
      </c>
      <c r="BG827" s="7" t="s">
        <v>233</v>
      </c>
      <c r="BH827" s="7" t="s">
        <v>233</v>
      </c>
      <c r="BI827" s="7"/>
      <c r="BJ827" s="4"/>
      <c r="BK827" s="8"/>
      <c r="BL827" s="2" t="s">
        <v>233</v>
      </c>
      <c r="BM827" s="7"/>
      <c r="BN827" s="7"/>
      <c r="BO827" s="4"/>
      <c r="BP827" s="8"/>
      <c r="BQ827" s="4"/>
      <c r="BR827" s="8"/>
      <c r="BS827" s="7"/>
      <c r="BT827" s="7"/>
      <c r="BU827" s="2" t="s">
        <v>4393</v>
      </c>
      <c r="BV827" s="2" t="s">
        <v>233</v>
      </c>
      <c r="BW827" s="2" t="s">
        <v>233</v>
      </c>
      <c r="BX827" s="2" t="s">
        <v>233</v>
      </c>
      <c r="BY827" s="2" t="s">
        <v>280</v>
      </c>
      <c r="BZ827" s="2" t="s">
        <v>245</v>
      </c>
      <c r="CA827" s="2" t="s">
        <v>4010</v>
      </c>
      <c r="CB827" s="2" t="s">
        <v>4394</v>
      </c>
      <c r="CC827" s="2" t="s">
        <v>246</v>
      </c>
      <c r="CD827" s="2" t="s">
        <v>233</v>
      </c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>
        <v>409</v>
      </c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</row>
    <row r="828">
      <c r="A828" s="2" t="s">
        <v>4395</v>
      </c>
      <c r="B828" s="2" t="s">
        <v>333</v>
      </c>
      <c r="C828" s="2" t="s">
        <v>1050</v>
      </c>
      <c r="D828" s="2" t="s">
        <v>335</v>
      </c>
      <c r="E828" s="2" t="s">
        <v>336</v>
      </c>
      <c r="F828" s="2" t="s">
        <v>4149</v>
      </c>
      <c r="G828" s="2" t="s">
        <v>4149</v>
      </c>
      <c r="H828" s="2" t="s">
        <v>4149</v>
      </c>
      <c r="I828" s="2" t="s">
        <v>4150</v>
      </c>
      <c r="J828" s="2" t="s">
        <v>348</v>
      </c>
      <c r="K828" s="2" t="s">
        <v>4389</v>
      </c>
      <c r="L828" s="3">
        <v>22.21</v>
      </c>
      <c r="M828" s="3">
        <v>23.32</v>
      </c>
      <c r="N828" s="3">
        <v>47.99</v>
      </c>
      <c r="O828" s="2" t="s">
        <v>245</v>
      </c>
      <c r="P828" s="2" t="s">
        <v>763</v>
      </c>
      <c r="Q828" s="2" t="s">
        <v>239</v>
      </c>
      <c r="R828" s="2" t="s">
        <v>233</v>
      </c>
      <c r="S828" s="2" t="s">
        <v>4390</v>
      </c>
      <c r="T828" s="2" t="s">
        <v>3950</v>
      </c>
      <c r="U828" s="2" t="s">
        <v>233</v>
      </c>
      <c r="V828" s="2" t="s">
        <v>241</v>
      </c>
      <c r="W828" s="2" t="s">
        <v>275</v>
      </c>
      <c r="X828" s="2" t="s">
        <v>233</v>
      </c>
      <c r="Y828" s="2" t="s">
        <v>276</v>
      </c>
      <c r="Z828" s="4"/>
      <c r="AA828" s="4">
        <f>=ROUNDDOWN({0},0)</f>
      </c>
      <c r="AB828" s="5">
        <v>61</v>
      </c>
      <c r="AC828" s="2" t="s">
        <v>1341</v>
      </c>
      <c r="AD828" s="4">
        <v>603</v>
      </c>
      <c r="AE828" s="4">
        <v>603</v>
      </c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233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233</v>
      </c>
      <c r="AW828" s="8" t="s">
        <v>233</v>
      </c>
      <c r="AX828" s="4" t="s">
        <v>233</v>
      </c>
      <c r="AY828" s="8" t="s">
        <v>233</v>
      </c>
      <c r="AZ828" s="7" t="s">
        <v>233</v>
      </c>
      <c r="BA828" s="7" t="s">
        <v>233</v>
      </c>
      <c r="BB828" s="7"/>
      <c r="BC828" s="4" t="s">
        <v>233</v>
      </c>
      <c r="BD828" s="8" t="s">
        <v>233</v>
      </c>
      <c r="BE828" s="4" t="s">
        <v>233</v>
      </c>
      <c r="BF828" s="8" t="s">
        <v>233</v>
      </c>
      <c r="BG828" s="7" t="s">
        <v>233</v>
      </c>
      <c r="BH828" s="7" t="s">
        <v>233</v>
      </c>
      <c r="BI828" s="7"/>
      <c r="BJ828" s="4"/>
      <c r="BK828" s="8"/>
      <c r="BL828" s="2" t="s">
        <v>233</v>
      </c>
      <c r="BM828" s="7"/>
      <c r="BN828" s="7"/>
      <c r="BO828" s="4"/>
      <c r="BP828" s="8"/>
      <c r="BQ828" s="4"/>
      <c r="BR828" s="8"/>
      <c r="BS828" s="7"/>
      <c r="BT828" s="7"/>
      <c r="BU828" s="2" t="s">
        <v>4396</v>
      </c>
      <c r="BV828" s="2" t="s">
        <v>233</v>
      </c>
      <c r="BW828" s="2" t="s">
        <v>233</v>
      </c>
      <c r="BX828" s="2" t="s">
        <v>233</v>
      </c>
      <c r="BY828" s="2" t="s">
        <v>280</v>
      </c>
      <c r="BZ828" s="2" t="s">
        <v>245</v>
      </c>
      <c r="CA828" s="2" t="s">
        <v>4010</v>
      </c>
      <c r="CB828" s="2" t="s">
        <v>417</v>
      </c>
      <c r="CC828" s="2" t="s">
        <v>246</v>
      </c>
      <c r="CD828" s="2" t="s">
        <v>233</v>
      </c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>
        <v>603</v>
      </c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</row>
    <row r="829">
      <c r="A829" s="2" t="s">
        <v>4397</v>
      </c>
      <c r="B829" s="2" t="s">
        <v>333</v>
      </c>
      <c r="C829" s="2" t="s">
        <v>1050</v>
      </c>
      <c r="D829" s="2" t="s">
        <v>335</v>
      </c>
      <c r="E829" s="2" t="s">
        <v>336</v>
      </c>
      <c r="F829" s="2" t="s">
        <v>4149</v>
      </c>
      <c r="G829" s="2" t="s">
        <v>4149</v>
      </c>
      <c r="H829" s="2" t="s">
        <v>4149</v>
      </c>
      <c r="I829" s="2" t="s">
        <v>4150</v>
      </c>
      <c r="J829" s="2" t="s">
        <v>546</v>
      </c>
      <c r="K829" s="2" t="s">
        <v>4389</v>
      </c>
      <c r="L829" s="3">
        <v>27.39</v>
      </c>
      <c r="M829" s="3">
        <v>28.76</v>
      </c>
      <c r="N829" s="3">
        <v>62.99</v>
      </c>
      <c r="O829" s="2" t="s">
        <v>245</v>
      </c>
      <c r="P829" s="2" t="s">
        <v>272</v>
      </c>
      <c r="Q829" s="2" t="s">
        <v>239</v>
      </c>
      <c r="R829" s="2" t="s">
        <v>233</v>
      </c>
      <c r="S829" s="2" t="s">
        <v>4390</v>
      </c>
      <c r="T829" s="2" t="s">
        <v>3950</v>
      </c>
      <c r="U829" s="2" t="s">
        <v>233</v>
      </c>
      <c r="V829" s="2" t="s">
        <v>241</v>
      </c>
      <c r="W829" s="2" t="s">
        <v>275</v>
      </c>
      <c r="X829" s="2" t="s">
        <v>233</v>
      </c>
      <c r="Y829" s="2" t="s">
        <v>276</v>
      </c>
      <c r="Z829" s="4"/>
      <c r="AA829" s="4">
        <f>=ROUNDDOWN({0},0)</f>
      </c>
      <c r="AB829" s="5">
        <v>14</v>
      </c>
      <c r="AC829" s="2" t="s">
        <v>1341</v>
      </c>
      <c r="AD829" s="4">
        <v>144</v>
      </c>
      <c r="AE829" s="4">
        <v>144</v>
      </c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233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233</v>
      </c>
      <c r="AW829" s="8" t="s">
        <v>233</v>
      </c>
      <c r="AX829" s="4" t="s">
        <v>233</v>
      </c>
      <c r="AY829" s="8" t="s">
        <v>233</v>
      </c>
      <c r="AZ829" s="7" t="s">
        <v>233</v>
      </c>
      <c r="BA829" s="7" t="s">
        <v>233</v>
      </c>
      <c r="BB829" s="7"/>
      <c r="BC829" s="4" t="s">
        <v>233</v>
      </c>
      <c r="BD829" s="8" t="s">
        <v>233</v>
      </c>
      <c r="BE829" s="4" t="s">
        <v>233</v>
      </c>
      <c r="BF829" s="8" t="s">
        <v>233</v>
      </c>
      <c r="BG829" s="7" t="s">
        <v>233</v>
      </c>
      <c r="BH829" s="7" t="s">
        <v>233</v>
      </c>
      <c r="BI829" s="7"/>
      <c r="BJ829" s="4"/>
      <c r="BK829" s="8"/>
      <c r="BL829" s="2" t="s">
        <v>233</v>
      </c>
      <c r="BM829" s="7"/>
      <c r="BN829" s="7"/>
      <c r="BO829" s="4"/>
      <c r="BP829" s="8"/>
      <c r="BQ829" s="4"/>
      <c r="BR829" s="8"/>
      <c r="BS829" s="7"/>
      <c r="BT829" s="7"/>
      <c r="BU829" s="2" t="s">
        <v>4398</v>
      </c>
      <c r="BV829" s="2" t="s">
        <v>233</v>
      </c>
      <c r="BW829" s="2" t="s">
        <v>233</v>
      </c>
      <c r="BX829" s="2" t="s">
        <v>233</v>
      </c>
      <c r="BY829" s="2" t="s">
        <v>280</v>
      </c>
      <c r="BZ829" s="2" t="s">
        <v>245</v>
      </c>
      <c r="CA829" s="2" t="s">
        <v>4010</v>
      </c>
      <c r="CB829" s="2" t="s">
        <v>4399</v>
      </c>
      <c r="CC829" s="2" t="s">
        <v>246</v>
      </c>
      <c r="CD829" s="2" t="s">
        <v>233</v>
      </c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>
        <v>144</v>
      </c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</row>
    <row r="830">
      <c r="A830" s="2" t="s">
        <v>4400</v>
      </c>
      <c r="B830" s="2" t="s">
        <v>333</v>
      </c>
      <c r="C830" s="2" t="s">
        <v>1050</v>
      </c>
      <c r="D830" s="2" t="s">
        <v>335</v>
      </c>
      <c r="E830" s="2" t="s">
        <v>336</v>
      </c>
      <c r="F830" s="2" t="s">
        <v>4149</v>
      </c>
      <c r="G830" s="2" t="s">
        <v>4149</v>
      </c>
      <c r="H830" s="2" t="s">
        <v>4149</v>
      </c>
      <c r="I830" s="2" t="s">
        <v>4150</v>
      </c>
      <c r="J830" s="2" t="s">
        <v>270</v>
      </c>
      <c r="K830" s="2" t="s">
        <v>4401</v>
      </c>
      <c r="L830" s="3">
        <v>14.89</v>
      </c>
      <c r="M830" s="3">
        <v>15.63</v>
      </c>
      <c r="N830" s="3">
        <v>31.99</v>
      </c>
      <c r="O830" s="2" t="s">
        <v>245</v>
      </c>
      <c r="P830" s="2" t="s">
        <v>272</v>
      </c>
      <c r="Q830" s="2" t="s">
        <v>239</v>
      </c>
      <c r="R830" s="2" t="s">
        <v>233</v>
      </c>
      <c r="S830" s="2" t="s">
        <v>4402</v>
      </c>
      <c r="T830" s="2" t="s">
        <v>3950</v>
      </c>
      <c r="U830" s="2" t="s">
        <v>233</v>
      </c>
      <c r="V830" s="2" t="s">
        <v>241</v>
      </c>
      <c r="W830" s="2" t="s">
        <v>275</v>
      </c>
      <c r="X830" s="2" t="s">
        <v>233</v>
      </c>
      <c r="Y830" s="2" t="s">
        <v>4403</v>
      </c>
      <c r="Z830" s="4"/>
      <c r="AA830" s="4">
        <f>=ROUNDDOWN({0},0)</f>
      </c>
      <c r="AB830" s="5">
        <v>51</v>
      </c>
      <c r="AC830" s="2" t="s">
        <v>1341</v>
      </c>
      <c r="AD830" s="4">
        <v>498</v>
      </c>
      <c r="AE830" s="4">
        <v>498</v>
      </c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233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233</v>
      </c>
      <c r="AW830" s="8" t="s">
        <v>233</v>
      </c>
      <c r="AX830" s="4" t="s">
        <v>233</v>
      </c>
      <c r="AY830" s="8" t="s">
        <v>233</v>
      </c>
      <c r="AZ830" s="7" t="s">
        <v>233</v>
      </c>
      <c r="BA830" s="7" t="s">
        <v>233</v>
      </c>
      <c r="BB830" s="7"/>
      <c r="BC830" s="4" t="s">
        <v>233</v>
      </c>
      <c r="BD830" s="8" t="s">
        <v>233</v>
      </c>
      <c r="BE830" s="4" t="s">
        <v>233</v>
      </c>
      <c r="BF830" s="8" t="s">
        <v>233</v>
      </c>
      <c r="BG830" s="7" t="s">
        <v>233</v>
      </c>
      <c r="BH830" s="7" t="s">
        <v>233</v>
      </c>
      <c r="BI830" s="7"/>
      <c r="BJ830" s="4"/>
      <c r="BK830" s="8"/>
      <c r="BL830" s="2" t="s">
        <v>233</v>
      </c>
      <c r="BM830" s="7"/>
      <c r="BN830" s="7"/>
      <c r="BO830" s="4"/>
      <c r="BP830" s="8"/>
      <c r="BQ830" s="4"/>
      <c r="BR830" s="8"/>
      <c r="BS830" s="7"/>
      <c r="BT830" s="7"/>
      <c r="BU830" s="2" t="s">
        <v>4404</v>
      </c>
      <c r="BV830" s="2" t="s">
        <v>233</v>
      </c>
      <c r="BW830" s="2" t="s">
        <v>233</v>
      </c>
      <c r="BX830" s="2" t="s">
        <v>233</v>
      </c>
      <c r="BY830" s="2" t="s">
        <v>280</v>
      </c>
      <c r="BZ830" s="2" t="s">
        <v>245</v>
      </c>
      <c r="CA830" s="2" t="s">
        <v>4010</v>
      </c>
      <c r="CB830" s="2" t="s">
        <v>4292</v>
      </c>
      <c r="CC830" s="2" t="s">
        <v>246</v>
      </c>
      <c r="CD830" s="2" t="s">
        <v>233</v>
      </c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>
        <v>498</v>
      </c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</row>
    <row r="831">
      <c r="A831" s="2" t="s">
        <v>4405</v>
      </c>
      <c r="B831" s="2" t="s">
        <v>333</v>
      </c>
      <c r="C831" s="2" t="s">
        <v>1050</v>
      </c>
      <c r="D831" s="2" t="s">
        <v>335</v>
      </c>
      <c r="E831" s="2" t="s">
        <v>336</v>
      </c>
      <c r="F831" s="2" t="s">
        <v>4149</v>
      </c>
      <c r="G831" s="2" t="s">
        <v>4149</v>
      </c>
      <c r="H831" s="2" t="s">
        <v>4149</v>
      </c>
      <c r="I831" s="2" t="s">
        <v>4150</v>
      </c>
      <c r="J831" s="2" t="s">
        <v>290</v>
      </c>
      <c r="K831" s="2" t="s">
        <v>4401</v>
      </c>
      <c r="L831" s="3">
        <v>19.57</v>
      </c>
      <c r="M831" s="3">
        <v>20.55</v>
      </c>
      <c r="N831" s="3">
        <v>42.99</v>
      </c>
      <c r="O831" s="2" t="s">
        <v>245</v>
      </c>
      <c r="P831" s="2" t="s">
        <v>741</v>
      </c>
      <c r="Q831" s="2" t="s">
        <v>239</v>
      </c>
      <c r="R831" s="2" t="s">
        <v>233</v>
      </c>
      <c r="S831" s="2" t="s">
        <v>4402</v>
      </c>
      <c r="T831" s="2" t="s">
        <v>3950</v>
      </c>
      <c r="U831" s="2" t="s">
        <v>233</v>
      </c>
      <c r="V831" s="2" t="s">
        <v>241</v>
      </c>
      <c r="W831" s="2" t="s">
        <v>275</v>
      </c>
      <c r="X831" s="2" t="s">
        <v>233</v>
      </c>
      <c r="Y831" s="2" t="s">
        <v>276</v>
      </c>
      <c r="Z831" s="4"/>
      <c r="AA831" s="4">
        <f>=ROUNDDOWN({0},0)</f>
      </c>
      <c r="AB831" s="5">
        <v>38</v>
      </c>
      <c r="AC831" s="2" t="s">
        <v>1341</v>
      </c>
      <c r="AD831" s="4">
        <v>371</v>
      </c>
      <c r="AE831" s="4">
        <v>371</v>
      </c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233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233</v>
      </c>
      <c r="AW831" s="8" t="s">
        <v>233</v>
      </c>
      <c r="AX831" s="4" t="s">
        <v>233</v>
      </c>
      <c r="AY831" s="8" t="s">
        <v>233</v>
      </c>
      <c r="AZ831" s="7" t="s">
        <v>233</v>
      </c>
      <c r="BA831" s="7" t="s">
        <v>233</v>
      </c>
      <c r="BB831" s="7"/>
      <c r="BC831" s="4" t="s">
        <v>233</v>
      </c>
      <c r="BD831" s="8" t="s">
        <v>233</v>
      </c>
      <c r="BE831" s="4" t="s">
        <v>233</v>
      </c>
      <c r="BF831" s="8" t="s">
        <v>233</v>
      </c>
      <c r="BG831" s="7" t="s">
        <v>233</v>
      </c>
      <c r="BH831" s="7" t="s">
        <v>233</v>
      </c>
      <c r="BI831" s="7"/>
      <c r="BJ831" s="4"/>
      <c r="BK831" s="8"/>
      <c r="BL831" s="2" t="s">
        <v>233</v>
      </c>
      <c r="BM831" s="7"/>
      <c r="BN831" s="7"/>
      <c r="BO831" s="4"/>
      <c r="BP831" s="8"/>
      <c r="BQ831" s="4"/>
      <c r="BR831" s="8"/>
      <c r="BS831" s="7"/>
      <c r="BT831" s="7"/>
      <c r="BU831" s="2" t="s">
        <v>4406</v>
      </c>
      <c r="BV831" s="2" t="s">
        <v>233</v>
      </c>
      <c r="BW831" s="2" t="s">
        <v>233</v>
      </c>
      <c r="BX831" s="2" t="s">
        <v>233</v>
      </c>
      <c r="BY831" s="2" t="s">
        <v>280</v>
      </c>
      <c r="BZ831" s="2" t="s">
        <v>245</v>
      </c>
      <c r="CA831" s="2" t="s">
        <v>4010</v>
      </c>
      <c r="CB831" s="2" t="s">
        <v>4407</v>
      </c>
      <c r="CC831" s="2" t="s">
        <v>246</v>
      </c>
      <c r="CD831" s="2" t="s">
        <v>233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>
        <v>371</v>
      </c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</row>
    <row r="832">
      <c r="A832" s="2" t="s">
        <v>4408</v>
      </c>
      <c r="B832" s="2" t="s">
        <v>333</v>
      </c>
      <c r="C832" s="2" t="s">
        <v>1050</v>
      </c>
      <c r="D832" s="2" t="s">
        <v>335</v>
      </c>
      <c r="E832" s="2" t="s">
        <v>336</v>
      </c>
      <c r="F832" s="2" t="s">
        <v>4149</v>
      </c>
      <c r="G832" s="2" t="s">
        <v>4149</v>
      </c>
      <c r="H832" s="2" t="s">
        <v>4149</v>
      </c>
      <c r="I832" s="2" t="s">
        <v>4150</v>
      </c>
      <c r="J832" s="2" t="s">
        <v>348</v>
      </c>
      <c r="K832" s="2" t="s">
        <v>4401</v>
      </c>
      <c r="L832" s="3">
        <v>22.21</v>
      </c>
      <c r="M832" s="3">
        <v>23.32</v>
      </c>
      <c r="N832" s="3">
        <v>47.99</v>
      </c>
      <c r="O832" s="2" t="s">
        <v>245</v>
      </c>
      <c r="P832" s="2" t="s">
        <v>272</v>
      </c>
      <c r="Q832" s="2" t="s">
        <v>239</v>
      </c>
      <c r="R832" s="2" t="s">
        <v>233</v>
      </c>
      <c r="S832" s="2" t="s">
        <v>4402</v>
      </c>
      <c r="T832" s="2" t="s">
        <v>3950</v>
      </c>
      <c r="U832" s="2" t="s">
        <v>233</v>
      </c>
      <c r="V832" s="2" t="s">
        <v>241</v>
      </c>
      <c r="W832" s="2" t="s">
        <v>233</v>
      </c>
      <c r="X832" s="2" t="s">
        <v>233</v>
      </c>
      <c r="Y832" s="2" t="s">
        <v>276</v>
      </c>
      <c r="Z832" s="4"/>
      <c r="AA832" s="4">
        <f>=ROUNDDOWN({0},0)</f>
      </c>
      <c r="AB832" s="5">
        <v>57</v>
      </c>
      <c r="AC832" s="2" t="s">
        <v>1341</v>
      </c>
      <c r="AD832" s="4">
        <v>554</v>
      </c>
      <c r="AE832" s="4">
        <v>554</v>
      </c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233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233</v>
      </c>
      <c r="AW832" s="8" t="s">
        <v>233</v>
      </c>
      <c r="AX832" s="4" t="s">
        <v>233</v>
      </c>
      <c r="AY832" s="8" t="s">
        <v>233</v>
      </c>
      <c r="AZ832" s="7" t="s">
        <v>233</v>
      </c>
      <c r="BA832" s="7" t="s">
        <v>233</v>
      </c>
      <c r="BB832" s="7"/>
      <c r="BC832" s="4" t="s">
        <v>233</v>
      </c>
      <c r="BD832" s="8" t="s">
        <v>233</v>
      </c>
      <c r="BE832" s="4" t="s">
        <v>233</v>
      </c>
      <c r="BF832" s="8" t="s">
        <v>233</v>
      </c>
      <c r="BG832" s="7" t="s">
        <v>233</v>
      </c>
      <c r="BH832" s="7" t="s">
        <v>233</v>
      </c>
      <c r="BI832" s="7"/>
      <c r="BJ832" s="4"/>
      <c r="BK832" s="8"/>
      <c r="BL832" s="2" t="s">
        <v>233</v>
      </c>
      <c r="BM832" s="7"/>
      <c r="BN832" s="7"/>
      <c r="BO832" s="4"/>
      <c r="BP832" s="8"/>
      <c r="BQ832" s="4"/>
      <c r="BR832" s="8"/>
      <c r="BS832" s="7"/>
      <c r="BT832" s="7"/>
      <c r="BU832" s="2" t="s">
        <v>4409</v>
      </c>
      <c r="BV832" s="2" t="s">
        <v>233</v>
      </c>
      <c r="BW832" s="2" t="s">
        <v>233</v>
      </c>
      <c r="BX832" s="2" t="s">
        <v>233</v>
      </c>
      <c r="BY832" s="2" t="s">
        <v>280</v>
      </c>
      <c r="BZ832" s="2" t="s">
        <v>245</v>
      </c>
      <c r="CA832" s="2" t="s">
        <v>4010</v>
      </c>
      <c r="CB832" s="2" t="s">
        <v>4267</v>
      </c>
      <c r="CC832" s="2" t="s">
        <v>246</v>
      </c>
      <c r="CD832" s="2" t="s">
        <v>233</v>
      </c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>
        <v>554</v>
      </c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</row>
    <row r="833">
      <c r="A833" s="2" t="s">
        <v>4410</v>
      </c>
      <c r="B833" s="2" t="s">
        <v>333</v>
      </c>
      <c r="C833" s="2" t="s">
        <v>1050</v>
      </c>
      <c r="D833" s="2" t="s">
        <v>335</v>
      </c>
      <c r="E833" s="2" t="s">
        <v>336</v>
      </c>
      <c r="F833" s="2" t="s">
        <v>4149</v>
      </c>
      <c r="G833" s="2" t="s">
        <v>4149</v>
      </c>
      <c r="H833" s="2" t="s">
        <v>4149</v>
      </c>
      <c r="I833" s="2" t="s">
        <v>4150</v>
      </c>
      <c r="J833" s="2" t="s">
        <v>328</v>
      </c>
      <c r="K833" s="2" t="s">
        <v>4401</v>
      </c>
      <c r="L833" s="3">
        <v>27.39</v>
      </c>
      <c r="M833" s="3">
        <v>28.76</v>
      </c>
      <c r="N833" s="3">
        <v>62.99</v>
      </c>
      <c r="O833" s="2" t="s">
        <v>245</v>
      </c>
      <c r="P833" s="2" t="s">
        <v>272</v>
      </c>
      <c r="Q833" s="2" t="s">
        <v>239</v>
      </c>
      <c r="R833" s="2" t="s">
        <v>233</v>
      </c>
      <c r="S833" s="2" t="s">
        <v>4402</v>
      </c>
      <c r="T833" s="2" t="s">
        <v>3950</v>
      </c>
      <c r="U833" s="2" t="s">
        <v>233</v>
      </c>
      <c r="V833" s="2" t="s">
        <v>241</v>
      </c>
      <c r="W833" s="2" t="s">
        <v>275</v>
      </c>
      <c r="X833" s="2" t="s">
        <v>233</v>
      </c>
      <c r="Y833" s="2" t="s">
        <v>276</v>
      </c>
      <c r="Z833" s="4"/>
      <c r="AA833" s="4">
        <f>=ROUNDDOWN({0},0)</f>
      </c>
      <c r="AB833" s="5">
        <v>24</v>
      </c>
      <c r="AC833" s="2" t="s">
        <v>1341</v>
      </c>
      <c r="AD833" s="4">
        <v>247</v>
      </c>
      <c r="AE833" s="4">
        <v>247</v>
      </c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233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233</v>
      </c>
      <c r="AW833" s="8" t="s">
        <v>233</v>
      </c>
      <c r="AX833" s="4" t="s">
        <v>233</v>
      </c>
      <c r="AY833" s="8" t="s">
        <v>233</v>
      </c>
      <c r="AZ833" s="7" t="s">
        <v>233</v>
      </c>
      <c r="BA833" s="7" t="s">
        <v>233</v>
      </c>
      <c r="BB833" s="7"/>
      <c r="BC833" s="4" t="s">
        <v>233</v>
      </c>
      <c r="BD833" s="8" t="s">
        <v>233</v>
      </c>
      <c r="BE833" s="4" t="s">
        <v>233</v>
      </c>
      <c r="BF833" s="8" t="s">
        <v>233</v>
      </c>
      <c r="BG833" s="7" t="s">
        <v>233</v>
      </c>
      <c r="BH833" s="7" t="s">
        <v>233</v>
      </c>
      <c r="BI833" s="7"/>
      <c r="BJ833" s="4"/>
      <c r="BK833" s="8"/>
      <c r="BL833" s="2" t="s">
        <v>4411</v>
      </c>
      <c r="BM833" s="7"/>
      <c r="BN833" s="7"/>
      <c r="BO833" s="4"/>
      <c r="BP833" s="8"/>
      <c r="BQ833" s="4"/>
      <c r="BR833" s="8"/>
      <c r="BS833" s="7"/>
      <c r="BT833" s="7"/>
      <c r="BU833" s="2" t="s">
        <v>4412</v>
      </c>
      <c r="BV833" s="2" t="s">
        <v>233</v>
      </c>
      <c r="BW833" s="2" t="s">
        <v>233</v>
      </c>
      <c r="BX833" s="2" t="s">
        <v>233</v>
      </c>
      <c r="BY833" s="2" t="s">
        <v>280</v>
      </c>
      <c r="BZ833" s="2" t="s">
        <v>245</v>
      </c>
      <c r="CA833" s="2" t="s">
        <v>4010</v>
      </c>
      <c r="CB833" s="2" t="s">
        <v>4413</v>
      </c>
      <c r="CC833" s="2" t="s">
        <v>246</v>
      </c>
      <c r="CD833" s="2" t="s">
        <v>233</v>
      </c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>
        <v>247</v>
      </c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</row>
    <row r="834">
      <c r="A834" s="2" t="s">
        <v>4414</v>
      </c>
      <c r="B834" s="2" t="s">
        <v>333</v>
      </c>
      <c r="C834" s="2" t="s">
        <v>1050</v>
      </c>
      <c r="D834" s="2" t="s">
        <v>335</v>
      </c>
      <c r="E834" s="2" t="s">
        <v>336</v>
      </c>
      <c r="F834" s="2" t="s">
        <v>4149</v>
      </c>
      <c r="G834" s="2" t="s">
        <v>4149</v>
      </c>
      <c r="H834" s="2" t="s">
        <v>4149</v>
      </c>
      <c r="I834" s="2" t="s">
        <v>4150</v>
      </c>
      <c r="J834" s="2" t="s">
        <v>270</v>
      </c>
      <c r="K834" s="2" t="s">
        <v>4415</v>
      </c>
      <c r="L834" s="3">
        <v>14.89</v>
      </c>
      <c r="M834" s="3">
        <v>15.63</v>
      </c>
      <c r="N834" s="3">
        <v>31.99</v>
      </c>
      <c r="O834" s="2" t="s">
        <v>245</v>
      </c>
      <c r="P834" s="2" t="s">
        <v>272</v>
      </c>
      <c r="Q834" s="2" t="s">
        <v>239</v>
      </c>
      <c r="R834" s="2" t="s">
        <v>233</v>
      </c>
      <c r="S834" s="2" t="s">
        <v>4416</v>
      </c>
      <c r="T834" s="2" t="s">
        <v>3950</v>
      </c>
      <c r="U834" s="2" t="s">
        <v>233</v>
      </c>
      <c r="V834" s="2" t="s">
        <v>3951</v>
      </c>
      <c r="W834" s="2" t="s">
        <v>275</v>
      </c>
      <c r="X834" s="2" t="s">
        <v>233</v>
      </c>
      <c r="Y834" s="2" t="s">
        <v>3973</v>
      </c>
      <c r="Z834" s="4"/>
      <c r="AA834" s="4">
        <f>=ROUNDDOWN({0},0)</f>
      </c>
      <c r="AB834" s="5">
        <v>50</v>
      </c>
      <c r="AC834" s="2" t="s">
        <v>1341</v>
      </c>
      <c r="AD834" s="4">
        <v>489</v>
      </c>
      <c r="AE834" s="4">
        <v>489</v>
      </c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233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233</v>
      </c>
      <c r="AW834" s="8" t="s">
        <v>233</v>
      </c>
      <c r="AX834" s="4" t="s">
        <v>233</v>
      </c>
      <c r="AY834" s="8" t="s">
        <v>233</v>
      </c>
      <c r="AZ834" s="7" t="s">
        <v>233</v>
      </c>
      <c r="BA834" s="7" t="s">
        <v>233</v>
      </c>
      <c r="BB834" s="7"/>
      <c r="BC834" s="4" t="s">
        <v>233</v>
      </c>
      <c r="BD834" s="8" t="s">
        <v>233</v>
      </c>
      <c r="BE834" s="4" t="s">
        <v>233</v>
      </c>
      <c r="BF834" s="8" t="s">
        <v>233</v>
      </c>
      <c r="BG834" s="7" t="s">
        <v>233</v>
      </c>
      <c r="BH834" s="7" t="s">
        <v>233</v>
      </c>
      <c r="BI834" s="7"/>
      <c r="BJ834" s="4"/>
      <c r="BK834" s="8"/>
      <c r="BL834" s="2" t="s">
        <v>233</v>
      </c>
      <c r="BM834" s="7"/>
      <c r="BN834" s="7"/>
      <c r="BO834" s="4"/>
      <c r="BP834" s="8"/>
      <c r="BQ834" s="4"/>
      <c r="BR834" s="8"/>
      <c r="BS834" s="7"/>
      <c r="BT834" s="7"/>
      <c r="BU834" s="2" t="s">
        <v>4417</v>
      </c>
      <c r="BV834" s="2" t="s">
        <v>233</v>
      </c>
      <c r="BW834" s="2" t="s">
        <v>233</v>
      </c>
      <c r="BX834" s="2" t="s">
        <v>233</v>
      </c>
      <c r="BY834" s="2" t="s">
        <v>280</v>
      </c>
      <c r="BZ834" s="2" t="s">
        <v>245</v>
      </c>
      <c r="CA834" s="2" t="s">
        <v>4173</v>
      </c>
      <c r="CB834" s="2" t="s">
        <v>4075</v>
      </c>
      <c r="CC834" s="2" t="s">
        <v>246</v>
      </c>
      <c r="CD834" s="2" t="s">
        <v>233</v>
      </c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>
        <v>489</v>
      </c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</row>
    <row r="835">
      <c r="A835" s="2" t="s">
        <v>4418</v>
      </c>
      <c r="B835" s="2" t="s">
        <v>333</v>
      </c>
      <c r="C835" s="2" t="s">
        <v>1050</v>
      </c>
      <c r="D835" s="2" t="s">
        <v>335</v>
      </c>
      <c r="E835" s="2" t="s">
        <v>336</v>
      </c>
      <c r="F835" s="2" t="s">
        <v>4149</v>
      </c>
      <c r="G835" s="2" t="s">
        <v>4149</v>
      </c>
      <c r="H835" s="2" t="s">
        <v>4149</v>
      </c>
      <c r="I835" s="2" t="s">
        <v>4150</v>
      </c>
      <c r="J835" s="2" t="s">
        <v>284</v>
      </c>
      <c r="K835" s="2" t="s">
        <v>4415</v>
      </c>
      <c r="L835" s="3">
        <v>16.16</v>
      </c>
      <c r="M835" s="3">
        <v>16.97</v>
      </c>
      <c r="N835" s="3">
        <v>34.99</v>
      </c>
      <c r="O835" s="2" t="s">
        <v>245</v>
      </c>
      <c r="P835" s="2" t="s">
        <v>272</v>
      </c>
      <c r="Q835" s="2" t="s">
        <v>239</v>
      </c>
      <c r="R835" s="2" t="s">
        <v>233</v>
      </c>
      <c r="S835" s="2" t="s">
        <v>4416</v>
      </c>
      <c r="T835" s="2" t="s">
        <v>3950</v>
      </c>
      <c r="U835" s="2" t="s">
        <v>233</v>
      </c>
      <c r="V835" s="2" t="s">
        <v>3951</v>
      </c>
      <c r="W835" s="2" t="s">
        <v>275</v>
      </c>
      <c r="X835" s="2" t="s">
        <v>233</v>
      </c>
      <c r="Y835" s="2" t="s">
        <v>3973</v>
      </c>
      <c r="Z835" s="4"/>
      <c r="AA835" s="4">
        <f>=ROUNDDOWN({0},0)</f>
      </c>
      <c r="AB835" s="5">
        <v>27</v>
      </c>
      <c r="AC835" s="2" t="s">
        <v>1341</v>
      </c>
      <c r="AD835" s="4">
        <v>265</v>
      </c>
      <c r="AE835" s="4">
        <v>265</v>
      </c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233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233</v>
      </c>
      <c r="AW835" s="8" t="s">
        <v>233</v>
      </c>
      <c r="AX835" s="4" t="s">
        <v>233</v>
      </c>
      <c r="AY835" s="8" t="s">
        <v>233</v>
      </c>
      <c r="AZ835" s="7" t="s">
        <v>233</v>
      </c>
      <c r="BA835" s="7" t="s">
        <v>233</v>
      </c>
      <c r="BB835" s="7"/>
      <c r="BC835" s="4" t="s">
        <v>233</v>
      </c>
      <c r="BD835" s="8" t="s">
        <v>233</v>
      </c>
      <c r="BE835" s="4" t="s">
        <v>233</v>
      </c>
      <c r="BF835" s="8" t="s">
        <v>233</v>
      </c>
      <c r="BG835" s="7" t="s">
        <v>233</v>
      </c>
      <c r="BH835" s="7" t="s">
        <v>233</v>
      </c>
      <c r="BI835" s="7"/>
      <c r="BJ835" s="4"/>
      <c r="BK835" s="8"/>
      <c r="BL835" s="2" t="s">
        <v>233</v>
      </c>
      <c r="BM835" s="7"/>
      <c r="BN835" s="7"/>
      <c r="BO835" s="4"/>
      <c r="BP835" s="8"/>
      <c r="BQ835" s="4"/>
      <c r="BR835" s="8"/>
      <c r="BS835" s="7"/>
      <c r="BT835" s="7"/>
      <c r="BU835" s="2" t="s">
        <v>4419</v>
      </c>
      <c r="BV835" s="2" t="s">
        <v>233</v>
      </c>
      <c r="BW835" s="2" t="s">
        <v>233</v>
      </c>
      <c r="BX835" s="2" t="s">
        <v>233</v>
      </c>
      <c r="BY835" s="2" t="s">
        <v>280</v>
      </c>
      <c r="BZ835" s="2" t="s">
        <v>245</v>
      </c>
      <c r="CA835" s="2" t="s">
        <v>4173</v>
      </c>
      <c r="CB835" s="2" t="s">
        <v>4179</v>
      </c>
      <c r="CC835" s="2" t="s">
        <v>246</v>
      </c>
      <c r="CD835" s="2" t="s">
        <v>233</v>
      </c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>
        <v>265</v>
      </c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</row>
    <row r="836">
      <c r="A836" s="2" t="s">
        <v>4420</v>
      </c>
      <c r="B836" s="2" t="s">
        <v>333</v>
      </c>
      <c r="C836" s="2" t="s">
        <v>1050</v>
      </c>
      <c r="D836" s="2" t="s">
        <v>335</v>
      </c>
      <c r="E836" s="2" t="s">
        <v>336</v>
      </c>
      <c r="F836" s="2" t="s">
        <v>4149</v>
      </c>
      <c r="G836" s="2" t="s">
        <v>4149</v>
      </c>
      <c r="H836" s="2" t="s">
        <v>4149</v>
      </c>
      <c r="I836" s="2" t="s">
        <v>4150</v>
      </c>
      <c r="J836" s="2" t="s">
        <v>290</v>
      </c>
      <c r="K836" s="2" t="s">
        <v>4415</v>
      </c>
      <c r="L836" s="3">
        <v>19.57</v>
      </c>
      <c r="M836" s="3">
        <v>20.55</v>
      </c>
      <c r="N836" s="3">
        <v>42.99</v>
      </c>
      <c r="O836" s="2" t="s">
        <v>245</v>
      </c>
      <c r="P836" s="2" t="s">
        <v>272</v>
      </c>
      <c r="Q836" s="2" t="s">
        <v>239</v>
      </c>
      <c r="R836" s="2" t="s">
        <v>233</v>
      </c>
      <c r="S836" s="2" t="s">
        <v>4416</v>
      </c>
      <c r="T836" s="2" t="s">
        <v>3950</v>
      </c>
      <c r="U836" s="2" t="s">
        <v>233</v>
      </c>
      <c r="V836" s="2" t="s">
        <v>3951</v>
      </c>
      <c r="W836" s="2" t="s">
        <v>275</v>
      </c>
      <c r="X836" s="2" t="s">
        <v>233</v>
      </c>
      <c r="Y836" s="2" t="s">
        <v>3973</v>
      </c>
      <c r="Z836" s="4"/>
      <c r="AA836" s="4">
        <f>=ROUNDDOWN({0},0)</f>
      </c>
      <c r="AB836" s="5">
        <v>24</v>
      </c>
      <c r="AC836" s="2" t="s">
        <v>1341</v>
      </c>
      <c r="AD836" s="4">
        <v>242</v>
      </c>
      <c r="AE836" s="4">
        <v>242</v>
      </c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233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233</v>
      </c>
      <c r="AW836" s="8" t="s">
        <v>233</v>
      </c>
      <c r="AX836" s="4" t="s">
        <v>233</v>
      </c>
      <c r="AY836" s="8" t="s">
        <v>233</v>
      </c>
      <c r="AZ836" s="7" t="s">
        <v>233</v>
      </c>
      <c r="BA836" s="7" t="s">
        <v>233</v>
      </c>
      <c r="BB836" s="7"/>
      <c r="BC836" s="4" t="s">
        <v>233</v>
      </c>
      <c r="BD836" s="8" t="s">
        <v>233</v>
      </c>
      <c r="BE836" s="4" t="s">
        <v>233</v>
      </c>
      <c r="BF836" s="8" t="s">
        <v>233</v>
      </c>
      <c r="BG836" s="7" t="s">
        <v>233</v>
      </c>
      <c r="BH836" s="7" t="s">
        <v>233</v>
      </c>
      <c r="BI836" s="7"/>
      <c r="BJ836" s="4"/>
      <c r="BK836" s="8"/>
      <c r="BL836" s="2" t="s">
        <v>233</v>
      </c>
      <c r="BM836" s="7"/>
      <c r="BN836" s="7"/>
      <c r="BO836" s="4"/>
      <c r="BP836" s="8"/>
      <c r="BQ836" s="4"/>
      <c r="BR836" s="8"/>
      <c r="BS836" s="7"/>
      <c r="BT836" s="7"/>
      <c r="BU836" s="2" t="s">
        <v>4421</v>
      </c>
      <c r="BV836" s="2" t="s">
        <v>233</v>
      </c>
      <c r="BW836" s="2" t="s">
        <v>233</v>
      </c>
      <c r="BX836" s="2" t="s">
        <v>233</v>
      </c>
      <c r="BY836" s="2" t="s">
        <v>280</v>
      </c>
      <c r="BZ836" s="2" t="s">
        <v>245</v>
      </c>
      <c r="CA836" s="2" t="s">
        <v>4173</v>
      </c>
      <c r="CB836" s="2" t="s">
        <v>4372</v>
      </c>
      <c r="CC836" s="2" t="s">
        <v>246</v>
      </c>
      <c r="CD836" s="2" t="s">
        <v>233</v>
      </c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>
        <v>242</v>
      </c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</row>
    <row r="837">
      <c r="A837" s="2" t="s">
        <v>4422</v>
      </c>
      <c r="B837" s="2" t="s">
        <v>333</v>
      </c>
      <c r="C837" s="2" t="s">
        <v>1050</v>
      </c>
      <c r="D837" s="2" t="s">
        <v>335</v>
      </c>
      <c r="E837" s="2" t="s">
        <v>336</v>
      </c>
      <c r="F837" s="2" t="s">
        <v>4149</v>
      </c>
      <c r="G837" s="2" t="s">
        <v>4149</v>
      </c>
      <c r="H837" s="2" t="s">
        <v>4149</v>
      </c>
      <c r="I837" s="2" t="s">
        <v>4150</v>
      </c>
      <c r="J837" s="2" t="s">
        <v>348</v>
      </c>
      <c r="K837" s="2" t="s">
        <v>4415</v>
      </c>
      <c r="L837" s="3">
        <v>22.21</v>
      </c>
      <c r="M837" s="3">
        <v>23.32</v>
      </c>
      <c r="N837" s="3">
        <v>47.99</v>
      </c>
      <c r="O837" s="2" t="s">
        <v>245</v>
      </c>
      <c r="P837" s="2" t="s">
        <v>1366</v>
      </c>
      <c r="Q837" s="2" t="s">
        <v>239</v>
      </c>
      <c r="R837" s="2" t="s">
        <v>233</v>
      </c>
      <c r="S837" s="2" t="s">
        <v>4416</v>
      </c>
      <c r="T837" s="2" t="s">
        <v>3950</v>
      </c>
      <c r="U837" s="2" t="s">
        <v>233</v>
      </c>
      <c r="V837" s="2" t="s">
        <v>3951</v>
      </c>
      <c r="W837" s="2" t="s">
        <v>275</v>
      </c>
      <c r="X837" s="2" t="s">
        <v>233</v>
      </c>
      <c r="Y837" s="2" t="s">
        <v>3973</v>
      </c>
      <c r="Z837" s="4"/>
      <c r="AA837" s="4">
        <f>=ROUNDDOWN({0},0)</f>
      </c>
      <c r="AB837" s="5">
        <v>41</v>
      </c>
      <c r="AC837" s="2" t="s">
        <v>1341</v>
      </c>
      <c r="AD837" s="4">
        <v>401</v>
      </c>
      <c r="AE837" s="4">
        <v>401</v>
      </c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233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233</v>
      </c>
      <c r="AW837" s="8" t="s">
        <v>233</v>
      </c>
      <c r="AX837" s="4" t="s">
        <v>233</v>
      </c>
      <c r="AY837" s="8" t="s">
        <v>233</v>
      </c>
      <c r="AZ837" s="7" t="s">
        <v>233</v>
      </c>
      <c r="BA837" s="7" t="s">
        <v>233</v>
      </c>
      <c r="BB837" s="7"/>
      <c r="BC837" s="4" t="s">
        <v>233</v>
      </c>
      <c r="BD837" s="8" t="s">
        <v>233</v>
      </c>
      <c r="BE837" s="4" t="s">
        <v>233</v>
      </c>
      <c r="BF837" s="8" t="s">
        <v>233</v>
      </c>
      <c r="BG837" s="7" t="s">
        <v>233</v>
      </c>
      <c r="BH837" s="7" t="s">
        <v>233</v>
      </c>
      <c r="BI837" s="7"/>
      <c r="BJ837" s="4"/>
      <c r="BK837" s="8"/>
      <c r="BL837" s="2" t="s">
        <v>233</v>
      </c>
      <c r="BM837" s="7"/>
      <c r="BN837" s="7"/>
      <c r="BO837" s="4"/>
      <c r="BP837" s="8"/>
      <c r="BQ837" s="4"/>
      <c r="BR837" s="8"/>
      <c r="BS837" s="7"/>
      <c r="BT837" s="7"/>
      <c r="BU837" s="2" t="s">
        <v>4423</v>
      </c>
      <c r="BV837" s="2" t="s">
        <v>233</v>
      </c>
      <c r="BW837" s="2" t="s">
        <v>233</v>
      </c>
      <c r="BX837" s="2" t="s">
        <v>233</v>
      </c>
      <c r="BY837" s="2" t="s">
        <v>280</v>
      </c>
      <c r="BZ837" s="2" t="s">
        <v>245</v>
      </c>
      <c r="CA837" s="2" t="s">
        <v>4173</v>
      </c>
      <c r="CB837" s="2" t="s">
        <v>4424</v>
      </c>
      <c r="CC837" s="2" t="s">
        <v>246</v>
      </c>
      <c r="CD837" s="2" t="s">
        <v>233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>
        <v>401</v>
      </c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</row>
    <row r="838">
      <c r="A838" s="2" t="s">
        <v>4425</v>
      </c>
      <c r="B838" s="2" t="s">
        <v>333</v>
      </c>
      <c r="C838" s="2" t="s">
        <v>1050</v>
      </c>
      <c r="D838" s="2" t="s">
        <v>335</v>
      </c>
      <c r="E838" s="2" t="s">
        <v>336</v>
      </c>
      <c r="F838" s="2" t="s">
        <v>4149</v>
      </c>
      <c r="G838" s="2" t="s">
        <v>4149</v>
      </c>
      <c r="H838" s="2" t="s">
        <v>4149</v>
      </c>
      <c r="I838" s="2" t="s">
        <v>4150</v>
      </c>
      <c r="J838" s="2" t="s">
        <v>328</v>
      </c>
      <c r="K838" s="2" t="s">
        <v>4415</v>
      </c>
      <c r="L838" s="3">
        <v>27.39</v>
      </c>
      <c r="M838" s="3">
        <v>28.76</v>
      </c>
      <c r="N838" s="3">
        <v>62.99</v>
      </c>
      <c r="O838" s="2" t="s">
        <v>245</v>
      </c>
      <c r="P838" s="2" t="s">
        <v>272</v>
      </c>
      <c r="Q838" s="2" t="s">
        <v>239</v>
      </c>
      <c r="R838" s="2" t="s">
        <v>233</v>
      </c>
      <c r="S838" s="2" t="s">
        <v>4416</v>
      </c>
      <c r="T838" s="2" t="s">
        <v>3950</v>
      </c>
      <c r="U838" s="2" t="s">
        <v>233</v>
      </c>
      <c r="V838" s="2" t="s">
        <v>3951</v>
      </c>
      <c r="W838" s="2" t="s">
        <v>275</v>
      </c>
      <c r="X838" s="2" t="s">
        <v>233</v>
      </c>
      <c r="Y838" s="2" t="s">
        <v>3973</v>
      </c>
      <c r="Z838" s="4">
        <v>2</v>
      </c>
      <c r="AA838" s="4">
        <f>=ROUNDDOWN(0.133333333333333,0)</f>
      </c>
      <c r="AB838" s="5">
        <v>15</v>
      </c>
      <c r="AC838" s="2" t="s">
        <v>1341</v>
      </c>
      <c r="AD838" s="4">
        <v>156</v>
      </c>
      <c r="AE838" s="4">
        <v>156</v>
      </c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233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233</v>
      </c>
      <c r="AW838" s="8" t="s">
        <v>233</v>
      </c>
      <c r="AX838" s="4" t="s">
        <v>233</v>
      </c>
      <c r="AY838" s="8" t="s">
        <v>233</v>
      </c>
      <c r="AZ838" s="7" t="s">
        <v>233</v>
      </c>
      <c r="BA838" s="7" t="s">
        <v>233</v>
      </c>
      <c r="BB838" s="7"/>
      <c r="BC838" s="4" t="s">
        <v>233</v>
      </c>
      <c r="BD838" s="8" t="s">
        <v>233</v>
      </c>
      <c r="BE838" s="4" t="s">
        <v>233</v>
      </c>
      <c r="BF838" s="8" t="s">
        <v>233</v>
      </c>
      <c r="BG838" s="7" t="s">
        <v>233</v>
      </c>
      <c r="BH838" s="7" t="s">
        <v>233</v>
      </c>
      <c r="BI838" s="7"/>
      <c r="BJ838" s="4"/>
      <c r="BK838" s="8"/>
      <c r="BL838" s="2" t="s">
        <v>233</v>
      </c>
      <c r="BM838" s="7"/>
      <c r="BN838" s="7"/>
      <c r="BO838" s="4"/>
      <c r="BP838" s="8"/>
      <c r="BQ838" s="4"/>
      <c r="BR838" s="8"/>
      <c r="BS838" s="7"/>
      <c r="BT838" s="7"/>
      <c r="BU838" s="2" t="s">
        <v>4426</v>
      </c>
      <c r="BV838" s="2" t="s">
        <v>233</v>
      </c>
      <c r="BW838" s="2" t="s">
        <v>233</v>
      </c>
      <c r="BX838" s="2" t="s">
        <v>233</v>
      </c>
      <c r="BY838" s="2" t="s">
        <v>280</v>
      </c>
      <c r="BZ838" s="2" t="s">
        <v>245</v>
      </c>
      <c r="CA838" s="2" t="s">
        <v>4173</v>
      </c>
      <c r="CB838" s="2" t="s">
        <v>4427</v>
      </c>
      <c r="CC838" s="2" t="s">
        <v>246</v>
      </c>
      <c r="CD838" s="2" t="s">
        <v>233</v>
      </c>
      <c r="CE838" s="4">
        <v>2</v>
      </c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>
        <v>156</v>
      </c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</row>
    <row r="839">
      <c r="A839" s="2" t="s">
        <v>4428</v>
      </c>
      <c r="B839" s="2" t="s">
        <v>333</v>
      </c>
      <c r="C839" s="2" t="s">
        <v>1050</v>
      </c>
      <c r="D839" s="2" t="s">
        <v>335</v>
      </c>
      <c r="E839" s="2" t="s">
        <v>336</v>
      </c>
      <c r="F839" s="2" t="s">
        <v>4149</v>
      </c>
      <c r="G839" s="2" t="s">
        <v>4149</v>
      </c>
      <c r="H839" s="2" t="s">
        <v>4149</v>
      </c>
      <c r="I839" s="2" t="s">
        <v>4150</v>
      </c>
      <c r="J839" s="2" t="s">
        <v>284</v>
      </c>
      <c r="K839" s="2" t="s">
        <v>4429</v>
      </c>
      <c r="L839" s="3">
        <v>16.16</v>
      </c>
      <c r="M839" s="3">
        <v>16.97</v>
      </c>
      <c r="N839" s="3">
        <v>34.99</v>
      </c>
      <c r="O839" s="2" t="s">
        <v>245</v>
      </c>
      <c r="P839" s="2" t="s">
        <v>763</v>
      </c>
      <c r="Q839" s="2" t="s">
        <v>239</v>
      </c>
      <c r="R839" s="2" t="s">
        <v>233</v>
      </c>
      <c r="S839" s="2" t="s">
        <v>4430</v>
      </c>
      <c r="T839" s="2" t="s">
        <v>3950</v>
      </c>
      <c r="U839" s="2" t="s">
        <v>233</v>
      </c>
      <c r="V839" s="2" t="s">
        <v>3951</v>
      </c>
      <c r="W839" s="2" t="s">
        <v>275</v>
      </c>
      <c r="X839" s="2" t="s">
        <v>233</v>
      </c>
      <c r="Y839" s="2" t="s">
        <v>4431</v>
      </c>
      <c r="Z839" s="4"/>
      <c r="AA839" s="4">
        <f>=ROUNDDOWN({0},0)</f>
      </c>
      <c r="AB839" s="5">
        <v>43</v>
      </c>
      <c r="AC839" s="2" t="s">
        <v>1341</v>
      </c>
      <c r="AD839" s="4">
        <v>428</v>
      </c>
      <c r="AE839" s="4">
        <v>428</v>
      </c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233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233</v>
      </c>
      <c r="AW839" s="8" t="s">
        <v>233</v>
      </c>
      <c r="AX839" s="4" t="s">
        <v>233</v>
      </c>
      <c r="AY839" s="8" t="s">
        <v>233</v>
      </c>
      <c r="AZ839" s="7" t="s">
        <v>233</v>
      </c>
      <c r="BA839" s="7" t="s">
        <v>233</v>
      </c>
      <c r="BB839" s="7"/>
      <c r="BC839" s="4" t="s">
        <v>233</v>
      </c>
      <c r="BD839" s="8" t="s">
        <v>233</v>
      </c>
      <c r="BE839" s="4" t="s">
        <v>233</v>
      </c>
      <c r="BF839" s="8" t="s">
        <v>233</v>
      </c>
      <c r="BG839" s="7" t="s">
        <v>233</v>
      </c>
      <c r="BH839" s="7" t="s">
        <v>233</v>
      </c>
      <c r="BI839" s="7"/>
      <c r="BJ839" s="4"/>
      <c r="BK839" s="8"/>
      <c r="BL839" s="2" t="s">
        <v>233</v>
      </c>
      <c r="BM839" s="7"/>
      <c r="BN839" s="7"/>
      <c r="BO839" s="4"/>
      <c r="BP839" s="8"/>
      <c r="BQ839" s="4"/>
      <c r="BR839" s="8"/>
      <c r="BS839" s="7"/>
      <c r="BT839" s="7"/>
      <c r="BU839" s="2" t="s">
        <v>4432</v>
      </c>
      <c r="BV839" s="2" t="s">
        <v>233</v>
      </c>
      <c r="BW839" s="2" t="s">
        <v>233</v>
      </c>
      <c r="BX839" s="2" t="s">
        <v>233</v>
      </c>
      <c r="BY839" s="2" t="s">
        <v>280</v>
      </c>
      <c r="BZ839" s="2" t="s">
        <v>245</v>
      </c>
      <c r="CA839" s="2" t="s">
        <v>4173</v>
      </c>
      <c r="CB839" s="2" t="s">
        <v>4022</v>
      </c>
      <c r="CC839" s="2" t="s">
        <v>246</v>
      </c>
      <c r="CD839" s="2" t="s">
        <v>233</v>
      </c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>
        <v>428</v>
      </c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</row>
    <row r="840">
      <c r="A840" s="2" t="s">
        <v>4433</v>
      </c>
      <c r="B840" s="2" t="s">
        <v>333</v>
      </c>
      <c r="C840" s="2" t="s">
        <v>1050</v>
      </c>
      <c r="D840" s="2" t="s">
        <v>335</v>
      </c>
      <c r="E840" s="2" t="s">
        <v>336</v>
      </c>
      <c r="F840" s="2" t="s">
        <v>4149</v>
      </c>
      <c r="G840" s="2" t="s">
        <v>4149</v>
      </c>
      <c r="H840" s="2" t="s">
        <v>4149</v>
      </c>
      <c r="I840" s="2" t="s">
        <v>4150</v>
      </c>
      <c r="J840" s="2" t="s">
        <v>290</v>
      </c>
      <c r="K840" s="2" t="s">
        <v>4429</v>
      </c>
      <c r="L840" s="3">
        <v>19.57</v>
      </c>
      <c r="M840" s="3">
        <v>20.55</v>
      </c>
      <c r="N840" s="3">
        <v>42.99</v>
      </c>
      <c r="O840" s="2" t="s">
        <v>245</v>
      </c>
      <c r="P840" s="2" t="s">
        <v>741</v>
      </c>
      <c r="Q840" s="2" t="s">
        <v>239</v>
      </c>
      <c r="R840" s="2" t="s">
        <v>233</v>
      </c>
      <c r="S840" s="2" t="s">
        <v>4430</v>
      </c>
      <c r="T840" s="2" t="s">
        <v>3950</v>
      </c>
      <c r="U840" s="2" t="s">
        <v>233</v>
      </c>
      <c r="V840" s="2" t="s">
        <v>3951</v>
      </c>
      <c r="W840" s="2" t="s">
        <v>275</v>
      </c>
      <c r="X840" s="2" t="s">
        <v>233</v>
      </c>
      <c r="Y840" s="2" t="s">
        <v>3973</v>
      </c>
      <c r="Z840" s="4">
        <v>3</v>
      </c>
      <c r="AA840" s="4">
        <f>=ROUNDDOWN(0.06,0)</f>
      </c>
      <c r="AB840" s="5">
        <v>50</v>
      </c>
      <c r="AC840" s="2" t="s">
        <v>1341</v>
      </c>
      <c r="AD840" s="4">
        <v>485</v>
      </c>
      <c r="AE840" s="4">
        <v>485</v>
      </c>
      <c r="AF840" s="6">
        <v>65</v>
      </c>
      <c r="AG840" s="6"/>
      <c r="AH840" s="7">
        <v>0.2903</v>
      </c>
      <c r="AI840" s="4"/>
      <c r="AJ840" s="4">
        <f>=ROUNDDOWN({0},0)</f>
      </c>
      <c r="AK840" s="5"/>
      <c r="AL840" s="2" t="s">
        <v>233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233</v>
      </c>
      <c r="AW840" s="8" t="s">
        <v>233</v>
      </c>
      <c r="AX840" s="4" t="s">
        <v>233</v>
      </c>
      <c r="AY840" s="8" t="s">
        <v>233</v>
      </c>
      <c r="AZ840" s="7" t="s">
        <v>233</v>
      </c>
      <c r="BA840" s="7" t="s">
        <v>233</v>
      </c>
      <c r="BB840" s="7"/>
      <c r="BC840" s="4" t="s">
        <v>233</v>
      </c>
      <c r="BD840" s="8" t="s">
        <v>233</v>
      </c>
      <c r="BE840" s="4" t="s">
        <v>233</v>
      </c>
      <c r="BF840" s="8" t="s">
        <v>233</v>
      </c>
      <c r="BG840" s="7" t="s">
        <v>233</v>
      </c>
      <c r="BH840" s="7" t="s">
        <v>233</v>
      </c>
      <c r="BI840" s="7"/>
      <c r="BJ840" s="4">
        <v>14</v>
      </c>
      <c r="BK840" s="8">
        <v>303.73</v>
      </c>
      <c r="BL840" s="2" t="s">
        <v>4434</v>
      </c>
      <c r="BM840" s="7"/>
      <c r="BN840" s="7"/>
      <c r="BO840" s="4"/>
      <c r="BP840" s="8"/>
      <c r="BQ840" s="4"/>
      <c r="BR840" s="8"/>
      <c r="BS840" s="7"/>
      <c r="BT840" s="7"/>
      <c r="BU840" s="2" t="s">
        <v>4435</v>
      </c>
      <c r="BV840" s="2" t="s">
        <v>233</v>
      </c>
      <c r="BW840" s="2" t="s">
        <v>233</v>
      </c>
      <c r="BX840" s="2" t="s">
        <v>233</v>
      </c>
      <c r="BY840" s="2" t="s">
        <v>280</v>
      </c>
      <c r="BZ840" s="2" t="s">
        <v>245</v>
      </c>
      <c r="CA840" s="2" t="s">
        <v>4173</v>
      </c>
      <c r="CB840" s="2" t="s">
        <v>4372</v>
      </c>
      <c r="CC840" s="2" t="s">
        <v>246</v>
      </c>
      <c r="CD840" s="2" t="s">
        <v>233</v>
      </c>
      <c r="CE840" s="4">
        <v>3</v>
      </c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>
        <v>485</v>
      </c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</row>
    <row r="841">
      <c r="A841" s="2" t="s">
        <v>4436</v>
      </c>
      <c r="B841" s="2" t="s">
        <v>333</v>
      </c>
      <c r="C841" s="2" t="s">
        <v>1050</v>
      </c>
      <c r="D841" s="2" t="s">
        <v>335</v>
      </c>
      <c r="E841" s="2" t="s">
        <v>336</v>
      </c>
      <c r="F841" s="2" t="s">
        <v>4149</v>
      </c>
      <c r="G841" s="2" t="s">
        <v>4149</v>
      </c>
      <c r="H841" s="2" t="s">
        <v>4149</v>
      </c>
      <c r="I841" s="2" t="s">
        <v>4150</v>
      </c>
      <c r="J841" s="2" t="s">
        <v>348</v>
      </c>
      <c r="K841" s="2" t="s">
        <v>4429</v>
      </c>
      <c r="L841" s="3">
        <v>22.21</v>
      </c>
      <c r="M841" s="3">
        <v>23.32</v>
      </c>
      <c r="N841" s="3">
        <v>47.99</v>
      </c>
      <c r="O841" s="2" t="s">
        <v>245</v>
      </c>
      <c r="P841" s="2" t="s">
        <v>2943</v>
      </c>
      <c r="Q841" s="2" t="s">
        <v>239</v>
      </c>
      <c r="R841" s="2" t="s">
        <v>233</v>
      </c>
      <c r="S841" s="2" t="s">
        <v>4430</v>
      </c>
      <c r="T841" s="2" t="s">
        <v>3950</v>
      </c>
      <c r="U841" s="2" t="s">
        <v>233</v>
      </c>
      <c r="V841" s="2" t="s">
        <v>3951</v>
      </c>
      <c r="W841" s="2" t="s">
        <v>275</v>
      </c>
      <c r="X841" s="2" t="s">
        <v>233</v>
      </c>
      <c r="Y841" s="2" t="s">
        <v>4431</v>
      </c>
      <c r="Z841" s="4"/>
      <c r="AA841" s="4">
        <f>=ROUNDDOWN({0},0)</f>
      </c>
      <c r="AB841" s="5">
        <v>125</v>
      </c>
      <c r="AC841" s="2" t="s">
        <v>1341</v>
      </c>
      <c r="AD841" s="4">
        <v>1203</v>
      </c>
      <c r="AE841" s="4">
        <v>1203</v>
      </c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233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233</v>
      </c>
      <c r="AW841" s="8" t="s">
        <v>233</v>
      </c>
      <c r="AX841" s="4" t="s">
        <v>233</v>
      </c>
      <c r="AY841" s="8" t="s">
        <v>233</v>
      </c>
      <c r="AZ841" s="7" t="s">
        <v>233</v>
      </c>
      <c r="BA841" s="7" t="s">
        <v>233</v>
      </c>
      <c r="BB841" s="7"/>
      <c r="BC841" s="4" t="s">
        <v>233</v>
      </c>
      <c r="BD841" s="8" t="s">
        <v>233</v>
      </c>
      <c r="BE841" s="4" t="s">
        <v>233</v>
      </c>
      <c r="BF841" s="8" t="s">
        <v>233</v>
      </c>
      <c r="BG841" s="7" t="s">
        <v>233</v>
      </c>
      <c r="BH841" s="7" t="s">
        <v>233</v>
      </c>
      <c r="BI841" s="7"/>
      <c r="BJ841" s="4"/>
      <c r="BK841" s="8"/>
      <c r="BL841" s="2" t="s">
        <v>233</v>
      </c>
      <c r="BM841" s="7"/>
      <c r="BN841" s="7"/>
      <c r="BO841" s="4"/>
      <c r="BP841" s="8"/>
      <c r="BQ841" s="4"/>
      <c r="BR841" s="8"/>
      <c r="BS841" s="7"/>
      <c r="BT841" s="7"/>
      <c r="BU841" s="2" t="s">
        <v>4437</v>
      </c>
      <c r="BV841" s="2" t="s">
        <v>233</v>
      </c>
      <c r="BW841" s="2" t="s">
        <v>233</v>
      </c>
      <c r="BX841" s="2" t="s">
        <v>233</v>
      </c>
      <c r="BY841" s="2" t="s">
        <v>280</v>
      </c>
      <c r="BZ841" s="2" t="s">
        <v>245</v>
      </c>
      <c r="CA841" s="2" t="s">
        <v>4173</v>
      </c>
      <c r="CB841" s="2" t="s">
        <v>3977</v>
      </c>
      <c r="CC841" s="2" t="s">
        <v>246</v>
      </c>
      <c r="CD841" s="2" t="s">
        <v>233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>
        <v>1203</v>
      </c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</row>
    <row r="842">
      <c r="A842" s="2" t="s">
        <v>4438</v>
      </c>
      <c r="B842" s="2" t="s">
        <v>333</v>
      </c>
      <c r="C842" s="2" t="s">
        <v>1050</v>
      </c>
      <c r="D842" s="2" t="s">
        <v>335</v>
      </c>
      <c r="E842" s="2" t="s">
        <v>336</v>
      </c>
      <c r="F842" s="2" t="s">
        <v>4149</v>
      </c>
      <c r="G842" s="2" t="s">
        <v>4149</v>
      </c>
      <c r="H842" s="2" t="s">
        <v>4149</v>
      </c>
      <c r="I842" s="2" t="s">
        <v>4150</v>
      </c>
      <c r="J842" s="2" t="s">
        <v>270</v>
      </c>
      <c r="K842" s="2" t="s">
        <v>4439</v>
      </c>
      <c r="L842" s="3">
        <v>14.89</v>
      </c>
      <c r="M842" s="3">
        <v>15.63</v>
      </c>
      <c r="N842" s="3">
        <v>31.99</v>
      </c>
      <c r="O842" s="2" t="s">
        <v>245</v>
      </c>
      <c r="P842" s="2" t="s">
        <v>741</v>
      </c>
      <c r="Q842" s="2" t="s">
        <v>239</v>
      </c>
      <c r="R842" s="2" t="s">
        <v>233</v>
      </c>
      <c r="S842" s="2" t="s">
        <v>4440</v>
      </c>
      <c r="T842" s="2" t="s">
        <v>3950</v>
      </c>
      <c r="U842" s="2" t="s">
        <v>475</v>
      </c>
      <c r="V842" s="2" t="s">
        <v>3951</v>
      </c>
      <c r="W842" s="2" t="s">
        <v>275</v>
      </c>
      <c r="X842" s="2" t="s">
        <v>978</v>
      </c>
      <c r="Y842" s="2" t="s">
        <v>3996</v>
      </c>
      <c r="Z842" s="4"/>
      <c r="AA842" s="4">
        <f>=ROUNDDOWN({0},0)</f>
      </c>
      <c r="AB842" s="5">
        <v>39</v>
      </c>
      <c r="AC842" s="2" t="s">
        <v>1341</v>
      </c>
      <c r="AD842" s="4">
        <v>382</v>
      </c>
      <c r="AE842" s="4">
        <v>382</v>
      </c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233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233</v>
      </c>
      <c r="AW842" s="8" t="s">
        <v>233</v>
      </c>
      <c r="AX842" s="4" t="s">
        <v>233</v>
      </c>
      <c r="AY842" s="8" t="s">
        <v>233</v>
      </c>
      <c r="AZ842" s="7" t="s">
        <v>233</v>
      </c>
      <c r="BA842" s="7" t="s">
        <v>233</v>
      </c>
      <c r="BB842" s="7"/>
      <c r="BC842" s="4" t="s">
        <v>233</v>
      </c>
      <c r="BD842" s="8" t="s">
        <v>233</v>
      </c>
      <c r="BE842" s="4" t="s">
        <v>233</v>
      </c>
      <c r="BF842" s="8" t="s">
        <v>233</v>
      </c>
      <c r="BG842" s="7" t="s">
        <v>233</v>
      </c>
      <c r="BH842" s="7" t="s">
        <v>233</v>
      </c>
      <c r="BI842" s="7"/>
      <c r="BJ842" s="4"/>
      <c r="BK842" s="8"/>
      <c r="BL842" s="2" t="s">
        <v>4441</v>
      </c>
      <c r="BM842" s="7"/>
      <c r="BN842" s="7"/>
      <c r="BO842" s="4"/>
      <c r="BP842" s="8"/>
      <c r="BQ842" s="4"/>
      <c r="BR842" s="8"/>
      <c r="BS842" s="7"/>
      <c r="BT842" s="7"/>
      <c r="BU842" s="2" t="s">
        <v>4442</v>
      </c>
      <c r="BV842" s="2" t="s">
        <v>233</v>
      </c>
      <c r="BW842" s="2" t="s">
        <v>233</v>
      </c>
      <c r="BX842" s="2" t="s">
        <v>233</v>
      </c>
      <c r="BY842" s="2" t="s">
        <v>280</v>
      </c>
      <c r="BZ842" s="2" t="s">
        <v>245</v>
      </c>
      <c r="CA842" s="2" t="s">
        <v>4163</v>
      </c>
      <c r="CB842" s="2" t="s">
        <v>4443</v>
      </c>
      <c r="CC842" s="2" t="s">
        <v>246</v>
      </c>
      <c r="CD842" s="2" t="s">
        <v>233</v>
      </c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>
        <v>382</v>
      </c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</row>
    <row r="843">
      <c r="A843" s="2" t="s">
        <v>4444</v>
      </c>
      <c r="B843" s="2" t="s">
        <v>333</v>
      </c>
      <c r="C843" s="2" t="s">
        <v>1050</v>
      </c>
      <c r="D843" s="2" t="s">
        <v>335</v>
      </c>
      <c r="E843" s="2" t="s">
        <v>336</v>
      </c>
      <c r="F843" s="2" t="s">
        <v>4149</v>
      </c>
      <c r="G843" s="2" t="s">
        <v>4149</v>
      </c>
      <c r="H843" s="2" t="s">
        <v>4149</v>
      </c>
      <c r="I843" s="2" t="s">
        <v>4150</v>
      </c>
      <c r="J843" s="2" t="s">
        <v>290</v>
      </c>
      <c r="K843" s="2" t="s">
        <v>4439</v>
      </c>
      <c r="L843" s="3">
        <v>19.57</v>
      </c>
      <c r="M843" s="3">
        <v>20.55</v>
      </c>
      <c r="N843" s="3">
        <v>42.99</v>
      </c>
      <c r="O843" s="2" t="s">
        <v>245</v>
      </c>
      <c r="P843" s="2" t="s">
        <v>1366</v>
      </c>
      <c r="Q843" s="2" t="s">
        <v>239</v>
      </c>
      <c r="R843" s="2" t="s">
        <v>233</v>
      </c>
      <c r="S843" s="2" t="s">
        <v>4440</v>
      </c>
      <c r="T843" s="2" t="s">
        <v>3950</v>
      </c>
      <c r="U843" s="2" t="s">
        <v>342</v>
      </c>
      <c r="V843" s="2" t="s">
        <v>3951</v>
      </c>
      <c r="W843" s="2" t="s">
        <v>275</v>
      </c>
      <c r="X843" s="2" t="s">
        <v>978</v>
      </c>
      <c r="Y843" s="2" t="s">
        <v>3996</v>
      </c>
      <c r="Z843" s="4">
        <v>2</v>
      </c>
      <c r="AA843" s="4">
        <f>=ROUNDDOWN(0.0512820512820513,0)</f>
      </c>
      <c r="AB843" s="5">
        <v>39</v>
      </c>
      <c r="AC843" s="2" t="s">
        <v>1341</v>
      </c>
      <c r="AD843" s="4">
        <v>381</v>
      </c>
      <c r="AE843" s="4">
        <v>381</v>
      </c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233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233</v>
      </c>
      <c r="AW843" s="8" t="s">
        <v>233</v>
      </c>
      <c r="AX843" s="4" t="s">
        <v>233</v>
      </c>
      <c r="AY843" s="8" t="s">
        <v>233</v>
      </c>
      <c r="AZ843" s="7" t="s">
        <v>233</v>
      </c>
      <c r="BA843" s="7" t="s">
        <v>233</v>
      </c>
      <c r="BB843" s="7"/>
      <c r="BC843" s="4" t="s">
        <v>233</v>
      </c>
      <c r="BD843" s="8" t="s">
        <v>233</v>
      </c>
      <c r="BE843" s="4" t="s">
        <v>233</v>
      </c>
      <c r="BF843" s="8" t="s">
        <v>233</v>
      </c>
      <c r="BG843" s="7" t="s">
        <v>233</v>
      </c>
      <c r="BH843" s="7" t="s">
        <v>233</v>
      </c>
      <c r="BI843" s="7"/>
      <c r="BJ843" s="4"/>
      <c r="BK843" s="8"/>
      <c r="BL843" s="2" t="s">
        <v>233</v>
      </c>
      <c r="BM843" s="7"/>
      <c r="BN843" s="7"/>
      <c r="BO843" s="4"/>
      <c r="BP843" s="8"/>
      <c r="BQ843" s="4"/>
      <c r="BR843" s="8"/>
      <c r="BS843" s="7"/>
      <c r="BT843" s="7"/>
      <c r="BU843" s="2" t="s">
        <v>4445</v>
      </c>
      <c r="BV843" s="2" t="s">
        <v>233</v>
      </c>
      <c r="BW843" s="2" t="s">
        <v>233</v>
      </c>
      <c r="BX843" s="2" t="s">
        <v>233</v>
      </c>
      <c r="BY843" s="2" t="s">
        <v>280</v>
      </c>
      <c r="BZ843" s="2" t="s">
        <v>245</v>
      </c>
      <c r="CA843" s="2" t="s">
        <v>4163</v>
      </c>
      <c r="CB843" s="2" t="s">
        <v>4066</v>
      </c>
      <c r="CC843" s="2" t="s">
        <v>246</v>
      </c>
      <c r="CD843" s="2" t="s">
        <v>233</v>
      </c>
      <c r="CE843" s="4">
        <v>2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>
        <v>381</v>
      </c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</row>
    <row r="844">
      <c r="A844" s="2" t="s">
        <v>4446</v>
      </c>
      <c r="B844" s="2" t="s">
        <v>333</v>
      </c>
      <c r="C844" s="2" t="s">
        <v>1050</v>
      </c>
      <c r="D844" s="2" t="s">
        <v>335</v>
      </c>
      <c r="E844" s="2" t="s">
        <v>336</v>
      </c>
      <c r="F844" s="2" t="s">
        <v>4149</v>
      </c>
      <c r="G844" s="2" t="s">
        <v>4149</v>
      </c>
      <c r="H844" s="2" t="s">
        <v>4149</v>
      </c>
      <c r="I844" s="2" t="s">
        <v>4150</v>
      </c>
      <c r="J844" s="2" t="s">
        <v>328</v>
      </c>
      <c r="K844" s="2" t="s">
        <v>4439</v>
      </c>
      <c r="L844" s="3">
        <v>27.39</v>
      </c>
      <c r="M844" s="3">
        <v>28.76</v>
      </c>
      <c r="N844" s="3">
        <v>62.99</v>
      </c>
      <c r="O844" s="2" t="s">
        <v>245</v>
      </c>
      <c r="P844" s="2" t="s">
        <v>272</v>
      </c>
      <c r="Q844" s="2" t="s">
        <v>239</v>
      </c>
      <c r="R844" s="2" t="s">
        <v>233</v>
      </c>
      <c r="S844" s="2" t="s">
        <v>4440</v>
      </c>
      <c r="T844" s="2" t="s">
        <v>3950</v>
      </c>
      <c r="U844" s="2" t="s">
        <v>342</v>
      </c>
      <c r="V844" s="2" t="s">
        <v>3951</v>
      </c>
      <c r="W844" s="2" t="s">
        <v>275</v>
      </c>
      <c r="X844" s="2" t="s">
        <v>978</v>
      </c>
      <c r="Y844" s="2" t="s">
        <v>3996</v>
      </c>
      <c r="Z844" s="4">
        <v>129</v>
      </c>
      <c r="AA844" s="4">
        <f>=ROUNDDOWN(9.92307692307692,0)</f>
      </c>
      <c r="AB844" s="5">
        <v>13</v>
      </c>
      <c r="AC844" s="2" t="s">
        <v>1341</v>
      </c>
      <c r="AD844" s="4">
        <v>125</v>
      </c>
      <c r="AE844" s="4">
        <v>125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233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233</v>
      </c>
      <c r="AW844" s="8" t="s">
        <v>233</v>
      </c>
      <c r="AX844" s="4" t="s">
        <v>233</v>
      </c>
      <c r="AY844" s="8" t="s">
        <v>233</v>
      </c>
      <c r="AZ844" s="7" t="s">
        <v>233</v>
      </c>
      <c r="BA844" s="7" t="s">
        <v>233</v>
      </c>
      <c r="BB844" s="7"/>
      <c r="BC844" s="4" t="s">
        <v>233</v>
      </c>
      <c r="BD844" s="8" t="s">
        <v>233</v>
      </c>
      <c r="BE844" s="4" t="s">
        <v>233</v>
      </c>
      <c r="BF844" s="8" t="s">
        <v>233</v>
      </c>
      <c r="BG844" s="7" t="s">
        <v>233</v>
      </c>
      <c r="BH844" s="7" t="s">
        <v>233</v>
      </c>
      <c r="BI844" s="7"/>
      <c r="BJ844" s="4">
        <v>4</v>
      </c>
      <c r="BK844" s="8">
        <v>118.99</v>
      </c>
      <c r="BL844" s="2" t="s">
        <v>4447</v>
      </c>
      <c r="BM844" s="7"/>
      <c r="BN844" s="7"/>
      <c r="BO844" s="4"/>
      <c r="BP844" s="8"/>
      <c r="BQ844" s="4"/>
      <c r="BR844" s="8"/>
      <c r="BS844" s="7"/>
      <c r="BT844" s="7"/>
      <c r="BU844" s="2" t="s">
        <v>4448</v>
      </c>
      <c r="BV844" s="2" t="s">
        <v>233</v>
      </c>
      <c r="BW844" s="2" t="s">
        <v>233</v>
      </c>
      <c r="BX844" s="2" t="s">
        <v>233</v>
      </c>
      <c r="BY844" s="2" t="s">
        <v>280</v>
      </c>
      <c r="BZ844" s="2" t="s">
        <v>245</v>
      </c>
      <c r="CA844" s="2" t="s">
        <v>4163</v>
      </c>
      <c r="CB844" s="2" t="s">
        <v>4449</v>
      </c>
      <c r="CC844" s="2" t="s">
        <v>246</v>
      </c>
      <c r="CD844" s="2" t="s">
        <v>233</v>
      </c>
      <c r="CE844" s="4">
        <v>129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>
        <v>125</v>
      </c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</row>
    <row r="845">
      <c r="A845" s="2" t="s">
        <v>4450</v>
      </c>
      <c r="B845" s="2" t="s">
        <v>333</v>
      </c>
      <c r="C845" s="2" t="s">
        <v>1050</v>
      </c>
      <c r="D845" s="2" t="s">
        <v>335</v>
      </c>
      <c r="E845" s="2" t="s">
        <v>336</v>
      </c>
      <c r="F845" s="2" t="s">
        <v>4149</v>
      </c>
      <c r="G845" s="2" t="s">
        <v>4149</v>
      </c>
      <c r="H845" s="2" t="s">
        <v>4149</v>
      </c>
      <c r="I845" s="2" t="s">
        <v>4150</v>
      </c>
      <c r="J845" s="2" t="s">
        <v>270</v>
      </c>
      <c r="K845" s="2" t="s">
        <v>4451</v>
      </c>
      <c r="L845" s="3">
        <v>14.89</v>
      </c>
      <c r="M845" s="3">
        <v>15.63</v>
      </c>
      <c r="N845" s="3">
        <v>31.99</v>
      </c>
      <c r="O845" s="2" t="s">
        <v>245</v>
      </c>
      <c r="P845" s="2" t="s">
        <v>741</v>
      </c>
      <c r="Q845" s="2" t="s">
        <v>239</v>
      </c>
      <c r="R845" s="2" t="s">
        <v>233</v>
      </c>
      <c r="S845" s="2" t="s">
        <v>4452</v>
      </c>
      <c r="T845" s="2" t="s">
        <v>3950</v>
      </c>
      <c r="U845" s="2" t="s">
        <v>233</v>
      </c>
      <c r="V845" s="2" t="s">
        <v>3951</v>
      </c>
      <c r="W845" s="2" t="s">
        <v>275</v>
      </c>
      <c r="X845" s="2" t="s">
        <v>233</v>
      </c>
      <c r="Y845" s="2" t="s">
        <v>3973</v>
      </c>
      <c r="Z845" s="4"/>
      <c r="AA845" s="4">
        <f>=ROUNDDOWN({0},0)</f>
      </c>
      <c r="AB845" s="5">
        <v>36</v>
      </c>
      <c r="AC845" s="2" t="s">
        <v>1341</v>
      </c>
      <c r="AD845" s="4">
        <v>353</v>
      </c>
      <c r="AE845" s="4">
        <v>353</v>
      </c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233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233</v>
      </c>
      <c r="AW845" s="8" t="s">
        <v>233</v>
      </c>
      <c r="AX845" s="4" t="s">
        <v>233</v>
      </c>
      <c r="AY845" s="8" t="s">
        <v>233</v>
      </c>
      <c r="AZ845" s="7" t="s">
        <v>233</v>
      </c>
      <c r="BA845" s="7" t="s">
        <v>233</v>
      </c>
      <c r="BB845" s="7"/>
      <c r="BC845" s="4" t="s">
        <v>233</v>
      </c>
      <c r="BD845" s="8" t="s">
        <v>233</v>
      </c>
      <c r="BE845" s="4" t="s">
        <v>233</v>
      </c>
      <c r="BF845" s="8" t="s">
        <v>233</v>
      </c>
      <c r="BG845" s="7" t="s">
        <v>233</v>
      </c>
      <c r="BH845" s="7" t="s">
        <v>233</v>
      </c>
      <c r="BI845" s="7"/>
      <c r="BJ845" s="4"/>
      <c r="BK845" s="8"/>
      <c r="BL845" s="2" t="s">
        <v>1292</v>
      </c>
      <c r="BM845" s="7"/>
      <c r="BN845" s="7"/>
      <c r="BO845" s="4"/>
      <c r="BP845" s="8"/>
      <c r="BQ845" s="4"/>
      <c r="BR845" s="8"/>
      <c r="BS845" s="7"/>
      <c r="BT845" s="7"/>
      <c r="BU845" s="2" t="s">
        <v>4453</v>
      </c>
      <c r="BV845" s="2" t="s">
        <v>233</v>
      </c>
      <c r="BW845" s="2" t="s">
        <v>233</v>
      </c>
      <c r="BX845" s="2" t="s">
        <v>233</v>
      </c>
      <c r="BY845" s="2" t="s">
        <v>280</v>
      </c>
      <c r="BZ845" s="2" t="s">
        <v>245</v>
      </c>
      <c r="CA845" s="2" t="s">
        <v>4173</v>
      </c>
      <c r="CB845" s="2" t="s">
        <v>879</v>
      </c>
      <c r="CC845" s="2" t="s">
        <v>246</v>
      </c>
      <c r="CD845" s="2" t="s">
        <v>233</v>
      </c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>
        <v>353</v>
      </c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</row>
    <row r="846">
      <c r="A846" s="2" t="s">
        <v>4454</v>
      </c>
      <c r="B846" s="2" t="s">
        <v>333</v>
      </c>
      <c r="C846" s="2" t="s">
        <v>1050</v>
      </c>
      <c r="D846" s="2" t="s">
        <v>335</v>
      </c>
      <c r="E846" s="2" t="s">
        <v>336</v>
      </c>
      <c r="F846" s="2" t="s">
        <v>4149</v>
      </c>
      <c r="G846" s="2" t="s">
        <v>4149</v>
      </c>
      <c r="H846" s="2" t="s">
        <v>4149</v>
      </c>
      <c r="I846" s="2" t="s">
        <v>4150</v>
      </c>
      <c r="J846" s="2" t="s">
        <v>284</v>
      </c>
      <c r="K846" s="2" t="s">
        <v>4451</v>
      </c>
      <c r="L846" s="3">
        <v>16.16</v>
      </c>
      <c r="M846" s="3">
        <v>16.97</v>
      </c>
      <c r="N846" s="3">
        <v>34.99</v>
      </c>
      <c r="O846" s="2" t="s">
        <v>245</v>
      </c>
      <c r="P846" s="2" t="s">
        <v>272</v>
      </c>
      <c r="Q846" s="2" t="s">
        <v>239</v>
      </c>
      <c r="R846" s="2" t="s">
        <v>233</v>
      </c>
      <c r="S846" s="2" t="s">
        <v>4452</v>
      </c>
      <c r="T846" s="2" t="s">
        <v>3950</v>
      </c>
      <c r="U846" s="2" t="s">
        <v>233</v>
      </c>
      <c r="V846" s="2" t="s">
        <v>3951</v>
      </c>
      <c r="W846" s="2" t="s">
        <v>275</v>
      </c>
      <c r="X846" s="2" t="s">
        <v>233</v>
      </c>
      <c r="Y846" s="2" t="s">
        <v>3973</v>
      </c>
      <c r="Z846" s="4"/>
      <c r="AA846" s="4">
        <f>=ROUNDDOWN({0},0)</f>
      </c>
      <c r="AB846" s="5">
        <v>12</v>
      </c>
      <c r="AC846" s="2" t="s">
        <v>1341</v>
      </c>
      <c r="AD846" s="4">
        <v>122</v>
      </c>
      <c r="AE846" s="4">
        <v>122</v>
      </c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233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233</v>
      </c>
      <c r="AW846" s="8" t="s">
        <v>233</v>
      </c>
      <c r="AX846" s="4" t="s">
        <v>233</v>
      </c>
      <c r="AY846" s="8" t="s">
        <v>233</v>
      </c>
      <c r="AZ846" s="7" t="s">
        <v>233</v>
      </c>
      <c r="BA846" s="7" t="s">
        <v>233</v>
      </c>
      <c r="BB846" s="7"/>
      <c r="BC846" s="4" t="s">
        <v>233</v>
      </c>
      <c r="BD846" s="8" t="s">
        <v>233</v>
      </c>
      <c r="BE846" s="4" t="s">
        <v>233</v>
      </c>
      <c r="BF846" s="8" t="s">
        <v>233</v>
      </c>
      <c r="BG846" s="7" t="s">
        <v>233</v>
      </c>
      <c r="BH846" s="7" t="s">
        <v>233</v>
      </c>
      <c r="BI846" s="7"/>
      <c r="BJ846" s="4"/>
      <c r="BK846" s="8"/>
      <c r="BL846" s="2" t="s">
        <v>233</v>
      </c>
      <c r="BM846" s="7"/>
      <c r="BN846" s="7"/>
      <c r="BO846" s="4"/>
      <c r="BP846" s="8"/>
      <c r="BQ846" s="4"/>
      <c r="BR846" s="8"/>
      <c r="BS846" s="7"/>
      <c r="BT846" s="7"/>
      <c r="BU846" s="2" t="s">
        <v>4455</v>
      </c>
      <c r="BV846" s="2" t="s">
        <v>233</v>
      </c>
      <c r="BW846" s="2" t="s">
        <v>233</v>
      </c>
      <c r="BX846" s="2" t="s">
        <v>233</v>
      </c>
      <c r="BY846" s="2" t="s">
        <v>280</v>
      </c>
      <c r="BZ846" s="2" t="s">
        <v>245</v>
      </c>
      <c r="CA846" s="2" t="s">
        <v>4173</v>
      </c>
      <c r="CB846" s="2" t="s">
        <v>4456</v>
      </c>
      <c r="CC846" s="2" t="s">
        <v>246</v>
      </c>
      <c r="CD846" s="2" t="s">
        <v>233</v>
      </c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>
        <v>122</v>
      </c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</row>
    <row r="847">
      <c r="A847" s="2" t="s">
        <v>4457</v>
      </c>
      <c r="B847" s="2" t="s">
        <v>333</v>
      </c>
      <c r="C847" s="2" t="s">
        <v>1050</v>
      </c>
      <c r="D847" s="2" t="s">
        <v>335</v>
      </c>
      <c r="E847" s="2" t="s">
        <v>336</v>
      </c>
      <c r="F847" s="2" t="s">
        <v>4149</v>
      </c>
      <c r="G847" s="2" t="s">
        <v>4149</v>
      </c>
      <c r="H847" s="2" t="s">
        <v>4149</v>
      </c>
      <c r="I847" s="2" t="s">
        <v>4150</v>
      </c>
      <c r="J847" s="2" t="s">
        <v>290</v>
      </c>
      <c r="K847" s="2" t="s">
        <v>4451</v>
      </c>
      <c r="L847" s="3">
        <v>19.57</v>
      </c>
      <c r="M847" s="3">
        <v>20.55</v>
      </c>
      <c r="N847" s="3">
        <v>42.99</v>
      </c>
      <c r="O847" s="2" t="s">
        <v>245</v>
      </c>
      <c r="P847" s="2" t="s">
        <v>272</v>
      </c>
      <c r="Q847" s="2" t="s">
        <v>239</v>
      </c>
      <c r="R847" s="2" t="s">
        <v>233</v>
      </c>
      <c r="S847" s="2" t="s">
        <v>4452</v>
      </c>
      <c r="T847" s="2" t="s">
        <v>3950</v>
      </c>
      <c r="U847" s="2" t="s">
        <v>233</v>
      </c>
      <c r="V847" s="2" t="s">
        <v>3951</v>
      </c>
      <c r="W847" s="2" t="s">
        <v>275</v>
      </c>
      <c r="X847" s="2" t="s">
        <v>233</v>
      </c>
      <c r="Y847" s="2" t="s">
        <v>3973</v>
      </c>
      <c r="Z847" s="4"/>
      <c r="AA847" s="4">
        <f>=ROUNDDOWN({0},0)</f>
      </c>
      <c r="AB847" s="5">
        <v>20</v>
      </c>
      <c r="AC847" s="2" t="s">
        <v>1341</v>
      </c>
      <c r="AD847" s="4">
        <v>205</v>
      </c>
      <c r="AE847" s="4">
        <v>205</v>
      </c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233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233</v>
      </c>
      <c r="AW847" s="8" t="s">
        <v>233</v>
      </c>
      <c r="AX847" s="4" t="s">
        <v>233</v>
      </c>
      <c r="AY847" s="8" t="s">
        <v>233</v>
      </c>
      <c r="AZ847" s="7" t="s">
        <v>233</v>
      </c>
      <c r="BA847" s="7" t="s">
        <v>233</v>
      </c>
      <c r="BB847" s="7"/>
      <c r="BC847" s="4" t="s">
        <v>233</v>
      </c>
      <c r="BD847" s="8" t="s">
        <v>233</v>
      </c>
      <c r="BE847" s="4" t="s">
        <v>233</v>
      </c>
      <c r="BF847" s="8" t="s">
        <v>233</v>
      </c>
      <c r="BG847" s="7" t="s">
        <v>233</v>
      </c>
      <c r="BH847" s="7" t="s">
        <v>233</v>
      </c>
      <c r="BI847" s="7"/>
      <c r="BJ847" s="4"/>
      <c r="BK847" s="8"/>
      <c r="BL847" s="2" t="s">
        <v>2604</v>
      </c>
      <c r="BM847" s="7"/>
      <c r="BN847" s="7"/>
      <c r="BO847" s="4"/>
      <c r="BP847" s="8"/>
      <c r="BQ847" s="4"/>
      <c r="BR847" s="8"/>
      <c r="BS847" s="7"/>
      <c r="BT847" s="7"/>
      <c r="BU847" s="2" t="s">
        <v>4458</v>
      </c>
      <c r="BV847" s="2" t="s">
        <v>233</v>
      </c>
      <c r="BW847" s="2" t="s">
        <v>233</v>
      </c>
      <c r="BX847" s="2" t="s">
        <v>233</v>
      </c>
      <c r="BY847" s="2" t="s">
        <v>280</v>
      </c>
      <c r="BZ847" s="2" t="s">
        <v>245</v>
      </c>
      <c r="CA847" s="2" t="s">
        <v>4173</v>
      </c>
      <c r="CB847" s="2" t="s">
        <v>4022</v>
      </c>
      <c r="CC847" s="2" t="s">
        <v>246</v>
      </c>
      <c r="CD847" s="2" t="s">
        <v>233</v>
      </c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>
        <v>205</v>
      </c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</row>
    <row r="848">
      <c r="A848" s="2" t="s">
        <v>4459</v>
      </c>
      <c r="B848" s="2" t="s">
        <v>333</v>
      </c>
      <c r="C848" s="2" t="s">
        <v>1050</v>
      </c>
      <c r="D848" s="2" t="s">
        <v>335</v>
      </c>
      <c r="E848" s="2" t="s">
        <v>336</v>
      </c>
      <c r="F848" s="2" t="s">
        <v>4149</v>
      </c>
      <c r="G848" s="2" t="s">
        <v>4149</v>
      </c>
      <c r="H848" s="2" t="s">
        <v>4149</v>
      </c>
      <c r="I848" s="2" t="s">
        <v>4150</v>
      </c>
      <c r="J848" s="2" t="s">
        <v>348</v>
      </c>
      <c r="K848" s="2" t="s">
        <v>4451</v>
      </c>
      <c r="L848" s="3">
        <v>22.21</v>
      </c>
      <c r="M848" s="3">
        <v>23.32</v>
      </c>
      <c r="N848" s="3">
        <v>47.99</v>
      </c>
      <c r="O848" s="2" t="s">
        <v>245</v>
      </c>
      <c r="P848" s="2" t="s">
        <v>272</v>
      </c>
      <c r="Q848" s="2" t="s">
        <v>239</v>
      </c>
      <c r="R848" s="2" t="s">
        <v>233</v>
      </c>
      <c r="S848" s="2" t="s">
        <v>4452</v>
      </c>
      <c r="T848" s="2" t="s">
        <v>3950</v>
      </c>
      <c r="U848" s="2" t="s">
        <v>233</v>
      </c>
      <c r="V848" s="2" t="s">
        <v>3951</v>
      </c>
      <c r="W848" s="2" t="s">
        <v>275</v>
      </c>
      <c r="X848" s="2" t="s">
        <v>233</v>
      </c>
      <c r="Y848" s="2" t="s">
        <v>3973</v>
      </c>
      <c r="Z848" s="4"/>
      <c r="AA848" s="4">
        <f>=ROUNDDOWN({0},0)</f>
      </c>
      <c r="AB848" s="5">
        <v>25</v>
      </c>
      <c r="AC848" s="2" t="s">
        <v>1341</v>
      </c>
      <c r="AD848" s="4">
        <v>248</v>
      </c>
      <c r="AE848" s="4">
        <v>248</v>
      </c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233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233</v>
      </c>
      <c r="AW848" s="8" t="s">
        <v>233</v>
      </c>
      <c r="AX848" s="4" t="s">
        <v>233</v>
      </c>
      <c r="AY848" s="8" t="s">
        <v>233</v>
      </c>
      <c r="AZ848" s="7" t="s">
        <v>233</v>
      </c>
      <c r="BA848" s="7" t="s">
        <v>233</v>
      </c>
      <c r="BB848" s="7"/>
      <c r="BC848" s="4" t="s">
        <v>233</v>
      </c>
      <c r="BD848" s="8" t="s">
        <v>233</v>
      </c>
      <c r="BE848" s="4" t="s">
        <v>233</v>
      </c>
      <c r="BF848" s="8" t="s">
        <v>233</v>
      </c>
      <c r="BG848" s="7" t="s">
        <v>233</v>
      </c>
      <c r="BH848" s="7" t="s">
        <v>233</v>
      </c>
      <c r="BI848" s="7"/>
      <c r="BJ848" s="4"/>
      <c r="BK848" s="8"/>
      <c r="BL848" s="2" t="s">
        <v>4460</v>
      </c>
      <c r="BM848" s="7"/>
      <c r="BN848" s="7"/>
      <c r="BO848" s="4"/>
      <c r="BP848" s="8"/>
      <c r="BQ848" s="4"/>
      <c r="BR848" s="8"/>
      <c r="BS848" s="7"/>
      <c r="BT848" s="7"/>
      <c r="BU848" s="2" t="s">
        <v>4461</v>
      </c>
      <c r="BV848" s="2" t="s">
        <v>233</v>
      </c>
      <c r="BW848" s="2" t="s">
        <v>233</v>
      </c>
      <c r="BX848" s="2" t="s">
        <v>233</v>
      </c>
      <c r="BY848" s="2" t="s">
        <v>280</v>
      </c>
      <c r="BZ848" s="2" t="s">
        <v>245</v>
      </c>
      <c r="CA848" s="2" t="s">
        <v>4173</v>
      </c>
      <c r="CB848" s="2" t="s">
        <v>4424</v>
      </c>
      <c r="CC848" s="2" t="s">
        <v>246</v>
      </c>
      <c r="CD848" s="2" t="s">
        <v>233</v>
      </c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>
        <v>248</v>
      </c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</row>
    <row r="849">
      <c r="A849" s="2" t="s">
        <v>4462</v>
      </c>
      <c r="B849" s="2" t="s">
        <v>333</v>
      </c>
      <c r="C849" s="2" t="s">
        <v>1050</v>
      </c>
      <c r="D849" s="2" t="s">
        <v>335</v>
      </c>
      <c r="E849" s="2" t="s">
        <v>336</v>
      </c>
      <c r="F849" s="2" t="s">
        <v>4149</v>
      </c>
      <c r="G849" s="2" t="s">
        <v>4149</v>
      </c>
      <c r="H849" s="2" t="s">
        <v>4149</v>
      </c>
      <c r="I849" s="2" t="s">
        <v>4150</v>
      </c>
      <c r="J849" s="2" t="s">
        <v>328</v>
      </c>
      <c r="K849" s="2" t="s">
        <v>4451</v>
      </c>
      <c r="L849" s="3">
        <v>27.39</v>
      </c>
      <c r="M849" s="3">
        <v>28.76</v>
      </c>
      <c r="N849" s="3">
        <v>62.99</v>
      </c>
      <c r="O849" s="2" t="s">
        <v>245</v>
      </c>
      <c r="P849" s="2" t="s">
        <v>272</v>
      </c>
      <c r="Q849" s="2" t="s">
        <v>239</v>
      </c>
      <c r="R849" s="2" t="s">
        <v>233</v>
      </c>
      <c r="S849" s="2" t="s">
        <v>4452</v>
      </c>
      <c r="T849" s="2" t="s">
        <v>3950</v>
      </c>
      <c r="U849" s="2" t="s">
        <v>233</v>
      </c>
      <c r="V849" s="2" t="s">
        <v>3951</v>
      </c>
      <c r="W849" s="2" t="s">
        <v>275</v>
      </c>
      <c r="X849" s="2" t="s">
        <v>233</v>
      </c>
      <c r="Y849" s="2" t="s">
        <v>3973</v>
      </c>
      <c r="Z849" s="4">
        <v>1</v>
      </c>
      <c r="AA849" s="4">
        <f>=ROUNDDOWN(0.0625,0)</f>
      </c>
      <c r="AB849" s="5">
        <v>16</v>
      </c>
      <c r="AC849" s="2" t="s">
        <v>1341</v>
      </c>
      <c r="AD849" s="4">
        <v>163</v>
      </c>
      <c r="AE849" s="4">
        <v>163</v>
      </c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233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233</v>
      </c>
      <c r="AW849" s="8" t="s">
        <v>233</v>
      </c>
      <c r="AX849" s="4" t="s">
        <v>233</v>
      </c>
      <c r="AY849" s="8" t="s">
        <v>233</v>
      </c>
      <c r="AZ849" s="7" t="s">
        <v>233</v>
      </c>
      <c r="BA849" s="7" t="s">
        <v>233</v>
      </c>
      <c r="BB849" s="7"/>
      <c r="BC849" s="4" t="s">
        <v>233</v>
      </c>
      <c r="BD849" s="8" t="s">
        <v>233</v>
      </c>
      <c r="BE849" s="4" t="s">
        <v>233</v>
      </c>
      <c r="BF849" s="8" t="s">
        <v>233</v>
      </c>
      <c r="BG849" s="7" t="s">
        <v>233</v>
      </c>
      <c r="BH849" s="7" t="s">
        <v>233</v>
      </c>
      <c r="BI849" s="7"/>
      <c r="BJ849" s="4"/>
      <c r="BK849" s="8"/>
      <c r="BL849" s="2" t="s">
        <v>1292</v>
      </c>
      <c r="BM849" s="7"/>
      <c r="BN849" s="7"/>
      <c r="BO849" s="4"/>
      <c r="BP849" s="8"/>
      <c r="BQ849" s="4"/>
      <c r="BR849" s="8"/>
      <c r="BS849" s="7"/>
      <c r="BT849" s="7"/>
      <c r="BU849" s="2" t="s">
        <v>4463</v>
      </c>
      <c r="BV849" s="2" t="s">
        <v>233</v>
      </c>
      <c r="BW849" s="2" t="s">
        <v>233</v>
      </c>
      <c r="BX849" s="2" t="s">
        <v>233</v>
      </c>
      <c r="BY849" s="2" t="s">
        <v>280</v>
      </c>
      <c r="BZ849" s="2" t="s">
        <v>245</v>
      </c>
      <c r="CA849" s="2" t="s">
        <v>4173</v>
      </c>
      <c r="CB849" s="2" t="s">
        <v>4464</v>
      </c>
      <c r="CC849" s="2" t="s">
        <v>246</v>
      </c>
      <c r="CD849" s="2" t="s">
        <v>233</v>
      </c>
      <c r="CE849" s="4">
        <v>1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>
        <v>163</v>
      </c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</row>
    <row r="850">
      <c r="A850" s="2" t="s">
        <v>4465</v>
      </c>
      <c r="B850" s="2" t="s">
        <v>333</v>
      </c>
      <c r="C850" s="2" t="s">
        <v>1050</v>
      </c>
      <c r="D850" s="2" t="s">
        <v>335</v>
      </c>
      <c r="E850" s="2" t="s">
        <v>336</v>
      </c>
      <c r="F850" s="2" t="s">
        <v>4149</v>
      </c>
      <c r="G850" s="2" t="s">
        <v>4149</v>
      </c>
      <c r="H850" s="2" t="s">
        <v>4149</v>
      </c>
      <c r="I850" s="2" t="s">
        <v>4150</v>
      </c>
      <c r="J850" s="2" t="s">
        <v>270</v>
      </c>
      <c r="K850" s="2" t="s">
        <v>4466</v>
      </c>
      <c r="L850" s="3">
        <v>14.89</v>
      </c>
      <c r="M850" s="3">
        <v>15.63</v>
      </c>
      <c r="N850" s="3">
        <v>31.99</v>
      </c>
      <c r="O850" s="2" t="s">
        <v>245</v>
      </c>
      <c r="P850" s="2" t="s">
        <v>272</v>
      </c>
      <c r="Q850" s="2" t="s">
        <v>239</v>
      </c>
      <c r="R850" s="2" t="s">
        <v>233</v>
      </c>
      <c r="S850" s="2" t="s">
        <v>4467</v>
      </c>
      <c r="T850" s="2" t="s">
        <v>3950</v>
      </c>
      <c r="U850" s="2" t="s">
        <v>233</v>
      </c>
      <c r="V850" s="2" t="s">
        <v>1340</v>
      </c>
      <c r="W850" s="2" t="s">
        <v>275</v>
      </c>
      <c r="X850" s="2" t="s">
        <v>233</v>
      </c>
      <c r="Y850" s="2" t="s">
        <v>3985</v>
      </c>
      <c r="Z850" s="4">
        <v>1</v>
      </c>
      <c r="AA850" s="4">
        <f>=ROUNDDOWN(0.0178571428571429,0)</f>
      </c>
      <c r="AB850" s="5">
        <v>56</v>
      </c>
      <c r="AC850" s="2" t="s">
        <v>1341</v>
      </c>
      <c r="AD850" s="4">
        <v>551</v>
      </c>
      <c r="AE850" s="4">
        <v>551</v>
      </c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233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233</v>
      </c>
      <c r="AW850" s="8" t="s">
        <v>233</v>
      </c>
      <c r="AX850" s="4" t="s">
        <v>233</v>
      </c>
      <c r="AY850" s="8" t="s">
        <v>233</v>
      </c>
      <c r="AZ850" s="7" t="s">
        <v>233</v>
      </c>
      <c r="BA850" s="7" t="s">
        <v>233</v>
      </c>
      <c r="BB850" s="7"/>
      <c r="BC850" s="4" t="s">
        <v>233</v>
      </c>
      <c r="BD850" s="8" t="s">
        <v>233</v>
      </c>
      <c r="BE850" s="4" t="s">
        <v>233</v>
      </c>
      <c r="BF850" s="8" t="s">
        <v>233</v>
      </c>
      <c r="BG850" s="7" t="s">
        <v>233</v>
      </c>
      <c r="BH850" s="7" t="s">
        <v>233</v>
      </c>
      <c r="BI850" s="7"/>
      <c r="BJ850" s="4"/>
      <c r="BK850" s="8"/>
      <c r="BL850" s="2" t="s">
        <v>1292</v>
      </c>
      <c r="BM850" s="7"/>
      <c r="BN850" s="7"/>
      <c r="BO850" s="4"/>
      <c r="BP850" s="8"/>
      <c r="BQ850" s="4"/>
      <c r="BR850" s="8"/>
      <c r="BS850" s="7"/>
      <c r="BT850" s="7"/>
      <c r="BU850" s="2" t="s">
        <v>4468</v>
      </c>
      <c r="BV850" s="2" t="s">
        <v>233</v>
      </c>
      <c r="BW850" s="2" t="s">
        <v>233</v>
      </c>
      <c r="BX850" s="2" t="s">
        <v>233</v>
      </c>
      <c r="BY850" s="2" t="s">
        <v>280</v>
      </c>
      <c r="BZ850" s="2" t="s">
        <v>245</v>
      </c>
      <c r="CA850" s="2" t="s">
        <v>4173</v>
      </c>
      <c r="CB850" s="2" t="s">
        <v>879</v>
      </c>
      <c r="CC850" s="2" t="s">
        <v>246</v>
      </c>
      <c r="CD850" s="2" t="s">
        <v>233</v>
      </c>
      <c r="CE850" s="4">
        <v>1</v>
      </c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>
        <v>551</v>
      </c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</row>
    <row r="851">
      <c r="A851" s="2" t="s">
        <v>4469</v>
      </c>
      <c r="B851" s="2" t="s">
        <v>333</v>
      </c>
      <c r="C851" s="2" t="s">
        <v>1050</v>
      </c>
      <c r="D851" s="2" t="s">
        <v>335</v>
      </c>
      <c r="E851" s="2" t="s">
        <v>336</v>
      </c>
      <c r="F851" s="2" t="s">
        <v>4149</v>
      </c>
      <c r="G851" s="2" t="s">
        <v>4149</v>
      </c>
      <c r="H851" s="2" t="s">
        <v>4149</v>
      </c>
      <c r="I851" s="2" t="s">
        <v>4150</v>
      </c>
      <c r="J851" s="2" t="s">
        <v>284</v>
      </c>
      <c r="K851" s="2" t="s">
        <v>4466</v>
      </c>
      <c r="L851" s="3">
        <v>16.16</v>
      </c>
      <c r="M851" s="3">
        <v>16.97</v>
      </c>
      <c r="N851" s="3">
        <v>34.99</v>
      </c>
      <c r="O851" s="2" t="s">
        <v>245</v>
      </c>
      <c r="P851" s="2" t="s">
        <v>272</v>
      </c>
      <c r="Q851" s="2" t="s">
        <v>239</v>
      </c>
      <c r="R851" s="2" t="s">
        <v>233</v>
      </c>
      <c r="S851" s="2" t="s">
        <v>4467</v>
      </c>
      <c r="T851" s="2" t="s">
        <v>3950</v>
      </c>
      <c r="U851" s="2" t="s">
        <v>233</v>
      </c>
      <c r="V851" s="2" t="s">
        <v>1340</v>
      </c>
      <c r="W851" s="2" t="s">
        <v>275</v>
      </c>
      <c r="X851" s="2" t="s">
        <v>233</v>
      </c>
      <c r="Y851" s="2" t="s">
        <v>3985</v>
      </c>
      <c r="Z851" s="4">
        <v>4</v>
      </c>
      <c r="AA851" s="4">
        <f>=ROUNDDOWN(0.0909090909090909,0)</f>
      </c>
      <c r="AB851" s="5">
        <v>44</v>
      </c>
      <c r="AC851" s="2" t="s">
        <v>1341</v>
      </c>
      <c r="AD851" s="4">
        <v>431</v>
      </c>
      <c r="AE851" s="4">
        <v>431</v>
      </c>
      <c r="AF851" s="6">
        <v>65</v>
      </c>
      <c r="AG851" s="6"/>
      <c r="AH851" s="7">
        <v>0.129</v>
      </c>
      <c r="AI851" s="4"/>
      <c r="AJ851" s="4">
        <f>=ROUNDDOWN({0},0)</f>
      </c>
      <c r="AK851" s="5"/>
      <c r="AL851" s="2" t="s">
        <v>233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233</v>
      </c>
      <c r="AW851" s="8" t="s">
        <v>233</v>
      </c>
      <c r="AX851" s="4" t="s">
        <v>233</v>
      </c>
      <c r="AY851" s="8" t="s">
        <v>233</v>
      </c>
      <c r="AZ851" s="7" t="s">
        <v>233</v>
      </c>
      <c r="BA851" s="7" t="s">
        <v>233</v>
      </c>
      <c r="BB851" s="7"/>
      <c r="BC851" s="4" t="s">
        <v>233</v>
      </c>
      <c r="BD851" s="8" t="s">
        <v>233</v>
      </c>
      <c r="BE851" s="4" t="s">
        <v>233</v>
      </c>
      <c r="BF851" s="8" t="s">
        <v>233</v>
      </c>
      <c r="BG851" s="7" t="s">
        <v>233</v>
      </c>
      <c r="BH851" s="7" t="s">
        <v>233</v>
      </c>
      <c r="BI851" s="7"/>
      <c r="BJ851" s="4">
        <v>13</v>
      </c>
      <c r="BK851" s="8">
        <v>234.88</v>
      </c>
      <c r="BL851" s="2" t="s">
        <v>4470</v>
      </c>
      <c r="BM851" s="7"/>
      <c r="BN851" s="7"/>
      <c r="BO851" s="4"/>
      <c r="BP851" s="8"/>
      <c r="BQ851" s="4"/>
      <c r="BR851" s="8"/>
      <c r="BS851" s="7"/>
      <c r="BT851" s="7"/>
      <c r="BU851" s="2" t="s">
        <v>4471</v>
      </c>
      <c r="BV851" s="2" t="s">
        <v>233</v>
      </c>
      <c r="BW851" s="2" t="s">
        <v>233</v>
      </c>
      <c r="BX851" s="2" t="s">
        <v>233</v>
      </c>
      <c r="BY851" s="2" t="s">
        <v>280</v>
      </c>
      <c r="BZ851" s="2" t="s">
        <v>245</v>
      </c>
      <c r="CA851" s="2" t="s">
        <v>4173</v>
      </c>
      <c r="CB851" s="2" t="s">
        <v>4093</v>
      </c>
      <c r="CC851" s="2" t="s">
        <v>246</v>
      </c>
      <c r="CD851" s="2" t="s">
        <v>233</v>
      </c>
      <c r="CE851" s="4">
        <v>4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>
        <v>431</v>
      </c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</row>
    <row r="852">
      <c r="A852" s="2" t="s">
        <v>4472</v>
      </c>
      <c r="B852" s="2" t="s">
        <v>333</v>
      </c>
      <c r="C852" s="2" t="s">
        <v>1050</v>
      </c>
      <c r="D852" s="2" t="s">
        <v>335</v>
      </c>
      <c r="E852" s="2" t="s">
        <v>336</v>
      </c>
      <c r="F852" s="2" t="s">
        <v>4149</v>
      </c>
      <c r="G852" s="2" t="s">
        <v>4149</v>
      </c>
      <c r="H852" s="2" t="s">
        <v>4149</v>
      </c>
      <c r="I852" s="2" t="s">
        <v>4150</v>
      </c>
      <c r="J852" s="2" t="s">
        <v>290</v>
      </c>
      <c r="K852" s="2" t="s">
        <v>4466</v>
      </c>
      <c r="L852" s="3">
        <v>19.57</v>
      </c>
      <c r="M852" s="3">
        <v>20.55</v>
      </c>
      <c r="N852" s="3">
        <v>42.99</v>
      </c>
      <c r="O852" s="2" t="s">
        <v>245</v>
      </c>
      <c r="P852" s="2" t="s">
        <v>272</v>
      </c>
      <c r="Q852" s="2" t="s">
        <v>239</v>
      </c>
      <c r="R852" s="2" t="s">
        <v>233</v>
      </c>
      <c r="S852" s="2" t="s">
        <v>4467</v>
      </c>
      <c r="T852" s="2" t="s">
        <v>3950</v>
      </c>
      <c r="U852" s="2" t="s">
        <v>233</v>
      </c>
      <c r="V852" s="2" t="s">
        <v>1340</v>
      </c>
      <c r="W852" s="2" t="s">
        <v>275</v>
      </c>
      <c r="X852" s="2" t="s">
        <v>233</v>
      </c>
      <c r="Y852" s="2" t="s">
        <v>3985</v>
      </c>
      <c r="Z852" s="4">
        <v>167</v>
      </c>
      <c r="AA852" s="4">
        <f>=ROUNDDOWN(4.07317073170732,0)</f>
      </c>
      <c r="AB852" s="5">
        <v>41</v>
      </c>
      <c r="AC852" s="2" t="s">
        <v>1341</v>
      </c>
      <c r="AD852" s="4">
        <v>405</v>
      </c>
      <c r="AE852" s="4">
        <v>405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233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233</v>
      </c>
      <c r="AW852" s="8" t="s">
        <v>233</v>
      </c>
      <c r="AX852" s="4" t="s">
        <v>233</v>
      </c>
      <c r="AY852" s="8" t="s">
        <v>233</v>
      </c>
      <c r="AZ852" s="7" t="s">
        <v>233</v>
      </c>
      <c r="BA852" s="7" t="s">
        <v>233</v>
      </c>
      <c r="BB852" s="7"/>
      <c r="BC852" s="4" t="s">
        <v>233</v>
      </c>
      <c r="BD852" s="8" t="s">
        <v>233</v>
      </c>
      <c r="BE852" s="4" t="s">
        <v>233</v>
      </c>
      <c r="BF852" s="8" t="s">
        <v>233</v>
      </c>
      <c r="BG852" s="7" t="s">
        <v>233</v>
      </c>
      <c r="BH852" s="7" t="s">
        <v>233</v>
      </c>
      <c r="BI852" s="7"/>
      <c r="BJ852" s="4">
        <v>20</v>
      </c>
      <c r="BK852" s="8">
        <v>441.71</v>
      </c>
      <c r="BL852" s="2" t="s">
        <v>4473</v>
      </c>
      <c r="BM852" s="7"/>
      <c r="BN852" s="7"/>
      <c r="BO852" s="4"/>
      <c r="BP852" s="8"/>
      <c r="BQ852" s="4"/>
      <c r="BR852" s="8"/>
      <c r="BS852" s="7"/>
      <c r="BT852" s="7"/>
      <c r="BU852" s="2" t="s">
        <v>4474</v>
      </c>
      <c r="BV852" s="2" t="s">
        <v>233</v>
      </c>
      <c r="BW852" s="2" t="s">
        <v>233</v>
      </c>
      <c r="BX852" s="2" t="s">
        <v>233</v>
      </c>
      <c r="BY852" s="2" t="s">
        <v>280</v>
      </c>
      <c r="BZ852" s="2" t="s">
        <v>245</v>
      </c>
      <c r="CA852" s="2" t="s">
        <v>4173</v>
      </c>
      <c r="CB852" s="2" t="s">
        <v>879</v>
      </c>
      <c r="CC852" s="2" t="s">
        <v>246</v>
      </c>
      <c r="CD852" s="2" t="s">
        <v>233</v>
      </c>
      <c r="CE852" s="4">
        <v>167</v>
      </c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>
        <v>405</v>
      </c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</row>
    <row r="853">
      <c r="A853" s="2" t="s">
        <v>4475</v>
      </c>
      <c r="B853" s="2" t="s">
        <v>333</v>
      </c>
      <c r="C853" s="2" t="s">
        <v>1050</v>
      </c>
      <c r="D853" s="2" t="s">
        <v>335</v>
      </c>
      <c r="E853" s="2" t="s">
        <v>336</v>
      </c>
      <c r="F853" s="2" t="s">
        <v>4149</v>
      </c>
      <c r="G853" s="2" t="s">
        <v>4149</v>
      </c>
      <c r="H853" s="2" t="s">
        <v>4149</v>
      </c>
      <c r="I853" s="2" t="s">
        <v>4150</v>
      </c>
      <c r="J853" s="2" t="s">
        <v>348</v>
      </c>
      <c r="K853" s="2" t="s">
        <v>4466</v>
      </c>
      <c r="L853" s="3">
        <v>22.21</v>
      </c>
      <c r="M853" s="3">
        <v>23.32</v>
      </c>
      <c r="N853" s="3">
        <v>47.99</v>
      </c>
      <c r="O853" s="2" t="s">
        <v>245</v>
      </c>
      <c r="P853" s="2" t="s">
        <v>741</v>
      </c>
      <c r="Q853" s="2" t="s">
        <v>239</v>
      </c>
      <c r="R853" s="2" t="s">
        <v>233</v>
      </c>
      <c r="S853" s="2" t="s">
        <v>4467</v>
      </c>
      <c r="T853" s="2" t="s">
        <v>3950</v>
      </c>
      <c r="U853" s="2" t="s">
        <v>233</v>
      </c>
      <c r="V853" s="2" t="s">
        <v>1340</v>
      </c>
      <c r="W853" s="2" t="s">
        <v>275</v>
      </c>
      <c r="X853" s="2" t="s">
        <v>233</v>
      </c>
      <c r="Y853" s="2" t="s">
        <v>3985</v>
      </c>
      <c r="Z853" s="4"/>
      <c r="AA853" s="4">
        <f>=ROUNDDOWN({0},0)</f>
      </c>
      <c r="AB853" s="5">
        <v>45</v>
      </c>
      <c r="AC853" s="2" t="s">
        <v>1341</v>
      </c>
      <c r="AD853" s="4">
        <v>441</v>
      </c>
      <c r="AE853" s="4">
        <v>441</v>
      </c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233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233</v>
      </c>
      <c r="AW853" s="8" t="s">
        <v>233</v>
      </c>
      <c r="AX853" s="4" t="s">
        <v>233</v>
      </c>
      <c r="AY853" s="8" t="s">
        <v>233</v>
      </c>
      <c r="AZ853" s="7" t="s">
        <v>233</v>
      </c>
      <c r="BA853" s="7" t="s">
        <v>233</v>
      </c>
      <c r="BB853" s="7"/>
      <c r="BC853" s="4" t="s">
        <v>233</v>
      </c>
      <c r="BD853" s="8" t="s">
        <v>233</v>
      </c>
      <c r="BE853" s="4" t="s">
        <v>233</v>
      </c>
      <c r="BF853" s="8" t="s">
        <v>233</v>
      </c>
      <c r="BG853" s="7" t="s">
        <v>233</v>
      </c>
      <c r="BH853" s="7" t="s">
        <v>233</v>
      </c>
      <c r="BI853" s="7"/>
      <c r="BJ853" s="4"/>
      <c r="BK853" s="8"/>
      <c r="BL853" s="2" t="s">
        <v>4476</v>
      </c>
      <c r="BM853" s="7"/>
      <c r="BN853" s="7"/>
      <c r="BO853" s="4"/>
      <c r="BP853" s="8"/>
      <c r="BQ853" s="4"/>
      <c r="BR853" s="8"/>
      <c r="BS853" s="7"/>
      <c r="BT853" s="7"/>
      <c r="BU853" s="2" t="s">
        <v>4477</v>
      </c>
      <c r="BV853" s="2" t="s">
        <v>233</v>
      </c>
      <c r="BW853" s="2" t="s">
        <v>233</v>
      </c>
      <c r="BX853" s="2" t="s">
        <v>233</v>
      </c>
      <c r="BY853" s="2" t="s">
        <v>280</v>
      </c>
      <c r="BZ853" s="2" t="s">
        <v>245</v>
      </c>
      <c r="CA853" s="2" t="s">
        <v>4173</v>
      </c>
      <c r="CB853" s="2" t="s">
        <v>4117</v>
      </c>
      <c r="CC853" s="2" t="s">
        <v>246</v>
      </c>
      <c r="CD853" s="2" t="s">
        <v>233</v>
      </c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>
        <v>441</v>
      </c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</row>
    <row r="854">
      <c r="A854" s="2" t="s">
        <v>4478</v>
      </c>
      <c r="B854" s="2" t="s">
        <v>333</v>
      </c>
      <c r="C854" s="2" t="s">
        <v>1050</v>
      </c>
      <c r="D854" s="2" t="s">
        <v>335</v>
      </c>
      <c r="E854" s="2" t="s">
        <v>336</v>
      </c>
      <c r="F854" s="2" t="s">
        <v>4149</v>
      </c>
      <c r="G854" s="2" t="s">
        <v>4149</v>
      </c>
      <c r="H854" s="2" t="s">
        <v>4149</v>
      </c>
      <c r="I854" s="2" t="s">
        <v>4150</v>
      </c>
      <c r="J854" s="2" t="s">
        <v>328</v>
      </c>
      <c r="K854" s="2" t="s">
        <v>4466</v>
      </c>
      <c r="L854" s="3">
        <v>27.39</v>
      </c>
      <c r="M854" s="3">
        <v>28.76</v>
      </c>
      <c r="N854" s="3">
        <v>62.99</v>
      </c>
      <c r="O854" s="2" t="s">
        <v>245</v>
      </c>
      <c r="P854" s="2" t="s">
        <v>272</v>
      </c>
      <c r="Q854" s="2" t="s">
        <v>239</v>
      </c>
      <c r="R854" s="2" t="s">
        <v>233</v>
      </c>
      <c r="S854" s="2" t="s">
        <v>4467</v>
      </c>
      <c r="T854" s="2" t="s">
        <v>3950</v>
      </c>
      <c r="U854" s="2" t="s">
        <v>233</v>
      </c>
      <c r="V854" s="2" t="s">
        <v>1340</v>
      </c>
      <c r="W854" s="2" t="s">
        <v>275</v>
      </c>
      <c r="X854" s="2" t="s">
        <v>233</v>
      </c>
      <c r="Y854" s="2" t="s">
        <v>3985</v>
      </c>
      <c r="Z854" s="4">
        <v>34</v>
      </c>
      <c r="AA854" s="4">
        <f>=ROUNDDOWN(1.54545454545455,0)</f>
      </c>
      <c r="AB854" s="5">
        <v>22</v>
      </c>
      <c r="AC854" s="2" t="s">
        <v>1341</v>
      </c>
      <c r="AD854" s="4">
        <v>220</v>
      </c>
      <c r="AE854" s="4">
        <v>220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233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233</v>
      </c>
      <c r="AW854" s="8" t="s">
        <v>233</v>
      </c>
      <c r="AX854" s="4" t="s">
        <v>233</v>
      </c>
      <c r="AY854" s="8" t="s">
        <v>233</v>
      </c>
      <c r="AZ854" s="7" t="s">
        <v>233</v>
      </c>
      <c r="BA854" s="7" t="s">
        <v>233</v>
      </c>
      <c r="BB854" s="7"/>
      <c r="BC854" s="4" t="s">
        <v>233</v>
      </c>
      <c r="BD854" s="8" t="s">
        <v>233</v>
      </c>
      <c r="BE854" s="4" t="s">
        <v>233</v>
      </c>
      <c r="BF854" s="8" t="s">
        <v>233</v>
      </c>
      <c r="BG854" s="7" t="s">
        <v>233</v>
      </c>
      <c r="BH854" s="7" t="s">
        <v>233</v>
      </c>
      <c r="BI854" s="7"/>
      <c r="BJ854" s="4">
        <v>10</v>
      </c>
      <c r="BK854" s="8">
        <v>297.86</v>
      </c>
      <c r="BL854" s="2" t="s">
        <v>4479</v>
      </c>
      <c r="BM854" s="7"/>
      <c r="BN854" s="7"/>
      <c r="BO854" s="4"/>
      <c r="BP854" s="8"/>
      <c r="BQ854" s="4"/>
      <c r="BR854" s="8"/>
      <c r="BS854" s="7"/>
      <c r="BT854" s="7"/>
      <c r="BU854" s="2" t="s">
        <v>4480</v>
      </c>
      <c r="BV854" s="2" t="s">
        <v>233</v>
      </c>
      <c r="BW854" s="2" t="s">
        <v>233</v>
      </c>
      <c r="BX854" s="2" t="s">
        <v>233</v>
      </c>
      <c r="BY854" s="2" t="s">
        <v>280</v>
      </c>
      <c r="BZ854" s="2" t="s">
        <v>245</v>
      </c>
      <c r="CA854" s="2" t="s">
        <v>4173</v>
      </c>
      <c r="CB854" s="2" t="s">
        <v>4481</v>
      </c>
      <c r="CC854" s="2" t="s">
        <v>246</v>
      </c>
      <c r="CD854" s="2" t="s">
        <v>233</v>
      </c>
      <c r="CE854" s="4">
        <v>34</v>
      </c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>
        <v>220</v>
      </c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</row>
    <row r="855">
      <c r="A855" s="2" t="s">
        <v>4482</v>
      </c>
      <c r="B855" s="2" t="s">
        <v>333</v>
      </c>
      <c r="C855" s="2" t="s">
        <v>1050</v>
      </c>
      <c r="D855" s="2" t="s">
        <v>335</v>
      </c>
      <c r="E855" s="2" t="s">
        <v>336</v>
      </c>
      <c r="F855" s="2" t="s">
        <v>4149</v>
      </c>
      <c r="G855" s="2" t="s">
        <v>4149</v>
      </c>
      <c r="H855" s="2" t="s">
        <v>4149</v>
      </c>
      <c r="I855" s="2" t="s">
        <v>4150</v>
      </c>
      <c r="J855" s="2" t="s">
        <v>270</v>
      </c>
      <c r="K855" s="2" t="s">
        <v>4483</v>
      </c>
      <c r="L855" s="3">
        <v>14.89</v>
      </c>
      <c r="M855" s="3">
        <v>15.63</v>
      </c>
      <c r="N855" s="3">
        <v>31.99</v>
      </c>
      <c r="O855" s="2" t="s">
        <v>245</v>
      </c>
      <c r="P855" s="2" t="s">
        <v>1366</v>
      </c>
      <c r="Q855" s="2" t="s">
        <v>239</v>
      </c>
      <c r="R855" s="2" t="s">
        <v>233</v>
      </c>
      <c r="S855" s="2" t="s">
        <v>4484</v>
      </c>
      <c r="T855" s="2" t="s">
        <v>3950</v>
      </c>
      <c r="U855" s="2" t="s">
        <v>233</v>
      </c>
      <c r="V855" s="2" t="s">
        <v>3951</v>
      </c>
      <c r="W855" s="2" t="s">
        <v>275</v>
      </c>
      <c r="X855" s="2" t="s">
        <v>233</v>
      </c>
      <c r="Y855" s="2" t="s">
        <v>4257</v>
      </c>
      <c r="Z855" s="4"/>
      <c r="AA855" s="4">
        <f>=ROUNDDOWN({0},0)</f>
      </c>
      <c r="AB855" s="5">
        <v>87</v>
      </c>
      <c r="AC855" s="2" t="s">
        <v>1341</v>
      </c>
      <c r="AD855" s="4">
        <v>847</v>
      </c>
      <c r="AE855" s="4">
        <v>847</v>
      </c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233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233</v>
      </c>
      <c r="AW855" s="8" t="s">
        <v>233</v>
      </c>
      <c r="AX855" s="4" t="s">
        <v>233</v>
      </c>
      <c r="AY855" s="8" t="s">
        <v>233</v>
      </c>
      <c r="AZ855" s="7" t="s">
        <v>233</v>
      </c>
      <c r="BA855" s="7" t="s">
        <v>233</v>
      </c>
      <c r="BB855" s="7"/>
      <c r="BC855" s="4" t="s">
        <v>233</v>
      </c>
      <c r="BD855" s="8" t="s">
        <v>233</v>
      </c>
      <c r="BE855" s="4" t="s">
        <v>233</v>
      </c>
      <c r="BF855" s="8" t="s">
        <v>233</v>
      </c>
      <c r="BG855" s="7" t="s">
        <v>233</v>
      </c>
      <c r="BH855" s="7" t="s">
        <v>233</v>
      </c>
      <c r="BI855" s="7"/>
      <c r="BJ855" s="4"/>
      <c r="BK855" s="8"/>
      <c r="BL855" s="2" t="s">
        <v>233</v>
      </c>
      <c r="BM855" s="7"/>
      <c r="BN855" s="7"/>
      <c r="BO855" s="4"/>
      <c r="BP855" s="8"/>
      <c r="BQ855" s="4"/>
      <c r="BR855" s="8"/>
      <c r="BS855" s="7"/>
      <c r="BT855" s="7"/>
      <c r="BU855" s="2" t="s">
        <v>4485</v>
      </c>
      <c r="BV855" s="2" t="s">
        <v>233</v>
      </c>
      <c r="BW855" s="2" t="s">
        <v>233</v>
      </c>
      <c r="BX855" s="2" t="s">
        <v>233</v>
      </c>
      <c r="BY855" s="2" t="s">
        <v>280</v>
      </c>
      <c r="BZ855" s="2" t="s">
        <v>245</v>
      </c>
      <c r="CA855" s="2" t="s">
        <v>4010</v>
      </c>
      <c r="CB855" s="2" t="s">
        <v>4486</v>
      </c>
      <c r="CC855" s="2" t="s">
        <v>246</v>
      </c>
      <c r="CD855" s="2" t="s">
        <v>233</v>
      </c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>
        <v>847</v>
      </c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</row>
    <row r="856">
      <c r="A856" s="2" t="s">
        <v>4487</v>
      </c>
      <c r="B856" s="2" t="s">
        <v>333</v>
      </c>
      <c r="C856" s="2" t="s">
        <v>1050</v>
      </c>
      <c r="D856" s="2" t="s">
        <v>335</v>
      </c>
      <c r="E856" s="2" t="s">
        <v>336</v>
      </c>
      <c r="F856" s="2" t="s">
        <v>4149</v>
      </c>
      <c r="G856" s="2" t="s">
        <v>4149</v>
      </c>
      <c r="H856" s="2" t="s">
        <v>4149</v>
      </c>
      <c r="I856" s="2" t="s">
        <v>4150</v>
      </c>
      <c r="J856" s="2" t="s">
        <v>284</v>
      </c>
      <c r="K856" s="2" t="s">
        <v>4483</v>
      </c>
      <c r="L856" s="3">
        <v>16.16</v>
      </c>
      <c r="M856" s="3">
        <v>16.97</v>
      </c>
      <c r="N856" s="3">
        <v>34.99</v>
      </c>
      <c r="O856" s="2" t="s">
        <v>245</v>
      </c>
      <c r="P856" s="2" t="s">
        <v>763</v>
      </c>
      <c r="Q856" s="2" t="s">
        <v>239</v>
      </c>
      <c r="R856" s="2" t="s">
        <v>233</v>
      </c>
      <c r="S856" s="2" t="s">
        <v>4484</v>
      </c>
      <c r="T856" s="2" t="s">
        <v>3950</v>
      </c>
      <c r="U856" s="2" t="s">
        <v>233</v>
      </c>
      <c r="V856" s="2" t="s">
        <v>3951</v>
      </c>
      <c r="W856" s="2" t="s">
        <v>275</v>
      </c>
      <c r="X856" s="2" t="s">
        <v>233</v>
      </c>
      <c r="Y856" s="2" t="s">
        <v>4257</v>
      </c>
      <c r="Z856" s="4"/>
      <c r="AA856" s="4">
        <f>=ROUNDDOWN({0},0)</f>
      </c>
      <c r="AB856" s="5">
        <v>50</v>
      </c>
      <c r="AC856" s="2" t="s">
        <v>1341</v>
      </c>
      <c r="AD856" s="4">
        <v>490</v>
      </c>
      <c r="AE856" s="4">
        <v>490</v>
      </c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233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233</v>
      </c>
      <c r="AW856" s="8" t="s">
        <v>233</v>
      </c>
      <c r="AX856" s="4" t="s">
        <v>233</v>
      </c>
      <c r="AY856" s="8" t="s">
        <v>233</v>
      </c>
      <c r="AZ856" s="7" t="s">
        <v>233</v>
      </c>
      <c r="BA856" s="7" t="s">
        <v>233</v>
      </c>
      <c r="BB856" s="7"/>
      <c r="BC856" s="4" t="s">
        <v>233</v>
      </c>
      <c r="BD856" s="8" t="s">
        <v>233</v>
      </c>
      <c r="BE856" s="4" t="s">
        <v>233</v>
      </c>
      <c r="BF856" s="8" t="s">
        <v>233</v>
      </c>
      <c r="BG856" s="7" t="s">
        <v>233</v>
      </c>
      <c r="BH856" s="7" t="s">
        <v>233</v>
      </c>
      <c r="BI856" s="7"/>
      <c r="BJ856" s="4"/>
      <c r="BK856" s="8"/>
      <c r="BL856" s="2" t="s">
        <v>233</v>
      </c>
      <c r="BM856" s="7"/>
      <c r="BN856" s="7"/>
      <c r="BO856" s="4"/>
      <c r="BP856" s="8"/>
      <c r="BQ856" s="4"/>
      <c r="BR856" s="8"/>
      <c r="BS856" s="7"/>
      <c r="BT856" s="7"/>
      <c r="BU856" s="2" t="s">
        <v>4488</v>
      </c>
      <c r="BV856" s="2" t="s">
        <v>233</v>
      </c>
      <c r="BW856" s="2" t="s">
        <v>233</v>
      </c>
      <c r="BX856" s="2" t="s">
        <v>233</v>
      </c>
      <c r="BY856" s="2" t="s">
        <v>280</v>
      </c>
      <c r="BZ856" s="2" t="s">
        <v>245</v>
      </c>
      <c r="CA856" s="2" t="s">
        <v>4260</v>
      </c>
      <c r="CB856" s="2" t="s">
        <v>3988</v>
      </c>
      <c r="CC856" s="2" t="s">
        <v>246</v>
      </c>
      <c r="CD856" s="2" t="s">
        <v>233</v>
      </c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>
        <v>490</v>
      </c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</row>
    <row r="857">
      <c r="A857" s="2" t="s">
        <v>4489</v>
      </c>
      <c r="B857" s="2" t="s">
        <v>333</v>
      </c>
      <c r="C857" s="2" t="s">
        <v>1050</v>
      </c>
      <c r="D857" s="2" t="s">
        <v>335</v>
      </c>
      <c r="E857" s="2" t="s">
        <v>336</v>
      </c>
      <c r="F857" s="2" t="s">
        <v>4149</v>
      </c>
      <c r="G857" s="2" t="s">
        <v>4149</v>
      </c>
      <c r="H857" s="2" t="s">
        <v>4149</v>
      </c>
      <c r="I857" s="2" t="s">
        <v>4150</v>
      </c>
      <c r="J857" s="2" t="s">
        <v>290</v>
      </c>
      <c r="K857" s="2" t="s">
        <v>4483</v>
      </c>
      <c r="L857" s="3">
        <v>19.57</v>
      </c>
      <c r="M857" s="3">
        <v>20.55</v>
      </c>
      <c r="N857" s="3">
        <v>42.99</v>
      </c>
      <c r="O857" s="2" t="s">
        <v>245</v>
      </c>
      <c r="P857" s="2" t="s">
        <v>272</v>
      </c>
      <c r="Q857" s="2" t="s">
        <v>239</v>
      </c>
      <c r="R857" s="2" t="s">
        <v>233</v>
      </c>
      <c r="S857" s="2" t="s">
        <v>4484</v>
      </c>
      <c r="T857" s="2" t="s">
        <v>3950</v>
      </c>
      <c r="U857" s="2" t="s">
        <v>233</v>
      </c>
      <c r="V857" s="2" t="s">
        <v>3951</v>
      </c>
      <c r="W857" s="2" t="s">
        <v>275</v>
      </c>
      <c r="X857" s="2" t="s">
        <v>233</v>
      </c>
      <c r="Y857" s="2" t="s">
        <v>4257</v>
      </c>
      <c r="Z857" s="4"/>
      <c r="AA857" s="4">
        <f>=ROUNDDOWN({0},0)</f>
      </c>
      <c r="AB857" s="5">
        <v>42</v>
      </c>
      <c r="AC857" s="2" t="s">
        <v>1341</v>
      </c>
      <c r="AD857" s="4">
        <v>411</v>
      </c>
      <c r="AE857" s="4">
        <v>411</v>
      </c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233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233</v>
      </c>
      <c r="AW857" s="8" t="s">
        <v>233</v>
      </c>
      <c r="AX857" s="4" t="s">
        <v>233</v>
      </c>
      <c r="AY857" s="8" t="s">
        <v>233</v>
      </c>
      <c r="AZ857" s="7" t="s">
        <v>233</v>
      </c>
      <c r="BA857" s="7" t="s">
        <v>233</v>
      </c>
      <c r="BB857" s="7"/>
      <c r="BC857" s="4" t="s">
        <v>233</v>
      </c>
      <c r="BD857" s="8" t="s">
        <v>233</v>
      </c>
      <c r="BE857" s="4" t="s">
        <v>233</v>
      </c>
      <c r="BF857" s="8" t="s">
        <v>233</v>
      </c>
      <c r="BG857" s="7" t="s">
        <v>233</v>
      </c>
      <c r="BH857" s="7" t="s">
        <v>233</v>
      </c>
      <c r="BI857" s="7"/>
      <c r="BJ857" s="4"/>
      <c r="BK857" s="8"/>
      <c r="BL857" s="2" t="s">
        <v>233</v>
      </c>
      <c r="BM857" s="7"/>
      <c r="BN857" s="7"/>
      <c r="BO857" s="4"/>
      <c r="BP857" s="8"/>
      <c r="BQ857" s="4"/>
      <c r="BR857" s="8"/>
      <c r="BS857" s="7"/>
      <c r="BT857" s="7"/>
      <c r="BU857" s="2" t="s">
        <v>4490</v>
      </c>
      <c r="BV857" s="2" t="s">
        <v>233</v>
      </c>
      <c r="BW857" s="2" t="s">
        <v>233</v>
      </c>
      <c r="BX857" s="2" t="s">
        <v>233</v>
      </c>
      <c r="BY857" s="2" t="s">
        <v>280</v>
      </c>
      <c r="BZ857" s="2" t="s">
        <v>245</v>
      </c>
      <c r="CA857" s="2" t="s">
        <v>4010</v>
      </c>
      <c r="CB857" s="2" t="s">
        <v>4491</v>
      </c>
      <c r="CC857" s="2" t="s">
        <v>246</v>
      </c>
      <c r="CD857" s="2" t="s">
        <v>233</v>
      </c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>
        <v>411</v>
      </c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</row>
    <row r="858">
      <c r="A858" s="2" t="s">
        <v>4492</v>
      </c>
      <c r="B858" s="2" t="s">
        <v>333</v>
      </c>
      <c r="C858" s="2" t="s">
        <v>1050</v>
      </c>
      <c r="D858" s="2" t="s">
        <v>335</v>
      </c>
      <c r="E858" s="2" t="s">
        <v>336</v>
      </c>
      <c r="F858" s="2" t="s">
        <v>4149</v>
      </c>
      <c r="G858" s="2" t="s">
        <v>4149</v>
      </c>
      <c r="H858" s="2" t="s">
        <v>4149</v>
      </c>
      <c r="I858" s="2" t="s">
        <v>4150</v>
      </c>
      <c r="J858" s="2" t="s">
        <v>348</v>
      </c>
      <c r="K858" s="2" t="s">
        <v>4483</v>
      </c>
      <c r="L858" s="3">
        <v>22.21</v>
      </c>
      <c r="M858" s="3">
        <v>23.32</v>
      </c>
      <c r="N858" s="3">
        <v>47.99</v>
      </c>
      <c r="O858" s="2" t="s">
        <v>245</v>
      </c>
      <c r="P858" s="2" t="s">
        <v>1366</v>
      </c>
      <c r="Q858" s="2" t="s">
        <v>239</v>
      </c>
      <c r="R858" s="2" t="s">
        <v>233</v>
      </c>
      <c r="S858" s="2" t="s">
        <v>4484</v>
      </c>
      <c r="T858" s="2" t="s">
        <v>3950</v>
      </c>
      <c r="U858" s="2" t="s">
        <v>233</v>
      </c>
      <c r="V858" s="2" t="s">
        <v>3951</v>
      </c>
      <c r="W858" s="2" t="s">
        <v>275</v>
      </c>
      <c r="X858" s="2" t="s">
        <v>233</v>
      </c>
      <c r="Y858" s="2" t="s">
        <v>4257</v>
      </c>
      <c r="Z858" s="4">
        <v>2</v>
      </c>
      <c r="AA858" s="4">
        <f>=ROUNDDOWN(0.0240963855421687,0)</f>
      </c>
      <c r="AB858" s="5">
        <v>83</v>
      </c>
      <c r="AC858" s="2" t="s">
        <v>1341</v>
      </c>
      <c r="AD858" s="4">
        <v>805</v>
      </c>
      <c r="AE858" s="4">
        <v>805</v>
      </c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233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233</v>
      </c>
      <c r="AW858" s="8" t="s">
        <v>233</v>
      </c>
      <c r="AX858" s="4" t="s">
        <v>233</v>
      </c>
      <c r="AY858" s="8" t="s">
        <v>233</v>
      </c>
      <c r="AZ858" s="7" t="s">
        <v>233</v>
      </c>
      <c r="BA858" s="7" t="s">
        <v>233</v>
      </c>
      <c r="BB858" s="7"/>
      <c r="BC858" s="4" t="s">
        <v>233</v>
      </c>
      <c r="BD858" s="8" t="s">
        <v>233</v>
      </c>
      <c r="BE858" s="4" t="s">
        <v>233</v>
      </c>
      <c r="BF858" s="8" t="s">
        <v>233</v>
      </c>
      <c r="BG858" s="7" t="s">
        <v>233</v>
      </c>
      <c r="BH858" s="7" t="s">
        <v>233</v>
      </c>
      <c r="BI858" s="7"/>
      <c r="BJ858" s="4">
        <v>1</v>
      </c>
      <c r="BK858" s="8">
        <v>23.32</v>
      </c>
      <c r="BL858" s="2" t="s">
        <v>744</v>
      </c>
      <c r="BM858" s="7"/>
      <c r="BN858" s="7"/>
      <c r="BO858" s="4"/>
      <c r="BP858" s="8"/>
      <c r="BQ858" s="4"/>
      <c r="BR858" s="8"/>
      <c r="BS858" s="7"/>
      <c r="BT858" s="7"/>
      <c r="BU858" s="2" t="s">
        <v>4493</v>
      </c>
      <c r="BV858" s="2" t="s">
        <v>233</v>
      </c>
      <c r="BW858" s="2" t="s">
        <v>233</v>
      </c>
      <c r="BX858" s="2" t="s">
        <v>233</v>
      </c>
      <c r="BY858" s="2" t="s">
        <v>280</v>
      </c>
      <c r="BZ858" s="2" t="s">
        <v>245</v>
      </c>
      <c r="CA858" s="2" t="s">
        <v>4010</v>
      </c>
      <c r="CB858" s="2" t="s">
        <v>4494</v>
      </c>
      <c r="CC858" s="2" t="s">
        <v>246</v>
      </c>
      <c r="CD858" s="2" t="s">
        <v>233</v>
      </c>
      <c r="CE858" s="4">
        <v>2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>
        <v>805</v>
      </c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</row>
    <row r="859">
      <c r="A859" s="2" t="s">
        <v>4495</v>
      </c>
      <c r="B859" s="2" t="s">
        <v>333</v>
      </c>
      <c r="C859" s="2" t="s">
        <v>1050</v>
      </c>
      <c r="D859" s="2" t="s">
        <v>335</v>
      </c>
      <c r="E859" s="2" t="s">
        <v>336</v>
      </c>
      <c r="F859" s="2" t="s">
        <v>4149</v>
      </c>
      <c r="G859" s="2" t="s">
        <v>4149</v>
      </c>
      <c r="H859" s="2" t="s">
        <v>4149</v>
      </c>
      <c r="I859" s="2" t="s">
        <v>4150</v>
      </c>
      <c r="J859" s="2" t="s">
        <v>328</v>
      </c>
      <c r="K859" s="2" t="s">
        <v>4483</v>
      </c>
      <c r="L859" s="3">
        <v>27.39</v>
      </c>
      <c r="M859" s="3">
        <v>28.76</v>
      </c>
      <c r="N859" s="3">
        <v>62.99</v>
      </c>
      <c r="O859" s="2" t="s">
        <v>245</v>
      </c>
      <c r="P859" s="2" t="s">
        <v>741</v>
      </c>
      <c r="Q859" s="2" t="s">
        <v>239</v>
      </c>
      <c r="R859" s="2" t="s">
        <v>233</v>
      </c>
      <c r="S859" s="2" t="s">
        <v>4484</v>
      </c>
      <c r="T859" s="2" t="s">
        <v>3950</v>
      </c>
      <c r="U859" s="2" t="s">
        <v>233</v>
      </c>
      <c r="V859" s="2" t="s">
        <v>3951</v>
      </c>
      <c r="W859" s="2" t="s">
        <v>275</v>
      </c>
      <c r="X859" s="2" t="s">
        <v>233</v>
      </c>
      <c r="Y859" s="2" t="s">
        <v>4496</v>
      </c>
      <c r="Z859" s="4">
        <v>3</v>
      </c>
      <c r="AA859" s="4">
        <f>=ROUNDDOWN(0.0714285714285714,0)</f>
      </c>
      <c r="AB859" s="5">
        <v>42</v>
      </c>
      <c r="AC859" s="2" t="s">
        <v>1341</v>
      </c>
      <c r="AD859" s="4">
        <v>412</v>
      </c>
      <c r="AE859" s="4">
        <v>412</v>
      </c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233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233</v>
      </c>
      <c r="AW859" s="8" t="s">
        <v>233</v>
      </c>
      <c r="AX859" s="4" t="s">
        <v>233</v>
      </c>
      <c r="AY859" s="8" t="s">
        <v>233</v>
      </c>
      <c r="AZ859" s="7" t="s">
        <v>233</v>
      </c>
      <c r="BA859" s="7" t="s">
        <v>233</v>
      </c>
      <c r="BB859" s="7"/>
      <c r="BC859" s="4" t="s">
        <v>233</v>
      </c>
      <c r="BD859" s="8" t="s">
        <v>233</v>
      </c>
      <c r="BE859" s="4" t="s">
        <v>233</v>
      </c>
      <c r="BF859" s="8" t="s">
        <v>233</v>
      </c>
      <c r="BG859" s="7" t="s">
        <v>233</v>
      </c>
      <c r="BH859" s="7" t="s">
        <v>233</v>
      </c>
      <c r="BI859" s="7"/>
      <c r="BJ859" s="4"/>
      <c r="BK859" s="8"/>
      <c r="BL859" s="2" t="s">
        <v>1292</v>
      </c>
      <c r="BM859" s="7"/>
      <c r="BN859" s="7"/>
      <c r="BO859" s="4"/>
      <c r="BP859" s="8"/>
      <c r="BQ859" s="4"/>
      <c r="BR859" s="8"/>
      <c r="BS859" s="7"/>
      <c r="BT859" s="7"/>
      <c r="BU859" s="2" t="s">
        <v>4497</v>
      </c>
      <c r="BV859" s="2" t="s">
        <v>233</v>
      </c>
      <c r="BW859" s="2" t="s">
        <v>233</v>
      </c>
      <c r="BX859" s="2" t="s">
        <v>233</v>
      </c>
      <c r="BY859" s="2" t="s">
        <v>280</v>
      </c>
      <c r="BZ859" s="2" t="s">
        <v>245</v>
      </c>
      <c r="CA859" s="2" t="s">
        <v>4010</v>
      </c>
      <c r="CB859" s="2" t="s">
        <v>4498</v>
      </c>
      <c r="CC859" s="2" t="s">
        <v>246</v>
      </c>
      <c r="CD859" s="2" t="s">
        <v>233</v>
      </c>
      <c r="CE859" s="4">
        <v>3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>
        <v>412</v>
      </c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</row>
    <row r="860">
      <c r="A860" s="2" t="s">
        <v>4499</v>
      </c>
      <c r="B860" s="2" t="s">
        <v>333</v>
      </c>
      <c r="C860" s="2" t="s">
        <v>1050</v>
      </c>
      <c r="D860" s="2" t="s">
        <v>335</v>
      </c>
      <c r="E860" s="2" t="s">
        <v>336</v>
      </c>
      <c r="F860" s="2" t="s">
        <v>4149</v>
      </c>
      <c r="G860" s="2" t="s">
        <v>4149</v>
      </c>
      <c r="H860" s="2" t="s">
        <v>4149</v>
      </c>
      <c r="I860" s="2" t="s">
        <v>4150</v>
      </c>
      <c r="J860" s="2" t="s">
        <v>270</v>
      </c>
      <c r="K860" s="2" t="s">
        <v>1380</v>
      </c>
      <c r="L860" s="3">
        <v>14.89</v>
      </c>
      <c r="M860" s="3">
        <v>15.63</v>
      </c>
      <c r="N860" s="3">
        <v>31.99</v>
      </c>
      <c r="O860" s="2" t="s">
        <v>245</v>
      </c>
      <c r="P860" s="2" t="s">
        <v>272</v>
      </c>
      <c r="Q860" s="2" t="s">
        <v>239</v>
      </c>
      <c r="R860" s="2" t="s">
        <v>233</v>
      </c>
      <c r="S860" s="2" t="s">
        <v>4500</v>
      </c>
      <c r="T860" s="2" t="s">
        <v>3950</v>
      </c>
      <c r="U860" s="2" t="s">
        <v>233</v>
      </c>
      <c r="V860" s="2" t="s">
        <v>1340</v>
      </c>
      <c r="W860" s="2" t="s">
        <v>275</v>
      </c>
      <c r="X860" s="2" t="s">
        <v>233</v>
      </c>
      <c r="Y860" s="2" t="s">
        <v>276</v>
      </c>
      <c r="Z860" s="4"/>
      <c r="AA860" s="4">
        <f>=ROUNDDOWN({0},0)</f>
      </c>
      <c r="AB860" s="5">
        <v>37</v>
      </c>
      <c r="AC860" s="2" t="s">
        <v>1341</v>
      </c>
      <c r="AD860" s="4">
        <v>364</v>
      </c>
      <c r="AE860" s="4">
        <v>364</v>
      </c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233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233</v>
      </c>
      <c r="AW860" s="8" t="s">
        <v>233</v>
      </c>
      <c r="AX860" s="4" t="s">
        <v>233</v>
      </c>
      <c r="AY860" s="8" t="s">
        <v>233</v>
      </c>
      <c r="AZ860" s="7" t="s">
        <v>233</v>
      </c>
      <c r="BA860" s="7" t="s">
        <v>233</v>
      </c>
      <c r="BB860" s="7"/>
      <c r="BC860" s="4" t="s">
        <v>233</v>
      </c>
      <c r="BD860" s="8" t="s">
        <v>233</v>
      </c>
      <c r="BE860" s="4" t="s">
        <v>233</v>
      </c>
      <c r="BF860" s="8" t="s">
        <v>233</v>
      </c>
      <c r="BG860" s="7" t="s">
        <v>233</v>
      </c>
      <c r="BH860" s="7" t="s">
        <v>233</v>
      </c>
      <c r="BI860" s="7"/>
      <c r="BJ860" s="4"/>
      <c r="BK860" s="8"/>
      <c r="BL860" s="2" t="s">
        <v>233</v>
      </c>
      <c r="BM860" s="7"/>
      <c r="BN860" s="7"/>
      <c r="BO860" s="4"/>
      <c r="BP860" s="8"/>
      <c r="BQ860" s="4"/>
      <c r="BR860" s="8"/>
      <c r="BS860" s="7"/>
      <c r="BT860" s="7"/>
      <c r="BU860" s="2" t="s">
        <v>4501</v>
      </c>
      <c r="BV860" s="2" t="s">
        <v>233</v>
      </c>
      <c r="BW860" s="2" t="s">
        <v>233</v>
      </c>
      <c r="BX860" s="2" t="s">
        <v>233</v>
      </c>
      <c r="BY860" s="2" t="s">
        <v>280</v>
      </c>
      <c r="BZ860" s="2" t="s">
        <v>245</v>
      </c>
      <c r="CA860" s="2" t="s">
        <v>4010</v>
      </c>
      <c r="CB860" s="2" t="s">
        <v>4502</v>
      </c>
      <c r="CC860" s="2" t="s">
        <v>246</v>
      </c>
      <c r="CD860" s="2" t="s">
        <v>233</v>
      </c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>
        <v>364</v>
      </c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</row>
    <row r="861">
      <c r="A861" s="2" t="s">
        <v>4503</v>
      </c>
      <c r="B861" s="2" t="s">
        <v>333</v>
      </c>
      <c r="C861" s="2" t="s">
        <v>1050</v>
      </c>
      <c r="D861" s="2" t="s">
        <v>335</v>
      </c>
      <c r="E861" s="2" t="s">
        <v>336</v>
      </c>
      <c r="F861" s="2" t="s">
        <v>4149</v>
      </c>
      <c r="G861" s="2" t="s">
        <v>4149</v>
      </c>
      <c r="H861" s="2" t="s">
        <v>4149</v>
      </c>
      <c r="I861" s="2" t="s">
        <v>4150</v>
      </c>
      <c r="J861" s="2" t="s">
        <v>284</v>
      </c>
      <c r="K861" s="2" t="s">
        <v>1380</v>
      </c>
      <c r="L861" s="3">
        <v>16.16</v>
      </c>
      <c r="M861" s="3">
        <v>16.97</v>
      </c>
      <c r="N861" s="3">
        <v>34.99</v>
      </c>
      <c r="O861" s="2" t="s">
        <v>245</v>
      </c>
      <c r="P861" s="2" t="s">
        <v>763</v>
      </c>
      <c r="Q861" s="2" t="s">
        <v>239</v>
      </c>
      <c r="R861" s="2" t="s">
        <v>233</v>
      </c>
      <c r="S861" s="2" t="s">
        <v>4500</v>
      </c>
      <c r="T861" s="2" t="s">
        <v>3950</v>
      </c>
      <c r="U861" s="2" t="s">
        <v>233</v>
      </c>
      <c r="V861" s="2" t="s">
        <v>1340</v>
      </c>
      <c r="W861" s="2" t="s">
        <v>275</v>
      </c>
      <c r="X861" s="2" t="s">
        <v>233</v>
      </c>
      <c r="Y861" s="2" t="s">
        <v>4257</v>
      </c>
      <c r="Z861" s="4">
        <v>8</v>
      </c>
      <c r="AA861" s="4">
        <f>=ROUNDDOWN(0.16,0)</f>
      </c>
      <c r="AB861" s="5">
        <v>50</v>
      </c>
      <c r="AC861" s="2" t="s">
        <v>1341</v>
      </c>
      <c r="AD861" s="4">
        <v>486</v>
      </c>
      <c r="AE861" s="4">
        <v>486</v>
      </c>
      <c r="AF861" s="6">
        <v>65</v>
      </c>
      <c r="AG861" s="6"/>
      <c r="AH861" s="7">
        <v>0.8387</v>
      </c>
      <c r="AI861" s="4"/>
      <c r="AJ861" s="4">
        <f>=ROUNDDOWN({0},0)</f>
      </c>
      <c r="AK861" s="5"/>
      <c r="AL861" s="2" t="s">
        <v>233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233</v>
      </c>
      <c r="AW861" s="8" t="s">
        <v>233</v>
      </c>
      <c r="AX861" s="4" t="s">
        <v>233</v>
      </c>
      <c r="AY861" s="8" t="s">
        <v>233</v>
      </c>
      <c r="AZ861" s="7" t="s">
        <v>233</v>
      </c>
      <c r="BA861" s="7" t="s">
        <v>233</v>
      </c>
      <c r="BB861" s="7"/>
      <c r="BC861" s="4" t="s">
        <v>233</v>
      </c>
      <c r="BD861" s="8" t="s">
        <v>233</v>
      </c>
      <c r="BE861" s="4" t="s">
        <v>233</v>
      </c>
      <c r="BF861" s="8" t="s">
        <v>233</v>
      </c>
      <c r="BG861" s="7" t="s">
        <v>233</v>
      </c>
      <c r="BH861" s="7" t="s">
        <v>233</v>
      </c>
      <c r="BI861" s="7"/>
      <c r="BJ861" s="4">
        <v>97</v>
      </c>
      <c r="BK861" s="8">
        <v>1732.05</v>
      </c>
      <c r="BL861" s="2" t="s">
        <v>4380</v>
      </c>
      <c r="BM861" s="7"/>
      <c r="BN861" s="7"/>
      <c r="BO861" s="4"/>
      <c r="BP861" s="8"/>
      <c r="BQ861" s="4"/>
      <c r="BR861" s="8"/>
      <c r="BS861" s="7"/>
      <c r="BT861" s="7"/>
      <c r="BU861" s="2" t="s">
        <v>4504</v>
      </c>
      <c r="BV861" s="2" t="s">
        <v>233</v>
      </c>
      <c r="BW861" s="2" t="s">
        <v>233</v>
      </c>
      <c r="BX861" s="2" t="s">
        <v>233</v>
      </c>
      <c r="BY861" s="2" t="s">
        <v>280</v>
      </c>
      <c r="BZ861" s="2" t="s">
        <v>245</v>
      </c>
      <c r="CA861" s="2" t="s">
        <v>4260</v>
      </c>
      <c r="CB861" s="2" t="s">
        <v>4261</v>
      </c>
      <c r="CC861" s="2" t="s">
        <v>246</v>
      </c>
      <c r="CD861" s="2" t="s">
        <v>233</v>
      </c>
      <c r="CE861" s="4">
        <v>8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>
        <v>486</v>
      </c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</row>
    <row r="862">
      <c r="A862" s="2" t="s">
        <v>4505</v>
      </c>
      <c r="B862" s="2" t="s">
        <v>333</v>
      </c>
      <c r="C862" s="2" t="s">
        <v>1050</v>
      </c>
      <c r="D862" s="2" t="s">
        <v>335</v>
      </c>
      <c r="E862" s="2" t="s">
        <v>336</v>
      </c>
      <c r="F862" s="2" t="s">
        <v>4149</v>
      </c>
      <c r="G862" s="2" t="s">
        <v>4149</v>
      </c>
      <c r="H862" s="2" t="s">
        <v>4149</v>
      </c>
      <c r="I862" s="2" t="s">
        <v>4150</v>
      </c>
      <c r="J862" s="2" t="s">
        <v>290</v>
      </c>
      <c r="K862" s="2" t="s">
        <v>1380</v>
      </c>
      <c r="L862" s="3">
        <v>19.57</v>
      </c>
      <c r="M862" s="3">
        <v>20.55</v>
      </c>
      <c r="N862" s="3">
        <v>42.99</v>
      </c>
      <c r="O862" s="2" t="s">
        <v>245</v>
      </c>
      <c r="P862" s="2" t="s">
        <v>741</v>
      </c>
      <c r="Q862" s="2" t="s">
        <v>239</v>
      </c>
      <c r="R862" s="2" t="s">
        <v>233</v>
      </c>
      <c r="S862" s="2" t="s">
        <v>4500</v>
      </c>
      <c r="T862" s="2" t="s">
        <v>3950</v>
      </c>
      <c r="U862" s="2" t="s">
        <v>233</v>
      </c>
      <c r="V862" s="2" t="s">
        <v>1340</v>
      </c>
      <c r="W862" s="2" t="s">
        <v>275</v>
      </c>
      <c r="X862" s="2" t="s">
        <v>233</v>
      </c>
      <c r="Y862" s="2" t="s">
        <v>276</v>
      </c>
      <c r="Z862" s="4">
        <v>2</v>
      </c>
      <c r="AA862" s="4">
        <f>=ROUNDDOWN(0.0645161290322581,0)</f>
      </c>
      <c r="AB862" s="5">
        <v>31</v>
      </c>
      <c r="AC862" s="2" t="s">
        <v>1341</v>
      </c>
      <c r="AD862" s="4">
        <v>309</v>
      </c>
      <c r="AE862" s="4">
        <v>309</v>
      </c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233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233</v>
      </c>
      <c r="AW862" s="8" t="s">
        <v>233</v>
      </c>
      <c r="AX862" s="4" t="s">
        <v>233</v>
      </c>
      <c r="AY862" s="8" t="s">
        <v>233</v>
      </c>
      <c r="AZ862" s="7" t="s">
        <v>233</v>
      </c>
      <c r="BA862" s="7" t="s">
        <v>233</v>
      </c>
      <c r="BB862" s="7"/>
      <c r="BC862" s="4" t="s">
        <v>233</v>
      </c>
      <c r="BD862" s="8" t="s">
        <v>233</v>
      </c>
      <c r="BE862" s="4" t="s">
        <v>233</v>
      </c>
      <c r="BF862" s="8" t="s">
        <v>233</v>
      </c>
      <c r="BG862" s="7" t="s">
        <v>233</v>
      </c>
      <c r="BH862" s="7" t="s">
        <v>233</v>
      </c>
      <c r="BI862" s="7"/>
      <c r="BJ862" s="4">
        <v>2</v>
      </c>
      <c r="BK862" s="8">
        <v>64.85</v>
      </c>
      <c r="BL862" s="2" t="s">
        <v>4506</v>
      </c>
      <c r="BM862" s="7"/>
      <c r="BN862" s="7"/>
      <c r="BO862" s="4"/>
      <c r="BP862" s="8"/>
      <c r="BQ862" s="4"/>
      <c r="BR862" s="8"/>
      <c r="BS862" s="7"/>
      <c r="BT862" s="7"/>
      <c r="BU862" s="2" t="s">
        <v>4507</v>
      </c>
      <c r="BV862" s="2" t="s">
        <v>233</v>
      </c>
      <c r="BW862" s="2" t="s">
        <v>233</v>
      </c>
      <c r="BX862" s="2" t="s">
        <v>233</v>
      </c>
      <c r="BY862" s="2" t="s">
        <v>280</v>
      </c>
      <c r="BZ862" s="2" t="s">
        <v>245</v>
      </c>
      <c r="CA862" s="2" t="s">
        <v>4010</v>
      </c>
      <c r="CB862" s="2" t="s">
        <v>4491</v>
      </c>
      <c r="CC862" s="2" t="s">
        <v>246</v>
      </c>
      <c r="CD862" s="2" t="s">
        <v>233</v>
      </c>
      <c r="CE862" s="4">
        <v>2</v>
      </c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>
        <v>309</v>
      </c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</row>
    <row r="863">
      <c r="A863" s="2" t="s">
        <v>4508</v>
      </c>
      <c r="B863" s="2" t="s">
        <v>333</v>
      </c>
      <c r="C863" s="2" t="s">
        <v>1050</v>
      </c>
      <c r="D863" s="2" t="s">
        <v>335</v>
      </c>
      <c r="E863" s="2" t="s">
        <v>336</v>
      </c>
      <c r="F863" s="2" t="s">
        <v>4149</v>
      </c>
      <c r="G863" s="2" t="s">
        <v>4149</v>
      </c>
      <c r="H863" s="2" t="s">
        <v>4149</v>
      </c>
      <c r="I863" s="2" t="s">
        <v>4150</v>
      </c>
      <c r="J863" s="2" t="s">
        <v>328</v>
      </c>
      <c r="K863" s="2" t="s">
        <v>1380</v>
      </c>
      <c r="L863" s="3">
        <v>27.39</v>
      </c>
      <c r="M863" s="3">
        <v>28.76</v>
      </c>
      <c r="N863" s="3">
        <v>62.99</v>
      </c>
      <c r="O863" s="2" t="s">
        <v>245</v>
      </c>
      <c r="P863" s="2" t="s">
        <v>272</v>
      </c>
      <c r="Q863" s="2" t="s">
        <v>239</v>
      </c>
      <c r="R863" s="2" t="s">
        <v>233</v>
      </c>
      <c r="S863" s="2" t="s">
        <v>4500</v>
      </c>
      <c r="T863" s="2" t="s">
        <v>3950</v>
      </c>
      <c r="U863" s="2" t="s">
        <v>233</v>
      </c>
      <c r="V863" s="2" t="s">
        <v>1340</v>
      </c>
      <c r="W863" s="2" t="s">
        <v>275</v>
      </c>
      <c r="X863" s="2" t="s">
        <v>233</v>
      </c>
      <c r="Y863" s="2" t="s">
        <v>276</v>
      </c>
      <c r="Z863" s="4">
        <v>40</v>
      </c>
      <c r="AA863" s="4">
        <f>=ROUNDDOWN(2,0)</f>
      </c>
      <c r="AB863" s="5">
        <v>20</v>
      </c>
      <c r="AC863" s="2" t="s">
        <v>1341</v>
      </c>
      <c r="AD863" s="4">
        <v>201</v>
      </c>
      <c r="AE863" s="4">
        <v>201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233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233</v>
      </c>
      <c r="AW863" s="8" t="s">
        <v>233</v>
      </c>
      <c r="AX863" s="4" t="s">
        <v>233</v>
      </c>
      <c r="AY863" s="8" t="s">
        <v>233</v>
      </c>
      <c r="AZ863" s="7" t="s">
        <v>233</v>
      </c>
      <c r="BA863" s="7" t="s">
        <v>233</v>
      </c>
      <c r="BB863" s="7"/>
      <c r="BC863" s="4" t="s">
        <v>233</v>
      </c>
      <c r="BD863" s="8" t="s">
        <v>233</v>
      </c>
      <c r="BE863" s="4" t="s">
        <v>233</v>
      </c>
      <c r="BF863" s="8" t="s">
        <v>233</v>
      </c>
      <c r="BG863" s="7" t="s">
        <v>233</v>
      </c>
      <c r="BH863" s="7" t="s">
        <v>233</v>
      </c>
      <c r="BI863" s="7"/>
      <c r="BJ863" s="4">
        <v>11</v>
      </c>
      <c r="BK863" s="8">
        <v>348.82</v>
      </c>
      <c r="BL863" s="2" t="s">
        <v>4441</v>
      </c>
      <c r="BM863" s="7"/>
      <c r="BN863" s="7"/>
      <c r="BO863" s="4"/>
      <c r="BP863" s="8"/>
      <c r="BQ863" s="4"/>
      <c r="BR863" s="8"/>
      <c r="BS863" s="7"/>
      <c r="BT863" s="7"/>
      <c r="BU863" s="2" t="s">
        <v>4509</v>
      </c>
      <c r="BV863" s="2" t="s">
        <v>233</v>
      </c>
      <c r="BW863" s="2" t="s">
        <v>233</v>
      </c>
      <c r="BX863" s="2" t="s">
        <v>233</v>
      </c>
      <c r="BY863" s="2" t="s">
        <v>280</v>
      </c>
      <c r="BZ863" s="2" t="s">
        <v>245</v>
      </c>
      <c r="CA863" s="2" t="s">
        <v>4010</v>
      </c>
      <c r="CB863" s="2" t="s">
        <v>4028</v>
      </c>
      <c r="CC863" s="2" t="s">
        <v>246</v>
      </c>
      <c r="CD863" s="2" t="s">
        <v>233</v>
      </c>
      <c r="CE863" s="4">
        <v>40</v>
      </c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>
        <v>201</v>
      </c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</row>
    <row r="864">
      <c r="A864" s="2" t="s">
        <v>4510</v>
      </c>
      <c r="B864" s="2" t="s">
        <v>333</v>
      </c>
      <c r="C864" s="2" t="s">
        <v>1050</v>
      </c>
      <c r="D864" s="2" t="s">
        <v>335</v>
      </c>
      <c r="E864" s="2" t="s">
        <v>336</v>
      </c>
      <c r="F864" s="2" t="s">
        <v>4149</v>
      </c>
      <c r="G864" s="2" t="s">
        <v>4149</v>
      </c>
      <c r="H864" s="2" t="s">
        <v>4149</v>
      </c>
      <c r="I864" s="2" t="s">
        <v>4150</v>
      </c>
      <c r="J864" s="2" t="s">
        <v>546</v>
      </c>
      <c r="K864" s="2" t="s">
        <v>1380</v>
      </c>
      <c r="L864" s="3">
        <v>27.39</v>
      </c>
      <c r="M864" s="3">
        <v>28.76</v>
      </c>
      <c r="N864" s="3">
        <v>62.99</v>
      </c>
      <c r="O864" s="2" t="s">
        <v>245</v>
      </c>
      <c r="P864" s="2" t="s">
        <v>272</v>
      </c>
      <c r="Q864" s="2" t="s">
        <v>239</v>
      </c>
      <c r="R864" s="2" t="s">
        <v>233</v>
      </c>
      <c r="S864" s="2" t="s">
        <v>4500</v>
      </c>
      <c r="T864" s="2" t="s">
        <v>3950</v>
      </c>
      <c r="U864" s="2" t="s">
        <v>233</v>
      </c>
      <c r="V864" s="2" t="s">
        <v>1340</v>
      </c>
      <c r="W864" s="2" t="s">
        <v>275</v>
      </c>
      <c r="X864" s="2" t="s">
        <v>233</v>
      </c>
      <c r="Y864" s="2" t="s">
        <v>4257</v>
      </c>
      <c r="Z864" s="4">
        <v>3</v>
      </c>
      <c r="AA864" s="4">
        <f>=ROUNDDOWN(0.214285714285714,0)</f>
      </c>
      <c r="AB864" s="5">
        <v>14</v>
      </c>
      <c r="AC864" s="2" t="s">
        <v>1341</v>
      </c>
      <c r="AD864" s="4">
        <v>144</v>
      </c>
      <c r="AE864" s="4">
        <v>144</v>
      </c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233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233</v>
      </c>
      <c r="AW864" s="8" t="s">
        <v>233</v>
      </c>
      <c r="AX864" s="4" t="s">
        <v>233</v>
      </c>
      <c r="AY864" s="8" t="s">
        <v>233</v>
      </c>
      <c r="AZ864" s="7" t="s">
        <v>233</v>
      </c>
      <c r="BA864" s="7" t="s">
        <v>233</v>
      </c>
      <c r="BB864" s="7"/>
      <c r="BC864" s="4" t="s">
        <v>233</v>
      </c>
      <c r="BD864" s="8" t="s">
        <v>233</v>
      </c>
      <c r="BE864" s="4" t="s">
        <v>233</v>
      </c>
      <c r="BF864" s="8" t="s">
        <v>233</v>
      </c>
      <c r="BG864" s="7" t="s">
        <v>233</v>
      </c>
      <c r="BH864" s="7" t="s">
        <v>233</v>
      </c>
      <c r="BI864" s="7"/>
      <c r="BJ864" s="4"/>
      <c r="BK864" s="8"/>
      <c r="BL864" s="2" t="s">
        <v>1292</v>
      </c>
      <c r="BM864" s="7"/>
      <c r="BN864" s="7"/>
      <c r="BO864" s="4"/>
      <c r="BP864" s="8"/>
      <c r="BQ864" s="4"/>
      <c r="BR864" s="8"/>
      <c r="BS864" s="7"/>
      <c r="BT864" s="7"/>
      <c r="BU864" s="2" t="s">
        <v>4511</v>
      </c>
      <c r="BV864" s="2" t="s">
        <v>233</v>
      </c>
      <c r="BW864" s="2" t="s">
        <v>233</v>
      </c>
      <c r="BX864" s="2" t="s">
        <v>233</v>
      </c>
      <c r="BY864" s="2" t="s">
        <v>280</v>
      </c>
      <c r="BZ864" s="2" t="s">
        <v>245</v>
      </c>
      <c r="CA864" s="2" t="s">
        <v>4010</v>
      </c>
      <c r="CB864" s="2" t="s">
        <v>4082</v>
      </c>
      <c r="CC864" s="2" t="s">
        <v>246</v>
      </c>
      <c r="CD864" s="2" t="s">
        <v>233</v>
      </c>
      <c r="CE864" s="4">
        <v>3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>
        <v>144</v>
      </c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</row>
    <row r="865">
      <c r="A865" s="2" t="s">
        <v>4512</v>
      </c>
      <c r="B865" s="2" t="s">
        <v>333</v>
      </c>
      <c r="C865" s="2" t="s">
        <v>1050</v>
      </c>
      <c r="D865" s="2" t="s">
        <v>335</v>
      </c>
      <c r="E865" s="2" t="s">
        <v>336</v>
      </c>
      <c r="F865" s="2" t="s">
        <v>4149</v>
      </c>
      <c r="G865" s="2" t="s">
        <v>4149</v>
      </c>
      <c r="H865" s="2" t="s">
        <v>4149</v>
      </c>
      <c r="I865" s="2" t="s">
        <v>4150</v>
      </c>
      <c r="J865" s="2" t="s">
        <v>328</v>
      </c>
      <c r="K865" s="2" t="s">
        <v>4513</v>
      </c>
      <c r="L865" s="3">
        <v>27.39</v>
      </c>
      <c r="M865" s="3">
        <v>28.76</v>
      </c>
      <c r="N865" s="3">
        <v>62.99</v>
      </c>
      <c r="O865" s="2" t="s">
        <v>245</v>
      </c>
      <c r="P865" s="2" t="s">
        <v>311</v>
      </c>
      <c r="Q865" s="2" t="s">
        <v>239</v>
      </c>
      <c r="R865" s="2" t="s">
        <v>233</v>
      </c>
      <c r="S865" s="2" t="s">
        <v>4514</v>
      </c>
      <c r="T865" s="2" t="s">
        <v>3950</v>
      </c>
      <c r="U865" s="2" t="s">
        <v>342</v>
      </c>
      <c r="V865" s="2" t="s">
        <v>1658</v>
      </c>
      <c r="W865" s="2" t="s">
        <v>275</v>
      </c>
      <c r="X865" s="2" t="s">
        <v>451</v>
      </c>
      <c r="Y865" s="2" t="s">
        <v>4198</v>
      </c>
      <c r="Z865" s="4">
        <v>145</v>
      </c>
      <c r="AA865" s="4">
        <f>=ROUNDDOWN(145,0)</f>
      </c>
      <c r="AB865" s="5">
        <v>1</v>
      </c>
      <c r="AC865" s="2" t="s">
        <v>233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233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233</v>
      </c>
      <c r="BD865" s="8" t="s">
        <v>233</v>
      </c>
      <c r="BE865" s="4" t="s">
        <v>233</v>
      </c>
      <c r="BF865" s="8" t="s">
        <v>233</v>
      </c>
      <c r="BG865" s="7" t="s">
        <v>233</v>
      </c>
      <c r="BH865" s="7" t="s">
        <v>233</v>
      </c>
      <c r="BI865" s="7"/>
      <c r="BJ865" s="4">
        <v>1</v>
      </c>
      <c r="BK865" s="8">
        <v>30.2</v>
      </c>
      <c r="BL865" s="2" t="s">
        <v>4515</v>
      </c>
      <c r="BM865" s="7"/>
      <c r="BN865" s="7"/>
      <c r="BO865" s="4"/>
      <c r="BP865" s="8"/>
      <c r="BQ865" s="4"/>
      <c r="BR865" s="8"/>
      <c r="BS865" s="7"/>
      <c r="BT865" s="7"/>
      <c r="BU865" s="2" t="s">
        <v>4516</v>
      </c>
      <c r="BV865" s="2" t="s">
        <v>233</v>
      </c>
      <c r="BW865" s="2" t="s">
        <v>233</v>
      </c>
      <c r="BX865" s="2" t="s">
        <v>595</v>
      </c>
      <c r="BY865" s="2" t="s">
        <v>280</v>
      </c>
      <c r="BZ865" s="2" t="s">
        <v>245</v>
      </c>
      <c r="CA865" s="2" t="s">
        <v>624</v>
      </c>
      <c r="CB865" s="2" t="s">
        <v>4517</v>
      </c>
      <c r="CC865" s="2" t="s">
        <v>246</v>
      </c>
      <c r="CD865" s="2" t="s">
        <v>233</v>
      </c>
      <c r="CE865" s="4">
        <v>145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</row>
    <row r="866">
      <c r="A866" s="2" t="s">
        <v>4518</v>
      </c>
      <c r="B866" s="2" t="s">
        <v>333</v>
      </c>
      <c r="C866" s="2" t="s">
        <v>1050</v>
      </c>
      <c r="D866" s="2" t="s">
        <v>335</v>
      </c>
      <c r="E866" s="2" t="s">
        <v>336</v>
      </c>
      <c r="F866" s="2" t="s">
        <v>4149</v>
      </c>
      <c r="G866" s="2" t="s">
        <v>4149</v>
      </c>
      <c r="H866" s="2" t="s">
        <v>4149</v>
      </c>
      <c r="I866" s="2" t="s">
        <v>4150</v>
      </c>
      <c r="J866" s="2" t="s">
        <v>284</v>
      </c>
      <c r="K866" s="2" t="s">
        <v>4519</v>
      </c>
      <c r="L866" s="3">
        <v>16.16</v>
      </c>
      <c r="M866" s="3">
        <v>16.97</v>
      </c>
      <c r="N866" s="3">
        <v>34.99</v>
      </c>
      <c r="O866" s="2" t="s">
        <v>245</v>
      </c>
      <c r="P866" s="2" t="s">
        <v>272</v>
      </c>
      <c r="Q866" s="2" t="s">
        <v>239</v>
      </c>
      <c r="R866" s="2" t="s">
        <v>233</v>
      </c>
      <c r="S866" s="2" t="s">
        <v>4520</v>
      </c>
      <c r="T866" s="2" t="s">
        <v>3950</v>
      </c>
      <c r="U866" s="2" t="s">
        <v>475</v>
      </c>
      <c r="V866" s="2" t="s">
        <v>1658</v>
      </c>
      <c r="W866" s="2" t="s">
        <v>275</v>
      </c>
      <c r="X866" s="2" t="s">
        <v>451</v>
      </c>
      <c r="Y866" s="2" t="s">
        <v>4198</v>
      </c>
      <c r="Z866" s="4"/>
      <c r="AA866" s="4">
        <f>=ROUNDDOWN({0},0)</f>
      </c>
      <c r="AB866" s="5">
        <v>21</v>
      </c>
      <c r="AC866" s="2" t="s">
        <v>1341</v>
      </c>
      <c r="AD866" s="4">
        <v>217</v>
      </c>
      <c r="AE866" s="4">
        <v>217</v>
      </c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233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233</v>
      </c>
      <c r="AW866" s="8" t="s">
        <v>233</v>
      </c>
      <c r="AX866" s="4" t="s">
        <v>233</v>
      </c>
      <c r="AY866" s="8" t="s">
        <v>233</v>
      </c>
      <c r="AZ866" s="7" t="s">
        <v>233</v>
      </c>
      <c r="BA866" s="7" t="s">
        <v>233</v>
      </c>
      <c r="BB866" s="7"/>
      <c r="BC866" s="4" t="s">
        <v>233</v>
      </c>
      <c r="BD866" s="8" t="s">
        <v>233</v>
      </c>
      <c r="BE866" s="4" t="s">
        <v>233</v>
      </c>
      <c r="BF866" s="8" t="s">
        <v>233</v>
      </c>
      <c r="BG866" s="7" t="s">
        <v>233</v>
      </c>
      <c r="BH866" s="7" t="s">
        <v>233</v>
      </c>
      <c r="BI866" s="7"/>
      <c r="BJ866" s="4"/>
      <c r="BK866" s="8"/>
      <c r="BL866" s="2" t="s">
        <v>1292</v>
      </c>
      <c r="BM866" s="7"/>
      <c r="BN866" s="7"/>
      <c r="BO866" s="4"/>
      <c r="BP866" s="8"/>
      <c r="BQ866" s="4"/>
      <c r="BR866" s="8"/>
      <c r="BS866" s="7"/>
      <c r="BT866" s="7"/>
      <c r="BU866" s="2" t="s">
        <v>4521</v>
      </c>
      <c r="BV866" s="2" t="s">
        <v>233</v>
      </c>
      <c r="BW866" s="2" t="s">
        <v>233</v>
      </c>
      <c r="BX866" s="2" t="s">
        <v>233</v>
      </c>
      <c r="BY866" s="2" t="s">
        <v>280</v>
      </c>
      <c r="BZ866" s="2" t="s">
        <v>245</v>
      </c>
      <c r="CA866" s="2" t="s">
        <v>624</v>
      </c>
      <c r="CB866" s="2" t="s">
        <v>872</v>
      </c>
      <c r="CC866" s="2" t="s">
        <v>246</v>
      </c>
      <c r="CD866" s="2" t="s">
        <v>233</v>
      </c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>
        <v>217</v>
      </c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</row>
    <row r="867">
      <c r="A867" s="2" t="s">
        <v>4522</v>
      </c>
      <c r="B867" s="2" t="s">
        <v>333</v>
      </c>
      <c r="C867" s="2" t="s">
        <v>1050</v>
      </c>
      <c r="D867" s="2" t="s">
        <v>335</v>
      </c>
      <c r="E867" s="2" t="s">
        <v>336</v>
      </c>
      <c r="F867" s="2" t="s">
        <v>4149</v>
      </c>
      <c r="G867" s="2" t="s">
        <v>4149</v>
      </c>
      <c r="H867" s="2" t="s">
        <v>4149</v>
      </c>
      <c r="I867" s="2" t="s">
        <v>4150</v>
      </c>
      <c r="J867" s="2" t="s">
        <v>348</v>
      </c>
      <c r="K867" s="2" t="s">
        <v>4519</v>
      </c>
      <c r="L867" s="3">
        <v>22.21</v>
      </c>
      <c r="M867" s="3">
        <v>23.32</v>
      </c>
      <c r="N867" s="3">
        <v>47.99</v>
      </c>
      <c r="O867" s="2" t="s">
        <v>245</v>
      </c>
      <c r="P867" s="2" t="s">
        <v>2943</v>
      </c>
      <c r="Q867" s="2" t="s">
        <v>239</v>
      </c>
      <c r="R867" s="2" t="s">
        <v>233</v>
      </c>
      <c r="S867" s="2" t="s">
        <v>4520</v>
      </c>
      <c r="T867" s="2" t="s">
        <v>3950</v>
      </c>
      <c r="U867" s="2" t="s">
        <v>342</v>
      </c>
      <c r="V867" s="2" t="s">
        <v>1658</v>
      </c>
      <c r="W867" s="2" t="s">
        <v>275</v>
      </c>
      <c r="X867" s="2" t="s">
        <v>451</v>
      </c>
      <c r="Y867" s="2" t="s">
        <v>4198</v>
      </c>
      <c r="Z867" s="4"/>
      <c r="AA867" s="4">
        <f>=ROUNDDOWN({0},0)</f>
      </c>
      <c r="AB867" s="5">
        <v>108</v>
      </c>
      <c r="AC867" s="2" t="s">
        <v>1341</v>
      </c>
      <c r="AD867" s="4">
        <v>1048</v>
      </c>
      <c r="AE867" s="4">
        <v>1048</v>
      </c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233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233</v>
      </c>
      <c r="AW867" s="8" t="s">
        <v>233</v>
      </c>
      <c r="AX867" s="4" t="s">
        <v>233</v>
      </c>
      <c r="AY867" s="8" t="s">
        <v>233</v>
      </c>
      <c r="AZ867" s="7" t="s">
        <v>233</v>
      </c>
      <c r="BA867" s="7" t="s">
        <v>233</v>
      </c>
      <c r="BB867" s="7"/>
      <c r="BC867" s="4" t="s">
        <v>233</v>
      </c>
      <c r="BD867" s="8" t="s">
        <v>233</v>
      </c>
      <c r="BE867" s="4" t="s">
        <v>233</v>
      </c>
      <c r="BF867" s="8" t="s">
        <v>233</v>
      </c>
      <c r="BG867" s="7" t="s">
        <v>233</v>
      </c>
      <c r="BH867" s="7" t="s">
        <v>233</v>
      </c>
      <c r="BI867" s="7"/>
      <c r="BJ867" s="4"/>
      <c r="BK867" s="8"/>
      <c r="BL867" s="2" t="s">
        <v>233</v>
      </c>
      <c r="BM867" s="7"/>
      <c r="BN867" s="7"/>
      <c r="BO867" s="4"/>
      <c r="BP867" s="8"/>
      <c r="BQ867" s="4"/>
      <c r="BR867" s="8"/>
      <c r="BS867" s="7"/>
      <c r="BT867" s="7"/>
      <c r="BU867" s="2" t="s">
        <v>4523</v>
      </c>
      <c r="BV867" s="2" t="s">
        <v>233</v>
      </c>
      <c r="BW867" s="2" t="s">
        <v>233</v>
      </c>
      <c r="BX867" s="2" t="s">
        <v>233</v>
      </c>
      <c r="BY867" s="2" t="s">
        <v>280</v>
      </c>
      <c r="BZ867" s="2" t="s">
        <v>245</v>
      </c>
      <c r="CA867" s="2" t="s">
        <v>624</v>
      </c>
      <c r="CB867" s="2" t="s">
        <v>4524</v>
      </c>
      <c r="CC867" s="2" t="s">
        <v>246</v>
      </c>
      <c r="CD867" s="2" t="s">
        <v>233</v>
      </c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>
        <v>1048</v>
      </c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</row>
    <row r="868">
      <c r="A868" s="2" t="s">
        <v>4525</v>
      </c>
      <c r="B868" s="2" t="s">
        <v>333</v>
      </c>
      <c r="C868" s="2" t="s">
        <v>1050</v>
      </c>
      <c r="D868" s="2" t="s">
        <v>335</v>
      </c>
      <c r="E868" s="2" t="s">
        <v>336</v>
      </c>
      <c r="F868" s="2" t="s">
        <v>4149</v>
      </c>
      <c r="G868" s="2" t="s">
        <v>4149</v>
      </c>
      <c r="H868" s="2" t="s">
        <v>4149</v>
      </c>
      <c r="I868" s="2" t="s">
        <v>4150</v>
      </c>
      <c r="J868" s="2" t="s">
        <v>328</v>
      </c>
      <c r="K868" s="2" t="s">
        <v>4519</v>
      </c>
      <c r="L868" s="3">
        <v>27.39</v>
      </c>
      <c r="M868" s="3">
        <v>28.76</v>
      </c>
      <c r="N868" s="3">
        <v>62.99</v>
      </c>
      <c r="O868" s="2" t="s">
        <v>245</v>
      </c>
      <c r="P868" s="2" t="s">
        <v>272</v>
      </c>
      <c r="Q868" s="2" t="s">
        <v>239</v>
      </c>
      <c r="R868" s="2" t="s">
        <v>233</v>
      </c>
      <c r="S868" s="2" t="s">
        <v>4520</v>
      </c>
      <c r="T868" s="2" t="s">
        <v>3950</v>
      </c>
      <c r="U868" s="2" t="s">
        <v>342</v>
      </c>
      <c r="V868" s="2" t="s">
        <v>1658</v>
      </c>
      <c r="W868" s="2" t="s">
        <v>275</v>
      </c>
      <c r="X868" s="2" t="s">
        <v>451</v>
      </c>
      <c r="Y868" s="2" t="s">
        <v>4198</v>
      </c>
      <c r="Z868" s="4">
        <v>44</v>
      </c>
      <c r="AA868" s="4">
        <f>=ROUNDDOWN(1.76,0)</f>
      </c>
      <c r="AB868" s="5">
        <v>25</v>
      </c>
      <c r="AC868" s="2" t="s">
        <v>1341</v>
      </c>
      <c r="AD868" s="4">
        <v>253</v>
      </c>
      <c r="AE868" s="4">
        <v>253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233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233</v>
      </c>
      <c r="AW868" s="8" t="s">
        <v>233</v>
      </c>
      <c r="AX868" s="4" t="s">
        <v>233</v>
      </c>
      <c r="AY868" s="8" t="s">
        <v>233</v>
      </c>
      <c r="AZ868" s="7" t="s">
        <v>233</v>
      </c>
      <c r="BA868" s="7" t="s">
        <v>233</v>
      </c>
      <c r="BB868" s="7"/>
      <c r="BC868" s="4" t="s">
        <v>233</v>
      </c>
      <c r="BD868" s="8" t="s">
        <v>233</v>
      </c>
      <c r="BE868" s="4" t="s">
        <v>233</v>
      </c>
      <c r="BF868" s="8" t="s">
        <v>233</v>
      </c>
      <c r="BG868" s="7" t="s">
        <v>233</v>
      </c>
      <c r="BH868" s="7" t="s">
        <v>233</v>
      </c>
      <c r="BI868" s="7"/>
      <c r="BJ868" s="4">
        <v>13</v>
      </c>
      <c r="BK868" s="8">
        <v>386.42</v>
      </c>
      <c r="BL868" s="2" t="s">
        <v>4032</v>
      </c>
      <c r="BM868" s="7"/>
      <c r="BN868" s="7"/>
      <c r="BO868" s="4"/>
      <c r="BP868" s="8"/>
      <c r="BQ868" s="4"/>
      <c r="BR868" s="8"/>
      <c r="BS868" s="7"/>
      <c r="BT868" s="7"/>
      <c r="BU868" s="2" t="s">
        <v>4526</v>
      </c>
      <c r="BV868" s="2" t="s">
        <v>233</v>
      </c>
      <c r="BW868" s="2" t="s">
        <v>233</v>
      </c>
      <c r="BX868" s="2" t="s">
        <v>233</v>
      </c>
      <c r="BY868" s="2" t="s">
        <v>280</v>
      </c>
      <c r="BZ868" s="2" t="s">
        <v>245</v>
      </c>
      <c r="CA868" s="2" t="s">
        <v>624</v>
      </c>
      <c r="CB868" s="2" t="s">
        <v>4527</v>
      </c>
      <c r="CC868" s="2" t="s">
        <v>246</v>
      </c>
      <c r="CD868" s="2" t="s">
        <v>233</v>
      </c>
      <c r="CE868" s="4">
        <v>44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>
        <v>253</v>
      </c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</row>
    <row r="869">
      <c r="A869" s="2" t="s">
        <v>4528</v>
      </c>
      <c r="B869" s="2" t="s">
        <v>333</v>
      </c>
      <c r="C869" s="2" t="s">
        <v>1050</v>
      </c>
      <c r="D869" s="2" t="s">
        <v>335</v>
      </c>
      <c r="E869" s="2" t="s">
        <v>336</v>
      </c>
      <c r="F869" s="2" t="s">
        <v>4149</v>
      </c>
      <c r="G869" s="2" t="s">
        <v>4149</v>
      </c>
      <c r="H869" s="2" t="s">
        <v>4149</v>
      </c>
      <c r="I869" s="2" t="s">
        <v>4150</v>
      </c>
      <c r="J869" s="2" t="s">
        <v>284</v>
      </c>
      <c r="K869" s="2" t="s">
        <v>1394</v>
      </c>
      <c r="L869" s="3">
        <v>16.16</v>
      </c>
      <c r="M869" s="3">
        <v>16.97</v>
      </c>
      <c r="N869" s="3">
        <v>34.99</v>
      </c>
      <c r="O869" s="2" t="s">
        <v>245</v>
      </c>
      <c r="P869" s="2" t="s">
        <v>741</v>
      </c>
      <c r="Q869" s="2" t="s">
        <v>239</v>
      </c>
      <c r="R869" s="2" t="s">
        <v>233</v>
      </c>
      <c r="S869" s="2" t="s">
        <v>4529</v>
      </c>
      <c r="T869" s="2" t="s">
        <v>3950</v>
      </c>
      <c r="U869" s="2" t="s">
        <v>233</v>
      </c>
      <c r="V869" s="2" t="s">
        <v>1340</v>
      </c>
      <c r="W869" s="2" t="s">
        <v>275</v>
      </c>
      <c r="X869" s="2" t="s">
        <v>233</v>
      </c>
      <c r="Y869" s="2" t="s">
        <v>4257</v>
      </c>
      <c r="Z869" s="4">
        <v>1</v>
      </c>
      <c r="AA869" s="4">
        <f>=ROUNDDOWN(0.032258064516129,0)</f>
      </c>
      <c r="AB869" s="5">
        <v>31</v>
      </c>
      <c r="AC869" s="2" t="s">
        <v>1341</v>
      </c>
      <c r="AD869" s="4">
        <v>311</v>
      </c>
      <c r="AE869" s="4">
        <v>311</v>
      </c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233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233</v>
      </c>
      <c r="AW869" s="8" t="s">
        <v>233</v>
      </c>
      <c r="AX869" s="4" t="s">
        <v>233</v>
      </c>
      <c r="AY869" s="8" t="s">
        <v>233</v>
      </c>
      <c r="AZ869" s="7" t="s">
        <v>233</v>
      </c>
      <c r="BA869" s="7" t="s">
        <v>233</v>
      </c>
      <c r="BB869" s="7"/>
      <c r="BC869" s="4" t="s">
        <v>233</v>
      </c>
      <c r="BD869" s="8" t="s">
        <v>233</v>
      </c>
      <c r="BE869" s="4" t="s">
        <v>233</v>
      </c>
      <c r="BF869" s="8" t="s">
        <v>233</v>
      </c>
      <c r="BG869" s="7" t="s">
        <v>233</v>
      </c>
      <c r="BH869" s="7" t="s">
        <v>233</v>
      </c>
      <c r="BI869" s="7"/>
      <c r="BJ869" s="4"/>
      <c r="BK869" s="8"/>
      <c r="BL869" s="2" t="s">
        <v>233</v>
      </c>
      <c r="BM869" s="7"/>
      <c r="BN869" s="7"/>
      <c r="BO869" s="4"/>
      <c r="BP869" s="8"/>
      <c r="BQ869" s="4"/>
      <c r="BR869" s="8"/>
      <c r="BS869" s="7"/>
      <c r="BT869" s="7"/>
      <c r="BU869" s="2" t="s">
        <v>4530</v>
      </c>
      <c r="BV869" s="2" t="s">
        <v>233</v>
      </c>
      <c r="BW869" s="2" t="s">
        <v>233</v>
      </c>
      <c r="BX869" s="2" t="s">
        <v>233</v>
      </c>
      <c r="BY869" s="2" t="s">
        <v>280</v>
      </c>
      <c r="BZ869" s="2" t="s">
        <v>245</v>
      </c>
      <c r="CA869" s="2" t="s">
        <v>4260</v>
      </c>
      <c r="CB869" s="2" t="s">
        <v>4189</v>
      </c>
      <c r="CC869" s="2" t="s">
        <v>246</v>
      </c>
      <c r="CD869" s="2" t="s">
        <v>233</v>
      </c>
      <c r="CE869" s="4">
        <v>1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>
        <v>311</v>
      </c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</row>
    <row r="870">
      <c r="A870" s="2" t="s">
        <v>4531</v>
      </c>
      <c r="B870" s="2" t="s">
        <v>333</v>
      </c>
      <c r="C870" s="2" t="s">
        <v>1050</v>
      </c>
      <c r="D870" s="2" t="s">
        <v>335</v>
      </c>
      <c r="E870" s="2" t="s">
        <v>336</v>
      </c>
      <c r="F870" s="2" t="s">
        <v>4149</v>
      </c>
      <c r="G870" s="2" t="s">
        <v>4149</v>
      </c>
      <c r="H870" s="2" t="s">
        <v>4149</v>
      </c>
      <c r="I870" s="2" t="s">
        <v>4150</v>
      </c>
      <c r="J870" s="2" t="s">
        <v>290</v>
      </c>
      <c r="K870" s="2" t="s">
        <v>1394</v>
      </c>
      <c r="L870" s="3">
        <v>19.57</v>
      </c>
      <c r="M870" s="3">
        <v>20.55</v>
      </c>
      <c r="N870" s="3">
        <v>42.99</v>
      </c>
      <c r="O870" s="2" t="s">
        <v>245</v>
      </c>
      <c r="P870" s="2" t="s">
        <v>272</v>
      </c>
      <c r="Q870" s="2" t="s">
        <v>239</v>
      </c>
      <c r="R870" s="2" t="s">
        <v>233</v>
      </c>
      <c r="S870" s="2" t="s">
        <v>4529</v>
      </c>
      <c r="T870" s="2" t="s">
        <v>3950</v>
      </c>
      <c r="U870" s="2" t="s">
        <v>233</v>
      </c>
      <c r="V870" s="2" t="s">
        <v>1340</v>
      </c>
      <c r="W870" s="2" t="s">
        <v>275</v>
      </c>
      <c r="X870" s="2" t="s">
        <v>233</v>
      </c>
      <c r="Y870" s="2" t="s">
        <v>276</v>
      </c>
      <c r="Z870" s="4">
        <v>25</v>
      </c>
      <c r="AA870" s="4">
        <f>=ROUNDDOWN(1,0)</f>
      </c>
      <c r="AB870" s="5">
        <v>25</v>
      </c>
      <c r="AC870" s="2" t="s">
        <v>1341</v>
      </c>
      <c r="AD870" s="4">
        <v>250</v>
      </c>
      <c r="AE870" s="4">
        <v>250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233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233</v>
      </c>
      <c r="AW870" s="8" t="s">
        <v>233</v>
      </c>
      <c r="AX870" s="4" t="s">
        <v>233</v>
      </c>
      <c r="AY870" s="8" t="s">
        <v>233</v>
      </c>
      <c r="AZ870" s="7" t="s">
        <v>233</v>
      </c>
      <c r="BA870" s="7" t="s">
        <v>233</v>
      </c>
      <c r="BB870" s="7"/>
      <c r="BC870" s="4" t="s">
        <v>233</v>
      </c>
      <c r="BD870" s="8" t="s">
        <v>233</v>
      </c>
      <c r="BE870" s="4" t="s">
        <v>233</v>
      </c>
      <c r="BF870" s="8" t="s">
        <v>233</v>
      </c>
      <c r="BG870" s="7" t="s">
        <v>233</v>
      </c>
      <c r="BH870" s="7" t="s">
        <v>233</v>
      </c>
      <c r="BI870" s="7"/>
      <c r="BJ870" s="4">
        <v>14</v>
      </c>
      <c r="BK870" s="8">
        <v>337.54</v>
      </c>
      <c r="BL870" s="2" t="s">
        <v>4532</v>
      </c>
      <c r="BM870" s="7"/>
      <c r="BN870" s="7"/>
      <c r="BO870" s="4"/>
      <c r="BP870" s="8"/>
      <c r="BQ870" s="4"/>
      <c r="BR870" s="8"/>
      <c r="BS870" s="7"/>
      <c r="BT870" s="7"/>
      <c r="BU870" s="2" t="s">
        <v>4533</v>
      </c>
      <c r="BV870" s="2" t="s">
        <v>233</v>
      </c>
      <c r="BW870" s="2" t="s">
        <v>233</v>
      </c>
      <c r="BX870" s="2" t="s">
        <v>233</v>
      </c>
      <c r="BY870" s="2" t="s">
        <v>280</v>
      </c>
      <c r="BZ870" s="2" t="s">
        <v>245</v>
      </c>
      <c r="CA870" s="2" t="s">
        <v>4010</v>
      </c>
      <c r="CB870" s="2" t="s">
        <v>315</v>
      </c>
      <c r="CC870" s="2" t="s">
        <v>246</v>
      </c>
      <c r="CD870" s="2" t="s">
        <v>233</v>
      </c>
      <c r="CE870" s="4">
        <v>25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>
        <v>250</v>
      </c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</row>
    <row r="871">
      <c r="A871" s="2" t="s">
        <v>4534</v>
      </c>
      <c r="B871" s="2" t="s">
        <v>333</v>
      </c>
      <c r="C871" s="2" t="s">
        <v>1050</v>
      </c>
      <c r="D871" s="2" t="s">
        <v>335</v>
      </c>
      <c r="E871" s="2" t="s">
        <v>336</v>
      </c>
      <c r="F871" s="2" t="s">
        <v>4149</v>
      </c>
      <c r="G871" s="2" t="s">
        <v>4149</v>
      </c>
      <c r="H871" s="2" t="s">
        <v>4149</v>
      </c>
      <c r="I871" s="2" t="s">
        <v>4150</v>
      </c>
      <c r="J871" s="2" t="s">
        <v>328</v>
      </c>
      <c r="K871" s="2" t="s">
        <v>1394</v>
      </c>
      <c r="L871" s="3">
        <v>27.39</v>
      </c>
      <c r="M871" s="3">
        <v>28.76</v>
      </c>
      <c r="N871" s="3">
        <v>62.99</v>
      </c>
      <c r="O871" s="2" t="s">
        <v>245</v>
      </c>
      <c r="P871" s="2" t="s">
        <v>741</v>
      </c>
      <c r="Q871" s="2" t="s">
        <v>239</v>
      </c>
      <c r="R871" s="2" t="s">
        <v>233</v>
      </c>
      <c r="S871" s="2" t="s">
        <v>4529</v>
      </c>
      <c r="T871" s="2" t="s">
        <v>3950</v>
      </c>
      <c r="U871" s="2" t="s">
        <v>233</v>
      </c>
      <c r="V871" s="2" t="s">
        <v>1340</v>
      </c>
      <c r="W871" s="2" t="s">
        <v>275</v>
      </c>
      <c r="X871" s="2" t="s">
        <v>233</v>
      </c>
      <c r="Y871" s="2" t="s">
        <v>4257</v>
      </c>
      <c r="Z871" s="4">
        <v>48</v>
      </c>
      <c r="AA871" s="4">
        <f>=ROUNDDOWN(2.4,0)</f>
      </c>
      <c r="AB871" s="5">
        <v>20</v>
      </c>
      <c r="AC871" s="2" t="s">
        <v>1341</v>
      </c>
      <c r="AD871" s="4">
        <v>201</v>
      </c>
      <c r="AE871" s="4">
        <v>201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233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233</v>
      </c>
      <c r="AW871" s="8" t="s">
        <v>233</v>
      </c>
      <c r="AX871" s="4" t="s">
        <v>233</v>
      </c>
      <c r="AY871" s="8" t="s">
        <v>233</v>
      </c>
      <c r="AZ871" s="7" t="s">
        <v>233</v>
      </c>
      <c r="BA871" s="7" t="s">
        <v>233</v>
      </c>
      <c r="BB871" s="7"/>
      <c r="BC871" s="4" t="s">
        <v>233</v>
      </c>
      <c r="BD871" s="8" t="s">
        <v>233</v>
      </c>
      <c r="BE871" s="4" t="s">
        <v>233</v>
      </c>
      <c r="BF871" s="8" t="s">
        <v>233</v>
      </c>
      <c r="BG871" s="7" t="s">
        <v>233</v>
      </c>
      <c r="BH871" s="7" t="s">
        <v>233</v>
      </c>
      <c r="BI871" s="7"/>
      <c r="BJ871" s="4">
        <v>17</v>
      </c>
      <c r="BK871" s="8">
        <v>525.9</v>
      </c>
      <c r="BL871" s="2" t="s">
        <v>4476</v>
      </c>
      <c r="BM871" s="7"/>
      <c r="BN871" s="7"/>
      <c r="BO871" s="4"/>
      <c r="BP871" s="8"/>
      <c r="BQ871" s="4"/>
      <c r="BR871" s="8"/>
      <c r="BS871" s="7"/>
      <c r="BT871" s="7"/>
      <c r="BU871" s="2" t="s">
        <v>4535</v>
      </c>
      <c r="BV871" s="2" t="s">
        <v>233</v>
      </c>
      <c r="BW871" s="2" t="s">
        <v>233</v>
      </c>
      <c r="BX871" s="2" t="s">
        <v>233</v>
      </c>
      <c r="BY871" s="2" t="s">
        <v>280</v>
      </c>
      <c r="BZ871" s="2" t="s">
        <v>245</v>
      </c>
      <c r="CA871" s="2" t="s">
        <v>4010</v>
      </c>
      <c r="CB871" s="2" t="s">
        <v>4536</v>
      </c>
      <c r="CC871" s="2" t="s">
        <v>246</v>
      </c>
      <c r="CD871" s="2" t="s">
        <v>233</v>
      </c>
      <c r="CE871" s="4">
        <v>48</v>
      </c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>
        <v>201</v>
      </c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</row>
    <row r="872">
      <c r="A872" s="2" t="s">
        <v>4537</v>
      </c>
      <c r="B872" s="2" t="s">
        <v>333</v>
      </c>
      <c r="C872" s="2" t="s">
        <v>1050</v>
      </c>
      <c r="D872" s="2" t="s">
        <v>335</v>
      </c>
      <c r="E872" s="2" t="s">
        <v>336</v>
      </c>
      <c r="F872" s="2" t="s">
        <v>4149</v>
      </c>
      <c r="G872" s="2" t="s">
        <v>4149</v>
      </c>
      <c r="H872" s="2" t="s">
        <v>4149</v>
      </c>
      <c r="I872" s="2" t="s">
        <v>4150</v>
      </c>
      <c r="J872" s="2" t="s">
        <v>546</v>
      </c>
      <c r="K872" s="2" t="s">
        <v>1394</v>
      </c>
      <c r="L872" s="3">
        <v>27.39</v>
      </c>
      <c r="M872" s="3">
        <v>28.76</v>
      </c>
      <c r="N872" s="3">
        <v>62.99</v>
      </c>
      <c r="O872" s="2" t="s">
        <v>245</v>
      </c>
      <c r="P872" s="2" t="s">
        <v>741</v>
      </c>
      <c r="Q872" s="2" t="s">
        <v>239</v>
      </c>
      <c r="R872" s="2" t="s">
        <v>233</v>
      </c>
      <c r="S872" s="2" t="s">
        <v>4529</v>
      </c>
      <c r="T872" s="2" t="s">
        <v>3950</v>
      </c>
      <c r="U872" s="2" t="s">
        <v>233</v>
      </c>
      <c r="V872" s="2" t="s">
        <v>1340</v>
      </c>
      <c r="W872" s="2" t="s">
        <v>275</v>
      </c>
      <c r="X872" s="2" t="s">
        <v>233</v>
      </c>
      <c r="Y872" s="2" t="s">
        <v>4538</v>
      </c>
      <c r="Z872" s="4"/>
      <c r="AA872" s="4">
        <f>=ROUNDDOWN({0},0)</f>
      </c>
      <c r="AB872" s="5">
        <v>21</v>
      </c>
      <c r="AC872" s="2" t="s">
        <v>1341</v>
      </c>
      <c r="AD872" s="4">
        <v>208</v>
      </c>
      <c r="AE872" s="4">
        <v>208</v>
      </c>
      <c r="AF872" s="6">
        <v>65</v>
      </c>
      <c r="AG872" s="6"/>
      <c r="AH872" s="7">
        <v>0</v>
      </c>
      <c r="AI872" s="4"/>
      <c r="AJ872" s="4">
        <f>=ROUNDDOWN({0},0)</f>
      </c>
      <c r="AK872" s="5"/>
      <c r="AL872" s="2" t="s">
        <v>233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233</v>
      </c>
      <c r="AW872" s="8" t="s">
        <v>233</v>
      </c>
      <c r="AX872" s="4" t="s">
        <v>233</v>
      </c>
      <c r="AY872" s="8" t="s">
        <v>233</v>
      </c>
      <c r="AZ872" s="7" t="s">
        <v>233</v>
      </c>
      <c r="BA872" s="7" t="s">
        <v>233</v>
      </c>
      <c r="BB872" s="7"/>
      <c r="BC872" s="4" t="s">
        <v>233</v>
      </c>
      <c r="BD872" s="8" t="s">
        <v>233</v>
      </c>
      <c r="BE872" s="4" t="s">
        <v>233</v>
      </c>
      <c r="BF872" s="8" t="s">
        <v>233</v>
      </c>
      <c r="BG872" s="7" t="s">
        <v>233</v>
      </c>
      <c r="BH872" s="7" t="s">
        <v>233</v>
      </c>
      <c r="BI872" s="7"/>
      <c r="BJ872" s="4"/>
      <c r="BK872" s="8"/>
      <c r="BL872" s="2" t="s">
        <v>233</v>
      </c>
      <c r="BM872" s="7"/>
      <c r="BN872" s="7"/>
      <c r="BO872" s="4"/>
      <c r="BP872" s="8"/>
      <c r="BQ872" s="4"/>
      <c r="BR872" s="8"/>
      <c r="BS872" s="7"/>
      <c r="BT872" s="7"/>
      <c r="BU872" s="2" t="s">
        <v>4539</v>
      </c>
      <c r="BV872" s="2" t="s">
        <v>233</v>
      </c>
      <c r="BW872" s="2" t="s">
        <v>233</v>
      </c>
      <c r="BX872" s="2" t="s">
        <v>233</v>
      </c>
      <c r="BY872" s="2" t="s">
        <v>280</v>
      </c>
      <c r="BZ872" s="2" t="s">
        <v>245</v>
      </c>
      <c r="CA872" s="2" t="s">
        <v>4010</v>
      </c>
      <c r="CB872" s="2" t="s">
        <v>4540</v>
      </c>
      <c r="CC872" s="2" t="s">
        <v>246</v>
      </c>
      <c r="CD872" s="2" t="s">
        <v>233</v>
      </c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>
        <v>208</v>
      </c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</row>
    <row r="873">
      <c r="A873" s="2" t="s">
        <v>4541</v>
      </c>
      <c r="B873" s="2" t="s">
        <v>333</v>
      </c>
      <c r="C873" s="2" t="s">
        <v>1050</v>
      </c>
      <c r="D873" s="2" t="s">
        <v>335</v>
      </c>
      <c r="E873" s="2" t="s">
        <v>336</v>
      </c>
      <c r="F873" s="2" t="s">
        <v>4149</v>
      </c>
      <c r="G873" s="2" t="s">
        <v>4149</v>
      </c>
      <c r="H873" s="2" t="s">
        <v>4149</v>
      </c>
      <c r="I873" s="2" t="s">
        <v>4150</v>
      </c>
      <c r="J873" s="2" t="s">
        <v>270</v>
      </c>
      <c r="K873" s="2" t="s">
        <v>4542</v>
      </c>
      <c r="L873" s="3">
        <v>14.89</v>
      </c>
      <c r="M873" s="3">
        <v>15.63</v>
      </c>
      <c r="N873" s="3">
        <v>31.99</v>
      </c>
      <c r="O873" s="2" t="s">
        <v>245</v>
      </c>
      <c r="P873" s="2" t="s">
        <v>272</v>
      </c>
      <c r="Q873" s="2" t="s">
        <v>239</v>
      </c>
      <c r="R873" s="2" t="s">
        <v>233</v>
      </c>
      <c r="S873" s="2" t="s">
        <v>4543</v>
      </c>
      <c r="T873" s="2" t="s">
        <v>3950</v>
      </c>
      <c r="U873" s="2" t="s">
        <v>233</v>
      </c>
      <c r="V873" s="2" t="s">
        <v>241</v>
      </c>
      <c r="W873" s="2" t="s">
        <v>275</v>
      </c>
      <c r="X873" s="2" t="s">
        <v>233</v>
      </c>
      <c r="Y873" s="2" t="s">
        <v>276</v>
      </c>
      <c r="Z873" s="4"/>
      <c r="AA873" s="4">
        <f>=ROUNDDOWN({0},0)</f>
      </c>
      <c r="AB873" s="5">
        <v>35</v>
      </c>
      <c r="AC873" s="2" t="s">
        <v>1341</v>
      </c>
      <c r="AD873" s="4">
        <v>347</v>
      </c>
      <c r="AE873" s="4">
        <v>347</v>
      </c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233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233</v>
      </c>
      <c r="AW873" s="8" t="s">
        <v>233</v>
      </c>
      <c r="AX873" s="4" t="s">
        <v>233</v>
      </c>
      <c r="AY873" s="8" t="s">
        <v>233</v>
      </c>
      <c r="AZ873" s="7" t="s">
        <v>233</v>
      </c>
      <c r="BA873" s="7" t="s">
        <v>233</v>
      </c>
      <c r="BB873" s="7"/>
      <c r="BC873" s="4" t="s">
        <v>233</v>
      </c>
      <c r="BD873" s="8" t="s">
        <v>233</v>
      </c>
      <c r="BE873" s="4" t="s">
        <v>233</v>
      </c>
      <c r="BF873" s="8" t="s">
        <v>233</v>
      </c>
      <c r="BG873" s="7" t="s">
        <v>233</v>
      </c>
      <c r="BH873" s="7" t="s">
        <v>233</v>
      </c>
      <c r="BI873" s="7"/>
      <c r="BJ873" s="4"/>
      <c r="BK873" s="8"/>
      <c r="BL873" s="2" t="s">
        <v>233</v>
      </c>
      <c r="BM873" s="7"/>
      <c r="BN873" s="7"/>
      <c r="BO873" s="4"/>
      <c r="BP873" s="8"/>
      <c r="BQ873" s="4"/>
      <c r="BR873" s="8"/>
      <c r="BS873" s="7"/>
      <c r="BT873" s="7"/>
      <c r="BU873" s="2" t="s">
        <v>4544</v>
      </c>
      <c r="BV873" s="2" t="s">
        <v>233</v>
      </c>
      <c r="BW873" s="2" t="s">
        <v>233</v>
      </c>
      <c r="BX873" s="2" t="s">
        <v>233</v>
      </c>
      <c r="BY873" s="2" t="s">
        <v>280</v>
      </c>
      <c r="BZ873" s="2" t="s">
        <v>245</v>
      </c>
      <c r="CA873" s="2" t="s">
        <v>4010</v>
      </c>
      <c r="CB873" s="2" t="s">
        <v>4545</v>
      </c>
      <c r="CC873" s="2" t="s">
        <v>246</v>
      </c>
      <c r="CD873" s="2" t="s">
        <v>233</v>
      </c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>
        <v>347</v>
      </c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</row>
    <row r="874">
      <c r="A874" s="2" t="s">
        <v>4546</v>
      </c>
      <c r="B874" s="2" t="s">
        <v>333</v>
      </c>
      <c r="C874" s="2" t="s">
        <v>1050</v>
      </c>
      <c r="D874" s="2" t="s">
        <v>335</v>
      </c>
      <c r="E874" s="2" t="s">
        <v>336</v>
      </c>
      <c r="F874" s="2" t="s">
        <v>4149</v>
      </c>
      <c r="G874" s="2" t="s">
        <v>4149</v>
      </c>
      <c r="H874" s="2" t="s">
        <v>4149</v>
      </c>
      <c r="I874" s="2" t="s">
        <v>4150</v>
      </c>
      <c r="J874" s="2" t="s">
        <v>290</v>
      </c>
      <c r="K874" s="2" t="s">
        <v>4542</v>
      </c>
      <c r="L874" s="3">
        <v>19.57</v>
      </c>
      <c r="M874" s="3">
        <v>20.55</v>
      </c>
      <c r="N874" s="3">
        <v>42.99</v>
      </c>
      <c r="O874" s="2" t="s">
        <v>245</v>
      </c>
      <c r="P874" s="2" t="s">
        <v>272</v>
      </c>
      <c r="Q874" s="2" t="s">
        <v>239</v>
      </c>
      <c r="R874" s="2" t="s">
        <v>233</v>
      </c>
      <c r="S874" s="2" t="s">
        <v>4543</v>
      </c>
      <c r="T874" s="2" t="s">
        <v>3950</v>
      </c>
      <c r="U874" s="2" t="s">
        <v>233</v>
      </c>
      <c r="V874" s="2" t="s">
        <v>241</v>
      </c>
      <c r="W874" s="2" t="s">
        <v>275</v>
      </c>
      <c r="X874" s="2" t="s">
        <v>233</v>
      </c>
      <c r="Y874" s="2" t="s">
        <v>276</v>
      </c>
      <c r="Z874" s="4">
        <v>3</v>
      </c>
      <c r="AA874" s="4">
        <f>=ROUNDDOWN(0.176470588235294,0)</f>
      </c>
      <c r="AB874" s="5">
        <v>17</v>
      </c>
      <c r="AC874" s="2" t="s">
        <v>1341</v>
      </c>
      <c r="AD874" s="4">
        <v>172</v>
      </c>
      <c r="AE874" s="4">
        <v>172</v>
      </c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233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233</v>
      </c>
      <c r="AW874" s="8" t="s">
        <v>233</v>
      </c>
      <c r="AX874" s="4" t="s">
        <v>233</v>
      </c>
      <c r="AY874" s="8" t="s">
        <v>233</v>
      </c>
      <c r="AZ874" s="7" t="s">
        <v>233</v>
      </c>
      <c r="BA874" s="7" t="s">
        <v>233</v>
      </c>
      <c r="BB874" s="7"/>
      <c r="BC874" s="4" t="s">
        <v>233</v>
      </c>
      <c r="BD874" s="8" t="s">
        <v>233</v>
      </c>
      <c r="BE874" s="4" t="s">
        <v>233</v>
      </c>
      <c r="BF874" s="8" t="s">
        <v>233</v>
      </c>
      <c r="BG874" s="7" t="s">
        <v>233</v>
      </c>
      <c r="BH874" s="7" t="s">
        <v>233</v>
      </c>
      <c r="BI874" s="7"/>
      <c r="BJ874" s="4"/>
      <c r="BK874" s="8"/>
      <c r="BL874" s="2" t="s">
        <v>233</v>
      </c>
      <c r="BM874" s="7"/>
      <c r="BN874" s="7"/>
      <c r="BO874" s="4"/>
      <c r="BP874" s="8"/>
      <c r="BQ874" s="4"/>
      <c r="BR874" s="8"/>
      <c r="BS874" s="7"/>
      <c r="BT874" s="7"/>
      <c r="BU874" s="2" t="s">
        <v>4547</v>
      </c>
      <c r="BV874" s="2" t="s">
        <v>233</v>
      </c>
      <c r="BW874" s="2" t="s">
        <v>233</v>
      </c>
      <c r="BX874" s="2" t="s">
        <v>233</v>
      </c>
      <c r="BY874" s="2" t="s">
        <v>280</v>
      </c>
      <c r="BZ874" s="2" t="s">
        <v>245</v>
      </c>
      <c r="CA874" s="2" t="s">
        <v>4010</v>
      </c>
      <c r="CB874" s="2" t="s">
        <v>4548</v>
      </c>
      <c r="CC874" s="2" t="s">
        <v>246</v>
      </c>
      <c r="CD874" s="2" t="s">
        <v>233</v>
      </c>
      <c r="CE874" s="4">
        <v>3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>
        <v>172</v>
      </c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</row>
    <row r="875">
      <c r="A875" s="2" t="s">
        <v>4549</v>
      </c>
      <c r="B875" s="2" t="s">
        <v>333</v>
      </c>
      <c r="C875" s="2" t="s">
        <v>1050</v>
      </c>
      <c r="D875" s="2" t="s">
        <v>335</v>
      </c>
      <c r="E875" s="2" t="s">
        <v>336</v>
      </c>
      <c r="F875" s="2" t="s">
        <v>4149</v>
      </c>
      <c r="G875" s="2" t="s">
        <v>4149</v>
      </c>
      <c r="H875" s="2" t="s">
        <v>4149</v>
      </c>
      <c r="I875" s="2" t="s">
        <v>4150</v>
      </c>
      <c r="J875" s="2" t="s">
        <v>348</v>
      </c>
      <c r="K875" s="2" t="s">
        <v>4542</v>
      </c>
      <c r="L875" s="3">
        <v>22.21</v>
      </c>
      <c r="M875" s="3">
        <v>23.32</v>
      </c>
      <c r="N875" s="3">
        <v>47.99</v>
      </c>
      <c r="O875" s="2" t="s">
        <v>245</v>
      </c>
      <c r="P875" s="2" t="s">
        <v>272</v>
      </c>
      <c r="Q875" s="2" t="s">
        <v>239</v>
      </c>
      <c r="R875" s="2" t="s">
        <v>233</v>
      </c>
      <c r="S875" s="2" t="s">
        <v>4543</v>
      </c>
      <c r="T875" s="2" t="s">
        <v>3950</v>
      </c>
      <c r="U875" s="2" t="s">
        <v>233</v>
      </c>
      <c r="V875" s="2" t="s">
        <v>241</v>
      </c>
      <c r="W875" s="2" t="s">
        <v>275</v>
      </c>
      <c r="X875" s="2" t="s">
        <v>233</v>
      </c>
      <c r="Y875" s="2" t="s">
        <v>4403</v>
      </c>
      <c r="Z875" s="4">
        <v>1</v>
      </c>
      <c r="AA875" s="4">
        <f>=ROUNDDOWN(0.0357142857142857,0)</f>
      </c>
      <c r="AB875" s="5">
        <v>28</v>
      </c>
      <c r="AC875" s="2" t="s">
        <v>1341</v>
      </c>
      <c r="AD875" s="4">
        <v>278</v>
      </c>
      <c r="AE875" s="4">
        <v>278</v>
      </c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233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233</v>
      </c>
      <c r="AW875" s="8" t="s">
        <v>233</v>
      </c>
      <c r="AX875" s="4" t="s">
        <v>233</v>
      </c>
      <c r="AY875" s="8" t="s">
        <v>233</v>
      </c>
      <c r="AZ875" s="7" t="s">
        <v>233</v>
      </c>
      <c r="BA875" s="7" t="s">
        <v>233</v>
      </c>
      <c r="BB875" s="7"/>
      <c r="BC875" s="4" t="s">
        <v>233</v>
      </c>
      <c r="BD875" s="8" t="s">
        <v>233</v>
      </c>
      <c r="BE875" s="4" t="s">
        <v>233</v>
      </c>
      <c r="BF875" s="8" t="s">
        <v>233</v>
      </c>
      <c r="BG875" s="7" t="s">
        <v>233</v>
      </c>
      <c r="BH875" s="7" t="s">
        <v>233</v>
      </c>
      <c r="BI875" s="7"/>
      <c r="BJ875" s="4"/>
      <c r="BK875" s="8"/>
      <c r="BL875" s="2" t="s">
        <v>233</v>
      </c>
      <c r="BM875" s="7"/>
      <c r="BN875" s="7"/>
      <c r="BO875" s="4"/>
      <c r="BP875" s="8"/>
      <c r="BQ875" s="4"/>
      <c r="BR875" s="8"/>
      <c r="BS875" s="7"/>
      <c r="BT875" s="7"/>
      <c r="BU875" s="2" t="s">
        <v>4550</v>
      </c>
      <c r="BV875" s="2" t="s">
        <v>233</v>
      </c>
      <c r="BW875" s="2" t="s">
        <v>233</v>
      </c>
      <c r="BX875" s="2" t="s">
        <v>233</v>
      </c>
      <c r="BY875" s="2" t="s">
        <v>280</v>
      </c>
      <c r="BZ875" s="2" t="s">
        <v>245</v>
      </c>
      <c r="CA875" s="2" t="s">
        <v>4010</v>
      </c>
      <c r="CB875" s="2" t="s">
        <v>4407</v>
      </c>
      <c r="CC875" s="2" t="s">
        <v>246</v>
      </c>
      <c r="CD875" s="2" t="s">
        <v>233</v>
      </c>
      <c r="CE875" s="4">
        <v>1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>
        <v>278</v>
      </c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</row>
    <row r="876">
      <c r="A876" s="2" t="s">
        <v>4551</v>
      </c>
      <c r="B876" s="2" t="s">
        <v>333</v>
      </c>
      <c r="C876" s="2" t="s">
        <v>1050</v>
      </c>
      <c r="D876" s="2" t="s">
        <v>335</v>
      </c>
      <c r="E876" s="2" t="s">
        <v>336</v>
      </c>
      <c r="F876" s="2" t="s">
        <v>4149</v>
      </c>
      <c r="G876" s="2" t="s">
        <v>4149</v>
      </c>
      <c r="H876" s="2" t="s">
        <v>4149</v>
      </c>
      <c r="I876" s="2" t="s">
        <v>4150</v>
      </c>
      <c r="J876" s="2" t="s">
        <v>546</v>
      </c>
      <c r="K876" s="2" t="s">
        <v>4542</v>
      </c>
      <c r="L876" s="3">
        <v>27.39</v>
      </c>
      <c r="M876" s="3">
        <v>28.76</v>
      </c>
      <c r="N876" s="3">
        <v>62.99</v>
      </c>
      <c r="O876" s="2" t="s">
        <v>245</v>
      </c>
      <c r="P876" s="2" t="s">
        <v>272</v>
      </c>
      <c r="Q876" s="2" t="s">
        <v>239</v>
      </c>
      <c r="R876" s="2" t="s">
        <v>233</v>
      </c>
      <c r="S876" s="2" t="s">
        <v>4543</v>
      </c>
      <c r="T876" s="2" t="s">
        <v>3950</v>
      </c>
      <c r="U876" s="2" t="s">
        <v>233</v>
      </c>
      <c r="V876" s="2" t="s">
        <v>241</v>
      </c>
      <c r="W876" s="2" t="s">
        <v>275</v>
      </c>
      <c r="X876" s="2" t="s">
        <v>233</v>
      </c>
      <c r="Y876" s="2" t="s">
        <v>276</v>
      </c>
      <c r="Z876" s="4"/>
      <c r="AA876" s="4">
        <f>=ROUNDDOWN({0},0)</f>
      </c>
      <c r="AB876" s="5">
        <v>7</v>
      </c>
      <c r="AC876" s="2" t="s">
        <v>1341</v>
      </c>
      <c r="AD876" s="4">
        <v>78</v>
      </c>
      <c r="AE876" s="4">
        <v>78</v>
      </c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233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233</v>
      </c>
      <c r="AW876" s="8" t="s">
        <v>233</v>
      </c>
      <c r="AX876" s="4" t="s">
        <v>233</v>
      </c>
      <c r="AY876" s="8" t="s">
        <v>233</v>
      </c>
      <c r="AZ876" s="7" t="s">
        <v>233</v>
      </c>
      <c r="BA876" s="7" t="s">
        <v>233</v>
      </c>
      <c r="BB876" s="7"/>
      <c r="BC876" s="4" t="s">
        <v>233</v>
      </c>
      <c r="BD876" s="8" t="s">
        <v>233</v>
      </c>
      <c r="BE876" s="4" t="s">
        <v>233</v>
      </c>
      <c r="BF876" s="8" t="s">
        <v>233</v>
      </c>
      <c r="BG876" s="7" t="s">
        <v>233</v>
      </c>
      <c r="BH876" s="7" t="s">
        <v>233</v>
      </c>
      <c r="BI876" s="7"/>
      <c r="BJ876" s="4"/>
      <c r="BK876" s="8"/>
      <c r="BL876" s="2" t="s">
        <v>233</v>
      </c>
      <c r="BM876" s="7"/>
      <c r="BN876" s="7"/>
      <c r="BO876" s="4"/>
      <c r="BP876" s="8"/>
      <c r="BQ876" s="4"/>
      <c r="BR876" s="8"/>
      <c r="BS876" s="7"/>
      <c r="BT876" s="7"/>
      <c r="BU876" s="2" t="s">
        <v>4552</v>
      </c>
      <c r="BV876" s="2" t="s">
        <v>233</v>
      </c>
      <c r="BW876" s="2" t="s">
        <v>233</v>
      </c>
      <c r="BX876" s="2" t="s">
        <v>233</v>
      </c>
      <c r="BY876" s="2" t="s">
        <v>280</v>
      </c>
      <c r="BZ876" s="2" t="s">
        <v>245</v>
      </c>
      <c r="CA876" s="2" t="s">
        <v>4010</v>
      </c>
      <c r="CB876" s="2" t="s">
        <v>4271</v>
      </c>
      <c r="CC876" s="2" t="s">
        <v>246</v>
      </c>
      <c r="CD876" s="2" t="s">
        <v>233</v>
      </c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>
        <v>78</v>
      </c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</row>
    <row r="877">
      <c r="A877" s="2" t="s">
        <v>4553</v>
      </c>
      <c r="B877" s="2" t="s">
        <v>333</v>
      </c>
      <c r="C877" s="2" t="s">
        <v>1050</v>
      </c>
      <c r="D877" s="2" t="s">
        <v>335</v>
      </c>
      <c r="E877" s="2" t="s">
        <v>336</v>
      </c>
      <c r="F877" s="2" t="s">
        <v>4149</v>
      </c>
      <c r="G877" s="2" t="s">
        <v>4149</v>
      </c>
      <c r="H877" s="2" t="s">
        <v>4149</v>
      </c>
      <c r="I877" s="2" t="s">
        <v>4150</v>
      </c>
      <c r="J877" s="2" t="s">
        <v>270</v>
      </c>
      <c r="K877" s="2" t="s">
        <v>4554</v>
      </c>
      <c r="L877" s="3">
        <v>14.89</v>
      </c>
      <c r="M877" s="3">
        <v>15.63</v>
      </c>
      <c r="N877" s="3">
        <v>31.99</v>
      </c>
      <c r="O877" s="2" t="s">
        <v>245</v>
      </c>
      <c r="P877" s="2" t="s">
        <v>272</v>
      </c>
      <c r="Q877" s="2" t="s">
        <v>239</v>
      </c>
      <c r="R877" s="2" t="s">
        <v>233</v>
      </c>
      <c r="S877" s="2" t="s">
        <v>4555</v>
      </c>
      <c r="T877" s="2" t="s">
        <v>3950</v>
      </c>
      <c r="U877" s="2" t="s">
        <v>233</v>
      </c>
      <c r="V877" s="2" t="s">
        <v>3951</v>
      </c>
      <c r="W877" s="2" t="s">
        <v>275</v>
      </c>
      <c r="X877" s="2" t="s">
        <v>233</v>
      </c>
      <c r="Y877" s="2" t="s">
        <v>276</v>
      </c>
      <c r="Z877" s="4"/>
      <c r="AA877" s="4">
        <f>=ROUNDDOWN({0},0)</f>
      </c>
      <c r="AB877" s="5">
        <v>40</v>
      </c>
      <c r="AC877" s="2" t="s">
        <v>1341</v>
      </c>
      <c r="AD877" s="4">
        <v>394</v>
      </c>
      <c r="AE877" s="4">
        <v>394</v>
      </c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233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233</v>
      </c>
      <c r="AW877" s="8" t="s">
        <v>233</v>
      </c>
      <c r="AX877" s="4" t="s">
        <v>233</v>
      </c>
      <c r="AY877" s="8" t="s">
        <v>233</v>
      </c>
      <c r="AZ877" s="7" t="s">
        <v>233</v>
      </c>
      <c r="BA877" s="7" t="s">
        <v>233</v>
      </c>
      <c r="BB877" s="7"/>
      <c r="BC877" s="4" t="s">
        <v>233</v>
      </c>
      <c r="BD877" s="8" t="s">
        <v>233</v>
      </c>
      <c r="BE877" s="4" t="s">
        <v>233</v>
      </c>
      <c r="BF877" s="8" t="s">
        <v>233</v>
      </c>
      <c r="BG877" s="7" t="s">
        <v>233</v>
      </c>
      <c r="BH877" s="7" t="s">
        <v>233</v>
      </c>
      <c r="BI877" s="7"/>
      <c r="BJ877" s="4"/>
      <c r="BK877" s="8"/>
      <c r="BL877" s="2" t="s">
        <v>4556</v>
      </c>
      <c r="BM877" s="7"/>
      <c r="BN877" s="7"/>
      <c r="BO877" s="4"/>
      <c r="BP877" s="8"/>
      <c r="BQ877" s="4"/>
      <c r="BR877" s="8"/>
      <c r="BS877" s="7"/>
      <c r="BT877" s="7"/>
      <c r="BU877" s="2" t="s">
        <v>4557</v>
      </c>
      <c r="BV877" s="2" t="s">
        <v>233</v>
      </c>
      <c r="BW877" s="2" t="s">
        <v>233</v>
      </c>
      <c r="BX877" s="2" t="s">
        <v>233</v>
      </c>
      <c r="BY877" s="2" t="s">
        <v>280</v>
      </c>
      <c r="BZ877" s="2" t="s">
        <v>245</v>
      </c>
      <c r="CA877" s="2" t="s">
        <v>4010</v>
      </c>
      <c r="CB877" s="2" t="s">
        <v>4558</v>
      </c>
      <c r="CC877" s="2" t="s">
        <v>246</v>
      </c>
      <c r="CD877" s="2" t="s">
        <v>233</v>
      </c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>
        <v>394</v>
      </c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</row>
    <row r="878">
      <c r="A878" s="2" t="s">
        <v>4559</v>
      </c>
      <c r="B878" s="2" t="s">
        <v>333</v>
      </c>
      <c r="C878" s="2" t="s">
        <v>1050</v>
      </c>
      <c r="D878" s="2" t="s">
        <v>335</v>
      </c>
      <c r="E878" s="2" t="s">
        <v>336</v>
      </c>
      <c r="F878" s="2" t="s">
        <v>4149</v>
      </c>
      <c r="G878" s="2" t="s">
        <v>4149</v>
      </c>
      <c r="H878" s="2" t="s">
        <v>4149</v>
      </c>
      <c r="I878" s="2" t="s">
        <v>4150</v>
      </c>
      <c r="J878" s="2" t="s">
        <v>290</v>
      </c>
      <c r="K878" s="2" t="s">
        <v>4554</v>
      </c>
      <c r="L878" s="3">
        <v>19.57</v>
      </c>
      <c r="M878" s="3">
        <v>20.55</v>
      </c>
      <c r="N878" s="3">
        <v>42.99</v>
      </c>
      <c r="O878" s="2" t="s">
        <v>245</v>
      </c>
      <c r="P878" s="2" t="s">
        <v>741</v>
      </c>
      <c r="Q878" s="2" t="s">
        <v>239</v>
      </c>
      <c r="R878" s="2" t="s">
        <v>233</v>
      </c>
      <c r="S878" s="2" t="s">
        <v>4555</v>
      </c>
      <c r="T878" s="2" t="s">
        <v>3950</v>
      </c>
      <c r="U878" s="2" t="s">
        <v>233</v>
      </c>
      <c r="V878" s="2" t="s">
        <v>3951</v>
      </c>
      <c r="W878" s="2" t="s">
        <v>275</v>
      </c>
      <c r="X878" s="2" t="s">
        <v>233</v>
      </c>
      <c r="Y878" s="2" t="s">
        <v>4257</v>
      </c>
      <c r="Z878" s="4"/>
      <c r="AA878" s="4">
        <f>=ROUNDDOWN({0},0)</f>
      </c>
      <c r="AB878" s="5">
        <v>31</v>
      </c>
      <c r="AC878" s="2" t="s">
        <v>1341</v>
      </c>
      <c r="AD878" s="4">
        <v>303</v>
      </c>
      <c r="AE878" s="4">
        <v>303</v>
      </c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233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233</v>
      </c>
      <c r="AW878" s="8" t="s">
        <v>233</v>
      </c>
      <c r="AX878" s="4" t="s">
        <v>233</v>
      </c>
      <c r="AY878" s="8" t="s">
        <v>233</v>
      </c>
      <c r="AZ878" s="7" t="s">
        <v>233</v>
      </c>
      <c r="BA878" s="7" t="s">
        <v>233</v>
      </c>
      <c r="BB878" s="7"/>
      <c r="BC878" s="4" t="s">
        <v>233</v>
      </c>
      <c r="BD878" s="8" t="s">
        <v>233</v>
      </c>
      <c r="BE878" s="4" t="s">
        <v>233</v>
      </c>
      <c r="BF878" s="8" t="s">
        <v>233</v>
      </c>
      <c r="BG878" s="7" t="s">
        <v>233</v>
      </c>
      <c r="BH878" s="7" t="s">
        <v>233</v>
      </c>
      <c r="BI878" s="7"/>
      <c r="BJ878" s="4"/>
      <c r="BK878" s="8"/>
      <c r="BL878" s="2" t="s">
        <v>4560</v>
      </c>
      <c r="BM878" s="7"/>
      <c r="BN878" s="7"/>
      <c r="BO878" s="4"/>
      <c r="BP878" s="8"/>
      <c r="BQ878" s="4"/>
      <c r="BR878" s="8"/>
      <c r="BS878" s="7"/>
      <c r="BT878" s="7"/>
      <c r="BU878" s="2" t="s">
        <v>4561</v>
      </c>
      <c r="BV878" s="2" t="s">
        <v>233</v>
      </c>
      <c r="BW878" s="2" t="s">
        <v>233</v>
      </c>
      <c r="BX878" s="2" t="s">
        <v>233</v>
      </c>
      <c r="BY878" s="2" t="s">
        <v>280</v>
      </c>
      <c r="BZ878" s="2" t="s">
        <v>245</v>
      </c>
      <c r="CA878" s="2" t="s">
        <v>4010</v>
      </c>
      <c r="CB878" s="2" t="s">
        <v>4562</v>
      </c>
      <c r="CC878" s="2" t="s">
        <v>246</v>
      </c>
      <c r="CD878" s="2" t="s">
        <v>233</v>
      </c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>
        <v>303</v>
      </c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</row>
    <row r="879">
      <c r="A879" s="2" t="s">
        <v>4563</v>
      </c>
      <c r="B879" s="2" t="s">
        <v>333</v>
      </c>
      <c r="C879" s="2" t="s">
        <v>1050</v>
      </c>
      <c r="D879" s="2" t="s">
        <v>335</v>
      </c>
      <c r="E879" s="2" t="s">
        <v>336</v>
      </c>
      <c r="F879" s="2" t="s">
        <v>4149</v>
      </c>
      <c r="G879" s="2" t="s">
        <v>4149</v>
      </c>
      <c r="H879" s="2" t="s">
        <v>4149</v>
      </c>
      <c r="I879" s="2" t="s">
        <v>4150</v>
      </c>
      <c r="J879" s="2" t="s">
        <v>348</v>
      </c>
      <c r="K879" s="2" t="s">
        <v>4554</v>
      </c>
      <c r="L879" s="3">
        <v>22.21</v>
      </c>
      <c r="M879" s="3">
        <v>23.32</v>
      </c>
      <c r="N879" s="3">
        <v>47.99</v>
      </c>
      <c r="O879" s="2" t="s">
        <v>245</v>
      </c>
      <c r="P879" s="2" t="s">
        <v>272</v>
      </c>
      <c r="Q879" s="2" t="s">
        <v>239</v>
      </c>
      <c r="R879" s="2" t="s">
        <v>233</v>
      </c>
      <c r="S879" s="2" t="s">
        <v>4555</v>
      </c>
      <c r="T879" s="2" t="s">
        <v>3950</v>
      </c>
      <c r="U879" s="2" t="s">
        <v>233</v>
      </c>
      <c r="V879" s="2" t="s">
        <v>3951</v>
      </c>
      <c r="W879" s="2" t="s">
        <v>275</v>
      </c>
      <c r="X879" s="2" t="s">
        <v>233</v>
      </c>
      <c r="Y879" s="2" t="s">
        <v>276</v>
      </c>
      <c r="Z879" s="4"/>
      <c r="AA879" s="4">
        <f>=ROUNDDOWN({0},0)</f>
      </c>
      <c r="AB879" s="5">
        <v>39</v>
      </c>
      <c r="AC879" s="2" t="s">
        <v>1341</v>
      </c>
      <c r="AD879" s="4">
        <v>386</v>
      </c>
      <c r="AE879" s="4">
        <v>386</v>
      </c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233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233</v>
      </c>
      <c r="AW879" s="8" t="s">
        <v>233</v>
      </c>
      <c r="AX879" s="4" t="s">
        <v>233</v>
      </c>
      <c r="AY879" s="8" t="s">
        <v>233</v>
      </c>
      <c r="AZ879" s="7" t="s">
        <v>233</v>
      </c>
      <c r="BA879" s="7" t="s">
        <v>233</v>
      </c>
      <c r="BB879" s="7"/>
      <c r="BC879" s="4" t="s">
        <v>233</v>
      </c>
      <c r="BD879" s="8" t="s">
        <v>233</v>
      </c>
      <c r="BE879" s="4" t="s">
        <v>233</v>
      </c>
      <c r="BF879" s="8" t="s">
        <v>233</v>
      </c>
      <c r="BG879" s="7" t="s">
        <v>233</v>
      </c>
      <c r="BH879" s="7" t="s">
        <v>233</v>
      </c>
      <c r="BI879" s="7"/>
      <c r="BJ879" s="4"/>
      <c r="BK879" s="8"/>
      <c r="BL879" s="2" t="s">
        <v>4564</v>
      </c>
      <c r="BM879" s="7"/>
      <c r="BN879" s="7"/>
      <c r="BO879" s="4"/>
      <c r="BP879" s="8"/>
      <c r="BQ879" s="4"/>
      <c r="BR879" s="8"/>
      <c r="BS879" s="7"/>
      <c r="BT879" s="7"/>
      <c r="BU879" s="2" t="s">
        <v>4565</v>
      </c>
      <c r="BV879" s="2" t="s">
        <v>233</v>
      </c>
      <c r="BW879" s="2" t="s">
        <v>233</v>
      </c>
      <c r="BX879" s="2" t="s">
        <v>233</v>
      </c>
      <c r="BY879" s="2" t="s">
        <v>280</v>
      </c>
      <c r="BZ879" s="2" t="s">
        <v>245</v>
      </c>
      <c r="CA879" s="2" t="s">
        <v>4010</v>
      </c>
      <c r="CB879" s="2" t="s">
        <v>421</v>
      </c>
      <c r="CC879" s="2" t="s">
        <v>246</v>
      </c>
      <c r="CD879" s="2" t="s">
        <v>233</v>
      </c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>
        <v>386</v>
      </c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</row>
    <row r="880">
      <c r="A880" s="2" t="s">
        <v>4566</v>
      </c>
      <c r="B880" s="2" t="s">
        <v>333</v>
      </c>
      <c r="C880" s="2" t="s">
        <v>1050</v>
      </c>
      <c r="D880" s="2" t="s">
        <v>335</v>
      </c>
      <c r="E880" s="2" t="s">
        <v>336</v>
      </c>
      <c r="F880" s="2" t="s">
        <v>4149</v>
      </c>
      <c r="G880" s="2" t="s">
        <v>4149</v>
      </c>
      <c r="H880" s="2" t="s">
        <v>4149</v>
      </c>
      <c r="I880" s="2" t="s">
        <v>4150</v>
      </c>
      <c r="J880" s="2" t="s">
        <v>328</v>
      </c>
      <c r="K880" s="2" t="s">
        <v>4554</v>
      </c>
      <c r="L880" s="3">
        <v>27.39</v>
      </c>
      <c r="M880" s="3">
        <v>28.76</v>
      </c>
      <c r="N880" s="3">
        <v>62.99</v>
      </c>
      <c r="O880" s="2" t="s">
        <v>245</v>
      </c>
      <c r="P880" s="2" t="s">
        <v>272</v>
      </c>
      <c r="Q880" s="2" t="s">
        <v>239</v>
      </c>
      <c r="R880" s="2" t="s">
        <v>233</v>
      </c>
      <c r="S880" s="2" t="s">
        <v>4555</v>
      </c>
      <c r="T880" s="2" t="s">
        <v>3950</v>
      </c>
      <c r="U880" s="2" t="s">
        <v>233</v>
      </c>
      <c r="V880" s="2" t="s">
        <v>3951</v>
      </c>
      <c r="W880" s="2" t="s">
        <v>275</v>
      </c>
      <c r="X880" s="2" t="s">
        <v>233</v>
      </c>
      <c r="Y880" s="2" t="s">
        <v>276</v>
      </c>
      <c r="Z880" s="4"/>
      <c r="AA880" s="4">
        <f>=ROUNDDOWN({0},0)</f>
      </c>
      <c r="AB880" s="5">
        <v>18</v>
      </c>
      <c r="AC880" s="2" t="s">
        <v>1341</v>
      </c>
      <c r="AD880" s="4">
        <v>188</v>
      </c>
      <c r="AE880" s="4">
        <v>188</v>
      </c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233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233</v>
      </c>
      <c r="AW880" s="8" t="s">
        <v>233</v>
      </c>
      <c r="AX880" s="4" t="s">
        <v>233</v>
      </c>
      <c r="AY880" s="8" t="s">
        <v>233</v>
      </c>
      <c r="AZ880" s="7" t="s">
        <v>233</v>
      </c>
      <c r="BA880" s="7" t="s">
        <v>233</v>
      </c>
      <c r="BB880" s="7"/>
      <c r="BC880" s="4" t="s">
        <v>233</v>
      </c>
      <c r="BD880" s="8" t="s">
        <v>233</v>
      </c>
      <c r="BE880" s="4" t="s">
        <v>233</v>
      </c>
      <c r="BF880" s="8" t="s">
        <v>233</v>
      </c>
      <c r="BG880" s="7" t="s">
        <v>233</v>
      </c>
      <c r="BH880" s="7" t="s">
        <v>233</v>
      </c>
      <c r="BI880" s="7"/>
      <c r="BJ880" s="4"/>
      <c r="BK880" s="8"/>
      <c r="BL880" s="2" t="s">
        <v>4567</v>
      </c>
      <c r="BM880" s="7"/>
      <c r="BN880" s="7"/>
      <c r="BO880" s="4"/>
      <c r="BP880" s="8"/>
      <c r="BQ880" s="4"/>
      <c r="BR880" s="8"/>
      <c r="BS880" s="7"/>
      <c r="BT880" s="7"/>
      <c r="BU880" s="2" t="s">
        <v>4568</v>
      </c>
      <c r="BV880" s="2" t="s">
        <v>233</v>
      </c>
      <c r="BW880" s="2" t="s">
        <v>233</v>
      </c>
      <c r="BX880" s="2" t="s">
        <v>233</v>
      </c>
      <c r="BY880" s="2" t="s">
        <v>280</v>
      </c>
      <c r="BZ880" s="2" t="s">
        <v>245</v>
      </c>
      <c r="CA880" s="2" t="s">
        <v>4010</v>
      </c>
      <c r="CB880" s="2" t="s">
        <v>4292</v>
      </c>
      <c r="CC880" s="2" t="s">
        <v>246</v>
      </c>
      <c r="CD880" s="2" t="s">
        <v>233</v>
      </c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>
        <v>188</v>
      </c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</row>
    <row r="881">
      <c r="A881" s="2" t="s">
        <v>4569</v>
      </c>
      <c r="B881" s="2" t="s">
        <v>333</v>
      </c>
      <c r="C881" s="2" t="s">
        <v>1050</v>
      </c>
      <c r="D881" s="2" t="s">
        <v>912</v>
      </c>
      <c r="E881" s="2" t="s">
        <v>1139</v>
      </c>
      <c r="F881" s="2" t="s">
        <v>4570</v>
      </c>
      <c r="G881" s="2" t="s">
        <v>4570</v>
      </c>
      <c r="H881" s="2" t="s">
        <v>4570</v>
      </c>
      <c r="I881" s="2" t="s">
        <v>4571</v>
      </c>
      <c r="J881" s="2" t="s">
        <v>918</v>
      </c>
      <c r="K881" s="2" t="s">
        <v>4572</v>
      </c>
      <c r="L881" s="3">
        <v>23.1</v>
      </c>
      <c r="M881" s="3">
        <v>24.26</v>
      </c>
      <c r="N881" s="3">
        <v>54.99</v>
      </c>
      <c r="O881" s="2" t="s">
        <v>237</v>
      </c>
      <c r="P881" s="2" t="s">
        <v>311</v>
      </c>
      <c r="Q881" s="2" t="s">
        <v>239</v>
      </c>
      <c r="R881" s="2" t="s">
        <v>233</v>
      </c>
      <c r="S881" s="2" t="s">
        <v>4573</v>
      </c>
      <c r="T881" s="2" t="s">
        <v>3950</v>
      </c>
      <c r="U881" s="2" t="s">
        <v>491</v>
      </c>
      <c r="V881" s="2" t="s">
        <v>1658</v>
      </c>
      <c r="W881" s="2" t="s">
        <v>275</v>
      </c>
      <c r="X881" s="2" t="s">
        <v>451</v>
      </c>
      <c r="Y881" s="2" t="s">
        <v>4296</v>
      </c>
      <c r="Z881" s="4">
        <v>225</v>
      </c>
      <c r="AA881" s="4">
        <f>=ROUNDDOWN(450,0)</f>
      </c>
      <c r="AB881" s="5">
        <v>0.5</v>
      </c>
      <c r="AC881" s="2" t="s">
        <v>233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233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>
        <v>4</v>
      </c>
      <c r="BK881" s="8">
        <v>85.02</v>
      </c>
      <c r="BL881" s="2" t="s">
        <v>4574</v>
      </c>
      <c r="BM881" s="7"/>
      <c r="BN881" s="7"/>
      <c r="BO881" s="4"/>
      <c r="BP881" s="8"/>
      <c r="BQ881" s="4"/>
      <c r="BR881" s="8"/>
      <c r="BS881" s="7"/>
      <c r="BT881" s="7"/>
      <c r="BU881" s="2" t="s">
        <v>4575</v>
      </c>
      <c r="BV881" s="2" t="s">
        <v>233</v>
      </c>
      <c r="BW881" s="2" t="s">
        <v>233</v>
      </c>
      <c r="BX881" s="2" t="s">
        <v>233</v>
      </c>
      <c r="BY881" s="2" t="s">
        <v>280</v>
      </c>
      <c r="BZ881" s="2" t="s">
        <v>245</v>
      </c>
      <c r="CA881" s="2" t="s">
        <v>4296</v>
      </c>
      <c r="CB881" s="2" t="s">
        <v>954</v>
      </c>
      <c r="CC881" s="2" t="s">
        <v>246</v>
      </c>
      <c r="CD881" s="2" t="s">
        <v>233</v>
      </c>
      <c r="CE881" s="4">
        <v>225</v>
      </c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</row>
    <row r="882">
      <c r="A882" s="2" t="s">
        <v>4576</v>
      </c>
      <c r="B882" s="2" t="s">
        <v>333</v>
      </c>
      <c r="C882" s="2" t="s">
        <v>911</v>
      </c>
      <c r="D882" s="2" t="s">
        <v>335</v>
      </c>
      <c r="E882" s="2" t="s">
        <v>336</v>
      </c>
      <c r="F882" s="2" t="s">
        <v>4577</v>
      </c>
      <c r="G882" s="2" t="s">
        <v>4577</v>
      </c>
      <c r="H882" s="2" t="s">
        <v>4577</v>
      </c>
      <c r="I882" s="2" t="s">
        <v>4578</v>
      </c>
      <c r="J882" s="2" t="s">
        <v>270</v>
      </c>
      <c r="K882" s="2" t="s">
        <v>4579</v>
      </c>
      <c r="L882" s="3">
        <v>14.89</v>
      </c>
      <c r="M882" s="3">
        <v>15.63</v>
      </c>
      <c r="N882" s="3">
        <v>31.99</v>
      </c>
      <c r="O882" s="2" t="s">
        <v>245</v>
      </c>
      <c r="P882" s="2" t="s">
        <v>272</v>
      </c>
      <c r="Q882" s="2" t="s">
        <v>239</v>
      </c>
      <c r="R882" s="2" t="s">
        <v>233</v>
      </c>
      <c r="S882" s="2" t="s">
        <v>4580</v>
      </c>
      <c r="T882" s="2" t="s">
        <v>3950</v>
      </c>
      <c r="U882" s="2" t="s">
        <v>475</v>
      </c>
      <c r="V882" s="2" t="s">
        <v>1658</v>
      </c>
      <c r="W882" s="2" t="s">
        <v>275</v>
      </c>
      <c r="X882" s="2" t="s">
        <v>451</v>
      </c>
      <c r="Y882" s="2" t="s">
        <v>4198</v>
      </c>
      <c r="Z882" s="4">
        <v>3</v>
      </c>
      <c r="AA882" s="4">
        <f>=ROUNDDOWN(0.0909090909090909,0)</f>
      </c>
      <c r="AB882" s="5">
        <v>33</v>
      </c>
      <c r="AC882" s="2" t="s">
        <v>1341</v>
      </c>
      <c r="AD882" s="4">
        <v>328</v>
      </c>
      <c r="AE882" s="4">
        <v>328</v>
      </c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233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233</v>
      </c>
      <c r="AW882" s="8" t="s">
        <v>233</v>
      </c>
      <c r="AX882" s="4" t="s">
        <v>233</v>
      </c>
      <c r="AY882" s="8" t="s">
        <v>233</v>
      </c>
      <c r="AZ882" s="7" t="s">
        <v>233</v>
      </c>
      <c r="BA882" s="7" t="s">
        <v>233</v>
      </c>
      <c r="BB882" s="7"/>
      <c r="BC882" s="4" t="s">
        <v>233</v>
      </c>
      <c r="BD882" s="8" t="s">
        <v>233</v>
      </c>
      <c r="BE882" s="4" t="s">
        <v>233</v>
      </c>
      <c r="BF882" s="8" t="s">
        <v>233</v>
      </c>
      <c r="BG882" s="7" t="s">
        <v>233</v>
      </c>
      <c r="BH882" s="7" t="s">
        <v>233</v>
      </c>
      <c r="BI882" s="7"/>
      <c r="BJ882" s="4"/>
      <c r="BK882" s="8"/>
      <c r="BL882" s="2" t="s">
        <v>744</v>
      </c>
      <c r="BM882" s="7"/>
      <c r="BN882" s="7"/>
      <c r="BO882" s="4"/>
      <c r="BP882" s="8"/>
      <c r="BQ882" s="4"/>
      <c r="BR882" s="8"/>
      <c r="BS882" s="7"/>
      <c r="BT882" s="7"/>
      <c r="BU882" s="2" t="s">
        <v>4581</v>
      </c>
      <c r="BV882" s="2" t="s">
        <v>233</v>
      </c>
      <c r="BW882" s="2" t="s">
        <v>233</v>
      </c>
      <c r="BX882" s="2" t="s">
        <v>233</v>
      </c>
      <c r="BY882" s="2" t="s">
        <v>280</v>
      </c>
      <c r="BZ882" s="2" t="s">
        <v>245</v>
      </c>
      <c r="CA882" s="2" t="s">
        <v>4198</v>
      </c>
      <c r="CB882" s="2" t="s">
        <v>4582</v>
      </c>
      <c r="CC882" s="2" t="s">
        <v>246</v>
      </c>
      <c r="CD882" s="2" t="s">
        <v>233</v>
      </c>
      <c r="CE882" s="4">
        <v>3</v>
      </c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>
        <v>328</v>
      </c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</row>
    <row r="883">
      <c r="A883" s="2" t="s">
        <v>4583</v>
      </c>
      <c r="B883" s="2" t="s">
        <v>333</v>
      </c>
      <c r="C883" s="2" t="s">
        <v>911</v>
      </c>
      <c r="D883" s="2" t="s">
        <v>335</v>
      </c>
      <c r="E883" s="2" t="s">
        <v>336</v>
      </c>
      <c r="F883" s="2" t="s">
        <v>4577</v>
      </c>
      <c r="G883" s="2" t="s">
        <v>4577</v>
      </c>
      <c r="H883" s="2" t="s">
        <v>4577</v>
      </c>
      <c r="I883" s="2" t="s">
        <v>4578</v>
      </c>
      <c r="J883" s="2" t="s">
        <v>284</v>
      </c>
      <c r="K883" s="2" t="s">
        <v>4579</v>
      </c>
      <c r="L883" s="3">
        <v>15.22</v>
      </c>
      <c r="M883" s="3">
        <v>15.98</v>
      </c>
      <c r="N883" s="3">
        <v>32.99</v>
      </c>
      <c r="O883" s="2" t="s">
        <v>245</v>
      </c>
      <c r="P883" s="2" t="s">
        <v>741</v>
      </c>
      <c r="Q883" s="2" t="s">
        <v>239</v>
      </c>
      <c r="R883" s="2" t="s">
        <v>233</v>
      </c>
      <c r="S883" s="2" t="s">
        <v>4580</v>
      </c>
      <c r="T883" s="2" t="s">
        <v>3950</v>
      </c>
      <c r="U883" s="2" t="s">
        <v>475</v>
      </c>
      <c r="V883" s="2" t="s">
        <v>1658</v>
      </c>
      <c r="W883" s="2" t="s">
        <v>275</v>
      </c>
      <c r="X883" s="2" t="s">
        <v>451</v>
      </c>
      <c r="Y883" s="2" t="s">
        <v>4198</v>
      </c>
      <c r="Z883" s="4"/>
      <c r="AA883" s="4">
        <f>=ROUNDDOWN({0},0)</f>
      </c>
      <c r="AB883" s="5">
        <v>22</v>
      </c>
      <c r="AC883" s="2" t="s">
        <v>1341</v>
      </c>
      <c r="AD883" s="4">
        <v>215</v>
      </c>
      <c r="AE883" s="4">
        <v>215</v>
      </c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233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233</v>
      </c>
      <c r="AW883" s="8" t="s">
        <v>233</v>
      </c>
      <c r="AX883" s="4" t="s">
        <v>233</v>
      </c>
      <c r="AY883" s="8" t="s">
        <v>233</v>
      </c>
      <c r="AZ883" s="7" t="s">
        <v>233</v>
      </c>
      <c r="BA883" s="7" t="s">
        <v>233</v>
      </c>
      <c r="BB883" s="7"/>
      <c r="BC883" s="4" t="s">
        <v>233</v>
      </c>
      <c r="BD883" s="8" t="s">
        <v>233</v>
      </c>
      <c r="BE883" s="4" t="s">
        <v>233</v>
      </c>
      <c r="BF883" s="8" t="s">
        <v>233</v>
      </c>
      <c r="BG883" s="7" t="s">
        <v>233</v>
      </c>
      <c r="BH883" s="7" t="s">
        <v>233</v>
      </c>
      <c r="BI883" s="7"/>
      <c r="BJ883" s="4"/>
      <c r="BK883" s="8"/>
      <c r="BL883" s="2" t="s">
        <v>233</v>
      </c>
      <c r="BM883" s="7"/>
      <c r="BN883" s="7"/>
      <c r="BO883" s="4"/>
      <c r="BP883" s="8"/>
      <c r="BQ883" s="4"/>
      <c r="BR883" s="8"/>
      <c r="BS883" s="7"/>
      <c r="BT883" s="7"/>
      <c r="BU883" s="2" t="s">
        <v>4584</v>
      </c>
      <c r="BV883" s="2" t="s">
        <v>233</v>
      </c>
      <c r="BW883" s="2" t="s">
        <v>233</v>
      </c>
      <c r="BX883" s="2" t="s">
        <v>233</v>
      </c>
      <c r="BY883" s="2" t="s">
        <v>280</v>
      </c>
      <c r="BZ883" s="2" t="s">
        <v>245</v>
      </c>
      <c r="CA883" s="2" t="s">
        <v>4198</v>
      </c>
      <c r="CB883" s="2" t="s">
        <v>4585</v>
      </c>
      <c r="CC883" s="2" t="s">
        <v>246</v>
      </c>
      <c r="CD883" s="2" t="s">
        <v>233</v>
      </c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>
        <v>215</v>
      </c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</row>
    <row r="884">
      <c r="A884" s="2" t="s">
        <v>4586</v>
      </c>
      <c r="B884" s="2" t="s">
        <v>333</v>
      </c>
      <c r="C884" s="2" t="s">
        <v>911</v>
      </c>
      <c r="D884" s="2" t="s">
        <v>335</v>
      </c>
      <c r="E884" s="2" t="s">
        <v>336</v>
      </c>
      <c r="F884" s="2" t="s">
        <v>4577</v>
      </c>
      <c r="G884" s="2" t="s">
        <v>4577</v>
      </c>
      <c r="H884" s="2" t="s">
        <v>4577</v>
      </c>
      <c r="I884" s="2" t="s">
        <v>4578</v>
      </c>
      <c r="J884" s="2" t="s">
        <v>290</v>
      </c>
      <c r="K884" s="2" t="s">
        <v>4579</v>
      </c>
      <c r="L884" s="3">
        <v>19.13</v>
      </c>
      <c r="M884" s="3">
        <v>20.09</v>
      </c>
      <c r="N884" s="3">
        <v>42.99</v>
      </c>
      <c r="O884" s="2" t="s">
        <v>245</v>
      </c>
      <c r="P884" s="2" t="s">
        <v>272</v>
      </c>
      <c r="Q884" s="2" t="s">
        <v>239</v>
      </c>
      <c r="R884" s="2" t="s">
        <v>233</v>
      </c>
      <c r="S884" s="2" t="s">
        <v>4580</v>
      </c>
      <c r="T884" s="2" t="s">
        <v>3950</v>
      </c>
      <c r="U884" s="2" t="s">
        <v>342</v>
      </c>
      <c r="V884" s="2" t="s">
        <v>1658</v>
      </c>
      <c r="W884" s="2" t="s">
        <v>275</v>
      </c>
      <c r="X884" s="2" t="s">
        <v>451</v>
      </c>
      <c r="Y884" s="2" t="s">
        <v>4198</v>
      </c>
      <c r="Z884" s="4"/>
      <c r="AA884" s="4">
        <f>=ROUNDDOWN({0},0)</f>
      </c>
      <c r="AB884" s="5">
        <v>28</v>
      </c>
      <c r="AC884" s="2" t="s">
        <v>1341</v>
      </c>
      <c r="AD884" s="4">
        <v>273</v>
      </c>
      <c r="AE884" s="4">
        <v>273</v>
      </c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233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233</v>
      </c>
      <c r="AW884" s="8" t="s">
        <v>233</v>
      </c>
      <c r="AX884" s="4" t="s">
        <v>233</v>
      </c>
      <c r="AY884" s="8" t="s">
        <v>233</v>
      </c>
      <c r="AZ884" s="7" t="s">
        <v>233</v>
      </c>
      <c r="BA884" s="7" t="s">
        <v>233</v>
      </c>
      <c r="BB884" s="7"/>
      <c r="BC884" s="4" t="s">
        <v>233</v>
      </c>
      <c r="BD884" s="8" t="s">
        <v>233</v>
      </c>
      <c r="BE884" s="4" t="s">
        <v>233</v>
      </c>
      <c r="BF884" s="8" t="s">
        <v>233</v>
      </c>
      <c r="BG884" s="7" t="s">
        <v>233</v>
      </c>
      <c r="BH884" s="7" t="s">
        <v>233</v>
      </c>
      <c r="BI884" s="7"/>
      <c r="BJ884" s="4"/>
      <c r="BK884" s="8"/>
      <c r="BL884" s="2" t="s">
        <v>233</v>
      </c>
      <c r="BM884" s="7"/>
      <c r="BN884" s="7"/>
      <c r="BO884" s="4"/>
      <c r="BP884" s="8"/>
      <c r="BQ884" s="4"/>
      <c r="BR884" s="8"/>
      <c r="BS884" s="7"/>
      <c r="BT884" s="7"/>
      <c r="BU884" s="2" t="s">
        <v>4587</v>
      </c>
      <c r="BV884" s="2" t="s">
        <v>233</v>
      </c>
      <c r="BW884" s="2" t="s">
        <v>233</v>
      </c>
      <c r="BX884" s="2" t="s">
        <v>233</v>
      </c>
      <c r="BY884" s="2" t="s">
        <v>280</v>
      </c>
      <c r="BZ884" s="2" t="s">
        <v>245</v>
      </c>
      <c r="CA884" s="2" t="s">
        <v>4198</v>
      </c>
      <c r="CB884" s="2" t="s">
        <v>242</v>
      </c>
      <c r="CC884" s="2" t="s">
        <v>246</v>
      </c>
      <c r="CD884" s="2" t="s">
        <v>233</v>
      </c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>
        <v>273</v>
      </c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</row>
    <row r="885">
      <c r="A885" s="2" t="s">
        <v>4588</v>
      </c>
      <c r="B885" s="2" t="s">
        <v>333</v>
      </c>
      <c r="C885" s="2" t="s">
        <v>911</v>
      </c>
      <c r="D885" s="2" t="s">
        <v>335</v>
      </c>
      <c r="E885" s="2" t="s">
        <v>336</v>
      </c>
      <c r="F885" s="2" t="s">
        <v>4577</v>
      </c>
      <c r="G885" s="2" t="s">
        <v>4577</v>
      </c>
      <c r="H885" s="2" t="s">
        <v>4577</v>
      </c>
      <c r="I885" s="2" t="s">
        <v>4578</v>
      </c>
      <c r="J885" s="2" t="s">
        <v>348</v>
      </c>
      <c r="K885" s="2" t="s">
        <v>4579</v>
      </c>
      <c r="L885" s="3">
        <v>21.27</v>
      </c>
      <c r="M885" s="3">
        <v>22.33</v>
      </c>
      <c r="N885" s="3">
        <v>47.99</v>
      </c>
      <c r="O885" s="2" t="s">
        <v>245</v>
      </c>
      <c r="P885" s="2" t="s">
        <v>741</v>
      </c>
      <c r="Q885" s="2" t="s">
        <v>239</v>
      </c>
      <c r="R885" s="2" t="s">
        <v>233</v>
      </c>
      <c r="S885" s="2" t="s">
        <v>4580</v>
      </c>
      <c r="T885" s="2" t="s">
        <v>3950</v>
      </c>
      <c r="U885" s="2" t="s">
        <v>342</v>
      </c>
      <c r="V885" s="2" t="s">
        <v>1658</v>
      </c>
      <c r="W885" s="2" t="s">
        <v>275</v>
      </c>
      <c r="X885" s="2" t="s">
        <v>451</v>
      </c>
      <c r="Y885" s="2" t="s">
        <v>4198</v>
      </c>
      <c r="Z885" s="4"/>
      <c r="AA885" s="4">
        <f>=ROUNDDOWN({0},0)</f>
      </c>
      <c r="AB885" s="5">
        <v>19</v>
      </c>
      <c r="AC885" s="2" t="s">
        <v>1341</v>
      </c>
      <c r="AD885" s="4">
        <v>195</v>
      </c>
      <c r="AE885" s="4">
        <v>195</v>
      </c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233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233</v>
      </c>
      <c r="AW885" s="8" t="s">
        <v>233</v>
      </c>
      <c r="AX885" s="4" t="s">
        <v>233</v>
      </c>
      <c r="AY885" s="8" t="s">
        <v>233</v>
      </c>
      <c r="AZ885" s="7" t="s">
        <v>233</v>
      </c>
      <c r="BA885" s="7" t="s">
        <v>233</v>
      </c>
      <c r="BB885" s="7"/>
      <c r="BC885" s="4" t="s">
        <v>233</v>
      </c>
      <c r="BD885" s="8" t="s">
        <v>233</v>
      </c>
      <c r="BE885" s="4" t="s">
        <v>233</v>
      </c>
      <c r="BF885" s="8" t="s">
        <v>233</v>
      </c>
      <c r="BG885" s="7" t="s">
        <v>233</v>
      </c>
      <c r="BH885" s="7" t="s">
        <v>233</v>
      </c>
      <c r="BI885" s="7"/>
      <c r="BJ885" s="4"/>
      <c r="BK885" s="8"/>
      <c r="BL885" s="2" t="s">
        <v>4589</v>
      </c>
      <c r="BM885" s="7"/>
      <c r="BN885" s="7"/>
      <c r="BO885" s="4"/>
      <c r="BP885" s="8"/>
      <c r="BQ885" s="4"/>
      <c r="BR885" s="8"/>
      <c r="BS885" s="7"/>
      <c r="BT885" s="7"/>
      <c r="BU885" s="2" t="s">
        <v>4590</v>
      </c>
      <c r="BV885" s="2" t="s">
        <v>233</v>
      </c>
      <c r="BW885" s="2" t="s">
        <v>233</v>
      </c>
      <c r="BX885" s="2" t="s">
        <v>233</v>
      </c>
      <c r="BY885" s="2" t="s">
        <v>280</v>
      </c>
      <c r="BZ885" s="2" t="s">
        <v>245</v>
      </c>
      <c r="CA885" s="2" t="s">
        <v>4198</v>
      </c>
      <c r="CB885" s="2" t="s">
        <v>4591</v>
      </c>
      <c r="CC885" s="2" t="s">
        <v>246</v>
      </c>
      <c r="CD885" s="2" t="s">
        <v>233</v>
      </c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>
        <v>195</v>
      </c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</row>
    <row r="886">
      <c r="A886" s="2" t="s">
        <v>4592</v>
      </c>
      <c r="B886" s="2" t="s">
        <v>333</v>
      </c>
      <c r="C886" s="2" t="s">
        <v>911</v>
      </c>
      <c r="D886" s="2" t="s">
        <v>335</v>
      </c>
      <c r="E886" s="2" t="s">
        <v>336</v>
      </c>
      <c r="F886" s="2" t="s">
        <v>4577</v>
      </c>
      <c r="G886" s="2" t="s">
        <v>4577</v>
      </c>
      <c r="H886" s="2" t="s">
        <v>4577</v>
      </c>
      <c r="I886" s="2" t="s">
        <v>4578</v>
      </c>
      <c r="J886" s="2" t="s">
        <v>270</v>
      </c>
      <c r="K886" s="2" t="s">
        <v>4593</v>
      </c>
      <c r="L886" s="3">
        <v>14.89</v>
      </c>
      <c r="M886" s="3">
        <v>15.63</v>
      </c>
      <c r="N886" s="3">
        <v>31.99</v>
      </c>
      <c r="O886" s="2" t="s">
        <v>245</v>
      </c>
      <c r="P886" s="2" t="s">
        <v>272</v>
      </c>
      <c r="Q886" s="2" t="s">
        <v>239</v>
      </c>
      <c r="R886" s="2" t="s">
        <v>233</v>
      </c>
      <c r="S886" s="2" t="s">
        <v>4594</v>
      </c>
      <c r="T886" s="2" t="s">
        <v>3950</v>
      </c>
      <c r="U886" s="2" t="s">
        <v>475</v>
      </c>
      <c r="V886" s="2" t="s">
        <v>3951</v>
      </c>
      <c r="W886" s="2" t="s">
        <v>275</v>
      </c>
      <c r="X886" s="2" t="s">
        <v>233</v>
      </c>
      <c r="Y886" s="2" t="s">
        <v>4595</v>
      </c>
      <c r="Z886" s="4"/>
      <c r="AA886" s="4">
        <f>=ROUNDDOWN({0},0)</f>
      </c>
      <c r="AB886" s="5">
        <v>20</v>
      </c>
      <c r="AC886" s="2" t="s">
        <v>1341</v>
      </c>
      <c r="AD886" s="4">
        <v>201</v>
      </c>
      <c r="AE886" s="4">
        <v>201</v>
      </c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233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233</v>
      </c>
      <c r="AW886" s="8" t="s">
        <v>233</v>
      </c>
      <c r="AX886" s="4" t="s">
        <v>233</v>
      </c>
      <c r="AY886" s="8" t="s">
        <v>233</v>
      </c>
      <c r="AZ886" s="7" t="s">
        <v>233</v>
      </c>
      <c r="BA886" s="7" t="s">
        <v>233</v>
      </c>
      <c r="BB886" s="7"/>
      <c r="BC886" s="4" t="s">
        <v>233</v>
      </c>
      <c r="BD886" s="8" t="s">
        <v>233</v>
      </c>
      <c r="BE886" s="4" t="s">
        <v>233</v>
      </c>
      <c r="BF886" s="8" t="s">
        <v>233</v>
      </c>
      <c r="BG886" s="7" t="s">
        <v>233</v>
      </c>
      <c r="BH886" s="7" t="s">
        <v>233</v>
      </c>
      <c r="BI886" s="7"/>
      <c r="BJ886" s="4"/>
      <c r="BK886" s="8"/>
      <c r="BL886" s="2" t="s">
        <v>233</v>
      </c>
      <c r="BM886" s="7"/>
      <c r="BN886" s="7"/>
      <c r="BO886" s="4"/>
      <c r="BP886" s="8"/>
      <c r="BQ886" s="4"/>
      <c r="BR886" s="8"/>
      <c r="BS886" s="7"/>
      <c r="BT886" s="7"/>
      <c r="BU886" s="2" t="s">
        <v>4596</v>
      </c>
      <c r="BV886" s="2" t="s">
        <v>233</v>
      </c>
      <c r="BW886" s="2" t="s">
        <v>233</v>
      </c>
      <c r="BX886" s="2" t="s">
        <v>233</v>
      </c>
      <c r="BY886" s="2" t="s">
        <v>280</v>
      </c>
      <c r="BZ886" s="2" t="s">
        <v>245</v>
      </c>
      <c r="CA886" s="2" t="s">
        <v>4597</v>
      </c>
      <c r="CB886" s="2" t="s">
        <v>4598</v>
      </c>
      <c r="CC886" s="2" t="s">
        <v>246</v>
      </c>
      <c r="CD886" s="2" t="s">
        <v>233</v>
      </c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>
        <v>201</v>
      </c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</row>
    <row r="887">
      <c r="A887" s="2" t="s">
        <v>4599</v>
      </c>
      <c r="B887" s="2" t="s">
        <v>333</v>
      </c>
      <c r="C887" s="2" t="s">
        <v>911</v>
      </c>
      <c r="D887" s="2" t="s">
        <v>335</v>
      </c>
      <c r="E887" s="2" t="s">
        <v>336</v>
      </c>
      <c r="F887" s="2" t="s">
        <v>4577</v>
      </c>
      <c r="G887" s="2" t="s">
        <v>4577</v>
      </c>
      <c r="H887" s="2" t="s">
        <v>4577</v>
      </c>
      <c r="I887" s="2" t="s">
        <v>4578</v>
      </c>
      <c r="J887" s="2" t="s">
        <v>284</v>
      </c>
      <c r="K887" s="2" t="s">
        <v>4593</v>
      </c>
      <c r="L887" s="3">
        <v>15.22</v>
      </c>
      <c r="M887" s="3">
        <v>15.98</v>
      </c>
      <c r="N887" s="3">
        <v>32.99</v>
      </c>
      <c r="O887" s="2" t="s">
        <v>245</v>
      </c>
      <c r="P887" s="2" t="s">
        <v>272</v>
      </c>
      <c r="Q887" s="2" t="s">
        <v>239</v>
      </c>
      <c r="R887" s="2" t="s">
        <v>233</v>
      </c>
      <c r="S887" s="2" t="s">
        <v>4594</v>
      </c>
      <c r="T887" s="2" t="s">
        <v>3950</v>
      </c>
      <c r="U887" s="2" t="s">
        <v>475</v>
      </c>
      <c r="V887" s="2" t="s">
        <v>3951</v>
      </c>
      <c r="W887" s="2" t="s">
        <v>275</v>
      </c>
      <c r="X887" s="2" t="s">
        <v>233</v>
      </c>
      <c r="Y887" s="2" t="s">
        <v>4595</v>
      </c>
      <c r="Z887" s="4">
        <v>1</v>
      </c>
      <c r="AA887" s="4">
        <f>=ROUNDDOWN(0.0909090909090909,0)</f>
      </c>
      <c r="AB887" s="5">
        <v>11</v>
      </c>
      <c r="AC887" s="2" t="s">
        <v>1341</v>
      </c>
      <c r="AD887" s="4">
        <v>112</v>
      </c>
      <c r="AE887" s="4">
        <v>112</v>
      </c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233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233</v>
      </c>
      <c r="AW887" s="8" t="s">
        <v>233</v>
      </c>
      <c r="AX887" s="4" t="s">
        <v>233</v>
      </c>
      <c r="AY887" s="8" t="s">
        <v>233</v>
      </c>
      <c r="AZ887" s="7" t="s">
        <v>233</v>
      </c>
      <c r="BA887" s="7" t="s">
        <v>233</v>
      </c>
      <c r="BB887" s="7"/>
      <c r="BC887" s="4" t="s">
        <v>233</v>
      </c>
      <c r="BD887" s="8" t="s">
        <v>233</v>
      </c>
      <c r="BE887" s="4" t="s">
        <v>233</v>
      </c>
      <c r="BF887" s="8" t="s">
        <v>233</v>
      </c>
      <c r="BG887" s="7" t="s">
        <v>233</v>
      </c>
      <c r="BH887" s="7" t="s">
        <v>233</v>
      </c>
      <c r="BI887" s="7"/>
      <c r="BJ887" s="4"/>
      <c r="BK887" s="8"/>
      <c r="BL887" s="2" t="s">
        <v>233</v>
      </c>
      <c r="BM887" s="7"/>
      <c r="BN887" s="7"/>
      <c r="BO887" s="4"/>
      <c r="BP887" s="8"/>
      <c r="BQ887" s="4"/>
      <c r="BR887" s="8"/>
      <c r="BS887" s="7"/>
      <c r="BT887" s="7"/>
      <c r="BU887" s="2" t="s">
        <v>4600</v>
      </c>
      <c r="BV887" s="2" t="s">
        <v>233</v>
      </c>
      <c r="BW887" s="2" t="s">
        <v>233</v>
      </c>
      <c r="BX887" s="2" t="s">
        <v>233</v>
      </c>
      <c r="BY887" s="2" t="s">
        <v>280</v>
      </c>
      <c r="BZ887" s="2" t="s">
        <v>245</v>
      </c>
      <c r="CA887" s="2" t="s">
        <v>4597</v>
      </c>
      <c r="CB887" s="2" t="s">
        <v>1239</v>
      </c>
      <c r="CC887" s="2" t="s">
        <v>246</v>
      </c>
      <c r="CD887" s="2" t="s">
        <v>233</v>
      </c>
      <c r="CE887" s="4">
        <v>1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>
        <v>112</v>
      </c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</row>
    <row r="888">
      <c r="A888" s="2" t="s">
        <v>4601</v>
      </c>
      <c r="B888" s="2" t="s">
        <v>333</v>
      </c>
      <c r="C888" s="2" t="s">
        <v>911</v>
      </c>
      <c r="D888" s="2" t="s">
        <v>335</v>
      </c>
      <c r="E888" s="2" t="s">
        <v>336</v>
      </c>
      <c r="F888" s="2" t="s">
        <v>4577</v>
      </c>
      <c r="G888" s="2" t="s">
        <v>4577</v>
      </c>
      <c r="H888" s="2" t="s">
        <v>4577</v>
      </c>
      <c r="I888" s="2" t="s">
        <v>4578</v>
      </c>
      <c r="J888" s="2" t="s">
        <v>290</v>
      </c>
      <c r="K888" s="2" t="s">
        <v>4593</v>
      </c>
      <c r="L888" s="3">
        <v>19.13</v>
      </c>
      <c r="M888" s="3">
        <v>20.09</v>
      </c>
      <c r="N888" s="3">
        <v>42.99</v>
      </c>
      <c r="O888" s="2" t="s">
        <v>245</v>
      </c>
      <c r="P888" s="2" t="s">
        <v>741</v>
      </c>
      <c r="Q888" s="2" t="s">
        <v>239</v>
      </c>
      <c r="R888" s="2" t="s">
        <v>233</v>
      </c>
      <c r="S888" s="2" t="s">
        <v>4594</v>
      </c>
      <c r="T888" s="2" t="s">
        <v>3950</v>
      </c>
      <c r="U888" s="2" t="s">
        <v>342</v>
      </c>
      <c r="V888" s="2" t="s">
        <v>3951</v>
      </c>
      <c r="W888" s="2" t="s">
        <v>275</v>
      </c>
      <c r="X888" s="2" t="s">
        <v>233</v>
      </c>
      <c r="Y888" s="2" t="s">
        <v>4595</v>
      </c>
      <c r="Z888" s="4"/>
      <c r="AA888" s="4">
        <f>=ROUNDDOWN({0},0)</f>
      </c>
      <c r="AB888" s="5">
        <v>18</v>
      </c>
      <c r="AC888" s="2" t="s">
        <v>1341</v>
      </c>
      <c r="AD888" s="4">
        <v>188</v>
      </c>
      <c r="AE888" s="4">
        <v>188</v>
      </c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233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233</v>
      </c>
      <c r="AW888" s="8" t="s">
        <v>233</v>
      </c>
      <c r="AX888" s="4" t="s">
        <v>233</v>
      </c>
      <c r="AY888" s="8" t="s">
        <v>233</v>
      </c>
      <c r="AZ888" s="7" t="s">
        <v>233</v>
      </c>
      <c r="BA888" s="7" t="s">
        <v>233</v>
      </c>
      <c r="BB888" s="7"/>
      <c r="BC888" s="4" t="s">
        <v>233</v>
      </c>
      <c r="BD888" s="8" t="s">
        <v>233</v>
      </c>
      <c r="BE888" s="4" t="s">
        <v>233</v>
      </c>
      <c r="BF888" s="8" t="s">
        <v>233</v>
      </c>
      <c r="BG888" s="7" t="s">
        <v>233</v>
      </c>
      <c r="BH888" s="7" t="s">
        <v>233</v>
      </c>
      <c r="BI888" s="7"/>
      <c r="BJ888" s="4"/>
      <c r="BK888" s="8"/>
      <c r="BL888" s="2" t="s">
        <v>233</v>
      </c>
      <c r="BM888" s="7"/>
      <c r="BN888" s="7"/>
      <c r="BO888" s="4"/>
      <c r="BP888" s="8"/>
      <c r="BQ888" s="4"/>
      <c r="BR888" s="8"/>
      <c r="BS888" s="7"/>
      <c r="BT888" s="7"/>
      <c r="BU888" s="2" t="s">
        <v>4602</v>
      </c>
      <c r="BV888" s="2" t="s">
        <v>233</v>
      </c>
      <c r="BW888" s="2" t="s">
        <v>233</v>
      </c>
      <c r="BX888" s="2" t="s">
        <v>233</v>
      </c>
      <c r="BY888" s="2" t="s">
        <v>280</v>
      </c>
      <c r="BZ888" s="2" t="s">
        <v>245</v>
      </c>
      <c r="CA888" s="2" t="s">
        <v>4597</v>
      </c>
      <c r="CB888" s="2" t="s">
        <v>4603</v>
      </c>
      <c r="CC888" s="2" t="s">
        <v>246</v>
      </c>
      <c r="CD888" s="2" t="s">
        <v>233</v>
      </c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>
        <v>188</v>
      </c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</row>
    <row r="889">
      <c r="A889" s="2" t="s">
        <v>4604</v>
      </c>
      <c r="B889" s="2" t="s">
        <v>333</v>
      </c>
      <c r="C889" s="2" t="s">
        <v>911</v>
      </c>
      <c r="D889" s="2" t="s">
        <v>335</v>
      </c>
      <c r="E889" s="2" t="s">
        <v>336</v>
      </c>
      <c r="F889" s="2" t="s">
        <v>4577</v>
      </c>
      <c r="G889" s="2" t="s">
        <v>4577</v>
      </c>
      <c r="H889" s="2" t="s">
        <v>4577</v>
      </c>
      <c r="I889" s="2" t="s">
        <v>4578</v>
      </c>
      <c r="J889" s="2" t="s">
        <v>348</v>
      </c>
      <c r="K889" s="2" t="s">
        <v>4593</v>
      </c>
      <c r="L889" s="3">
        <v>21.27</v>
      </c>
      <c r="M889" s="3">
        <v>22.33</v>
      </c>
      <c r="N889" s="3">
        <v>47.99</v>
      </c>
      <c r="O889" s="2" t="s">
        <v>245</v>
      </c>
      <c r="P889" s="2" t="s">
        <v>272</v>
      </c>
      <c r="Q889" s="2" t="s">
        <v>239</v>
      </c>
      <c r="R889" s="2" t="s">
        <v>233</v>
      </c>
      <c r="S889" s="2" t="s">
        <v>4594</v>
      </c>
      <c r="T889" s="2" t="s">
        <v>3950</v>
      </c>
      <c r="U889" s="2" t="s">
        <v>342</v>
      </c>
      <c r="V889" s="2" t="s">
        <v>3951</v>
      </c>
      <c r="W889" s="2" t="s">
        <v>275</v>
      </c>
      <c r="X889" s="2" t="s">
        <v>233</v>
      </c>
      <c r="Y889" s="2" t="s">
        <v>4595</v>
      </c>
      <c r="Z889" s="4"/>
      <c r="AA889" s="4">
        <f>=ROUNDDOWN({0},0)</f>
      </c>
      <c r="AB889" s="5">
        <v>18</v>
      </c>
      <c r="AC889" s="2" t="s">
        <v>1341</v>
      </c>
      <c r="AD889" s="4">
        <v>182</v>
      </c>
      <c r="AE889" s="4">
        <v>182</v>
      </c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233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233</v>
      </c>
      <c r="AW889" s="8" t="s">
        <v>233</v>
      </c>
      <c r="AX889" s="4" t="s">
        <v>233</v>
      </c>
      <c r="AY889" s="8" t="s">
        <v>233</v>
      </c>
      <c r="AZ889" s="7" t="s">
        <v>233</v>
      </c>
      <c r="BA889" s="7" t="s">
        <v>233</v>
      </c>
      <c r="BB889" s="7"/>
      <c r="BC889" s="4" t="s">
        <v>233</v>
      </c>
      <c r="BD889" s="8" t="s">
        <v>233</v>
      </c>
      <c r="BE889" s="4" t="s">
        <v>233</v>
      </c>
      <c r="BF889" s="8" t="s">
        <v>233</v>
      </c>
      <c r="BG889" s="7" t="s">
        <v>233</v>
      </c>
      <c r="BH889" s="7" t="s">
        <v>233</v>
      </c>
      <c r="BI889" s="7"/>
      <c r="BJ889" s="4"/>
      <c r="BK889" s="8"/>
      <c r="BL889" s="2" t="s">
        <v>233</v>
      </c>
      <c r="BM889" s="7"/>
      <c r="BN889" s="7"/>
      <c r="BO889" s="4"/>
      <c r="BP889" s="8"/>
      <c r="BQ889" s="4"/>
      <c r="BR889" s="8"/>
      <c r="BS889" s="7"/>
      <c r="BT889" s="7"/>
      <c r="BU889" s="2" t="s">
        <v>4605</v>
      </c>
      <c r="BV889" s="2" t="s">
        <v>233</v>
      </c>
      <c r="BW889" s="2" t="s">
        <v>233</v>
      </c>
      <c r="BX889" s="2" t="s">
        <v>233</v>
      </c>
      <c r="BY889" s="2" t="s">
        <v>280</v>
      </c>
      <c r="BZ889" s="2" t="s">
        <v>245</v>
      </c>
      <c r="CA889" s="2" t="s">
        <v>4597</v>
      </c>
      <c r="CB889" s="2" t="s">
        <v>4606</v>
      </c>
      <c r="CC889" s="2" t="s">
        <v>246</v>
      </c>
      <c r="CD889" s="2" t="s">
        <v>233</v>
      </c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>
        <v>182</v>
      </c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</row>
    <row r="890">
      <c r="A890" s="2" t="s">
        <v>4607</v>
      </c>
      <c r="B890" s="2" t="s">
        <v>333</v>
      </c>
      <c r="C890" s="2" t="s">
        <v>911</v>
      </c>
      <c r="D890" s="2" t="s">
        <v>335</v>
      </c>
      <c r="E890" s="2" t="s">
        <v>336</v>
      </c>
      <c r="F890" s="2" t="s">
        <v>4577</v>
      </c>
      <c r="G890" s="2" t="s">
        <v>4577</v>
      </c>
      <c r="H890" s="2" t="s">
        <v>4577</v>
      </c>
      <c r="I890" s="2" t="s">
        <v>4578</v>
      </c>
      <c r="J890" s="2" t="s">
        <v>270</v>
      </c>
      <c r="K890" s="2" t="s">
        <v>4608</v>
      </c>
      <c r="L890" s="3">
        <v>14.89</v>
      </c>
      <c r="M890" s="3">
        <v>15.63</v>
      </c>
      <c r="N890" s="3">
        <v>31.99</v>
      </c>
      <c r="O890" s="2" t="s">
        <v>245</v>
      </c>
      <c r="P890" s="2" t="s">
        <v>311</v>
      </c>
      <c r="Q890" s="2" t="s">
        <v>239</v>
      </c>
      <c r="R890" s="2" t="s">
        <v>233</v>
      </c>
      <c r="S890" s="2" t="s">
        <v>4609</v>
      </c>
      <c r="T890" s="2" t="s">
        <v>3950</v>
      </c>
      <c r="U890" s="2" t="s">
        <v>233</v>
      </c>
      <c r="V890" s="2" t="s">
        <v>379</v>
      </c>
      <c r="W890" s="2" t="s">
        <v>275</v>
      </c>
      <c r="X890" s="2" t="s">
        <v>451</v>
      </c>
      <c r="Y890" s="2" t="s">
        <v>4610</v>
      </c>
      <c r="Z890" s="4">
        <v>353</v>
      </c>
      <c r="AA890" s="4">
        <f>=ROUNDDOWN(22.2012578616352,0)</f>
      </c>
      <c r="AB890" s="5">
        <v>15.9</v>
      </c>
      <c r="AC890" s="2" t="s">
        <v>233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233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 t="s">
        <v>233</v>
      </c>
      <c r="BD890" s="8" t="s">
        <v>233</v>
      </c>
      <c r="BE890" s="4" t="s">
        <v>233</v>
      </c>
      <c r="BF890" s="8" t="s">
        <v>233</v>
      </c>
      <c r="BG890" s="7" t="s">
        <v>233</v>
      </c>
      <c r="BH890" s="7" t="s">
        <v>233</v>
      </c>
      <c r="BI890" s="7"/>
      <c r="BJ890" s="4">
        <v>39</v>
      </c>
      <c r="BK890" s="8">
        <v>681.68</v>
      </c>
      <c r="BL890" s="2" t="s">
        <v>2380</v>
      </c>
      <c r="BM890" s="7"/>
      <c r="BN890" s="7"/>
      <c r="BO890" s="4"/>
      <c r="BP890" s="8"/>
      <c r="BQ890" s="4"/>
      <c r="BR890" s="8"/>
      <c r="BS890" s="7"/>
      <c r="BT890" s="7"/>
      <c r="BU890" s="2" t="s">
        <v>4611</v>
      </c>
      <c r="BV890" s="2" t="s">
        <v>233</v>
      </c>
      <c r="BW890" s="2" t="s">
        <v>233</v>
      </c>
      <c r="BX890" s="2" t="s">
        <v>595</v>
      </c>
      <c r="BY890" s="2" t="s">
        <v>280</v>
      </c>
      <c r="BZ890" s="2" t="s">
        <v>245</v>
      </c>
      <c r="CA890" s="2" t="s">
        <v>4612</v>
      </c>
      <c r="CB890" s="2" t="s">
        <v>4613</v>
      </c>
      <c r="CC890" s="2" t="s">
        <v>246</v>
      </c>
      <c r="CD890" s="2" t="s">
        <v>233</v>
      </c>
      <c r="CE890" s="4">
        <v>353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</row>
    <row r="891">
      <c r="A891" s="2" t="s">
        <v>4614</v>
      </c>
      <c r="B891" s="2" t="s">
        <v>333</v>
      </c>
      <c r="C891" s="2" t="s">
        <v>911</v>
      </c>
      <c r="D891" s="2" t="s">
        <v>335</v>
      </c>
      <c r="E891" s="2" t="s">
        <v>336</v>
      </c>
      <c r="F891" s="2" t="s">
        <v>4577</v>
      </c>
      <c r="G891" s="2" t="s">
        <v>4577</v>
      </c>
      <c r="H891" s="2" t="s">
        <v>4577</v>
      </c>
      <c r="I891" s="2" t="s">
        <v>4578</v>
      </c>
      <c r="J891" s="2" t="s">
        <v>270</v>
      </c>
      <c r="K891" s="2" t="s">
        <v>4615</v>
      </c>
      <c r="L891" s="3">
        <v>14.89</v>
      </c>
      <c r="M891" s="3">
        <v>15.63</v>
      </c>
      <c r="N891" s="3">
        <v>31.99</v>
      </c>
      <c r="O891" s="2" t="s">
        <v>245</v>
      </c>
      <c r="P891" s="2" t="s">
        <v>272</v>
      </c>
      <c r="Q891" s="2" t="s">
        <v>239</v>
      </c>
      <c r="R891" s="2" t="s">
        <v>233</v>
      </c>
      <c r="S891" s="2" t="s">
        <v>4616</v>
      </c>
      <c r="T891" s="2" t="s">
        <v>3950</v>
      </c>
      <c r="U891" s="2" t="s">
        <v>233</v>
      </c>
      <c r="V891" s="2" t="s">
        <v>2225</v>
      </c>
      <c r="W891" s="2" t="s">
        <v>275</v>
      </c>
      <c r="X891" s="2" t="s">
        <v>451</v>
      </c>
      <c r="Y891" s="2" t="s">
        <v>4610</v>
      </c>
      <c r="Z891" s="4">
        <v>3</v>
      </c>
      <c r="AA891" s="4">
        <f>=ROUNDDOWN(0.130434782608696,0)</f>
      </c>
      <c r="AB891" s="5">
        <v>23</v>
      </c>
      <c r="AC891" s="2" t="s">
        <v>1341</v>
      </c>
      <c r="AD891" s="4">
        <v>227</v>
      </c>
      <c r="AE891" s="4">
        <v>227</v>
      </c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233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233</v>
      </c>
      <c r="AW891" s="8" t="s">
        <v>233</v>
      </c>
      <c r="AX891" s="4" t="s">
        <v>233</v>
      </c>
      <c r="AY891" s="8" t="s">
        <v>233</v>
      </c>
      <c r="AZ891" s="7" t="s">
        <v>233</v>
      </c>
      <c r="BA891" s="7" t="s">
        <v>233</v>
      </c>
      <c r="BB891" s="7"/>
      <c r="BC891" s="4" t="s">
        <v>233</v>
      </c>
      <c r="BD891" s="8" t="s">
        <v>233</v>
      </c>
      <c r="BE891" s="4" t="s">
        <v>233</v>
      </c>
      <c r="BF891" s="8" t="s">
        <v>233</v>
      </c>
      <c r="BG891" s="7" t="s">
        <v>233</v>
      </c>
      <c r="BH891" s="7" t="s">
        <v>233</v>
      </c>
      <c r="BI891" s="7"/>
      <c r="BJ891" s="4"/>
      <c r="BK891" s="8"/>
      <c r="BL891" s="2" t="s">
        <v>4617</v>
      </c>
      <c r="BM891" s="7"/>
      <c r="BN891" s="7"/>
      <c r="BO891" s="4"/>
      <c r="BP891" s="8"/>
      <c r="BQ891" s="4"/>
      <c r="BR891" s="8"/>
      <c r="BS891" s="7"/>
      <c r="BT891" s="7"/>
      <c r="BU891" s="2" t="s">
        <v>4618</v>
      </c>
      <c r="BV891" s="2" t="s">
        <v>233</v>
      </c>
      <c r="BW891" s="2" t="s">
        <v>233</v>
      </c>
      <c r="BX891" s="2" t="s">
        <v>233</v>
      </c>
      <c r="BY891" s="2" t="s">
        <v>280</v>
      </c>
      <c r="BZ891" s="2" t="s">
        <v>245</v>
      </c>
      <c r="CA891" s="2" t="s">
        <v>4612</v>
      </c>
      <c r="CB891" s="2" t="s">
        <v>1435</v>
      </c>
      <c r="CC891" s="2" t="s">
        <v>246</v>
      </c>
      <c r="CD891" s="2" t="s">
        <v>233</v>
      </c>
      <c r="CE891" s="4">
        <v>3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>
        <v>227</v>
      </c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</row>
    <row r="892">
      <c r="A892" s="2" t="s">
        <v>4619</v>
      </c>
      <c r="B892" s="2" t="s">
        <v>333</v>
      </c>
      <c r="C892" s="2" t="s">
        <v>911</v>
      </c>
      <c r="D892" s="2" t="s">
        <v>335</v>
      </c>
      <c r="E892" s="2" t="s">
        <v>336</v>
      </c>
      <c r="F892" s="2" t="s">
        <v>4577</v>
      </c>
      <c r="G892" s="2" t="s">
        <v>4577</v>
      </c>
      <c r="H892" s="2" t="s">
        <v>4577</v>
      </c>
      <c r="I892" s="2" t="s">
        <v>4578</v>
      </c>
      <c r="J892" s="2" t="s">
        <v>284</v>
      </c>
      <c r="K892" s="2" t="s">
        <v>4615</v>
      </c>
      <c r="L892" s="3">
        <v>15.22</v>
      </c>
      <c r="M892" s="3">
        <v>15.98</v>
      </c>
      <c r="N892" s="3">
        <v>32.99</v>
      </c>
      <c r="O892" s="2" t="s">
        <v>245</v>
      </c>
      <c r="P892" s="2" t="s">
        <v>272</v>
      </c>
      <c r="Q892" s="2" t="s">
        <v>239</v>
      </c>
      <c r="R892" s="2" t="s">
        <v>233</v>
      </c>
      <c r="S892" s="2" t="s">
        <v>4616</v>
      </c>
      <c r="T892" s="2" t="s">
        <v>3950</v>
      </c>
      <c r="U892" s="2" t="s">
        <v>233</v>
      </c>
      <c r="V892" s="2" t="s">
        <v>2225</v>
      </c>
      <c r="W892" s="2" t="s">
        <v>275</v>
      </c>
      <c r="X892" s="2" t="s">
        <v>451</v>
      </c>
      <c r="Y892" s="2" t="s">
        <v>4610</v>
      </c>
      <c r="Z892" s="4">
        <v>2</v>
      </c>
      <c r="AA892" s="4">
        <f>=ROUNDDOWN(0.142857142857143,0)</f>
      </c>
      <c r="AB892" s="5">
        <v>14</v>
      </c>
      <c r="AC892" s="2" t="s">
        <v>1341</v>
      </c>
      <c r="AD892" s="4">
        <v>142</v>
      </c>
      <c r="AE892" s="4">
        <v>142</v>
      </c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233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233</v>
      </c>
      <c r="AW892" s="8" t="s">
        <v>233</v>
      </c>
      <c r="AX892" s="4" t="s">
        <v>233</v>
      </c>
      <c r="AY892" s="8" t="s">
        <v>233</v>
      </c>
      <c r="AZ892" s="7" t="s">
        <v>233</v>
      </c>
      <c r="BA892" s="7" t="s">
        <v>233</v>
      </c>
      <c r="BB892" s="7"/>
      <c r="BC892" s="4" t="s">
        <v>233</v>
      </c>
      <c r="BD892" s="8" t="s">
        <v>233</v>
      </c>
      <c r="BE892" s="4" t="s">
        <v>233</v>
      </c>
      <c r="BF892" s="8" t="s">
        <v>233</v>
      </c>
      <c r="BG892" s="7" t="s">
        <v>233</v>
      </c>
      <c r="BH892" s="7" t="s">
        <v>233</v>
      </c>
      <c r="BI892" s="7"/>
      <c r="BJ892" s="4">
        <v>1</v>
      </c>
      <c r="BK892" s="8">
        <v>32.99</v>
      </c>
      <c r="BL892" s="2" t="s">
        <v>4620</v>
      </c>
      <c r="BM892" s="7"/>
      <c r="BN892" s="7"/>
      <c r="BO892" s="4"/>
      <c r="BP892" s="8"/>
      <c r="BQ892" s="4"/>
      <c r="BR892" s="8"/>
      <c r="BS892" s="7"/>
      <c r="BT892" s="7"/>
      <c r="BU892" s="2" t="s">
        <v>4621</v>
      </c>
      <c r="BV892" s="2" t="s">
        <v>233</v>
      </c>
      <c r="BW892" s="2" t="s">
        <v>233</v>
      </c>
      <c r="BX892" s="2" t="s">
        <v>233</v>
      </c>
      <c r="BY892" s="2" t="s">
        <v>280</v>
      </c>
      <c r="BZ892" s="2" t="s">
        <v>245</v>
      </c>
      <c r="CA892" s="2" t="s">
        <v>4612</v>
      </c>
      <c r="CB892" s="2" t="s">
        <v>4622</v>
      </c>
      <c r="CC892" s="2" t="s">
        <v>246</v>
      </c>
      <c r="CD892" s="2" t="s">
        <v>233</v>
      </c>
      <c r="CE892" s="4">
        <v>2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>
        <v>142</v>
      </c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</row>
    <row r="893">
      <c r="A893" s="2" t="s">
        <v>4623</v>
      </c>
      <c r="B893" s="2" t="s">
        <v>333</v>
      </c>
      <c r="C893" s="2" t="s">
        <v>911</v>
      </c>
      <c r="D893" s="2" t="s">
        <v>335</v>
      </c>
      <c r="E893" s="2" t="s">
        <v>336</v>
      </c>
      <c r="F893" s="2" t="s">
        <v>4577</v>
      </c>
      <c r="G893" s="2" t="s">
        <v>4577</v>
      </c>
      <c r="H893" s="2" t="s">
        <v>4577</v>
      </c>
      <c r="I893" s="2" t="s">
        <v>4578</v>
      </c>
      <c r="J893" s="2" t="s">
        <v>290</v>
      </c>
      <c r="K893" s="2" t="s">
        <v>4615</v>
      </c>
      <c r="L893" s="3">
        <v>19.13</v>
      </c>
      <c r="M893" s="3">
        <v>20.09</v>
      </c>
      <c r="N893" s="3">
        <v>42.99</v>
      </c>
      <c r="O893" s="2" t="s">
        <v>245</v>
      </c>
      <c r="P893" s="2" t="s">
        <v>272</v>
      </c>
      <c r="Q893" s="2" t="s">
        <v>239</v>
      </c>
      <c r="R893" s="2" t="s">
        <v>233</v>
      </c>
      <c r="S893" s="2" t="s">
        <v>4616</v>
      </c>
      <c r="T893" s="2" t="s">
        <v>3950</v>
      </c>
      <c r="U893" s="2" t="s">
        <v>233</v>
      </c>
      <c r="V893" s="2" t="s">
        <v>2225</v>
      </c>
      <c r="W893" s="2" t="s">
        <v>275</v>
      </c>
      <c r="X893" s="2" t="s">
        <v>451</v>
      </c>
      <c r="Y893" s="2" t="s">
        <v>4610</v>
      </c>
      <c r="Z893" s="4">
        <v>3</v>
      </c>
      <c r="AA893" s="4">
        <f>=ROUNDDOWN(0.230769230769231,0)</f>
      </c>
      <c r="AB893" s="5">
        <v>13</v>
      </c>
      <c r="AC893" s="2" t="s">
        <v>1341</v>
      </c>
      <c r="AD893" s="4">
        <v>126</v>
      </c>
      <c r="AE893" s="4">
        <v>126</v>
      </c>
      <c r="AF893" s="6">
        <v>65</v>
      </c>
      <c r="AG893" s="6"/>
      <c r="AH893" s="7">
        <v>0.0323</v>
      </c>
      <c r="AI893" s="4"/>
      <c r="AJ893" s="4">
        <f>=ROUNDDOWN({0},0)</f>
      </c>
      <c r="AK893" s="5"/>
      <c r="AL893" s="2" t="s">
        <v>233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233</v>
      </c>
      <c r="AW893" s="8" t="s">
        <v>233</v>
      </c>
      <c r="AX893" s="4" t="s">
        <v>233</v>
      </c>
      <c r="AY893" s="8" t="s">
        <v>233</v>
      </c>
      <c r="AZ893" s="7" t="s">
        <v>233</v>
      </c>
      <c r="BA893" s="7" t="s">
        <v>233</v>
      </c>
      <c r="BB893" s="7"/>
      <c r="BC893" s="4" t="s">
        <v>233</v>
      </c>
      <c r="BD893" s="8" t="s">
        <v>233</v>
      </c>
      <c r="BE893" s="4" t="s">
        <v>233</v>
      </c>
      <c r="BF893" s="8" t="s">
        <v>233</v>
      </c>
      <c r="BG893" s="7" t="s">
        <v>233</v>
      </c>
      <c r="BH893" s="7" t="s">
        <v>233</v>
      </c>
      <c r="BI893" s="7"/>
      <c r="BJ893" s="4">
        <v>1</v>
      </c>
      <c r="BK893" s="8">
        <v>22.32</v>
      </c>
      <c r="BL893" s="2" t="s">
        <v>4624</v>
      </c>
      <c r="BM893" s="7"/>
      <c r="BN893" s="7"/>
      <c r="BO893" s="4"/>
      <c r="BP893" s="8"/>
      <c r="BQ893" s="4"/>
      <c r="BR893" s="8"/>
      <c r="BS893" s="7"/>
      <c r="BT893" s="7"/>
      <c r="BU893" s="2" t="s">
        <v>4625</v>
      </c>
      <c r="BV893" s="2" t="s">
        <v>233</v>
      </c>
      <c r="BW893" s="2" t="s">
        <v>233</v>
      </c>
      <c r="BX893" s="2" t="s">
        <v>233</v>
      </c>
      <c r="BY893" s="2" t="s">
        <v>280</v>
      </c>
      <c r="BZ893" s="2" t="s">
        <v>245</v>
      </c>
      <c r="CA893" s="2" t="s">
        <v>4612</v>
      </c>
      <c r="CB893" s="2" t="s">
        <v>4626</v>
      </c>
      <c r="CC893" s="2" t="s">
        <v>246</v>
      </c>
      <c r="CD893" s="2" t="s">
        <v>233</v>
      </c>
      <c r="CE893" s="4">
        <v>3</v>
      </c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>
        <v>126</v>
      </c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</row>
    <row r="894">
      <c r="A894" s="2" t="s">
        <v>4627</v>
      </c>
      <c r="B894" s="2" t="s">
        <v>333</v>
      </c>
      <c r="C894" s="2" t="s">
        <v>911</v>
      </c>
      <c r="D894" s="2" t="s">
        <v>335</v>
      </c>
      <c r="E894" s="2" t="s">
        <v>336</v>
      </c>
      <c r="F894" s="2" t="s">
        <v>4577</v>
      </c>
      <c r="G894" s="2" t="s">
        <v>4577</v>
      </c>
      <c r="H894" s="2" t="s">
        <v>4577</v>
      </c>
      <c r="I894" s="2" t="s">
        <v>4578</v>
      </c>
      <c r="J894" s="2" t="s">
        <v>348</v>
      </c>
      <c r="K894" s="2" t="s">
        <v>4615</v>
      </c>
      <c r="L894" s="3">
        <v>21.27</v>
      </c>
      <c r="M894" s="3">
        <v>22.33</v>
      </c>
      <c r="N894" s="3">
        <v>47.99</v>
      </c>
      <c r="O894" s="2" t="s">
        <v>245</v>
      </c>
      <c r="P894" s="2" t="s">
        <v>272</v>
      </c>
      <c r="Q894" s="2" t="s">
        <v>239</v>
      </c>
      <c r="R894" s="2" t="s">
        <v>233</v>
      </c>
      <c r="S894" s="2" t="s">
        <v>4616</v>
      </c>
      <c r="T894" s="2" t="s">
        <v>3950</v>
      </c>
      <c r="U894" s="2" t="s">
        <v>233</v>
      </c>
      <c r="V894" s="2" t="s">
        <v>2225</v>
      </c>
      <c r="W894" s="2" t="s">
        <v>275</v>
      </c>
      <c r="X894" s="2" t="s">
        <v>451</v>
      </c>
      <c r="Y894" s="2" t="s">
        <v>4610</v>
      </c>
      <c r="Z894" s="4">
        <v>2</v>
      </c>
      <c r="AA894" s="4">
        <f>=ROUNDDOWN(0.125,0)</f>
      </c>
      <c r="AB894" s="5">
        <v>16</v>
      </c>
      <c r="AC894" s="2" t="s">
        <v>1341</v>
      </c>
      <c r="AD894" s="4">
        <v>169</v>
      </c>
      <c r="AE894" s="4">
        <v>169</v>
      </c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233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233</v>
      </c>
      <c r="AW894" s="8" t="s">
        <v>233</v>
      </c>
      <c r="AX894" s="4" t="s">
        <v>233</v>
      </c>
      <c r="AY894" s="8" t="s">
        <v>233</v>
      </c>
      <c r="AZ894" s="7" t="s">
        <v>233</v>
      </c>
      <c r="BA894" s="7" t="s">
        <v>233</v>
      </c>
      <c r="BB894" s="7"/>
      <c r="BC894" s="4" t="s">
        <v>233</v>
      </c>
      <c r="BD894" s="8" t="s">
        <v>233</v>
      </c>
      <c r="BE894" s="4" t="s">
        <v>233</v>
      </c>
      <c r="BF894" s="8" t="s">
        <v>233</v>
      </c>
      <c r="BG894" s="7" t="s">
        <v>233</v>
      </c>
      <c r="BH894" s="7" t="s">
        <v>233</v>
      </c>
      <c r="BI894" s="7"/>
      <c r="BJ894" s="4"/>
      <c r="BK894" s="8"/>
      <c r="BL894" s="2" t="s">
        <v>4628</v>
      </c>
      <c r="BM894" s="7"/>
      <c r="BN894" s="7"/>
      <c r="BO894" s="4"/>
      <c r="BP894" s="8"/>
      <c r="BQ894" s="4"/>
      <c r="BR894" s="8"/>
      <c r="BS894" s="7"/>
      <c r="BT894" s="7"/>
      <c r="BU894" s="2" t="s">
        <v>4629</v>
      </c>
      <c r="BV894" s="2" t="s">
        <v>233</v>
      </c>
      <c r="BW894" s="2" t="s">
        <v>233</v>
      </c>
      <c r="BX894" s="2" t="s">
        <v>233</v>
      </c>
      <c r="BY894" s="2" t="s">
        <v>280</v>
      </c>
      <c r="BZ894" s="2" t="s">
        <v>245</v>
      </c>
      <c r="CA894" s="2" t="s">
        <v>4612</v>
      </c>
      <c r="CB894" s="2" t="s">
        <v>4630</v>
      </c>
      <c r="CC894" s="2" t="s">
        <v>246</v>
      </c>
      <c r="CD894" s="2" t="s">
        <v>233</v>
      </c>
      <c r="CE894" s="4">
        <v>2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>
        <v>169</v>
      </c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</row>
    <row r="895">
      <c r="A895" s="2" t="s">
        <v>4631</v>
      </c>
      <c r="B895" s="2" t="s">
        <v>333</v>
      </c>
      <c r="C895" s="2" t="s">
        <v>911</v>
      </c>
      <c r="D895" s="2" t="s">
        <v>335</v>
      </c>
      <c r="E895" s="2" t="s">
        <v>336</v>
      </c>
      <c r="F895" s="2" t="s">
        <v>4577</v>
      </c>
      <c r="G895" s="2" t="s">
        <v>4577</v>
      </c>
      <c r="H895" s="2" t="s">
        <v>4577</v>
      </c>
      <c r="I895" s="2" t="s">
        <v>4578</v>
      </c>
      <c r="J895" s="2" t="s">
        <v>270</v>
      </c>
      <c r="K895" s="2" t="s">
        <v>4632</v>
      </c>
      <c r="L895" s="3">
        <v>14.89</v>
      </c>
      <c r="M895" s="3">
        <v>15.63</v>
      </c>
      <c r="N895" s="3">
        <v>31.99</v>
      </c>
      <c r="O895" s="2" t="s">
        <v>245</v>
      </c>
      <c r="P895" s="2" t="s">
        <v>2943</v>
      </c>
      <c r="Q895" s="2" t="s">
        <v>239</v>
      </c>
      <c r="R895" s="2" t="s">
        <v>233</v>
      </c>
      <c r="S895" s="2" t="s">
        <v>4633</v>
      </c>
      <c r="T895" s="2" t="s">
        <v>3950</v>
      </c>
      <c r="U895" s="2" t="s">
        <v>475</v>
      </c>
      <c r="V895" s="2" t="s">
        <v>3951</v>
      </c>
      <c r="W895" s="2" t="s">
        <v>275</v>
      </c>
      <c r="X895" s="2" t="s">
        <v>233</v>
      </c>
      <c r="Y895" s="2" t="s">
        <v>4595</v>
      </c>
      <c r="Z895" s="4"/>
      <c r="AA895" s="4">
        <f>=ROUNDDOWN({0},0)</f>
      </c>
      <c r="AB895" s="5">
        <v>56</v>
      </c>
      <c r="AC895" s="2" t="s">
        <v>1341</v>
      </c>
      <c r="AD895" s="4">
        <v>540</v>
      </c>
      <c r="AE895" s="4">
        <v>540</v>
      </c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233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233</v>
      </c>
      <c r="AW895" s="8" t="s">
        <v>233</v>
      </c>
      <c r="AX895" s="4" t="s">
        <v>233</v>
      </c>
      <c r="AY895" s="8" t="s">
        <v>233</v>
      </c>
      <c r="AZ895" s="7" t="s">
        <v>233</v>
      </c>
      <c r="BA895" s="7" t="s">
        <v>233</v>
      </c>
      <c r="BB895" s="7"/>
      <c r="BC895" s="4" t="s">
        <v>233</v>
      </c>
      <c r="BD895" s="8" t="s">
        <v>233</v>
      </c>
      <c r="BE895" s="4" t="s">
        <v>233</v>
      </c>
      <c r="BF895" s="8" t="s">
        <v>233</v>
      </c>
      <c r="BG895" s="7" t="s">
        <v>233</v>
      </c>
      <c r="BH895" s="7" t="s">
        <v>233</v>
      </c>
      <c r="BI895" s="7"/>
      <c r="BJ895" s="4"/>
      <c r="BK895" s="8"/>
      <c r="BL895" s="2" t="s">
        <v>233</v>
      </c>
      <c r="BM895" s="7"/>
      <c r="BN895" s="7"/>
      <c r="BO895" s="4"/>
      <c r="BP895" s="8"/>
      <c r="BQ895" s="4"/>
      <c r="BR895" s="8"/>
      <c r="BS895" s="7"/>
      <c r="BT895" s="7"/>
      <c r="BU895" s="2" t="s">
        <v>4634</v>
      </c>
      <c r="BV895" s="2" t="s">
        <v>233</v>
      </c>
      <c r="BW895" s="2" t="s">
        <v>233</v>
      </c>
      <c r="BX895" s="2" t="s">
        <v>233</v>
      </c>
      <c r="BY895" s="2" t="s">
        <v>280</v>
      </c>
      <c r="BZ895" s="2" t="s">
        <v>245</v>
      </c>
      <c r="CA895" s="2" t="s">
        <v>4597</v>
      </c>
      <c r="CB895" s="2" t="s">
        <v>4635</v>
      </c>
      <c r="CC895" s="2" t="s">
        <v>246</v>
      </c>
      <c r="CD895" s="2" t="s">
        <v>233</v>
      </c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>
        <v>540</v>
      </c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</row>
    <row r="896">
      <c r="A896" s="2" t="s">
        <v>4636</v>
      </c>
      <c r="B896" s="2" t="s">
        <v>333</v>
      </c>
      <c r="C896" s="2" t="s">
        <v>911</v>
      </c>
      <c r="D896" s="2" t="s">
        <v>335</v>
      </c>
      <c r="E896" s="2" t="s">
        <v>336</v>
      </c>
      <c r="F896" s="2" t="s">
        <v>4577</v>
      </c>
      <c r="G896" s="2" t="s">
        <v>4577</v>
      </c>
      <c r="H896" s="2" t="s">
        <v>4577</v>
      </c>
      <c r="I896" s="2" t="s">
        <v>4578</v>
      </c>
      <c r="J896" s="2" t="s">
        <v>284</v>
      </c>
      <c r="K896" s="2" t="s">
        <v>4632</v>
      </c>
      <c r="L896" s="3">
        <v>15.22</v>
      </c>
      <c r="M896" s="3">
        <v>15.98</v>
      </c>
      <c r="N896" s="3">
        <v>32.99</v>
      </c>
      <c r="O896" s="2" t="s">
        <v>245</v>
      </c>
      <c r="P896" s="2" t="s">
        <v>741</v>
      </c>
      <c r="Q896" s="2" t="s">
        <v>239</v>
      </c>
      <c r="R896" s="2" t="s">
        <v>233</v>
      </c>
      <c r="S896" s="2" t="s">
        <v>4633</v>
      </c>
      <c r="T896" s="2" t="s">
        <v>3950</v>
      </c>
      <c r="U896" s="2" t="s">
        <v>475</v>
      </c>
      <c r="V896" s="2" t="s">
        <v>3951</v>
      </c>
      <c r="W896" s="2" t="s">
        <v>275</v>
      </c>
      <c r="X896" s="2" t="s">
        <v>233</v>
      </c>
      <c r="Y896" s="2" t="s">
        <v>4595</v>
      </c>
      <c r="Z896" s="4">
        <v>1</v>
      </c>
      <c r="AA896" s="4">
        <f>=ROUNDDOWN(0.0416666666666667,0)</f>
      </c>
      <c r="AB896" s="5">
        <v>24</v>
      </c>
      <c r="AC896" s="2" t="s">
        <v>1341</v>
      </c>
      <c r="AD896" s="4">
        <v>240</v>
      </c>
      <c r="AE896" s="4">
        <v>240</v>
      </c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233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233</v>
      </c>
      <c r="AW896" s="8" t="s">
        <v>233</v>
      </c>
      <c r="AX896" s="4" t="s">
        <v>233</v>
      </c>
      <c r="AY896" s="8" t="s">
        <v>233</v>
      </c>
      <c r="AZ896" s="7" t="s">
        <v>233</v>
      </c>
      <c r="BA896" s="7" t="s">
        <v>233</v>
      </c>
      <c r="BB896" s="7"/>
      <c r="BC896" s="4" t="s">
        <v>233</v>
      </c>
      <c r="BD896" s="8" t="s">
        <v>233</v>
      </c>
      <c r="BE896" s="4" t="s">
        <v>233</v>
      </c>
      <c r="BF896" s="8" t="s">
        <v>233</v>
      </c>
      <c r="BG896" s="7" t="s">
        <v>233</v>
      </c>
      <c r="BH896" s="7" t="s">
        <v>233</v>
      </c>
      <c r="BI896" s="7"/>
      <c r="BJ896" s="4"/>
      <c r="BK896" s="8"/>
      <c r="BL896" s="2" t="s">
        <v>233</v>
      </c>
      <c r="BM896" s="7"/>
      <c r="BN896" s="7"/>
      <c r="BO896" s="4"/>
      <c r="BP896" s="8"/>
      <c r="BQ896" s="4"/>
      <c r="BR896" s="8"/>
      <c r="BS896" s="7"/>
      <c r="BT896" s="7"/>
      <c r="BU896" s="2" t="s">
        <v>4637</v>
      </c>
      <c r="BV896" s="2" t="s">
        <v>233</v>
      </c>
      <c r="BW896" s="2" t="s">
        <v>233</v>
      </c>
      <c r="BX896" s="2" t="s">
        <v>233</v>
      </c>
      <c r="BY896" s="2" t="s">
        <v>280</v>
      </c>
      <c r="BZ896" s="2" t="s">
        <v>245</v>
      </c>
      <c r="CA896" s="2" t="s">
        <v>4597</v>
      </c>
      <c r="CB896" s="2" t="s">
        <v>1239</v>
      </c>
      <c r="CC896" s="2" t="s">
        <v>246</v>
      </c>
      <c r="CD896" s="2" t="s">
        <v>233</v>
      </c>
      <c r="CE896" s="4">
        <v>1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>
        <v>240</v>
      </c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</row>
    <row r="897">
      <c r="A897" s="2" t="s">
        <v>4638</v>
      </c>
      <c r="B897" s="2" t="s">
        <v>333</v>
      </c>
      <c r="C897" s="2" t="s">
        <v>911</v>
      </c>
      <c r="D897" s="2" t="s">
        <v>335</v>
      </c>
      <c r="E897" s="2" t="s">
        <v>336</v>
      </c>
      <c r="F897" s="2" t="s">
        <v>4577</v>
      </c>
      <c r="G897" s="2" t="s">
        <v>4577</v>
      </c>
      <c r="H897" s="2" t="s">
        <v>4577</v>
      </c>
      <c r="I897" s="2" t="s">
        <v>4578</v>
      </c>
      <c r="J897" s="2" t="s">
        <v>290</v>
      </c>
      <c r="K897" s="2" t="s">
        <v>4632</v>
      </c>
      <c r="L897" s="3">
        <v>19.13</v>
      </c>
      <c r="M897" s="3">
        <v>20.09</v>
      </c>
      <c r="N897" s="3">
        <v>42.99</v>
      </c>
      <c r="O897" s="2" t="s">
        <v>245</v>
      </c>
      <c r="P897" s="2" t="s">
        <v>272</v>
      </c>
      <c r="Q897" s="2" t="s">
        <v>239</v>
      </c>
      <c r="R897" s="2" t="s">
        <v>233</v>
      </c>
      <c r="S897" s="2" t="s">
        <v>4633</v>
      </c>
      <c r="T897" s="2" t="s">
        <v>3950</v>
      </c>
      <c r="U897" s="2" t="s">
        <v>342</v>
      </c>
      <c r="V897" s="2" t="s">
        <v>3951</v>
      </c>
      <c r="W897" s="2" t="s">
        <v>275</v>
      </c>
      <c r="X897" s="2" t="s">
        <v>233</v>
      </c>
      <c r="Y897" s="2" t="s">
        <v>4595</v>
      </c>
      <c r="Z897" s="4">
        <v>2</v>
      </c>
      <c r="AA897" s="4">
        <f>=ROUNDDOWN(0.133333333333333,0)</f>
      </c>
      <c r="AB897" s="5">
        <v>15</v>
      </c>
      <c r="AC897" s="2" t="s">
        <v>1341</v>
      </c>
      <c r="AD897" s="4">
        <v>159</v>
      </c>
      <c r="AE897" s="4">
        <v>159</v>
      </c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233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233</v>
      </c>
      <c r="AW897" s="8" t="s">
        <v>233</v>
      </c>
      <c r="AX897" s="4" t="s">
        <v>233</v>
      </c>
      <c r="AY897" s="8" t="s">
        <v>233</v>
      </c>
      <c r="AZ897" s="7" t="s">
        <v>233</v>
      </c>
      <c r="BA897" s="7" t="s">
        <v>233</v>
      </c>
      <c r="BB897" s="7"/>
      <c r="BC897" s="4" t="s">
        <v>233</v>
      </c>
      <c r="BD897" s="8" t="s">
        <v>233</v>
      </c>
      <c r="BE897" s="4" t="s">
        <v>233</v>
      </c>
      <c r="BF897" s="8" t="s">
        <v>233</v>
      </c>
      <c r="BG897" s="7" t="s">
        <v>233</v>
      </c>
      <c r="BH897" s="7" t="s">
        <v>233</v>
      </c>
      <c r="BI897" s="7"/>
      <c r="BJ897" s="4"/>
      <c r="BK897" s="8"/>
      <c r="BL897" s="2" t="s">
        <v>4639</v>
      </c>
      <c r="BM897" s="7"/>
      <c r="BN897" s="7"/>
      <c r="BO897" s="4"/>
      <c r="BP897" s="8"/>
      <c r="BQ897" s="4"/>
      <c r="BR897" s="8"/>
      <c r="BS897" s="7"/>
      <c r="BT897" s="7"/>
      <c r="BU897" s="2" t="s">
        <v>4640</v>
      </c>
      <c r="BV897" s="2" t="s">
        <v>233</v>
      </c>
      <c r="BW897" s="2" t="s">
        <v>233</v>
      </c>
      <c r="BX897" s="2" t="s">
        <v>233</v>
      </c>
      <c r="BY897" s="2" t="s">
        <v>280</v>
      </c>
      <c r="BZ897" s="2" t="s">
        <v>245</v>
      </c>
      <c r="CA897" s="2" t="s">
        <v>4597</v>
      </c>
      <c r="CB897" s="2" t="s">
        <v>4635</v>
      </c>
      <c r="CC897" s="2" t="s">
        <v>246</v>
      </c>
      <c r="CD897" s="2" t="s">
        <v>233</v>
      </c>
      <c r="CE897" s="4">
        <v>2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>
        <v>159</v>
      </c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</row>
    <row r="898">
      <c r="A898" s="2" t="s">
        <v>4641</v>
      </c>
      <c r="B898" s="2" t="s">
        <v>333</v>
      </c>
      <c r="C898" s="2" t="s">
        <v>911</v>
      </c>
      <c r="D898" s="2" t="s">
        <v>335</v>
      </c>
      <c r="E898" s="2" t="s">
        <v>336</v>
      </c>
      <c r="F898" s="2" t="s">
        <v>4577</v>
      </c>
      <c r="G898" s="2" t="s">
        <v>4577</v>
      </c>
      <c r="H898" s="2" t="s">
        <v>4577</v>
      </c>
      <c r="I898" s="2" t="s">
        <v>4578</v>
      </c>
      <c r="J898" s="2" t="s">
        <v>270</v>
      </c>
      <c r="K898" s="2" t="s">
        <v>4642</v>
      </c>
      <c r="L898" s="3">
        <v>14.89</v>
      </c>
      <c r="M898" s="3">
        <v>15.63</v>
      </c>
      <c r="N898" s="3">
        <v>31.99</v>
      </c>
      <c r="O898" s="2" t="s">
        <v>245</v>
      </c>
      <c r="P898" s="2" t="s">
        <v>272</v>
      </c>
      <c r="Q898" s="2" t="s">
        <v>239</v>
      </c>
      <c r="R898" s="2" t="s">
        <v>233</v>
      </c>
      <c r="S898" s="2" t="s">
        <v>4643</v>
      </c>
      <c r="T898" s="2" t="s">
        <v>3950</v>
      </c>
      <c r="U898" s="2" t="s">
        <v>475</v>
      </c>
      <c r="V898" s="2" t="s">
        <v>3951</v>
      </c>
      <c r="W898" s="2" t="s">
        <v>275</v>
      </c>
      <c r="X898" s="2" t="s">
        <v>233</v>
      </c>
      <c r="Y898" s="2" t="s">
        <v>4595</v>
      </c>
      <c r="Z898" s="4"/>
      <c r="AA898" s="4">
        <f>=ROUNDDOWN({0},0)</f>
      </c>
      <c r="AB898" s="5">
        <v>28</v>
      </c>
      <c r="AC898" s="2" t="s">
        <v>1341</v>
      </c>
      <c r="AD898" s="4">
        <v>283</v>
      </c>
      <c r="AE898" s="4">
        <v>283</v>
      </c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233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233</v>
      </c>
      <c r="AW898" s="8" t="s">
        <v>233</v>
      </c>
      <c r="AX898" s="4" t="s">
        <v>233</v>
      </c>
      <c r="AY898" s="8" t="s">
        <v>233</v>
      </c>
      <c r="AZ898" s="7" t="s">
        <v>233</v>
      </c>
      <c r="BA898" s="7" t="s">
        <v>233</v>
      </c>
      <c r="BB898" s="7"/>
      <c r="BC898" s="4" t="s">
        <v>233</v>
      </c>
      <c r="BD898" s="8" t="s">
        <v>233</v>
      </c>
      <c r="BE898" s="4" t="s">
        <v>233</v>
      </c>
      <c r="BF898" s="8" t="s">
        <v>233</v>
      </c>
      <c r="BG898" s="7" t="s">
        <v>233</v>
      </c>
      <c r="BH898" s="7" t="s">
        <v>233</v>
      </c>
      <c r="BI898" s="7"/>
      <c r="BJ898" s="4"/>
      <c r="BK898" s="8"/>
      <c r="BL898" s="2" t="s">
        <v>233</v>
      </c>
      <c r="BM898" s="7"/>
      <c r="BN898" s="7"/>
      <c r="BO898" s="4"/>
      <c r="BP898" s="8"/>
      <c r="BQ898" s="4"/>
      <c r="BR898" s="8"/>
      <c r="BS898" s="7"/>
      <c r="BT898" s="7"/>
      <c r="BU898" s="2" t="s">
        <v>4644</v>
      </c>
      <c r="BV898" s="2" t="s">
        <v>233</v>
      </c>
      <c r="BW898" s="2" t="s">
        <v>233</v>
      </c>
      <c r="BX898" s="2" t="s">
        <v>233</v>
      </c>
      <c r="BY898" s="2" t="s">
        <v>280</v>
      </c>
      <c r="BZ898" s="2" t="s">
        <v>245</v>
      </c>
      <c r="CA898" s="2" t="s">
        <v>4597</v>
      </c>
      <c r="CB898" s="2" t="s">
        <v>4598</v>
      </c>
      <c r="CC898" s="2" t="s">
        <v>246</v>
      </c>
      <c r="CD898" s="2" t="s">
        <v>233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>
        <v>283</v>
      </c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</row>
    <row r="899">
      <c r="A899" s="2" t="s">
        <v>4645</v>
      </c>
      <c r="B899" s="2" t="s">
        <v>333</v>
      </c>
      <c r="C899" s="2" t="s">
        <v>911</v>
      </c>
      <c r="D899" s="2" t="s">
        <v>335</v>
      </c>
      <c r="E899" s="2" t="s">
        <v>336</v>
      </c>
      <c r="F899" s="2" t="s">
        <v>4577</v>
      </c>
      <c r="G899" s="2" t="s">
        <v>4577</v>
      </c>
      <c r="H899" s="2" t="s">
        <v>4577</v>
      </c>
      <c r="I899" s="2" t="s">
        <v>4578</v>
      </c>
      <c r="J899" s="2" t="s">
        <v>284</v>
      </c>
      <c r="K899" s="2" t="s">
        <v>4642</v>
      </c>
      <c r="L899" s="3">
        <v>15.22</v>
      </c>
      <c r="M899" s="3">
        <v>15.98</v>
      </c>
      <c r="N899" s="3">
        <v>32.99</v>
      </c>
      <c r="O899" s="2" t="s">
        <v>245</v>
      </c>
      <c r="P899" s="2" t="s">
        <v>272</v>
      </c>
      <c r="Q899" s="2" t="s">
        <v>239</v>
      </c>
      <c r="R899" s="2" t="s">
        <v>233</v>
      </c>
      <c r="S899" s="2" t="s">
        <v>4643</v>
      </c>
      <c r="T899" s="2" t="s">
        <v>3950</v>
      </c>
      <c r="U899" s="2" t="s">
        <v>475</v>
      </c>
      <c r="V899" s="2" t="s">
        <v>3951</v>
      </c>
      <c r="W899" s="2" t="s">
        <v>275</v>
      </c>
      <c r="X899" s="2" t="s">
        <v>233</v>
      </c>
      <c r="Y899" s="2" t="s">
        <v>4595</v>
      </c>
      <c r="Z899" s="4">
        <v>3</v>
      </c>
      <c r="AA899" s="4">
        <f>=ROUNDDOWN(0.230769230769231,0)</f>
      </c>
      <c r="AB899" s="5">
        <v>13</v>
      </c>
      <c r="AC899" s="2" t="s">
        <v>1341</v>
      </c>
      <c r="AD899" s="4">
        <v>135</v>
      </c>
      <c r="AE899" s="4">
        <v>135</v>
      </c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233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233</v>
      </c>
      <c r="AW899" s="8" t="s">
        <v>233</v>
      </c>
      <c r="AX899" s="4" t="s">
        <v>233</v>
      </c>
      <c r="AY899" s="8" t="s">
        <v>233</v>
      </c>
      <c r="AZ899" s="7" t="s">
        <v>233</v>
      </c>
      <c r="BA899" s="7" t="s">
        <v>233</v>
      </c>
      <c r="BB899" s="7"/>
      <c r="BC899" s="4" t="s">
        <v>233</v>
      </c>
      <c r="BD899" s="8" t="s">
        <v>233</v>
      </c>
      <c r="BE899" s="4" t="s">
        <v>233</v>
      </c>
      <c r="BF899" s="8" t="s">
        <v>233</v>
      </c>
      <c r="BG899" s="7" t="s">
        <v>233</v>
      </c>
      <c r="BH899" s="7" t="s">
        <v>233</v>
      </c>
      <c r="BI899" s="7"/>
      <c r="BJ899" s="4"/>
      <c r="BK899" s="8"/>
      <c r="BL899" s="2" t="s">
        <v>233</v>
      </c>
      <c r="BM899" s="7"/>
      <c r="BN899" s="7"/>
      <c r="BO899" s="4"/>
      <c r="BP899" s="8"/>
      <c r="BQ899" s="4"/>
      <c r="BR899" s="8"/>
      <c r="BS899" s="7"/>
      <c r="BT899" s="7"/>
      <c r="BU899" s="2" t="s">
        <v>4646</v>
      </c>
      <c r="BV899" s="2" t="s">
        <v>233</v>
      </c>
      <c r="BW899" s="2" t="s">
        <v>233</v>
      </c>
      <c r="BX899" s="2" t="s">
        <v>233</v>
      </c>
      <c r="BY899" s="2" t="s">
        <v>280</v>
      </c>
      <c r="BZ899" s="2" t="s">
        <v>245</v>
      </c>
      <c r="CA899" s="2" t="s">
        <v>4597</v>
      </c>
      <c r="CB899" s="2" t="s">
        <v>4647</v>
      </c>
      <c r="CC899" s="2" t="s">
        <v>246</v>
      </c>
      <c r="CD899" s="2" t="s">
        <v>233</v>
      </c>
      <c r="CE899" s="4">
        <v>3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>
        <v>135</v>
      </c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</row>
    <row r="900">
      <c r="A900" s="2" t="s">
        <v>4648</v>
      </c>
      <c r="B900" s="2" t="s">
        <v>333</v>
      </c>
      <c r="C900" s="2" t="s">
        <v>911</v>
      </c>
      <c r="D900" s="2" t="s">
        <v>335</v>
      </c>
      <c r="E900" s="2" t="s">
        <v>336</v>
      </c>
      <c r="F900" s="2" t="s">
        <v>4577</v>
      </c>
      <c r="G900" s="2" t="s">
        <v>4577</v>
      </c>
      <c r="H900" s="2" t="s">
        <v>4577</v>
      </c>
      <c r="I900" s="2" t="s">
        <v>4578</v>
      </c>
      <c r="J900" s="2" t="s">
        <v>290</v>
      </c>
      <c r="K900" s="2" t="s">
        <v>4642</v>
      </c>
      <c r="L900" s="3">
        <v>19.13</v>
      </c>
      <c r="M900" s="3">
        <v>20.09</v>
      </c>
      <c r="N900" s="3">
        <v>42.99</v>
      </c>
      <c r="O900" s="2" t="s">
        <v>245</v>
      </c>
      <c r="P900" s="2" t="s">
        <v>763</v>
      </c>
      <c r="Q900" s="2" t="s">
        <v>239</v>
      </c>
      <c r="R900" s="2" t="s">
        <v>233</v>
      </c>
      <c r="S900" s="2" t="s">
        <v>4643</v>
      </c>
      <c r="T900" s="2" t="s">
        <v>3950</v>
      </c>
      <c r="U900" s="2" t="s">
        <v>342</v>
      </c>
      <c r="V900" s="2" t="s">
        <v>3951</v>
      </c>
      <c r="W900" s="2" t="s">
        <v>275</v>
      </c>
      <c r="X900" s="2" t="s">
        <v>233</v>
      </c>
      <c r="Y900" s="2" t="s">
        <v>4595</v>
      </c>
      <c r="Z900" s="4">
        <v>1</v>
      </c>
      <c r="AA900" s="4">
        <f>=ROUNDDOWN(0.0434782608695652,0)</f>
      </c>
      <c r="AB900" s="5">
        <v>23</v>
      </c>
      <c r="AC900" s="2" t="s">
        <v>1341</v>
      </c>
      <c r="AD900" s="4">
        <v>228</v>
      </c>
      <c r="AE900" s="4">
        <v>228</v>
      </c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233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233</v>
      </c>
      <c r="AW900" s="8" t="s">
        <v>233</v>
      </c>
      <c r="AX900" s="4" t="s">
        <v>233</v>
      </c>
      <c r="AY900" s="8" t="s">
        <v>233</v>
      </c>
      <c r="AZ900" s="7" t="s">
        <v>233</v>
      </c>
      <c r="BA900" s="7" t="s">
        <v>233</v>
      </c>
      <c r="BB900" s="7"/>
      <c r="BC900" s="4" t="s">
        <v>233</v>
      </c>
      <c r="BD900" s="8" t="s">
        <v>233</v>
      </c>
      <c r="BE900" s="4" t="s">
        <v>233</v>
      </c>
      <c r="BF900" s="8" t="s">
        <v>233</v>
      </c>
      <c r="BG900" s="7" t="s">
        <v>233</v>
      </c>
      <c r="BH900" s="7" t="s">
        <v>233</v>
      </c>
      <c r="BI900" s="7"/>
      <c r="BJ900" s="4"/>
      <c r="BK900" s="8"/>
      <c r="BL900" s="2" t="s">
        <v>233</v>
      </c>
      <c r="BM900" s="7"/>
      <c r="BN900" s="7"/>
      <c r="BO900" s="4"/>
      <c r="BP900" s="8"/>
      <c r="BQ900" s="4"/>
      <c r="BR900" s="8"/>
      <c r="BS900" s="7"/>
      <c r="BT900" s="7"/>
      <c r="BU900" s="2" t="s">
        <v>4649</v>
      </c>
      <c r="BV900" s="2" t="s">
        <v>233</v>
      </c>
      <c r="BW900" s="2" t="s">
        <v>233</v>
      </c>
      <c r="BX900" s="2" t="s">
        <v>233</v>
      </c>
      <c r="BY900" s="2" t="s">
        <v>280</v>
      </c>
      <c r="BZ900" s="2" t="s">
        <v>245</v>
      </c>
      <c r="CA900" s="2" t="s">
        <v>4597</v>
      </c>
      <c r="CB900" s="2" t="s">
        <v>4650</v>
      </c>
      <c r="CC900" s="2" t="s">
        <v>246</v>
      </c>
      <c r="CD900" s="2" t="s">
        <v>233</v>
      </c>
      <c r="CE900" s="4">
        <v>1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>
        <v>228</v>
      </c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</row>
    <row r="901">
      <c r="A901" s="2" t="s">
        <v>4651</v>
      </c>
      <c r="B901" s="2" t="s">
        <v>333</v>
      </c>
      <c r="C901" s="2" t="s">
        <v>911</v>
      </c>
      <c r="D901" s="2" t="s">
        <v>335</v>
      </c>
      <c r="E901" s="2" t="s">
        <v>336</v>
      </c>
      <c r="F901" s="2" t="s">
        <v>4577</v>
      </c>
      <c r="G901" s="2" t="s">
        <v>4577</v>
      </c>
      <c r="H901" s="2" t="s">
        <v>4577</v>
      </c>
      <c r="I901" s="2" t="s">
        <v>4578</v>
      </c>
      <c r="J901" s="2" t="s">
        <v>348</v>
      </c>
      <c r="K901" s="2" t="s">
        <v>4642</v>
      </c>
      <c r="L901" s="3">
        <v>21.27</v>
      </c>
      <c r="M901" s="3">
        <v>22.33</v>
      </c>
      <c r="N901" s="3">
        <v>47.99</v>
      </c>
      <c r="O901" s="2" t="s">
        <v>245</v>
      </c>
      <c r="P901" s="2" t="s">
        <v>741</v>
      </c>
      <c r="Q901" s="2" t="s">
        <v>239</v>
      </c>
      <c r="R901" s="2" t="s">
        <v>233</v>
      </c>
      <c r="S901" s="2" t="s">
        <v>4643</v>
      </c>
      <c r="T901" s="2" t="s">
        <v>3950</v>
      </c>
      <c r="U901" s="2" t="s">
        <v>342</v>
      </c>
      <c r="V901" s="2" t="s">
        <v>3951</v>
      </c>
      <c r="W901" s="2" t="s">
        <v>275</v>
      </c>
      <c r="X901" s="2" t="s">
        <v>233</v>
      </c>
      <c r="Y901" s="2" t="s">
        <v>4595</v>
      </c>
      <c r="Z901" s="4">
        <v>2</v>
      </c>
      <c r="AA901" s="4">
        <f>=ROUNDDOWN(0.08,0)</f>
      </c>
      <c r="AB901" s="5">
        <v>25</v>
      </c>
      <c r="AC901" s="2" t="s">
        <v>1341</v>
      </c>
      <c r="AD901" s="4">
        <v>253</v>
      </c>
      <c r="AE901" s="4">
        <v>253</v>
      </c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233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233</v>
      </c>
      <c r="AW901" s="8" t="s">
        <v>233</v>
      </c>
      <c r="AX901" s="4" t="s">
        <v>233</v>
      </c>
      <c r="AY901" s="8" t="s">
        <v>233</v>
      </c>
      <c r="AZ901" s="7" t="s">
        <v>233</v>
      </c>
      <c r="BA901" s="7" t="s">
        <v>233</v>
      </c>
      <c r="BB901" s="7"/>
      <c r="BC901" s="4" t="s">
        <v>233</v>
      </c>
      <c r="BD901" s="8" t="s">
        <v>233</v>
      </c>
      <c r="BE901" s="4" t="s">
        <v>233</v>
      </c>
      <c r="BF901" s="8" t="s">
        <v>233</v>
      </c>
      <c r="BG901" s="7" t="s">
        <v>233</v>
      </c>
      <c r="BH901" s="7" t="s">
        <v>233</v>
      </c>
      <c r="BI901" s="7"/>
      <c r="BJ901" s="4"/>
      <c r="BK901" s="8"/>
      <c r="BL901" s="2" t="s">
        <v>233</v>
      </c>
      <c r="BM901" s="7"/>
      <c r="BN901" s="7"/>
      <c r="BO901" s="4"/>
      <c r="BP901" s="8"/>
      <c r="BQ901" s="4"/>
      <c r="BR901" s="8"/>
      <c r="BS901" s="7"/>
      <c r="BT901" s="7"/>
      <c r="BU901" s="2" t="s">
        <v>4652</v>
      </c>
      <c r="BV901" s="2" t="s">
        <v>233</v>
      </c>
      <c r="BW901" s="2" t="s">
        <v>233</v>
      </c>
      <c r="BX901" s="2" t="s">
        <v>233</v>
      </c>
      <c r="BY901" s="2" t="s">
        <v>280</v>
      </c>
      <c r="BZ901" s="2" t="s">
        <v>245</v>
      </c>
      <c r="CA901" s="2" t="s">
        <v>4597</v>
      </c>
      <c r="CB901" s="2" t="s">
        <v>4653</v>
      </c>
      <c r="CC901" s="2" t="s">
        <v>246</v>
      </c>
      <c r="CD901" s="2" t="s">
        <v>233</v>
      </c>
      <c r="CE901" s="4">
        <v>2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>
        <v>253</v>
      </c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</row>
    <row r="902">
      <c r="A902" s="2" t="s">
        <v>4654</v>
      </c>
      <c r="B902" s="2" t="s">
        <v>333</v>
      </c>
      <c r="C902" s="2" t="s">
        <v>911</v>
      </c>
      <c r="D902" s="2" t="s">
        <v>335</v>
      </c>
      <c r="E902" s="2" t="s">
        <v>336</v>
      </c>
      <c r="F902" s="2" t="s">
        <v>4577</v>
      </c>
      <c r="G902" s="2" t="s">
        <v>4577</v>
      </c>
      <c r="H902" s="2" t="s">
        <v>4577</v>
      </c>
      <c r="I902" s="2" t="s">
        <v>4578</v>
      </c>
      <c r="J902" s="2" t="s">
        <v>270</v>
      </c>
      <c r="K902" s="2" t="s">
        <v>4655</v>
      </c>
      <c r="L902" s="3">
        <v>14.89</v>
      </c>
      <c r="M902" s="3">
        <v>15.63</v>
      </c>
      <c r="N902" s="3">
        <v>31.99</v>
      </c>
      <c r="O902" s="2" t="s">
        <v>245</v>
      </c>
      <c r="P902" s="2" t="s">
        <v>741</v>
      </c>
      <c r="Q902" s="2" t="s">
        <v>239</v>
      </c>
      <c r="R902" s="2" t="s">
        <v>233</v>
      </c>
      <c r="S902" s="2" t="s">
        <v>4656</v>
      </c>
      <c r="T902" s="2" t="s">
        <v>3950</v>
      </c>
      <c r="U902" s="2" t="s">
        <v>475</v>
      </c>
      <c r="V902" s="2" t="s">
        <v>3951</v>
      </c>
      <c r="W902" s="2" t="s">
        <v>275</v>
      </c>
      <c r="X902" s="2" t="s">
        <v>233</v>
      </c>
      <c r="Y902" s="2" t="s">
        <v>4595</v>
      </c>
      <c r="Z902" s="4"/>
      <c r="AA902" s="4">
        <f>=ROUNDDOWN({0},0)</f>
      </c>
      <c r="AB902" s="5">
        <v>21</v>
      </c>
      <c r="AC902" s="2" t="s">
        <v>1341</v>
      </c>
      <c r="AD902" s="4">
        <v>205</v>
      </c>
      <c r="AE902" s="4">
        <v>205</v>
      </c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233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233</v>
      </c>
      <c r="AW902" s="8" t="s">
        <v>233</v>
      </c>
      <c r="AX902" s="4" t="s">
        <v>233</v>
      </c>
      <c r="AY902" s="8" t="s">
        <v>233</v>
      </c>
      <c r="AZ902" s="7" t="s">
        <v>233</v>
      </c>
      <c r="BA902" s="7" t="s">
        <v>233</v>
      </c>
      <c r="BB902" s="7"/>
      <c r="BC902" s="4" t="s">
        <v>233</v>
      </c>
      <c r="BD902" s="8" t="s">
        <v>233</v>
      </c>
      <c r="BE902" s="4" t="s">
        <v>233</v>
      </c>
      <c r="BF902" s="8" t="s">
        <v>233</v>
      </c>
      <c r="BG902" s="7" t="s">
        <v>233</v>
      </c>
      <c r="BH902" s="7" t="s">
        <v>233</v>
      </c>
      <c r="BI902" s="7"/>
      <c r="BJ902" s="4"/>
      <c r="BK902" s="8"/>
      <c r="BL902" s="2" t="s">
        <v>233</v>
      </c>
      <c r="BM902" s="7"/>
      <c r="BN902" s="7"/>
      <c r="BO902" s="4"/>
      <c r="BP902" s="8"/>
      <c r="BQ902" s="4"/>
      <c r="BR902" s="8"/>
      <c r="BS902" s="7"/>
      <c r="BT902" s="7"/>
      <c r="BU902" s="2" t="s">
        <v>4657</v>
      </c>
      <c r="BV902" s="2" t="s">
        <v>233</v>
      </c>
      <c r="BW902" s="2" t="s">
        <v>233</v>
      </c>
      <c r="BX902" s="2" t="s">
        <v>233</v>
      </c>
      <c r="BY902" s="2" t="s">
        <v>280</v>
      </c>
      <c r="BZ902" s="2" t="s">
        <v>245</v>
      </c>
      <c r="CA902" s="2" t="s">
        <v>4597</v>
      </c>
      <c r="CB902" s="2" t="s">
        <v>4658</v>
      </c>
      <c r="CC902" s="2" t="s">
        <v>246</v>
      </c>
      <c r="CD902" s="2" t="s">
        <v>233</v>
      </c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>
        <v>205</v>
      </c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</row>
    <row r="903">
      <c r="A903" s="2" t="s">
        <v>4659</v>
      </c>
      <c r="B903" s="2" t="s">
        <v>333</v>
      </c>
      <c r="C903" s="2" t="s">
        <v>911</v>
      </c>
      <c r="D903" s="2" t="s">
        <v>335</v>
      </c>
      <c r="E903" s="2" t="s">
        <v>336</v>
      </c>
      <c r="F903" s="2" t="s">
        <v>4577</v>
      </c>
      <c r="G903" s="2" t="s">
        <v>4577</v>
      </c>
      <c r="H903" s="2" t="s">
        <v>4577</v>
      </c>
      <c r="I903" s="2" t="s">
        <v>4578</v>
      </c>
      <c r="J903" s="2" t="s">
        <v>284</v>
      </c>
      <c r="K903" s="2" t="s">
        <v>4655</v>
      </c>
      <c r="L903" s="3">
        <v>15.22</v>
      </c>
      <c r="M903" s="3">
        <v>15.98</v>
      </c>
      <c r="N903" s="3">
        <v>32.99</v>
      </c>
      <c r="O903" s="2" t="s">
        <v>245</v>
      </c>
      <c r="P903" s="2" t="s">
        <v>272</v>
      </c>
      <c r="Q903" s="2" t="s">
        <v>239</v>
      </c>
      <c r="R903" s="2" t="s">
        <v>233</v>
      </c>
      <c r="S903" s="2" t="s">
        <v>4656</v>
      </c>
      <c r="T903" s="2" t="s">
        <v>3950</v>
      </c>
      <c r="U903" s="2" t="s">
        <v>475</v>
      </c>
      <c r="V903" s="2" t="s">
        <v>3951</v>
      </c>
      <c r="W903" s="2" t="s">
        <v>275</v>
      </c>
      <c r="X903" s="2" t="s">
        <v>233</v>
      </c>
      <c r="Y903" s="2" t="s">
        <v>4595</v>
      </c>
      <c r="Z903" s="4">
        <v>2</v>
      </c>
      <c r="AA903" s="4">
        <f>=ROUNDDOWN(0.181818181818182,0)</f>
      </c>
      <c r="AB903" s="5">
        <v>11</v>
      </c>
      <c r="AC903" s="2" t="s">
        <v>1341</v>
      </c>
      <c r="AD903" s="4">
        <v>115</v>
      </c>
      <c r="AE903" s="4">
        <v>115</v>
      </c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233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233</v>
      </c>
      <c r="AW903" s="8" t="s">
        <v>233</v>
      </c>
      <c r="AX903" s="4" t="s">
        <v>233</v>
      </c>
      <c r="AY903" s="8" t="s">
        <v>233</v>
      </c>
      <c r="AZ903" s="7" t="s">
        <v>233</v>
      </c>
      <c r="BA903" s="7" t="s">
        <v>233</v>
      </c>
      <c r="BB903" s="7"/>
      <c r="BC903" s="4" t="s">
        <v>233</v>
      </c>
      <c r="BD903" s="8" t="s">
        <v>233</v>
      </c>
      <c r="BE903" s="4" t="s">
        <v>233</v>
      </c>
      <c r="BF903" s="8" t="s">
        <v>233</v>
      </c>
      <c r="BG903" s="7" t="s">
        <v>233</v>
      </c>
      <c r="BH903" s="7" t="s">
        <v>233</v>
      </c>
      <c r="BI903" s="7"/>
      <c r="BJ903" s="4"/>
      <c r="BK903" s="8"/>
      <c r="BL903" s="2" t="s">
        <v>233</v>
      </c>
      <c r="BM903" s="7"/>
      <c r="BN903" s="7"/>
      <c r="BO903" s="4"/>
      <c r="BP903" s="8"/>
      <c r="BQ903" s="4"/>
      <c r="BR903" s="8"/>
      <c r="BS903" s="7"/>
      <c r="BT903" s="7"/>
      <c r="BU903" s="2" t="s">
        <v>4660</v>
      </c>
      <c r="BV903" s="2" t="s">
        <v>233</v>
      </c>
      <c r="BW903" s="2" t="s">
        <v>233</v>
      </c>
      <c r="BX903" s="2" t="s">
        <v>233</v>
      </c>
      <c r="BY903" s="2" t="s">
        <v>280</v>
      </c>
      <c r="BZ903" s="2" t="s">
        <v>245</v>
      </c>
      <c r="CA903" s="2" t="s">
        <v>4597</v>
      </c>
      <c r="CB903" s="2" t="s">
        <v>4661</v>
      </c>
      <c r="CC903" s="2" t="s">
        <v>246</v>
      </c>
      <c r="CD903" s="2" t="s">
        <v>233</v>
      </c>
      <c r="CE903" s="4">
        <v>2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>
        <v>115</v>
      </c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</row>
    <row r="904">
      <c r="A904" s="2" t="s">
        <v>4662</v>
      </c>
      <c r="B904" s="2" t="s">
        <v>333</v>
      </c>
      <c r="C904" s="2" t="s">
        <v>911</v>
      </c>
      <c r="D904" s="2" t="s">
        <v>335</v>
      </c>
      <c r="E904" s="2" t="s">
        <v>336</v>
      </c>
      <c r="F904" s="2" t="s">
        <v>4577</v>
      </c>
      <c r="G904" s="2" t="s">
        <v>4577</v>
      </c>
      <c r="H904" s="2" t="s">
        <v>4577</v>
      </c>
      <c r="I904" s="2" t="s">
        <v>4578</v>
      </c>
      <c r="J904" s="2" t="s">
        <v>290</v>
      </c>
      <c r="K904" s="2" t="s">
        <v>4655</v>
      </c>
      <c r="L904" s="3">
        <v>19.13</v>
      </c>
      <c r="M904" s="3">
        <v>20.09</v>
      </c>
      <c r="N904" s="3">
        <v>42.99</v>
      </c>
      <c r="O904" s="2" t="s">
        <v>245</v>
      </c>
      <c r="P904" s="2" t="s">
        <v>272</v>
      </c>
      <c r="Q904" s="2" t="s">
        <v>239</v>
      </c>
      <c r="R904" s="2" t="s">
        <v>233</v>
      </c>
      <c r="S904" s="2" t="s">
        <v>4656</v>
      </c>
      <c r="T904" s="2" t="s">
        <v>3950</v>
      </c>
      <c r="U904" s="2" t="s">
        <v>342</v>
      </c>
      <c r="V904" s="2" t="s">
        <v>3951</v>
      </c>
      <c r="W904" s="2" t="s">
        <v>275</v>
      </c>
      <c r="X904" s="2" t="s">
        <v>233</v>
      </c>
      <c r="Y904" s="2" t="s">
        <v>4595</v>
      </c>
      <c r="Z904" s="4">
        <v>3</v>
      </c>
      <c r="AA904" s="4">
        <f>=ROUNDDOWN(0.25,0)</f>
      </c>
      <c r="AB904" s="5">
        <v>12</v>
      </c>
      <c r="AC904" s="2" t="s">
        <v>1341</v>
      </c>
      <c r="AD904" s="4">
        <v>128</v>
      </c>
      <c r="AE904" s="4">
        <v>128</v>
      </c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233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233</v>
      </c>
      <c r="AW904" s="8" t="s">
        <v>233</v>
      </c>
      <c r="AX904" s="4" t="s">
        <v>233</v>
      </c>
      <c r="AY904" s="8" t="s">
        <v>233</v>
      </c>
      <c r="AZ904" s="7" t="s">
        <v>233</v>
      </c>
      <c r="BA904" s="7" t="s">
        <v>233</v>
      </c>
      <c r="BB904" s="7"/>
      <c r="BC904" s="4" t="s">
        <v>233</v>
      </c>
      <c r="BD904" s="8" t="s">
        <v>233</v>
      </c>
      <c r="BE904" s="4" t="s">
        <v>233</v>
      </c>
      <c r="BF904" s="8" t="s">
        <v>233</v>
      </c>
      <c r="BG904" s="7" t="s">
        <v>233</v>
      </c>
      <c r="BH904" s="7" t="s">
        <v>233</v>
      </c>
      <c r="BI904" s="7"/>
      <c r="BJ904" s="4"/>
      <c r="BK904" s="8"/>
      <c r="BL904" s="2" t="s">
        <v>233</v>
      </c>
      <c r="BM904" s="7"/>
      <c r="BN904" s="7"/>
      <c r="BO904" s="4"/>
      <c r="BP904" s="8"/>
      <c r="BQ904" s="4"/>
      <c r="BR904" s="8"/>
      <c r="BS904" s="7"/>
      <c r="BT904" s="7"/>
      <c r="BU904" s="2" t="s">
        <v>4663</v>
      </c>
      <c r="BV904" s="2" t="s">
        <v>233</v>
      </c>
      <c r="BW904" s="2" t="s">
        <v>233</v>
      </c>
      <c r="BX904" s="2" t="s">
        <v>233</v>
      </c>
      <c r="BY904" s="2" t="s">
        <v>280</v>
      </c>
      <c r="BZ904" s="2" t="s">
        <v>245</v>
      </c>
      <c r="CA904" s="2" t="s">
        <v>4597</v>
      </c>
      <c r="CB904" s="2" t="s">
        <v>2443</v>
      </c>
      <c r="CC904" s="2" t="s">
        <v>246</v>
      </c>
      <c r="CD904" s="2" t="s">
        <v>233</v>
      </c>
      <c r="CE904" s="4">
        <v>3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>
        <v>128</v>
      </c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</row>
    <row r="905">
      <c r="A905" s="2" t="s">
        <v>4664</v>
      </c>
      <c r="B905" s="2" t="s">
        <v>333</v>
      </c>
      <c r="C905" s="2" t="s">
        <v>911</v>
      </c>
      <c r="D905" s="2" t="s">
        <v>335</v>
      </c>
      <c r="E905" s="2" t="s">
        <v>336</v>
      </c>
      <c r="F905" s="2" t="s">
        <v>4577</v>
      </c>
      <c r="G905" s="2" t="s">
        <v>4577</v>
      </c>
      <c r="H905" s="2" t="s">
        <v>4577</v>
      </c>
      <c r="I905" s="2" t="s">
        <v>4578</v>
      </c>
      <c r="J905" s="2" t="s">
        <v>348</v>
      </c>
      <c r="K905" s="2" t="s">
        <v>4655</v>
      </c>
      <c r="L905" s="3">
        <v>21.27</v>
      </c>
      <c r="M905" s="3">
        <v>22.33</v>
      </c>
      <c r="N905" s="3">
        <v>47.99</v>
      </c>
      <c r="O905" s="2" t="s">
        <v>245</v>
      </c>
      <c r="P905" s="2" t="s">
        <v>272</v>
      </c>
      <c r="Q905" s="2" t="s">
        <v>239</v>
      </c>
      <c r="R905" s="2" t="s">
        <v>233</v>
      </c>
      <c r="S905" s="2" t="s">
        <v>4656</v>
      </c>
      <c r="T905" s="2" t="s">
        <v>3950</v>
      </c>
      <c r="U905" s="2" t="s">
        <v>342</v>
      </c>
      <c r="V905" s="2" t="s">
        <v>3951</v>
      </c>
      <c r="W905" s="2" t="s">
        <v>275</v>
      </c>
      <c r="X905" s="2" t="s">
        <v>233</v>
      </c>
      <c r="Y905" s="2" t="s">
        <v>4595</v>
      </c>
      <c r="Z905" s="4"/>
      <c r="AA905" s="4">
        <f>=ROUNDDOWN({0},0)</f>
      </c>
      <c r="AB905" s="5">
        <v>11</v>
      </c>
      <c r="AC905" s="2" t="s">
        <v>1341</v>
      </c>
      <c r="AD905" s="4">
        <v>117</v>
      </c>
      <c r="AE905" s="4">
        <v>117</v>
      </c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233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233</v>
      </c>
      <c r="AW905" s="8" t="s">
        <v>233</v>
      </c>
      <c r="AX905" s="4" t="s">
        <v>233</v>
      </c>
      <c r="AY905" s="8" t="s">
        <v>233</v>
      </c>
      <c r="AZ905" s="7" t="s">
        <v>233</v>
      </c>
      <c r="BA905" s="7" t="s">
        <v>233</v>
      </c>
      <c r="BB905" s="7"/>
      <c r="BC905" s="4" t="s">
        <v>233</v>
      </c>
      <c r="BD905" s="8" t="s">
        <v>233</v>
      </c>
      <c r="BE905" s="4" t="s">
        <v>233</v>
      </c>
      <c r="BF905" s="8" t="s">
        <v>233</v>
      </c>
      <c r="BG905" s="7" t="s">
        <v>233</v>
      </c>
      <c r="BH905" s="7" t="s">
        <v>233</v>
      </c>
      <c r="BI905" s="7"/>
      <c r="BJ905" s="4"/>
      <c r="BK905" s="8"/>
      <c r="BL905" s="2" t="s">
        <v>4665</v>
      </c>
      <c r="BM905" s="7"/>
      <c r="BN905" s="7"/>
      <c r="BO905" s="4"/>
      <c r="BP905" s="8"/>
      <c r="BQ905" s="4"/>
      <c r="BR905" s="8"/>
      <c r="BS905" s="7"/>
      <c r="BT905" s="7"/>
      <c r="BU905" s="2" t="s">
        <v>4666</v>
      </c>
      <c r="BV905" s="2" t="s">
        <v>233</v>
      </c>
      <c r="BW905" s="2" t="s">
        <v>233</v>
      </c>
      <c r="BX905" s="2" t="s">
        <v>233</v>
      </c>
      <c r="BY905" s="2" t="s">
        <v>280</v>
      </c>
      <c r="BZ905" s="2" t="s">
        <v>245</v>
      </c>
      <c r="CA905" s="2" t="s">
        <v>4597</v>
      </c>
      <c r="CB905" s="2" t="s">
        <v>4089</v>
      </c>
      <c r="CC905" s="2" t="s">
        <v>246</v>
      </c>
      <c r="CD905" s="2" t="s">
        <v>233</v>
      </c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>
        <v>117</v>
      </c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</row>
    <row r="906">
      <c r="A906" s="2" t="s">
        <v>4667</v>
      </c>
      <c r="B906" s="2" t="s">
        <v>333</v>
      </c>
      <c r="C906" s="2" t="s">
        <v>911</v>
      </c>
      <c r="D906" s="2" t="s">
        <v>335</v>
      </c>
      <c r="E906" s="2" t="s">
        <v>336</v>
      </c>
      <c r="F906" s="2" t="s">
        <v>4577</v>
      </c>
      <c r="G906" s="2" t="s">
        <v>4577</v>
      </c>
      <c r="H906" s="2" t="s">
        <v>4577</v>
      </c>
      <c r="I906" s="2" t="s">
        <v>4578</v>
      </c>
      <c r="J906" s="2" t="s">
        <v>284</v>
      </c>
      <c r="K906" s="2" t="s">
        <v>4668</v>
      </c>
      <c r="L906" s="3">
        <v>15.22</v>
      </c>
      <c r="M906" s="3">
        <v>15.98</v>
      </c>
      <c r="N906" s="3">
        <v>32.99</v>
      </c>
      <c r="O906" s="2" t="s">
        <v>245</v>
      </c>
      <c r="P906" s="2" t="s">
        <v>272</v>
      </c>
      <c r="Q906" s="2" t="s">
        <v>239</v>
      </c>
      <c r="R906" s="2" t="s">
        <v>233</v>
      </c>
      <c r="S906" s="2" t="s">
        <v>4669</v>
      </c>
      <c r="T906" s="2" t="s">
        <v>3950</v>
      </c>
      <c r="U906" s="2" t="s">
        <v>475</v>
      </c>
      <c r="V906" s="2" t="s">
        <v>3951</v>
      </c>
      <c r="W906" s="2" t="s">
        <v>275</v>
      </c>
      <c r="X906" s="2" t="s">
        <v>233</v>
      </c>
      <c r="Y906" s="2" t="s">
        <v>4595</v>
      </c>
      <c r="Z906" s="4">
        <v>2</v>
      </c>
      <c r="AA906" s="4">
        <f>=ROUNDDOWN(0.222222222222222,0)</f>
      </c>
      <c r="AB906" s="5">
        <v>9</v>
      </c>
      <c r="AC906" s="2" t="s">
        <v>1341</v>
      </c>
      <c r="AD906" s="4">
        <v>92</v>
      </c>
      <c r="AE906" s="4">
        <v>92</v>
      </c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233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233</v>
      </c>
      <c r="AW906" s="8" t="s">
        <v>233</v>
      </c>
      <c r="AX906" s="4" t="s">
        <v>233</v>
      </c>
      <c r="AY906" s="8" t="s">
        <v>233</v>
      </c>
      <c r="AZ906" s="7" t="s">
        <v>233</v>
      </c>
      <c r="BA906" s="7" t="s">
        <v>233</v>
      </c>
      <c r="BB906" s="7"/>
      <c r="BC906" s="4" t="s">
        <v>233</v>
      </c>
      <c r="BD906" s="8" t="s">
        <v>233</v>
      </c>
      <c r="BE906" s="4" t="s">
        <v>233</v>
      </c>
      <c r="BF906" s="8" t="s">
        <v>233</v>
      </c>
      <c r="BG906" s="7" t="s">
        <v>233</v>
      </c>
      <c r="BH906" s="7" t="s">
        <v>233</v>
      </c>
      <c r="BI906" s="7"/>
      <c r="BJ906" s="4"/>
      <c r="BK906" s="8"/>
      <c r="BL906" s="2" t="s">
        <v>3868</v>
      </c>
      <c r="BM906" s="7"/>
      <c r="BN906" s="7"/>
      <c r="BO906" s="4"/>
      <c r="BP906" s="8"/>
      <c r="BQ906" s="4"/>
      <c r="BR906" s="8"/>
      <c r="BS906" s="7"/>
      <c r="BT906" s="7"/>
      <c r="BU906" s="2" t="s">
        <v>4670</v>
      </c>
      <c r="BV906" s="2" t="s">
        <v>233</v>
      </c>
      <c r="BW906" s="2" t="s">
        <v>233</v>
      </c>
      <c r="BX906" s="2" t="s">
        <v>233</v>
      </c>
      <c r="BY906" s="2" t="s">
        <v>280</v>
      </c>
      <c r="BZ906" s="2" t="s">
        <v>245</v>
      </c>
      <c r="CA906" s="2" t="s">
        <v>4597</v>
      </c>
      <c r="CB906" s="2" t="s">
        <v>3593</v>
      </c>
      <c r="CC906" s="2" t="s">
        <v>246</v>
      </c>
      <c r="CD906" s="2" t="s">
        <v>233</v>
      </c>
      <c r="CE906" s="4">
        <v>2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>
        <v>92</v>
      </c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</row>
    <row r="907">
      <c r="A907" s="2" t="s">
        <v>4671</v>
      </c>
      <c r="B907" s="2" t="s">
        <v>333</v>
      </c>
      <c r="C907" s="2" t="s">
        <v>911</v>
      </c>
      <c r="D907" s="2" t="s">
        <v>335</v>
      </c>
      <c r="E907" s="2" t="s">
        <v>336</v>
      </c>
      <c r="F907" s="2" t="s">
        <v>4577</v>
      </c>
      <c r="G907" s="2" t="s">
        <v>4577</v>
      </c>
      <c r="H907" s="2" t="s">
        <v>4577</v>
      </c>
      <c r="I907" s="2" t="s">
        <v>4578</v>
      </c>
      <c r="J907" s="2" t="s">
        <v>348</v>
      </c>
      <c r="K907" s="2" t="s">
        <v>4668</v>
      </c>
      <c r="L907" s="3">
        <v>21.27</v>
      </c>
      <c r="M907" s="3">
        <v>22.33</v>
      </c>
      <c r="N907" s="3">
        <v>47.99</v>
      </c>
      <c r="O907" s="2" t="s">
        <v>245</v>
      </c>
      <c r="P907" s="2" t="s">
        <v>272</v>
      </c>
      <c r="Q907" s="2" t="s">
        <v>239</v>
      </c>
      <c r="R907" s="2" t="s">
        <v>233</v>
      </c>
      <c r="S907" s="2" t="s">
        <v>4669</v>
      </c>
      <c r="T907" s="2" t="s">
        <v>3950</v>
      </c>
      <c r="U907" s="2" t="s">
        <v>342</v>
      </c>
      <c r="V907" s="2" t="s">
        <v>3951</v>
      </c>
      <c r="W907" s="2" t="s">
        <v>275</v>
      </c>
      <c r="X907" s="2" t="s">
        <v>233</v>
      </c>
      <c r="Y907" s="2" t="s">
        <v>4595</v>
      </c>
      <c r="Z907" s="4"/>
      <c r="AA907" s="4">
        <f>=ROUNDDOWN({0},0)</f>
      </c>
      <c r="AB907" s="5">
        <v>16</v>
      </c>
      <c r="AC907" s="2" t="s">
        <v>1341</v>
      </c>
      <c r="AD907" s="4">
        <v>164</v>
      </c>
      <c r="AE907" s="4">
        <v>164</v>
      </c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233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233</v>
      </c>
      <c r="AW907" s="8" t="s">
        <v>233</v>
      </c>
      <c r="AX907" s="4" t="s">
        <v>233</v>
      </c>
      <c r="AY907" s="8" t="s">
        <v>233</v>
      </c>
      <c r="AZ907" s="7" t="s">
        <v>233</v>
      </c>
      <c r="BA907" s="7" t="s">
        <v>233</v>
      </c>
      <c r="BB907" s="7"/>
      <c r="BC907" s="4" t="s">
        <v>233</v>
      </c>
      <c r="BD907" s="8" t="s">
        <v>233</v>
      </c>
      <c r="BE907" s="4" t="s">
        <v>233</v>
      </c>
      <c r="BF907" s="8" t="s">
        <v>233</v>
      </c>
      <c r="BG907" s="7" t="s">
        <v>233</v>
      </c>
      <c r="BH907" s="7" t="s">
        <v>233</v>
      </c>
      <c r="BI907" s="7"/>
      <c r="BJ907" s="4"/>
      <c r="BK907" s="8"/>
      <c r="BL907" s="2" t="s">
        <v>4672</v>
      </c>
      <c r="BM907" s="7"/>
      <c r="BN907" s="7"/>
      <c r="BO907" s="4"/>
      <c r="BP907" s="8"/>
      <c r="BQ907" s="4"/>
      <c r="BR907" s="8"/>
      <c r="BS907" s="7"/>
      <c r="BT907" s="7"/>
      <c r="BU907" s="2" t="s">
        <v>4673</v>
      </c>
      <c r="BV907" s="2" t="s">
        <v>233</v>
      </c>
      <c r="BW907" s="2" t="s">
        <v>233</v>
      </c>
      <c r="BX907" s="2" t="s">
        <v>233</v>
      </c>
      <c r="BY907" s="2" t="s">
        <v>280</v>
      </c>
      <c r="BZ907" s="2" t="s">
        <v>245</v>
      </c>
      <c r="CA907" s="2" t="s">
        <v>4597</v>
      </c>
      <c r="CB907" s="2" t="s">
        <v>4674</v>
      </c>
      <c r="CC907" s="2" t="s">
        <v>246</v>
      </c>
      <c r="CD907" s="2" t="s">
        <v>233</v>
      </c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>
        <v>164</v>
      </c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</row>
    <row r="908">
      <c r="A908" s="2" t="s">
        <v>4675</v>
      </c>
      <c r="B908" s="2" t="s">
        <v>333</v>
      </c>
      <c r="C908" s="2" t="s">
        <v>911</v>
      </c>
      <c r="D908" s="2" t="s">
        <v>335</v>
      </c>
      <c r="E908" s="2" t="s">
        <v>336</v>
      </c>
      <c r="F908" s="2" t="s">
        <v>4577</v>
      </c>
      <c r="G908" s="2" t="s">
        <v>4577</v>
      </c>
      <c r="H908" s="2" t="s">
        <v>4577</v>
      </c>
      <c r="I908" s="2" t="s">
        <v>4578</v>
      </c>
      <c r="J908" s="2" t="s">
        <v>270</v>
      </c>
      <c r="K908" s="2" t="s">
        <v>4676</v>
      </c>
      <c r="L908" s="3">
        <v>14.89</v>
      </c>
      <c r="M908" s="3">
        <v>15.63</v>
      </c>
      <c r="N908" s="3">
        <v>31.99</v>
      </c>
      <c r="O908" s="2" t="s">
        <v>245</v>
      </c>
      <c r="P908" s="2" t="s">
        <v>272</v>
      </c>
      <c r="Q908" s="2" t="s">
        <v>239</v>
      </c>
      <c r="R908" s="2" t="s">
        <v>233</v>
      </c>
      <c r="S908" s="2" t="s">
        <v>4677</v>
      </c>
      <c r="T908" s="2" t="s">
        <v>3950</v>
      </c>
      <c r="U908" s="2" t="s">
        <v>475</v>
      </c>
      <c r="V908" s="2" t="s">
        <v>1658</v>
      </c>
      <c r="W908" s="2" t="s">
        <v>275</v>
      </c>
      <c r="X908" s="2" t="s">
        <v>451</v>
      </c>
      <c r="Y908" s="2" t="s">
        <v>4198</v>
      </c>
      <c r="Z908" s="4"/>
      <c r="AA908" s="4">
        <f>=ROUNDDOWN({0},0)</f>
      </c>
      <c r="AB908" s="5">
        <v>16</v>
      </c>
      <c r="AC908" s="2" t="s">
        <v>1341</v>
      </c>
      <c r="AD908" s="4">
        <v>170</v>
      </c>
      <c r="AE908" s="4">
        <v>170</v>
      </c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233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233</v>
      </c>
      <c r="AW908" s="8" t="s">
        <v>233</v>
      </c>
      <c r="AX908" s="4" t="s">
        <v>233</v>
      </c>
      <c r="AY908" s="8" t="s">
        <v>233</v>
      </c>
      <c r="AZ908" s="7" t="s">
        <v>233</v>
      </c>
      <c r="BA908" s="7" t="s">
        <v>233</v>
      </c>
      <c r="BB908" s="7"/>
      <c r="BC908" s="4" t="s">
        <v>233</v>
      </c>
      <c r="BD908" s="8" t="s">
        <v>233</v>
      </c>
      <c r="BE908" s="4" t="s">
        <v>233</v>
      </c>
      <c r="BF908" s="8" t="s">
        <v>233</v>
      </c>
      <c r="BG908" s="7" t="s">
        <v>233</v>
      </c>
      <c r="BH908" s="7" t="s">
        <v>233</v>
      </c>
      <c r="BI908" s="7"/>
      <c r="BJ908" s="4"/>
      <c r="BK908" s="8"/>
      <c r="BL908" s="2" t="s">
        <v>1292</v>
      </c>
      <c r="BM908" s="7"/>
      <c r="BN908" s="7"/>
      <c r="BO908" s="4"/>
      <c r="BP908" s="8"/>
      <c r="BQ908" s="4"/>
      <c r="BR908" s="8"/>
      <c r="BS908" s="7"/>
      <c r="BT908" s="7"/>
      <c r="BU908" s="2" t="s">
        <v>4678</v>
      </c>
      <c r="BV908" s="2" t="s">
        <v>233</v>
      </c>
      <c r="BW908" s="2" t="s">
        <v>233</v>
      </c>
      <c r="BX908" s="2" t="s">
        <v>233</v>
      </c>
      <c r="BY908" s="2" t="s">
        <v>280</v>
      </c>
      <c r="BZ908" s="2" t="s">
        <v>245</v>
      </c>
      <c r="CA908" s="2" t="s">
        <v>4198</v>
      </c>
      <c r="CB908" s="2" t="s">
        <v>4679</v>
      </c>
      <c r="CC908" s="2" t="s">
        <v>246</v>
      </c>
      <c r="CD908" s="2" t="s">
        <v>233</v>
      </c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>
        <v>170</v>
      </c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</row>
    <row r="909">
      <c r="A909" s="2" t="s">
        <v>4680</v>
      </c>
      <c r="B909" s="2" t="s">
        <v>333</v>
      </c>
      <c r="C909" s="2" t="s">
        <v>911</v>
      </c>
      <c r="D909" s="2" t="s">
        <v>335</v>
      </c>
      <c r="E909" s="2" t="s">
        <v>336</v>
      </c>
      <c r="F909" s="2" t="s">
        <v>4577</v>
      </c>
      <c r="G909" s="2" t="s">
        <v>4577</v>
      </c>
      <c r="H909" s="2" t="s">
        <v>4577</v>
      </c>
      <c r="I909" s="2" t="s">
        <v>4578</v>
      </c>
      <c r="J909" s="2" t="s">
        <v>284</v>
      </c>
      <c r="K909" s="2" t="s">
        <v>4676</v>
      </c>
      <c r="L909" s="3">
        <v>15.22</v>
      </c>
      <c r="M909" s="3">
        <v>15.98</v>
      </c>
      <c r="N909" s="3">
        <v>32.99</v>
      </c>
      <c r="O909" s="2" t="s">
        <v>245</v>
      </c>
      <c r="P909" s="2" t="s">
        <v>272</v>
      </c>
      <c r="Q909" s="2" t="s">
        <v>239</v>
      </c>
      <c r="R909" s="2" t="s">
        <v>233</v>
      </c>
      <c r="S909" s="2" t="s">
        <v>4677</v>
      </c>
      <c r="T909" s="2" t="s">
        <v>3950</v>
      </c>
      <c r="U909" s="2" t="s">
        <v>475</v>
      </c>
      <c r="V909" s="2" t="s">
        <v>1658</v>
      </c>
      <c r="W909" s="2" t="s">
        <v>275</v>
      </c>
      <c r="X909" s="2" t="s">
        <v>451</v>
      </c>
      <c r="Y909" s="2" t="s">
        <v>4198</v>
      </c>
      <c r="Z909" s="4">
        <v>1</v>
      </c>
      <c r="AA909" s="4">
        <f>=ROUNDDOWN(0.142857142857143,0)</f>
      </c>
      <c r="AB909" s="5">
        <v>7</v>
      </c>
      <c r="AC909" s="2" t="s">
        <v>1341</v>
      </c>
      <c r="AD909" s="4">
        <v>81</v>
      </c>
      <c r="AE909" s="4">
        <v>81</v>
      </c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233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233</v>
      </c>
      <c r="AW909" s="8" t="s">
        <v>233</v>
      </c>
      <c r="AX909" s="4" t="s">
        <v>233</v>
      </c>
      <c r="AY909" s="8" t="s">
        <v>233</v>
      </c>
      <c r="AZ909" s="7" t="s">
        <v>233</v>
      </c>
      <c r="BA909" s="7" t="s">
        <v>233</v>
      </c>
      <c r="BB909" s="7"/>
      <c r="BC909" s="4" t="s">
        <v>233</v>
      </c>
      <c r="BD909" s="8" t="s">
        <v>233</v>
      </c>
      <c r="BE909" s="4" t="s">
        <v>233</v>
      </c>
      <c r="BF909" s="8" t="s">
        <v>233</v>
      </c>
      <c r="BG909" s="7" t="s">
        <v>233</v>
      </c>
      <c r="BH909" s="7" t="s">
        <v>233</v>
      </c>
      <c r="BI909" s="7"/>
      <c r="BJ909" s="4"/>
      <c r="BK909" s="8"/>
      <c r="BL909" s="2" t="s">
        <v>233</v>
      </c>
      <c r="BM909" s="7"/>
      <c r="BN909" s="7"/>
      <c r="BO909" s="4"/>
      <c r="BP909" s="8"/>
      <c r="BQ909" s="4"/>
      <c r="BR909" s="8"/>
      <c r="BS909" s="7"/>
      <c r="BT909" s="7"/>
      <c r="BU909" s="2" t="s">
        <v>4681</v>
      </c>
      <c r="BV909" s="2" t="s">
        <v>233</v>
      </c>
      <c r="BW909" s="2" t="s">
        <v>233</v>
      </c>
      <c r="BX909" s="2" t="s">
        <v>233</v>
      </c>
      <c r="BY909" s="2" t="s">
        <v>280</v>
      </c>
      <c r="BZ909" s="2" t="s">
        <v>245</v>
      </c>
      <c r="CA909" s="2" t="s">
        <v>4198</v>
      </c>
      <c r="CB909" s="2" t="s">
        <v>4682</v>
      </c>
      <c r="CC909" s="2" t="s">
        <v>246</v>
      </c>
      <c r="CD909" s="2" t="s">
        <v>233</v>
      </c>
      <c r="CE909" s="4">
        <v>1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>
        <v>81</v>
      </c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</row>
    <row r="910">
      <c r="A910" s="2" t="s">
        <v>4683</v>
      </c>
      <c r="B910" s="2" t="s">
        <v>333</v>
      </c>
      <c r="C910" s="2" t="s">
        <v>911</v>
      </c>
      <c r="D910" s="2" t="s">
        <v>335</v>
      </c>
      <c r="E910" s="2" t="s">
        <v>336</v>
      </c>
      <c r="F910" s="2" t="s">
        <v>4577</v>
      </c>
      <c r="G910" s="2" t="s">
        <v>4577</v>
      </c>
      <c r="H910" s="2" t="s">
        <v>4577</v>
      </c>
      <c r="I910" s="2" t="s">
        <v>4578</v>
      </c>
      <c r="J910" s="2" t="s">
        <v>290</v>
      </c>
      <c r="K910" s="2" t="s">
        <v>4676</v>
      </c>
      <c r="L910" s="3">
        <v>19.13</v>
      </c>
      <c r="M910" s="3">
        <v>20.09</v>
      </c>
      <c r="N910" s="3">
        <v>42.99</v>
      </c>
      <c r="O910" s="2" t="s">
        <v>245</v>
      </c>
      <c r="P910" s="2" t="s">
        <v>272</v>
      </c>
      <c r="Q910" s="2" t="s">
        <v>239</v>
      </c>
      <c r="R910" s="2" t="s">
        <v>233</v>
      </c>
      <c r="S910" s="2" t="s">
        <v>4677</v>
      </c>
      <c r="T910" s="2" t="s">
        <v>3950</v>
      </c>
      <c r="U910" s="2" t="s">
        <v>342</v>
      </c>
      <c r="V910" s="2" t="s">
        <v>1658</v>
      </c>
      <c r="W910" s="2" t="s">
        <v>275</v>
      </c>
      <c r="X910" s="2" t="s">
        <v>451</v>
      </c>
      <c r="Y910" s="2" t="s">
        <v>4198</v>
      </c>
      <c r="Z910" s="4"/>
      <c r="AA910" s="4">
        <f>=ROUNDDOWN({0},0)</f>
      </c>
      <c r="AB910" s="5">
        <v>12</v>
      </c>
      <c r="AC910" s="2" t="s">
        <v>1341</v>
      </c>
      <c r="AD910" s="4">
        <v>124</v>
      </c>
      <c r="AE910" s="4">
        <v>124</v>
      </c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233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233</v>
      </c>
      <c r="AW910" s="8" t="s">
        <v>233</v>
      </c>
      <c r="AX910" s="4" t="s">
        <v>233</v>
      </c>
      <c r="AY910" s="8" t="s">
        <v>233</v>
      </c>
      <c r="AZ910" s="7" t="s">
        <v>233</v>
      </c>
      <c r="BA910" s="7" t="s">
        <v>233</v>
      </c>
      <c r="BB910" s="7"/>
      <c r="BC910" s="4" t="s">
        <v>233</v>
      </c>
      <c r="BD910" s="8" t="s">
        <v>233</v>
      </c>
      <c r="BE910" s="4" t="s">
        <v>233</v>
      </c>
      <c r="BF910" s="8" t="s">
        <v>233</v>
      </c>
      <c r="BG910" s="7" t="s">
        <v>233</v>
      </c>
      <c r="BH910" s="7" t="s">
        <v>233</v>
      </c>
      <c r="BI910" s="7"/>
      <c r="BJ910" s="4"/>
      <c r="BK910" s="8"/>
      <c r="BL910" s="2" t="s">
        <v>4684</v>
      </c>
      <c r="BM910" s="7"/>
      <c r="BN910" s="7"/>
      <c r="BO910" s="4"/>
      <c r="BP910" s="8"/>
      <c r="BQ910" s="4"/>
      <c r="BR910" s="8"/>
      <c r="BS910" s="7"/>
      <c r="BT910" s="7"/>
      <c r="BU910" s="2" t="s">
        <v>4685</v>
      </c>
      <c r="BV910" s="2" t="s">
        <v>233</v>
      </c>
      <c r="BW910" s="2" t="s">
        <v>233</v>
      </c>
      <c r="BX910" s="2" t="s">
        <v>233</v>
      </c>
      <c r="BY910" s="2" t="s">
        <v>280</v>
      </c>
      <c r="BZ910" s="2" t="s">
        <v>245</v>
      </c>
      <c r="CA910" s="2" t="s">
        <v>4198</v>
      </c>
      <c r="CB910" s="2" t="s">
        <v>4686</v>
      </c>
      <c r="CC910" s="2" t="s">
        <v>246</v>
      </c>
      <c r="CD910" s="2" t="s">
        <v>233</v>
      </c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>
        <v>124</v>
      </c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</row>
    <row r="911">
      <c r="A911" s="2" t="s">
        <v>4687</v>
      </c>
      <c r="B911" s="2" t="s">
        <v>333</v>
      </c>
      <c r="C911" s="2" t="s">
        <v>911</v>
      </c>
      <c r="D911" s="2" t="s">
        <v>335</v>
      </c>
      <c r="E911" s="2" t="s">
        <v>336</v>
      </c>
      <c r="F911" s="2" t="s">
        <v>4577</v>
      </c>
      <c r="G911" s="2" t="s">
        <v>4577</v>
      </c>
      <c r="H911" s="2" t="s">
        <v>4577</v>
      </c>
      <c r="I911" s="2" t="s">
        <v>4578</v>
      </c>
      <c r="J911" s="2" t="s">
        <v>348</v>
      </c>
      <c r="K911" s="2" t="s">
        <v>4676</v>
      </c>
      <c r="L911" s="3">
        <v>21.27</v>
      </c>
      <c r="M911" s="3">
        <v>22.33</v>
      </c>
      <c r="N911" s="3">
        <v>47.99</v>
      </c>
      <c r="O911" s="2" t="s">
        <v>245</v>
      </c>
      <c r="P911" s="2" t="s">
        <v>272</v>
      </c>
      <c r="Q911" s="2" t="s">
        <v>239</v>
      </c>
      <c r="R911" s="2" t="s">
        <v>233</v>
      </c>
      <c r="S911" s="2" t="s">
        <v>4677</v>
      </c>
      <c r="T911" s="2" t="s">
        <v>3950</v>
      </c>
      <c r="U911" s="2" t="s">
        <v>342</v>
      </c>
      <c r="V911" s="2" t="s">
        <v>1658</v>
      </c>
      <c r="W911" s="2" t="s">
        <v>275</v>
      </c>
      <c r="X911" s="2" t="s">
        <v>451</v>
      </c>
      <c r="Y911" s="2" t="s">
        <v>4198</v>
      </c>
      <c r="Z911" s="4"/>
      <c r="AA911" s="4">
        <f>=ROUNDDOWN({0},0)</f>
      </c>
      <c r="AB911" s="5">
        <v>11</v>
      </c>
      <c r="AC911" s="2" t="s">
        <v>1341</v>
      </c>
      <c r="AD911" s="4">
        <v>114</v>
      </c>
      <c r="AE911" s="4">
        <v>114</v>
      </c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233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233</v>
      </c>
      <c r="AW911" s="8" t="s">
        <v>233</v>
      </c>
      <c r="AX911" s="4" t="s">
        <v>233</v>
      </c>
      <c r="AY911" s="8" t="s">
        <v>233</v>
      </c>
      <c r="AZ911" s="7" t="s">
        <v>233</v>
      </c>
      <c r="BA911" s="7" t="s">
        <v>233</v>
      </c>
      <c r="BB911" s="7"/>
      <c r="BC911" s="4" t="s">
        <v>233</v>
      </c>
      <c r="BD911" s="8" t="s">
        <v>233</v>
      </c>
      <c r="BE911" s="4" t="s">
        <v>233</v>
      </c>
      <c r="BF911" s="8" t="s">
        <v>233</v>
      </c>
      <c r="BG911" s="7" t="s">
        <v>233</v>
      </c>
      <c r="BH911" s="7" t="s">
        <v>233</v>
      </c>
      <c r="BI911" s="7"/>
      <c r="BJ911" s="4"/>
      <c r="BK911" s="8"/>
      <c r="BL911" s="2" t="s">
        <v>4688</v>
      </c>
      <c r="BM911" s="7"/>
      <c r="BN911" s="7"/>
      <c r="BO911" s="4"/>
      <c r="BP911" s="8"/>
      <c r="BQ911" s="4"/>
      <c r="BR911" s="8"/>
      <c r="BS911" s="7"/>
      <c r="BT911" s="7"/>
      <c r="BU911" s="2" t="s">
        <v>4689</v>
      </c>
      <c r="BV911" s="2" t="s">
        <v>233</v>
      </c>
      <c r="BW911" s="2" t="s">
        <v>233</v>
      </c>
      <c r="BX911" s="2" t="s">
        <v>233</v>
      </c>
      <c r="BY911" s="2" t="s">
        <v>280</v>
      </c>
      <c r="BZ911" s="2" t="s">
        <v>245</v>
      </c>
      <c r="CA911" s="2" t="s">
        <v>4198</v>
      </c>
      <c r="CB911" s="2" t="s">
        <v>4690</v>
      </c>
      <c r="CC911" s="2" t="s">
        <v>246</v>
      </c>
      <c r="CD911" s="2" t="s">
        <v>233</v>
      </c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>
        <v>114</v>
      </c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</row>
    <row r="912">
      <c r="A912" s="2" t="s">
        <v>4691</v>
      </c>
      <c r="B912" s="2" t="s">
        <v>333</v>
      </c>
      <c r="C912" s="2" t="s">
        <v>911</v>
      </c>
      <c r="D912" s="2" t="s">
        <v>335</v>
      </c>
      <c r="E912" s="2" t="s">
        <v>336</v>
      </c>
      <c r="F912" s="2" t="s">
        <v>4577</v>
      </c>
      <c r="G912" s="2" t="s">
        <v>4577</v>
      </c>
      <c r="H912" s="2" t="s">
        <v>4577</v>
      </c>
      <c r="I912" s="2" t="s">
        <v>4578</v>
      </c>
      <c r="J912" s="2" t="s">
        <v>270</v>
      </c>
      <c r="K912" s="2" t="s">
        <v>4692</v>
      </c>
      <c r="L912" s="3">
        <v>14.89</v>
      </c>
      <c r="M912" s="3">
        <v>15.63</v>
      </c>
      <c r="N912" s="3">
        <v>31.99</v>
      </c>
      <c r="O912" s="2" t="s">
        <v>245</v>
      </c>
      <c r="P912" s="2" t="s">
        <v>272</v>
      </c>
      <c r="Q912" s="2" t="s">
        <v>239</v>
      </c>
      <c r="R912" s="2" t="s">
        <v>233</v>
      </c>
      <c r="S912" s="2" t="s">
        <v>4693</v>
      </c>
      <c r="T912" s="2" t="s">
        <v>3950</v>
      </c>
      <c r="U912" s="2" t="s">
        <v>475</v>
      </c>
      <c r="V912" s="2" t="s">
        <v>3951</v>
      </c>
      <c r="W912" s="2" t="s">
        <v>275</v>
      </c>
      <c r="X912" s="2" t="s">
        <v>233</v>
      </c>
      <c r="Y912" s="2" t="s">
        <v>4595</v>
      </c>
      <c r="Z912" s="4"/>
      <c r="AA912" s="4">
        <f>=ROUNDDOWN({0},0)</f>
      </c>
      <c r="AB912" s="5">
        <v>29</v>
      </c>
      <c r="AC912" s="2" t="s">
        <v>1341</v>
      </c>
      <c r="AD912" s="4">
        <v>286</v>
      </c>
      <c r="AE912" s="4">
        <v>286</v>
      </c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233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233</v>
      </c>
      <c r="AW912" s="8" t="s">
        <v>233</v>
      </c>
      <c r="AX912" s="4" t="s">
        <v>233</v>
      </c>
      <c r="AY912" s="8" t="s">
        <v>233</v>
      </c>
      <c r="AZ912" s="7" t="s">
        <v>233</v>
      </c>
      <c r="BA912" s="7" t="s">
        <v>233</v>
      </c>
      <c r="BB912" s="7"/>
      <c r="BC912" s="4" t="s">
        <v>233</v>
      </c>
      <c r="BD912" s="8" t="s">
        <v>233</v>
      </c>
      <c r="BE912" s="4" t="s">
        <v>233</v>
      </c>
      <c r="BF912" s="8" t="s">
        <v>233</v>
      </c>
      <c r="BG912" s="7" t="s">
        <v>233</v>
      </c>
      <c r="BH912" s="7" t="s">
        <v>233</v>
      </c>
      <c r="BI912" s="7"/>
      <c r="BJ912" s="4"/>
      <c r="BK912" s="8"/>
      <c r="BL912" s="2" t="s">
        <v>233</v>
      </c>
      <c r="BM912" s="7"/>
      <c r="BN912" s="7"/>
      <c r="BO912" s="4"/>
      <c r="BP912" s="8"/>
      <c r="BQ912" s="4"/>
      <c r="BR912" s="8"/>
      <c r="BS912" s="7"/>
      <c r="BT912" s="7"/>
      <c r="BU912" s="2" t="s">
        <v>4694</v>
      </c>
      <c r="BV912" s="2" t="s">
        <v>233</v>
      </c>
      <c r="BW912" s="2" t="s">
        <v>233</v>
      </c>
      <c r="BX912" s="2" t="s">
        <v>233</v>
      </c>
      <c r="BY912" s="2" t="s">
        <v>280</v>
      </c>
      <c r="BZ912" s="2" t="s">
        <v>245</v>
      </c>
      <c r="CA912" s="2" t="s">
        <v>4597</v>
      </c>
      <c r="CB912" s="2" t="s">
        <v>4695</v>
      </c>
      <c r="CC912" s="2" t="s">
        <v>246</v>
      </c>
      <c r="CD912" s="2" t="s">
        <v>233</v>
      </c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>
        <v>286</v>
      </c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</row>
    <row r="913">
      <c r="A913" s="2" t="s">
        <v>4696</v>
      </c>
      <c r="B913" s="2" t="s">
        <v>333</v>
      </c>
      <c r="C913" s="2" t="s">
        <v>911</v>
      </c>
      <c r="D913" s="2" t="s">
        <v>335</v>
      </c>
      <c r="E913" s="2" t="s">
        <v>336</v>
      </c>
      <c r="F913" s="2" t="s">
        <v>4577</v>
      </c>
      <c r="G913" s="2" t="s">
        <v>4577</v>
      </c>
      <c r="H913" s="2" t="s">
        <v>4577</v>
      </c>
      <c r="I913" s="2" t="s">
        <v>4578</v>
      </c>
      <c r="J913" s="2" t="s">
        <v>284</v>
      </c>
      <c r="K913" s="2" t="s">
        <v>4692</v>
      </c>
      <c r="L913" s="3">
        <v>15.22</v>
      </c>
      <c r="M913" s="3">
        <v>15.98</v>
      </c>
      <c r="N913" s="3">
        <v>32.99</v>
      </c>
      <c r="O913" s="2" t="s">
        <v>245</v>
      </c>
      <c r="P913" s="2" t="s">
        <v>272</v>
      </c>
      <c r="Q913" s="2" t="s">
        <v>239</v>
      </c>
      <c r="R913" s="2" t="s">
        <v>233</v>
      </c>
      <c r="S913" s="2" t="s">
        <v>4693</v>
      </c>
      <c r="T913" s="2" t="s">
        <v>3950</v>
      </c>
      <c r="U913" s="2" t="s">
        <v>475</v>
      </c>
      <c r="V913" s="2" t="s">
        <v>3951</v>
      </c>
      <c r="W913" s="2" t="s">
        <v>275</v>
      </c>
      <c r="X913" s="2" t="s">
        <v>233</v>
      </c>
      <c r="Y913" s="2" t="s">
        <v>4595</v>
      </c>
      <c r="Z913" s="4"/>
      <c r="AA913" s="4">
        <f>=ROUNDDOWN({0},0)</f>
      </c>
      <c r="AB913" s="5">
        <v>17</v>
      </c>
      <c r="AC913" s="2" t="s">
        <v>1341</v>
      </c>
      <c r="AD913" s="4">
        <v>173</v>
      </c>
      <c r="AE913" s="4">
        <v>173</v>
      </c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233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233</v>
      </c>
      <c r="AW913" s="8" t="s">
        <v>233</v>
      </c>
      <c r="AX913" s="4" t="s">
        <v>233</v>
      </c>
      <c r="AY913" s="8" t="s">
        <v>233</v>
      </c>
      <c r="AZ913" s="7" t="s">
        <v>233</v>
      </c>
      <c r="BA913" s="7" t="s">
        <v>233</v>
      </c>
      <c r="BB913" s="7"/>
      <c r="BC913" s="4" t="s">
        <v>233</v>
      </c>
      <c r="BD913" s="8" t="s">
        <v>233</v>
      </c>
      <c r="BE913" s="4" t="s">
        <v>233</v>
      </c>
      <c r="BF913" s="8" t="s">
        <v>233</v>
      </c>
      <c r="BG913" s="7" t="s">
        <v>233</v>
      </c>
      <c r="BH913" s="7" t="s">
        <v>233</v>
      </c>
      <c r="BI913" s="7"/>
      <c r="BJ913" s="4"/>
      <c r="BK913" s="8"/>
      <c r="BL913" s="2" t="s">
        <v>233</v>
      </c>
      <c r="BM913" s="7"/>
      <c r="BN913" s="7"/>
      <c r="BO913" s="4"/>
      <c r="BP913" s="8"/>
      <c r="BQ913" s="4"/>
      <c r="BR913" s="8"/>
      <c r="BS913" s="7"/>
      <c r="BT913" s="7"/>
      <c r="BU913" s="2" t="s">
        <v>4697</v>
      </c>
      <c r="BV913" s="2" t="s">
        <v>233</v>
      </c>
      <c r="BW913" s="2" t="s">
        <v>233</v>
      </c>
      <c r="BX913" s="2" t="s">
        <v>233</v>
      </c>
      <c r="BY913" s="2" t="s">
        <v>280</v>
      </c>
      <c r="BZ913" s="2" t="s">
        <v>245</v>
      </c>
      <c r="CA913" s="2" t="s">
        <v>4597</v>
      </c>
      <c r="CB913" s="2" t="s">
        <v>4695</v>
      </c>
      <c r="CC913" s="2" t="s">
        <v>246</v>
      </c>
      <c r="CD913" s="2" t="s">
        <v>233</v>
      </c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>
        <v>173</v>
      </c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</row>
    <row r="914">
      <c r="A914" s="2" t="s">
        <v>4698</v>
      </c>
      <c r="B914" s="2" t="s">
        <v>333</v>
      </c>
      <c r="C914" s="2" t="s">
        <v>911</v>
      </c>
      <c r="D914" s="2" t="s">
        <v>335</v>
      </c>
      <c r="E914" s="2" t="s">
        <v>336</v>
      </c>
      <c r="F914" s="2" t="s">
        <v>4577</v>
      </c>
      <c r="G914" s="2" t="s">
        <v>4577</v>
      </c>
      <c r="H914" s="2" t="s">
        <v>4577</v>
      </c>
      <c r="I914" s="2" t="s">
        <v>4578</v>
      </c>
      <c r="J914" s="2" t="s">
        <v>290</v>
      </c>
      <c r="K914" s="2" t="s">
        <v>4692</v>
      </c>
      <c r="L914" s="3">
        <v>19.13</v>
      </c>
      <c r="M914" s="3">
        <v>20.09</v>
      </c>
      <c r="N914" s="3">
        <v>42.99</v>
      </c>
      <c r="O914" s="2" t="s">
        <v>245</v>
      </c>
      <c r="P914" s="2" t="s">
        <v>272</v>
      </c>
      <c r="Q914" s="2" t="s">
        <v>239</v>
      </c>
      <c r="R914" s="2" t="s">
        <v>233</v>
      </c>
      <c r="S914" s="2" t="s">
        <v>4693</v>
      </c>
      <c r="T914" s="2" t="s">
        <v>3950</v>
      </c>
      <c r="U914" s="2" t="s">
        <v>342</v>
      </c>
      <c r="V914" s="2" t="s">
        <v>3951</v>
      </c>
      <c r="W914" s="2" t="s">
        <v>275</v>
      </c>
      <c r="X914" s="2" t="s">
        <v>233</v>
      </c>
      <c r="Y914" s="2" t="s">
        <v>4595</v>
      </c>
      <c r="Z914" s="4"/>
      <c r="AA914" s="4">
        <f>=ROUNDDOWN({0},0)</f>
      </c>
      <c r="AB914" s="5">
        <v>16</v>
      </c>
      <c r="AC914" s="2" t="s">
        <v>1341</v>
      </c>
      <c r="AD914" s="4">
        <v>161</v>
      </c>
      <c r="AE914" s="4">
        <v>161</v>
      </c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233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233</v>
      </c>
      <c r="AW914" s="8" t="s">
        <v>233</v>
      </c>
      <c r="AX914" s="4" t="s">
        <v>233</v>
      </c>
      <c r="AY914" s="8" t="s">
        <v>233</v>
      </c>
      <c r="AZ914" s="7" t="s">
        <v>233</v>
      </c>
      <c r="BA914" s="7" t="s">
        <v>233</v>
      </c>
      <c r="BB914" s="7"/>
      <c r="BC914" s="4" t="s">
        <v>233</v>
      </c>
      <c r="BD914" s="8" t="s">
        <v>233</v>
      </c>
      <c r="BE914" s="4" t="s">
        <v>233</v>
      </c>
      <c r="BF914" s="8" t="s">
        <v>233</v>
      </c>
      <c r="BG914" s="7" t="s">
        <v>233</v>
      </c>
      <c r="BH914" s="7" t="s">
        <v>233</v>
      </c>
      <c r="BI914" s="7"/>
      <c r="BJ914" s="4"/>
      <c r="BK914" s="8"/>
      <c r="BL914" s="2" t="s">
        <v>233</v>
      </c>
      <c r="BM914" s="7"/>
      <c r="BN914" s="7"/>
      <c r="BO914" s="4"/>
      <c r="BP914" s="8"/>
      <c r="BQ914" s="4"/>
      <c r="BR914" s="8"/>
      <c r="BS914" s="7"/>
      <c r="BT914" s="7"/>
      <c r="BU914" s="2" t="s">
        <v>4699</v>
      </c>
      <c r="BV914" s="2" t="s">
        <v>233</v>
      </c>
      <c r="BW914" s="2" t="s">
        <v>233</v>
      </c>
      <c r="BX914" s="2" t="s">
        <v>233</v>
      </c>
      <c r="BY914" s="2" t="s">
        <v>280</v>
      </c>
      <c r="BZ914" s="2" t="s">
        <v>245</v>
      </c>
      <c r="CA914" s="2" t="s">
        <v>4597</v>
      </c>
      <c r="CB914" s="2" t="s">
        <v>4700</v>
      </c>
      <c r="CC914" s="2" t="s">
        <v>246</v>
      </c>
      <c r="CD914" s="2" t="s">
        <v>233</v>
      </c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>
        <v>161</v>
      </c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</row>
    <row r="915">
      <c r="A915" s="2" t="s">
        <v>4701</v>
      </c>
      <c r="B915" s="2" t="s">
        <v>333</v>
      </c>
      <c r="C915" s="2" t="s">
        <v>911</v>
      </c>
      <c r="D915" s="2" t="s">
        <v>335</v>
      </c>
      <c r="E915" s="2" t="s">
        <v>336</v>
      </c>
      <c r="F915" s="2" t="s">
        <v>4577</v>
      </c>
      <c r="G915" s="2" t="s">
        <v>4577</v>
      </c>
      <c r="H915" s="2" t="s">
        <v>4577</v>
      </c>
      <c r="I915" s="2" t="s">
        <v>4578</v>
      </c>
      <c r="J915" s="2" t="s">
        <v>348</v>
      </c>
      <c r="K915" s="2" t="s">
        <v>4692</v>
      </c>
      <c r="L915" s="3">
        <v>21.27</v>
      </c>
      <c r="M915" s="3">
        <v>22.33</v>
      </c>
      <c r="N915" s="3">
        <v>47.99</v>
      </c>
      <c r="O915" s="2" t="s">
        <v>245</v>
      </c>
      <c r="P915" s="2" t="s">
        <v>272</v>
      </c>
      <c r="Q915" s="2" t="s">
        <v>239</v>
      </c>
      <c r="R915" s="2" t="s">
        <v>233</v>
      </c>
      <c r="S915" s="2" t="s">
        <v>4693</v>
      </c>
      <c r="T915" s="2" t="s">
        <v>3950</v>
      </c>
      <c r="U915" s="2" t="s">
        <v>342</v>
      </c>
      <c r="V915" s="2" t="s">
        <v>3951</v>
      </c>
      <c r="W915" s="2" t="s">
        <v>275</v>
      </c>
      <c r="X915" s="2" t="s">
        <v>233</v>
      </c>
      <c r="Y915" s="2" t="s">
        <v>4595</v>
      </c>
      <c r="Z915" s="4">
        <v>2</v>
      </c>
      <c r="AA915" s="4">
        <f>=ROUNDDOWN(0.117647058823529,0)</f>
      </c>
      <c r="AB915" s="5">
        <v>17</v>
      </c>
      <c r="AC915" s="2" t="s">
        <v>1341</v>
      </c>
      <c r="AD915" s="4">
        <v>171</v>
      </c>
      <c r="AE915" s="4">
        <v>171</v>
      </c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233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233</v>
      </c>
      <c r="AW915" s="8" t="s">
        <v>233</v>
      </c>
      <c r="AX915" s="4" t="s">
        <v>233</v>
      </c>
      <c r="AY915" s="8" t="s">
        <v>233</v>
      </c>
      <c r="AZ915" s="7" t="s">
        <v>233</v>
      </c>
      <c r="BA915" s="7" t="s">
        <v>233</v>
      </c>
      <c r="BB915" s="7"/>
      <c r="BC915" s="4" t="s">
        <v>233</v>
      </c>
      <c r="BD915" s="8" t="s">
        <v>233</v>
      </c>
      <c r="BE915" s="4" t="s">
        <v>233</v>
      </c>
      <c r="BF915" s="8" t="s">
        <v>233</v>
      </c>
      <c r="BG915" s="7" t="s">
        <v>233</v>
      </c>
      <c r="BH915" s="7" t="s">
        <v>233</v>
      </c>
      <c r="BI915" s="7"/>
      <c r="BJ915" s="4"/>
      <c r="BK915" s="8"/>
      <c r="BL915" s="2" t="s">
        <v>233</v>
      </c>
      <c r="BM915" s="7"/>
      <c r="BN915" s="7"/>
      <c r="BO915" s="4"/>
      <c r="BP915" s="8"/>
      <c r="BQ915" s="4"/>
      <c r="BR915" s="8"/>
      <c r="BS915" s="7"/>
      <c r="BT915" s="7"/>
      <c r="BU915" s="2" t="s">
        <v>4702</v>
      </c>
      <c r="BV915" s="2" t="s">
        <v>233</v>
      </c>
      <c r="BW915" s="2" t="s">
        <v>233</v>
      </c>
      <c r="BX915" s="2" t="s">
        <v>233</v>
      </c>
      <c r="BY915" s="2" t="s">
        <v>280</v>
      </c>
      <c r="BZ915" s="2" t="s">
        <v>245</v>
      </c>
      <c r="CA915" s="2" t="s">
        <v>4597</v>
      </c>
      <c r="CB915" s="2" t="s">
        <v>4703</v>
      </c>
      <c r="CC915" s="2" t="s">
        <v>246</v>
      </c>
      <c r="CD915" s="2" t="s">
        <v>233</v>
      </c>
      <c r="CE915" s="4">
        <v>2</v>
      </c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>
        <v>171</v>
      </c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</row>
    <row r="916">
      <c r="A916" s="2" t="s">
        <v>4704</v>
      </c>
      <c r="B916" s="2" t="s">
        <v>333</v>
      </c>
      <c r="C916" s="2" t="s">
        <v>911</v>
      </c>
      <c r="D916" s="2" t="s">
        <v>335</v>
      </c>
      <c r="E916" s="2" t="s">
        <v>336</v>
      </c>
      <c r="F916" s="2" t="s">
        <v>4577</v>
      </c>
      <c r="G916" s="2" t="s">
        <v>4577</v>
      </c>
      <c r="H916" s="2" t="s">
        <v>4577</v>
      </c>
      <c r="I916" s="2" t="s">
        <v>4578</v>
      </c>
      <c r="J916" s="2" t="s">
        <v>270</v>
      </c>
      <c r="K916" s="2" t="s">
        <v>4705</v>
      </c>
      <c r="L916" s="3">
        <v>14.89</v>
      </c>
      <c r="M916" s="3">
        <v>15.63</v>
      </c>
      <c r="N916" s="3">
        <v>31.99</v>
      </c>
      <c r="O916" s="2" t="s">
        <v>245</v>
      </c>
      <c r="P916" s="2" t="s">
        <v>741</v>
      </c>
      <c r="Q916" s="2" t="s">
        <v>239</v>
      </c>
      <c r="R916" s="2" t="s">
        <v>233</v>
      </c>
      <c r="S916" s="2" t="s">
        <v>4706</v>
      </c>
      <c r="T916" s="2" t="s">
        <v>3950</v>
      </c>
      <c r="U916" s="2" t="s">
        <v>475</v>
      </c>
      <c r="V916" s="2" t="s">
        <v>1658</v>
      </c>
      <c r="W916" s="2" t="s">
        <v>275</v>
      </c>
      <c r="X916" s="2" t="s">
        <v>451</v>
      </c>
      <c r="Y916" s="2" t="s">
        <v>4198</v>
      </c>
      <c r="Z916" s="4"/>
      <c r="AA916" s="4">
        <f>=ROUNDDOWN({0},0)</f>
      </c>
      <c r="AB916" s="5">
        <v>39</v>
      </c>
      <c r="AC916" s="2" t="s">
        <v>1341</v>
      </c>
      <c r="AD916" s="4">
        <v>378</v>
      </c>
      <c r="AE916" s="4">
        <v>378</v>
      </c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233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233</v>
      </c>
      <c r="AW916" s="8" t="s">
        <v>233</v>
      </c>
      <c r="AX916" s="4" t="s">
        <v>233</v>
      </c>
      <c r="AY916" s="8" t="s">
        <v>233</v>
      </c>
      <c r="AZ916" s="7" t="s">
        <v>233</v>
      </c>
      <c r="BA916" s="7" t="s">
        <v>233</v>
      </c>
      <c r="BB916" s="7"/>
      <c r="BC916" s="4" t="s">
        <v>233</v>
      </c>
      <c r="BD916" s="8" t="s">
        <v>233</v>
      </c>
      <c r="BE916" s="4" t="s">
        <v>233</v>
      </c>
      <c r="BF916" s="8" t="s">
        <v>233</v>
      </c>
      <c r="BG916" s="7" t="s">
        <v>233</v>
      </c>
      <c r="BH916" s="7" t="s">
        <v>233</v>
      </c>
      <c r="BI916" s="7"/>
      <c r="BJ916" s="4"/>
      <c r="BK916" s="8"/>
      <c r="BL916" s="2" t="s">
        <v>233</v>
      </c>
      <c r="BM916" s="7"/>
      <c r="BN916" s="7"/>
      <c r="BO916" s="4"/>
      <c r="BP916" s="8"/>
      <c r="BQ916" s="4"/>
      <c r="BR916" s="8"/>
      <c r="BS916" s="7"/>
      <c r="BT916" s="7"/>
      <c r="BU916" s="2" t="s">
        <v>4707</v>
      </c>
      <c r="BV916" s="2" t="s">
        <v>233</v>
      </c>
      <c r="BW916" s="2" t="s">
        <v>233</v>
      </c>
      <c r="BX916" s="2" t="s">
        <v>233</v>
      </c>
      <c r="BY916" s="2" t="s">
        <v>280</v>
      </c>
      <c r="BZ916" s="2" t="s">
        <v>245</v>
      </c>
      <c r="CA916" s="2" t="s">
        <v>4198</v>
      </c>
      <c r="CB916" s="2" t="s">
        <v>4296</v>
      </c>
      <c r="CC916" s="2" t="s">
        <v>246</v>
      </c>
      <c r="CD916" s="2" t="s">
        <v>233</v>
      </c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>
        <v>378</v>
      </c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</row>
    <row r="917">
      <c r="A917" s="2" t="s">
        <v>4708</v>
      </c>
      <c r="B917" s="2" t="s">
        <v>333</v>
      </c>
      <c r="C917" s="2" t="s">
        <v>911</v>
      </c>
      <c r="D917" s="2" t="s">
        <v>335</v>
      </c>
      <c r="E917" s="2" t="s">
        <v>336</v>
      </c>
      <c r="F917" s="2" t="s">
        <v>4577</v>
      </c>
      <c r="G917" s="2" t="s">
        <v>4577</v>
      </c>
      <c r="H917" s="2" t="s">
        <v>4577</v>
      </c>
      <c r="I917" s="2" t="s">
        <v>4578</v>
      </c>
      <c r="J917" s="2" t="s">
        <v>284</v>
      </c>
      <c r="K917" s="2" t="s">
        <v>4705</v>
      </c>
      <c r="L917" s="3">
        <v>15.22</v>
      </c>
      <c r="M917" s="3">
        <v>15.98</v>
      </c>
      <c r="N917" s="3">
        <v>32.99</v>
      </c>
      <c r="O917" s="2" t="s">
        <v>245</v>
      </c>
      <c r="P917" s="2" t="s">
        <v>272</v>
      </c>
      <c r="Q917" s="2" t="s">
        <v>239</v>
      </c>
      <c r="R917" s="2" t="s">
        <v>233</v>
      </c>
      <c r="S917" s="2" t="s">
        <v>4706</v>
      </c>
      <c r="T917" s="2" t="s">
        <v>3950</v>
      </c>
      <c r="U917" s="2" t="s">
        <v>475</v>
      </c>
      <c r="V917" s="2" t="s">
        <v>1658</v>
      </c>
      <c r="W917" s="2" t="s">
        <v>275</v>
      </c>
      <c r="X917" s="2" t="s">
        <v>451</v>
      </c>
      <c r="Y917" s="2" t="s">
        <v>4198</v>
      </c>
      <c r="Z917" s="4"/>
      <c r="AA917" s="4">
        <f>=ROUNDDOWN({0},0)</f>
      </c>
      <c r="AB917" s="5">
        <v>13</v>
      </c>
      <c r="AC917" s="2" t="s">
        <v>1341</v>
      </c>
      <c r="AD917" s="4">
        <v>132</v>
      </c>
      <c r="AE917" s="4">
        <v>132</v>
      </c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233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233</v>
      </c>
      <c r="AW917" s="8" t="s">
        <v>233</v>
      </c>
      <c r="AX917" s="4" t="s">
        <v>233</v>
      </c>
      <c r="AY917" s="8" t="s">
        <v>233</v>
      </c>
      <c r="AZ917" s="7" t="s">
        <v>233</v>
      </c>
      <c r="BA917" s="7" t="s">
        <v>233</v>
      </c>
      <c r="BB917" s="7"/>
      <c r="BC917" s="4" t="s">
        <v>233</v>
      </c>
      <c r="BD917" s="8" t="s">
        <v>233</v>
      </c>
      <c r="BE917" s="4" t="s">
        <v>233</v>
      </c>
      <c r="BF917" s="8" t="s">
        <v>233</v>
      </c>
      <c r="BG917" s="7" t="s">
        <v>233</v>
      </c>
      <c r="BH917" s="7" t="s">
        <v>233</v>
      </c>
      <c r="BI917" s="7"/>
      <c r="BJ917" s="4"/>
      <c r="BK917" s="8"/>
      <c r="BL917" s="2" t="s">
        <v>233</v>
      </c>
      <c r="BM917" s="7"/>
      <c r="BN917" s="7"/>
      <c r="BO917" s="4"/>
      <c r="BP917" s="8"/>
      <c r="BQ917" s="4"/>
      <c r="BR917" s="8"/>
      <c r="BS917" s="7"/>
      <c r="BT917" s="7"/>
      <c r="BU917" s="2" t="s">
        <v>4709</v>
      </c>
      <c r="BV917" s="2" t="s">
        <v>233</v>
      </c>
      <c r="BW917" s="2" t="s">
        <v>233</v>
      </c>
      <c r="BX917" s="2" t="s">
        <v>233</v>
      </c>
      <c r="BY917" s="2" t="s">
        <v>280</v>
      </c>
      <c r="BZ917" s="2" t="s">
        <v>245</v>
      </c>
      <c r="CA917" s="2" t="s">
        <v>4198</v>
      </c>
      <c r="CB917" s="2" t="s">
        <v>4710</v>
      </c>
      <c r="CC917" s="2" t="s">
        <v>246</v>
      </c>
      <c r="CD917" s="2" t="s">
        <v>233</v>
      </c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>
        <v>132</v>
      </c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</row>
    <row r="918">
      <c r="A918" s="2" t="s">
        <v>4711</v>
      </c>
      <c r="B918" s="2" t="s">
        <v>333</v>
      </c>
      <c r="C918" s="2" t="s">
        <v>911</v>
      </c>
      <c r="D918" s="2" t="s">
        <v>335</v>
      </c>
      <c r="E918" s="2" t="s">
        <v>336</v>
      </c>
      <c r="F918" s="2" t="s">
        <v>4577</v>
      </c>
      <c r="G918" s="2" t="s">
        <v>4577</v>
      </c>
      <c r="H918" s="2" t="s">
        <v>4577</v>
      </c>
      <c r="I918" s="2" t="s">
        <v>4578</v>
      </c>
      <c r="J918" s="2" t="s">
        <v>290</v>
      </c>
      <c r="K918" s="2" t="s">
        <v>4705</v>
      </c>
      <c r="L918" s="3">
        <v>19.13</v>
      </c>
      <c r="M918" s="3">
        <v>20.09</v>
      </c>
      <c r="N918" s="3">
        <v>42.99</v>
      </c>
      <c r="O918" s="2" t="s">
        <v>245</v>
      </c>
      <c r="P918" s="2" t="s">
        <v>272</v>
      </c>
      <c r="Q918" s="2" t="s">
        <v>239</v>
      </c>
      <c r="R918" s="2" t="s">
        <v>233</v>
      </c>
      <c r="S918" s="2" t="s">
        <v>4706</v>
      </c>
      <c r="T918" s="2" t="s">
        <v>3950</v>
      </c>
      <c r="U918" s="2" t="s">
        <v>342</v>
      </c>
      <c r="V918" s="2" t="s">
        <v>1658</v>
      </c>
      <c r="W918" s="2" t="s">
        <v>275</v>
      </c>
      <c r="X918" s="2" t="s">
        <v>451</v>
      </c>
      <c r="Y918" s="2" t="s">
        <v>4198</v>
      </c>
      <c r="Z918" s="4"/>
      <c r="AA918" s="4">
        <f>=ROUNDDOWN({0},0)</f>
      </c>
      <c r="AB918" s="5">
        <v>20</v>
      </c>
      <c r="AC918" s="2" t="s">
        <v>1341</v>
      </c>
      <c r="AD918" s="4">
        <v>204</v>
      </c>
      <c r="AE918" s="4">
        <v>204</v>
      </c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233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233</v>
      </c>
      <c r="AW918" s="8" t="s">
        <v>233</v>
      </c>
      <c r="AX918" s="4" t="s">
        <v>233</v>
      </c>
      <c r="AY918" s="8" t="s">
        <v>233</v>
      </c>
      <c r="AZ918" s="7" t="s">
        <v>233</v>
      </c>
      <c r="BA918" s="7" t="s">
        <v>233</v>
      </c>
      <c r="BB918" s="7"/>
      <c r="BC918" s="4" t="s">
        <v>233</v>
      </c>
      <c r="BD918" s="8" t="s">
        <v>233</v>
      </c>
      <c r="BE918" s="4" t="s">
        <v>233</v>
      </c>
      <c r="BF918" s="8" t="s">
        <v>233</v>
      </c>
      <c r="BG918" s="7" t="s">
        <v>233</v>
      </c>
      <c r="BH918" s="7" t="s">
        <v>233</v>
      </c>
      <c r="BI918" s="7"/>
      <c r="BJ918" s="4"/>
      <c r="BK918" s="8"/>
      <c r="BL918" s="2" t="s">
        <v>4712</v>
      </c>
      <c r="BM918" s="7"/>
      <c r="BN918" s="7"/>
      <c r="BO918" s="4"/>
      <c r="BP918" s="8"/>
      <c r="BQ918" s="4"/>
      <c r="BR918" s="8"/>
      <c r="BS918" s="7"/>
      <c r="BT918" s="7"/>
      <c r="BU918" s="2" t="s">
        <v>4713</v>
      </c>
      <c r="BV918" s="2" t="s">
        <v>233</v>
      </c>
      <c r="BW918" s="2" t="s">
        <v>233</v>
      </c>
      <c r="BX918" s="2" t="s">
        <v>233</v>
      </c>
      <c r="BY918" s="2" t="s">
        <v>280</v>
      </c>
      <c r="BZ918" s="2" t="s">
        <v>245</v>
      </c>
      <c r="CA918" s="2" t="s">
        <v>4198</v>
      </c>
      <c r="CB918" s="2" t="s">
        <v>4714</v>
      </c>
      <c r="CC918" s="2" t="s">
        <v>246</v>
      </c>
      <c r="CD918" s="2" t="s">
        <v>233</v>
      </c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>
        <v>204</v>
      </c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</row>
    <row r="919">
      <c r="A919" s="2" t="s">
        <v>4715</v>
      </c>
      <c r="B919" s="2" t="s">
        <v>333</v>
      </c>
      <c r="C919" s="2" t="s">
        <v>911</v>
      </c>
      <c r="D919" s="2" t="s">
        <v>335</v>
      </c>
      <c r="E919" s="2" t="s">
        <v>336</v>
      </c>
      <c r="F919" s="2" t="s">
        <v>4577</v>
      </c>
      <c r="G919" s="2" t="s">
        <v>4577</v>
      </c>
      <c r="H919" s="2" t="s">
        <v>4577</v>
      </c>
      <c r="I919" s="2" t="s">
        <v>4578</v>
      </c>
      <c r="J919" s="2" t="s">
        <v>348</v>
      </c>
      <c r="K919" s="2" t="s">
        <v>4705</v>
      </c>
      <c r="L919" s="3">
        <v>21.27</v>
      </c>
      <c r="M919" s="3">
        <v>22.33</v>
      </c>
      <c r="N919" s="3">
        <v>47.99</v>
      </c>
      <c r="O919" s="2" t="s">
        <v>245</v>
      </c>
      <c r="P919" s="2" t="s">
        <v>272</v>
      </c>
      <c r="Q919" s="2" t="s">
        <v>239</v>
      </c>
      <c r="R919" s="2" t="s">
        <v>233</v>
      </c>
      <c r="S919" s="2" t="s">
        <v>4706</v>
      </c>
      <c r="T919" s="2" t="s">
        <v>3950</v>
      </c>
      <c r="U919" s="2" t="s">
        <v>342</v>
      </c>
      <c r="V919" s="2" t="s">
        <v>1658</v>
      </c>
      <c r="W919" s="2" t="s">
        <v>275</v>
      </c>
      <c r="X919" s="2" t="s">
        <v>451</v>
      </c>
      <c r="Y919" s="2" t="s">
        <v>4198</v>
      </c>
      <c r="Z919" s="4"/>
      <c r="AA919" s="4">
        <f>=ROUNDDOWN({0},0)</f>
      </c>
      <c r="AB919" s="5">
        <v>22</v>
      </c>
      <c r="AC919" s="2" t="s">
        <v>1341</v>
      </c>
      <c r="AD919" s="4">
        <v>225</v>
      </c>
      <c r="AE919" s="4">
        <v>225</v>
      </c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233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233</v>
      </c>
      <c r="AW919" s="8" t="s">
        <v>233</v>
      </c>
      <c r="AX919" s="4" t="s">
        <v>233</v>
      </c>
      <c r="AY919" s="8" t="s">
        <v>233</v>
      </c>
      <c r="AZ919" s="7" t="s">
        <v>233</v>
      </c>
      <c r="BA919" s="7" t="s">
        <v>233</v>
      </c>
      <c r="BB919" s="7"/>
      <c r="BC919" s="4" t="s">
        <v>233</v>
      </c>
      <c r="BD919" s="8" t="s">
        <v>233</v>
      </c>
      <c r="BE919" s="4" t="s">
        <v>233</v>
      </c>
      <c r="BF919" s="8" t="s">
        <v>233</v>
      </c>
      <c r="BG919" s="7" t="s">
        <v>233</v>
      </c>
      <c r="BH919" s="7" t="s">
        <v>233</v>
      </c>
      <c r="BI919" s="7"/>
      <c r="BJ919" s="4"/>
      <c r="BK919" s="8"/>
      <c r="BL919" s="2" t="s">
        <v>233</v>
      </c>
      <c r="BM919" s="7"/>
      <c r="BN919" s="7"/>
      <c r="BO919" s="4"/>
      <c r="BP919" s="8"/>
      <c r="BQ919" s="4"/>
      <c r="BR919" s="8"/>
      <c r="BS919" s="7"/>
      <c r="BT919" s="7"/>
      <c r="BU919" s="2" t="s">
        <v>4716</v>
      </c>
      <c r="BV919" s="2" t="s">
        <v>233</v>
      </c>
      <c r="BW919" s="2" t="s">
        <v>233</v>
      </c>
      <c r="BX919" s="2" t="s">
        <v>233</v>
      </c>
      <c r="BY919" s="2" t="s">
        <v>280</v>
      </c>
      <c r="BZ919" s="2" t="s">
        <v>245</v>
      </c>
      <c r="CA919" s="2" t="s">
        <v>4198</v>
      </c>
      <c r="CB919" s="2" t="s">
        <v>4717</v>
      </c>
      <c r="CC919" s="2" t="s">
        <v>246</v>
      </c>
      <c r="CD919" s="2" t="s">
        <v>233</v>
      </c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>
        <v>225</v>
      </c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</row>
    <row r="920">
      <c r="A920" s="2" t="s">
        <v>4718</v>
      </c>
      <c r="B920" s="2" t="s">
        <v>1066</v>
      </c>
      <c r="C920" s="2" t="s">
        <v>901</v>
      </c>
      <c r="D920" s="2" t="s">
        <v>1067</v>
      </c>
      <c r="E920" s="2" t="s">
        <v>1068</v>
      </c>
      <c r="F920" s="2" t="s">
        <v>4719</v>
      </c>
      <c r="G920" s="2" t="s">
        <v>4719</v>
      </c>
      <c r="H920" s="2" t="s">
        <v>4719</v>
      </c>
      <c r="I920" s="2" t="s">
        <v>2650</v>
      </c>
      <c r="J920" s="2" t="s">
        <v>892</v>
      </c>
      <c r="K920" s="2" t="s">
        <v>271</v>
      </c>
      <c r="L920" s="3">
        <v>261</v>
      </c>
      <c r="M920" s="3">
        <v>274.05</v>
      </c>
      <c r="N920" s="3">
        <v>549</v>
      </c>
      <c r="O920" s="2" t="s">
        <v>245</v>
      </c>
      <c r="P920" s="2" t="s">
        <v>272</v>
      </c>
      <c r="Q920" s="2" t="s">
        <v>239</v>
      </c>
      <c r="R920" s="2" t="s">
        <v>233</v>
      </c>
      <c r="S920" s="2" t="s">
        <v>4720</v>
      </c>
      <c r="T920" s="2" t="s">
        <v>233</v>
      </c>
      <c r="U920" s="2" t="s">
        <v>233</v>
      </c>
      <c r="V920" s="2" t="s">
        <v>241</v>
      </c>
      <c r="W920" s="2" t="s">
        <v>894</v>
      </c>
      <c r="X920" s="2" t="s">
        <v>233</v>
      </c>
      <c r="Y920" s="2" t="s">
        <v>648</v>
      </c>
      <c r="Z920" s="4">
        <v>146</v>
      </c>
      <c r="AA920" s="4">
        <f>=ROUNDDOWN(112.307692307692,0)</f>
      </c>
      <c r="AB920" s="5">
        <v>1.3</v>
      </c>
      <c r="AC920" s="2" t="s">
        <v>233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233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 t="s">
        <v>233</v>
      </c>
      <c r="BD920" s="8" t="s">
        <v>233</v>
      </c>
      <c r="BE920" s="4" t="s">
        <v>233</v>
      </c>
      <c r="BF920" s="8" t="s">
        <v>233</v>
      </c>
      <c r="BG920" s="7" t="s">
        <v>233</v>
      </c>
      <c r="BH920" s="7" t="s">
        <v>233</v>
      </c>
      <c r="BI920" s="7"/>
      <c r="BJ920" s="4">
        <v>5</v>
      </c>
      <c r="BK920" s="8">
        <v>1182.86</v>
      </c>
      <c r="BL920" s="2" t="s">
        <v>4721</v>
      </c>
      <c r="BM920" s="7"/>
      <c r="BN920" s="7"/>
      <c r="BO920" s="4"/>
      <c r="BP920" s="8"/>
      <c r="BQ920" s="4"/>
      <c r="BR920" s="8"/>
      <c r="BS920" s="7"/>
      <c r="BT920" s="7"/>
      <c r="BU920" s="2" t="s">
        <v>4722</v>
      </c>
      <c r="BV920" s="2" t="s">
        <v>233</v>
      </c>
      <c r="BW920" s="2" t="s">
        <v>233</v>
      </c>
      <c r="BX920" s="2" t="s">
        <v>233</v>
      </c>
      <c r="BY920" s="2" t="s">
        <v>280</v>
      </c>
      <c r="BZ920" s="2" t="s">
        <v>245</v>
      </c>
      <c r="CA920" s="2" t="s">
        <v>4292</v>
      </c>
      <c r="CB920" s="2" t="s">
        <v>412</v>
      </c>
      <c r="CC920" s="2" t="s">
        <v>246</v>
      </c>
      <c r="CD920" s="2" t="s">
        <v>233</v>
      </c>
      <c r="CE920" s="4"/>
      <c r="CF920" s="4">
        <v>146</v>
      </c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</row>
    <row r="921">
      <c r="A921" s="2" t="s">
        <v>4723</v>
      </c>
      <c r="B921" s="2" t="s">
        <v>1066</v>
      </c>
      <c r="C921" s="2" t="s">
        <v>901</v>
      </c>
      <c r="D921" s="2" t="s">
        <v>1067</v>
      </c>
      <c r="E921" s="2" t="s">
        <v>1068</v>
      </c>
      <c r="F921" s="2" t="s">
        <v>4719</v>
      </c>
      <c r="G921" s="2" t="s">
        <v>4719</v>
      </c>
      <c r="H921" s="2" t="s">
        <v>4719</v>
      </c>
      <c r="I921" s="2" t="s">
        <v>2650</v>
      </c>
      <c r="J921" s="2" t="s">
        <v>892</v>
      </c>
      <c r="K921" s="2" t="s">
        <v>853</v>
      </c>
      <c r="L921" s="3">
        <v>261</v>
      </c>
      <c r="M921" s="3">
        <v>274.05</v>
      </c>
      <c r="N921" s="3">
        <v>549</v>
      </c>
      <c r="O921" s="2" t="s">
        <v>245</v>
      </c>
      <c r="P921" s="2" t="s">
        <v>272</v>
      </c>
      <c r="Q921" s="2" t="s">
        <v>239</v>
      </c>
      <c r="R921" s="2" t="s">
        <v>233</v>
      </c>
      <c r="S921" s="2" t="s">
        <v>4724</v>
      </c>
      <c r="T921" s="2" t="s">
        <v>233</v>
      </c>
      <c r="U921" s="2" t="s">
        <v>233</v>
      </c>
      <c r="V921" s="2" t="s">
        <v>241</v>
      </c>
      <c r="W921" s="2" t="s">
        <v>894</v>
      </c>
      <c r="X921" s="2" t="s">
        <v>233</v>
      </c>
      <c r="Y921" s="2" t="s">
        <v>276</v>
      </c>
      <c r="Z921" s="4">
        <v>241</v>
      </c>
      <c r="AA921" s="4">
        <f>=ROUNDDOWN(40.1666666666667,0)</f>
      </c>
      <c r="AB921" s="5">
        <v>6</v>
      </c>
      <c r="AC921" s="2" t="s">
        <v>4725</v>
      </c>
      <c r="AD921" s="4">
        <v>100</v>
      </c>
      <c r="AE921" s="4">
        <v>100</v>
      </c>
      <c r="AF921" s="6">
        <v>65</v>
      </c>
      <c r="AG921" s="6">
        <v>48</v>
      </c>
      <c r="AH921" s="7">
        <v>1</v>
      </c>
      <c r="AI921" s="4"/>
      <c r="AJ921" s="4">
        <f>=ROUNDDOWN({0},0)</f>
      </c>
      <c r="AK921" s="5"/>
      <c r="AL921" s="2" t="s">
        <v>233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 t="s">
        <v>233</v>
      </c>
      <c r="BD921" s="8" t="s">
        <v>233</v>
      </c>
      <c r="BE921" s="4" t="s">
        <v>233</v>
      </c>
      <c r="BF921" s="8" t="s">
        <v>233</v>
      </c>
      <c r="BG921" s="7" t="s">
        <v>233</v>
      </c>
      <c r="BH921" s="7" t="s">
        <v>233</v>
      </c>
      <c r="BI921" s="7"/>
      <c r="BJ921" s="4">
        <v>17</v>
      </c>
      <c r="BK921" s="8">
        <v>4051.8</v>
      </c>
      <c r="BL921" s="2" t="s">
        <v>4726</v>
      </c>
      <c r="BM921" s="7"/>
      <c r="BN921" s="7"/>
      <c r="BO921" s="4"/>
      <c r="BP921" s="8"/>
      <c r="BQ921" s="4"/>
      <c r="BR921" s="8"/>
      <c r="BS921" s="7"/>
      <c r="BT921" s="7"/>
      <c r="BU921" s="2" t="s">
        <v>4727</v>
      </c>
      <c r="BV921" s="2" t="s">
        <v>233</v>
      </c>
      <c r="BW921" s="2" t="s">
        <v>233</v>
      </c>
      <c r="BX921" s="2" t="s">
        <v>233</v>
      </c>
      <c r="BY921" s="2" t="s">
        <v>280</v>
      </c>
      <c r="BZ921" s="2" t="s">
        <v>245</v>
      </c>
      <c r="CA921" s="2" t="s">
        <v>4264</v>
      </c>
      <c r="CB921" s="2" t="s">
        <v>4728</v>
      </c>
      <c r="CC921" s="2" t="s">
        <v>246</v>
      </c>
      <c r="CD921" s="2" t="s">
        <v>233</v>
      </c>
      <c r="CE921" s="4"/>
      <c r="CF921" s="4">
        <v>175</v>
      </c>
      <c r="CG921" s="4"/>
      <c r="CH921" s="4"/>
      <c r="CI921" s="4">
        <v>66</v>
      </c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>
        <v>100</v>
      </c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</row>
    <row r="922">
      <c r="A922" s="2" t="s">
        <v>4729</v>
      </c>
      <c r="B922" s="2" t="s">
        <v>886</v>
      </c>
      <c r="C922" s="2" t="s">
        <v>1157</v>
      </c>
      <c r="D922" s="2" t="s">
        <v>1167</v>
      </c>
      <c r="E922" s="2" t="s">
        <v>1168</v>
      </c>
      <c r="F922" s="2" t="s">
        <v>4730</v>
      </c>
      <c r="G922" s="2" t="s">
        <v>4730</v>
      </c>
      <c r="H922" s="2" t="s">
        <v>4730</v>
      </c>
      <c r="I922" s="2" t="s">
        <v>4731</v>
      </c>
      <c r="J922" s="2" t="s">
        <v>892</v>
      </c>
      <c r="K922" s="2" t="s">
        <v>297</v>
      </c>
      <c r="L922" s="3">
        <v>43.2</v>
      </c>
      <c r="M922" s="3">
        <v>45.36</v>
      </c>
      <c r="N922" s="3">
        <v>99.99</v>
      </c>
      <c r="O922" s="2" t="s">
        <v>245</v>
      </c>
      <c r="P922" s="2" t="s">
        <v>311</v>
      </c>
      <c r="Q922" s="2" t="s">
        <v>239</v>
      </c>
      <c r="R922" s="2" t="s">
        <v>233</v>
      </c>
      <c r="S922" s="2" t="s">
        <v>233</v>
      </c>
      <c r="T922" s="2" t="s">
        <v>233</v>
      </c>
      <c r="U922" s="2" t="s">
        <v>396</v>
      </c>
      <c r="V922" s="2" t="s">
        <v>893</v>
      </c>
      <c r="W922" s="2" t="s">
        <v>275</v>
      </c>
      <c r="X922" s="2" t="s">
        <v>451</v>
      </c>
      <c r="Y922" s="2" t="s">
        <v>4732</v>
      </c>
      <c r="Z922" s="4">
        <v>65</v>
      </c>
      <c r="AA922" s="4">
        <f>=ROUNDDOWN(325,0)</f>
      </c>
      <c r="AB922" s="5">
        <v>0.2</v>
      </c>
      <c r="AC922" s="2" t="s">
        <v>233</v>
      </c>
      <c r="AD922" s="4"/>
      <c r="AE922" s="4"/>
      <c r="AF922" s="6">
        <v>63</v>
      </c>
      <c r="AG922" s="6"/>
      <c r="AH922" s="7">
        <v>1</v>
      </c>
      <c r="AI922" s="4"/>
      <c r="AJ922" s="4">
        <f>=ROUNDDOWN({0},0)</f>
      </c>
      <c r="AK922" s="5"/>
      <c r="AL922" s="2" t="s">
        <v>233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>
        <v>5</v>
      </c>
      <c r="BK922" s="8">
        <v>280.42</v>
      </c>
      <c r="BL922" s="2" t="s">
        <v>4733</v>
      </c>
      <c r="BM922" s="7"/>
      <c r="BN922" s="7"/>
      <c r="BO922" s="4"/>
      <c r="BP922" s="8"/>
      <c r="BQ922" s="4"/>
      <c r="BR922" s="8"/>
      <c r="BS922" s="7"/>
      <c r="BT922" s="7"/>
      <c r="BU922" s="2" t="s">
        <v>4734</v>
      </c>
      <c r="BV922" s="2" t="s">
        <v>233</v>
      </c>
      <c r="BW922" s="2" t="s">
        <v>233</v>
      </c>
      <c r="BX922" s="2" t="s">
        <v>233</v>
      </c>
      <c r="BY922" s="2" t="s">
        <v>280</v>
      </c>
      <c r="BZ922" s="2" t="s">
        <v>245</v>
      </c>
      <c r="CA922" s="2" t="s">
        <v>4735</v>
      </c>
      <c r="CB922" s="2" t="s">
        <v>4736</v>
      </c>
      <c r="CC922" s="2" t="s">
        <v>246</v>
      </c>
      <c r="CD922" s="2" t="s">
        <v>233</v>
      </c>
      <c r="CE922" s="4"/>
      <c r="CF922" s="4">
        <v>65</v>
      </c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</row>
    <row r="923">
      <c r="A923" s="2" t="s">
        <v>4737</v>
      </c>
      <c r="B923" s="2" t="s">
        <v>1242</v>
      </c>
      <c r="C923" s="2" t="s">
        <v>530</v>
      </c>
      <c r="D923" s="2" t="s">
        <v>912</v>
      </c>
      <c r="E923" s="2" t="s">
        <v>1139</v>
      </c>
      <c r="F923" s="2" t="s">
        <v>4738</v>
      </c>
      <c r="G923" s="2" t="s">
        <v>4739</v>
      </c>
      <c r="H923" s="2" t="s">
        <v>4740</v>
      </c>
      <c r="I923" s="2" t="s">
        <v>4741</v>
      </c>
      <c r="J923" s="2" t="s">
        <v>1142</v>
      </c>
      <c r="K923" s="2" t="s">
        <v>4742</v>
      </c>
      <c r="L923" s="3">
        <v>36.57</v>
      </c>
      <c r="M923" s="3">
        <v>38.4</v>
      </c>
      <c r="N923" s="3">
        <v>79.99</v>
      </c>
      <c r="O923" s="2" t="s">
        <v>245</v>
      </c>
      <c r="P923" s="2" t="s">
        <v>238</v>
      </c>
      <c r="Q923" s="2" t="s">
        <v>239</v>
      </c>
      <c r="R923" s="2" t="s">
        <v>233</v>
      </c>
      <c r="S923" s="2" t="s">
        <v>4743</v>
      </c>
      <c r="T923" s="2" t="s">
        <v>341</v>
      </c>
      <c r="U923" s="2" t="s">
        <v>475</v>
      </c>
      <c r="V923" s="2" t="s">
        <v>1272</v>
      </c>
      <c r="W923" s="2" t="s">
        <v>894</v>
      </c>
      <c r="X923" s="2" t="s">
        <v>397</v>
      </c>
      <c r="Y923" s="2" t="s">
        <v>2953</v>
      </c>
      <c r="Z923" s="4">
        <v>201</v>
      </c>
      <c r="AA923" s="4">
        <f>=ROUNDDOWN(33.5,0)</f>
      </c>
      <c r="AB923" s="5">
        <v>6</v>
      </c>
      <c r="AC923" s="2" t="s">
        <v>233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233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>
        <v>4</v>
      </c>
      <c r="BK923" s="8">
        <v>164.73</v>
      </c>
      <c r="BL923" s="2" t="s">
        <v>4744</v>
      </c>
      <c r="BM923" s="7"/>
      <c r="BN923" s="7"/>
      <c r="BO923" s="4"/>
      <c r="BP923" s="8"/>
      <c r="BQ923" s="4"/>
      <c r="BR923" s="8"/>
      <c r="BS923" s="7"/>
      <c r="BT923" s="7"/>
      <c r="BU923" s="2" t="s">
        <v>4745</v>
      </c>
      <c r="BV923" s="2" t="s">
        <v>233</v>
      </c>
      <c r="BW923" s="2" t="s">
        <v>233</v>
      </c>
      <c r="BX923" s="2" t="s">
        <v>243</v>
      </c>
      <c r="BY923" s="2" t="s">
        <v>280</v>
      </c>
      <c r="BZ923" s="2" t="s">
        <v>245</v>
      </c>
      <c r="CA923" s="2" t="s">
        <v>4746</v>
      </c>
      <c r="CB923" s="2" t="s">
        <v>2762</v>
      </c>
      <c r="CC923" s="2" t="s">
        <v>246</v>
      </c>
      <c r="CD923" s="2" t="s">
        <v>233</v>
      </c>
      <c r="CE923" s="4">
        <v>201</v>
      </c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</row>
    <row r="924">
      <c r="A924" s="2" t="s">
        <v>4747</v>
      </c>
      <c r="B924" s="2" t="s">
        <v>1414</v>
      </c>
      <c r="C924" s="2" t="s">
        <v>530</v>
      </c>
      <c r="D924" s="2" t="s">
        <v>1414</v>
      </c>
      <c r="E924" s="2" t="s">
        <v>1414</v>
      </c>
      <c r="F924" s="2" t="s">
        <v>4748</v>
      </c>
      <c r="G924" s="2" t="s">
        <v>4749</v>
      </c>
      <c r="H924" s="2" t="s">
        <v>4750</v>
      </c>
      <c r="I924" s="2" t="s">
        <v>4751</v>
      </c>
      <c r="J924" s="2" t="s">
        <v>4752</v>
      </c>
      <c r="K924" s="2" t="s">
        <v>4753</v>
      </c>
      <c r="L924" s="3">
        <v>28.39</v>
      </c>
      <c r="M924" s="3">
        <v>29.81</v>
      </c>
      <c r="N924" s="3">
        <v>64.99</v>
      </c>
      <c r="O924" s="2" t="s">
        <v>245</v>
      </c>
      <c r="P924" s="2" t="s">
        <v>311</v>
      </c>
      <c r="Q924" s="2" t="s">
        <v>239</v>
      </c>
      <c r="R924" s="2" t="s">
        <v>233</v>
      </c>
      <c r="S924" s="2" t="s">
        <v>233</v>
      </c>
      <c r="T924" s="2" t="s">
        <v>233</v>
      </c>
      <c r="U924" s="2" t="s">
        <v>396</v>
      </c>
      <c r="V924" s="2" t="s">
        <v>1085</v>
      </c>
      <c r="W924" s="2" t="s">
        <v>451</v>
      </c>
      <c r="X924" s="2" t="s">
        <v>233</v>
      </c>
      <c r="Y924" s="2" t="s">
        <v>3075</v>
      </c>
      <c r="Z924" s="4">
        <v>21</v>
      </c>
      <c r="AA924" s="4">
        <f>=ROUNDDOWN(70,0)</f>
      </c>
      <c r="AB924" s="5">
        <v>0.3</v>
      </c>
      <c r="AC924" s="2" t="s">
        <v>233</v>
      </c>
      <c r="AD924" s="4"/>
      <c r="AE924" s="4"/>
      <c r="AF924" s="6">
        <v>63</v>
      </c>
      <c r="AG924" s="6"/>
      <c r="AH924" s="7">
        <v>1</v>
      </c>
      <c r="AI924" s="4"/>
      <c r="AJ924" s="4">
        <f>=ROUNDDOWN({0},0)</f>
      </c>
      <c r="AK924" s="5"/>
      <c r="AL924" s="2" t="s">
        <v>233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233</v>
      </c>
      <c r="AW924" s="8" t="s">
        <v>233</v>
      </c>
      <c r="AX924" s="4" t="s">
        <v>233</v>
      </c>
      <c r="AY924" s="8" t="s">
        <v>233</v>
      </c>
      <c r="AZ924" s="7" t="s">
        <v>233</v>
      </c>
      <c r="BA924" s="7" t="s">
        <v>233</v>
      </c>
      <c r="BB924" s="7"/>
      <c r="BC924" s="4" t="s">
        <v>233</v>
      </c>
      <c r="BD924" s="8" t="s">
        <v>233</v>
      </c>
      <c r="BE924" s="4" t="s">
        <v>233</v>
      </c>
      <c r="BF924" s="8" t="s">
        <v>233</v>
      </c>
      <c r="BG924" s="7" t="s">
        <v>233</v>
      </c>
      <c r="BH924" s="7" t="s">
        <v>233</v>
      </c>
      <c r="BI924" s="7"/>
      <c r="BJ924" s="4"/>
      <c r="BK924" s="8"/>
      <c r="BL924" s="2" t="s">
        <v>469</v>
      </c>
      <c r="BM924" s="7"/>
      <c r="BN924" s="7"/>
      <c r="BO924" s="4"/>
      <c r="BP924" s="8"/>
      <c r="BQ924" s="4"/>
      <c r="BR924" s="8"/>
      <c r="BS924" s="7"/>
      <c r="BT924" s="7"/>
      <c r="BU924" s="2" t="s">
        <v>4754</v>
      </c>
      <c r="BV924" s="2" t="s">
        <v>233</v>
      </c>
      <c r="BW924" s="2" t="s">
        <v>233</v>
      </c>
      <c r="BX924" s="2" t="s">
        <v>233</v>
      </c>
      <c r="BY924" s="2" t="s">
        <v>280</v>
      </c>
      <c r="BZ924" s="2" t="s">
        <v>245</v>
      </c>
      <c r="CA924" s="2" t="s">
        <v>1404</v>
      </c>
      <c r="CB924" s="2" t="s">
        <v>233</v>
      </c>
      <c r="CC924" s="2" t="s">
        <v>246</v>
      </c>
      <c r="CD924" s="2" t="s">
        <v>233</v>
      </c>
      <c r="CE924" s="4"/>
      <c r="CF924" s="4">
        <v>21</v>
      </c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</row>
    <row r="925">
      <c r="A925" s="2" t="s">
        <v>4755</v>
      </c>
      <c r="B925" s="2" t="s">
        <v>1414</v>
      </c>
      <c r="C925" s="2" t="s">
        <v>530</v>
      </c>
      <c r="D925" s="2" t="s">
        <v>1414</v>
      </c>
      <c r="E925" s="2" t="s">
        <v>1414</v>
      </c>
      <c r="F925" s="2" t="s">
        <v>4748</v>
      </c>
      <c r="G925" s="2" t="s">
        <v>4749</v>
      </c>
      <c r="H925" s="2" t="s">
        <v>4750</v>
      </c>
      <c r="I925" s="2" t="s">
        <v>4751</v>
      </c>
      <c r="J925" s="2" t="s">
        <v>1418</v>
      </c>
      <c r="K925" s="2" t="s">
        <v>4753</v>
      </c>
      <c r="L925" s="3">
        <v>50.36</v>
      </c>
      <c r="M925" s="3">
        <v>52.88</v>
      </c>
      <c r="N925" s="3">
        <v>114.99</v>
      </c>
      <c r="O925" s="2" t="s">
        <v>245</v>
      </c>
      <c r="P925" s="2" t="s">
        <v>311</v>
      </c>
      <c r="Q925" s="2" t="s">
        <v>239</v>
      </c>
      <c r="R925" s="2" t="s">
        <v>233</v>
      </c>
      <c r="S925" s="2" t="s">
        <v>233</v>
      </c>
      <c r="T925" s="2" t="s">
        <v>233</v>
      </c>
      <c r="U925" s="2" t="s">
        <v>396</v>
      </c>
      <c r="V925" s="2" t="s">
        <v>1085</v>
      </c>
      <c r="W925" s="2" t="s">
        <v>776</v>
      </c>
      <c r="X925" s="2" t="s">
        <v>233</v>
      </c>
      <c r="Y925" s="2" t="s">
        <v>4756</v>
      </c>
      <c r="Z925" s="4">
        <v>55</v>
      </c>
      <c r="AA925" s="4">
        <f>=ROUNDDOWN(110,0)</f>
      </c>
      <c r="AB925" s="5">
        <v>0.5</v>
      </c>
      <c r="AC925" s="2" t="s">
        <v>233</v>
      </c>
      <c r="AD925" s="4"/>
      <c r="AE925" s="4"/>
      <c r="AF925" s="6">
        <v>63</v>
      </c>
      <c r="AG925" s="6"/>
      <c r="AH925" s="7">
        <v>1</v>
      </c>
      <c r="AI925" s="4"/>
      <c r="AJ925" s="4">
        <f>=ROUNDDOWN({0},0)</f>
      </c>
      <c r="AK925" s="5"/>
      <c r="AL925" s="2" t="s">
        <v>233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233</v>
      </c>
      <c r="AW925" s="8" t="s">
        <v>233</v>
      </c>
      <c r="AX925" s="4" t="s">
        <v>233</v>
      </c>
      <c r="AY925" s="8" t="s">
        <v>233</v>
      </c>
      <c r="AZ925" s="7" t="s">
        <v>233</v>
      </c>
      <c r="BA925" s="7" t="s">
        <v>233</v>
      </c>
      <c r="BB925" s="7"/>
      <c r="BC925" s="4" t="s">
        <v>233</v>
      </c>
      <c r="BD925" s="8" t="s">
        <v>233</v>
      </c>
      <c r="BE925" s="4" t="s">
        <v>233</v>
      </c>
      <c r="BF925" s="8" t="s">
        <v>233</v>
      </c>
      <c r="BG925" s="7" t="s">
        <v>233</v>
      </c>
      <c r="BH925" s="7" t="s">
        <v>233</v>
      </c>
      <c r="BI925" s="7"/>
      <c r="BJ925" s="4">
        <v>3</v>
      </c>
      <c r="BK925" s="8">
        <v>189.33</v>
      </c>
      <c r="BL925" s="2" t="s">
        <v>4757</v>
      </c>
      <c r="BM925" s="7"/>
      <c r="BN925" s="7"/>
      <c r="BO925" s="4"/>
      <c r="BP925" s="8"/>
      <c r="BQ925" s="4"/>
      <c r="BR925" s="8"/>
      <c r="BS925" s="7"/>
      <c r="BT925" s="7"/>
      <c r="BU925" s="2" t="s">
        <v>4758</v>
      </c>
      <c r="BV925" s="2" t="s">
        <v>233</v>
      </c>
      <c r="BW925" s="2" t="s">
        <v>233</v>
      </c>
      <c r="BX925" s="2" t="s">
        <v>233</v>
      </c>
      <c r="BY925" s="2" t="s">
        <v>280</v>
      </c>
      <c r="BZ925" s="2" t="s">
        <v>245</v>
      </c>
      <c r="CA925" s="2" t="s">
        <v>4759</v>
      </c>
      <c r="CB925" s="2" t="s">
        <v>233</v>
      </c>
      <c r="CC925" s="2" t="s">
        <v>246</v>
      </c>
      <c r="CD925" s="2" t="s">
        <v>233</v>
      </c>
      <c r="CE925" s="4"/>
      <c r="CF925" s="4">
        <v>55</v>
      </c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</row>
    <row r="926">
      <c r="A926" s="2" t="s">
        <v>4760</v>
      </c>
      <c r="B926" s="2" t="s">
        <v>1414</v>
      </c>
      <c r="C926" s="2" t="s">
        <v>530</v>
      </c>
      <c r="D926" s="2" t="s">
        <v>1414</v>
      </c>
      <c r="E926" s="2" t="s">
        <v>1414</v>
      </c>
      <c r="F926" s="2" t="s">
        <v>4748</v>
      </c>
      <c r="G926" s="2" t="s">
        <v>4749</v>
      </c>
      <c r="H926" s="2" t="s">
        <v>4750</v>
      </c>
      <c r="I926" s="2" t="s">
        <v>4751</v>
      </c>
      <c r="J926" s="2" t="s">
        <v>1426</v>
      </c>
      <c r="K926" s="2" t="s">
        <v>4753</v>
      </c>
      <c r="L926" s="3">
        <v>77.01</v>
      </c>
      <c r="M926" s="3">
        <v>80.86</v>
      </c>
      <c r="N926" s="3">
        <v>174.99</v>
      </c>
      <c r="O926" s="2" t="s">
        <v>245</v>
      </c>
      <c r="P926" s="2" t="s">
        <v>311</v>
      </c>
      <c r="Q926" s="2" t="s">
        <v>239</v>
      </c>
      <c r="R926" s="2" t="s">
        <v>233</v>
      </c>
      <c r="S926" s="2" t="s">
        <v>233</v>
      </c>
      <c r="T926" s="2" t="s">
        <v>233</v>
      </c>
      <c r="U926" s="2" t="s">
        <v>396</v>
      </c>
      <c r="V926" s="2" t="s">
        <v>1085</v>
      </c>
      <c r="W926" s="2" t="s">
        <v>451</v>
      </c>
      <c r="X926" s="2" t="s">
        <v>233</v>
      </c>
      <c r="Y926" s="2" t="s">
        <v>3075</v>
      </c>
      <c r="Z926" s="4">
        <v>82</v>
      </c>
      <c r="AA926" s="4">
        <f>=ROUNDDOWN(82,0)</f>
      </c>
      <c r="AB926" s="5">
        <v>1</v>
      </c>
      <c r="AC926" s="2" t="s">
        <v>233</v>
      </c>
      <c r="AD926" s="4"/>
      <c r="AE926" s="4"/>
      <c r="AF926" s="6">
        <v>63</v>
      </c>
      <c r="AG926" s="6"/>
      <c r="AH926" s="7">
        <v>1</v>
      </c>
      <c r="AI926" s="4"/>
      <c r="AJ926" s="4">
        <f>=ROUNDDOWN({0},0)</f>
      </c>
      <c r="AK926" s="5"/>
      <c r="AL926" s="2" t="s">
        <v>233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233</v>
      </c>
      <c r="AW926" s="8" t="s">
        <v>233</v>
      </c>
      <c r="AX926" s="4" t="s">
        <v>233</v>
      </c>
      <c r="AY926" s="8" t="s">
        <v>233</v>
      </c>
      <c r="AZ926" s="7" t="s">
        <v>233</v>
      </c>
      <c r="BA926" s="7" t="s">
        <v>233</v>
      </c>
      <c r="BB926" s="7"/>
      <c r="BC926" s="4" t="s">
        <v>233</v>
      </c>
      <c r="BD926" s="8" t="s">
        <v>233</v>
      </c>
      <c r="BE926" s="4" t="s">
        <v>233</v>
      </c>
      <c r="BF926" s="8" t="s">
        <v>233</v>
      </c>
      <c r="BG926" s="7" t="s">
        <v>233</v>
      </c>
      <c r="BH926" s="7" t="s">
        <v>233</v>
      </c>
      <c r="BI926" s="7"/>
      <c r="BJ926" s="4"/>
      <c r="BK926" s="8"/>
      <c r="BL926" s="2" t="s">
        <v>4761</v>
      </c>
      <c r="BM926" s="7"/>
      <c r="BN926" s="7"/>
      <c r="BO926" s="4"/>
      <c r="BP926" s="8"/>
      <c r="BQ926" s="4"/>
      <c r="BR926" s="8"/>
      <c r="BS926" s="7"/>
      <c r="BT926" s="7"/>
      <c r="BU926" s="2" t="s">
        <v>4762</v>
      </c>
      <c r="BV926" s="2" t="s">
        <v>233</v>
      </c>
      <c r="BW926" s="2" t="s">
        <v>233</v>
      </c>
      <c r="BX926" s="2" t="s">
        <v>233</v>
      </c>
      <c r="BY926" s="2" t="s">
        <v>280</v>
      </c>
      <c r="BZ926" s="2" t="s">
        <v>245</v>
      </c>
      <c r="CA926" s="2" t="s">
        <v>1404</v>
      </c>
      <c r="CB926" s="2" t="s">
        <v>2272</v>
      </c>
      <c r="CC926" s="2" t="s">
        <v>246</v>
      </c>
      <c r="CD926" s="2" t="s">
        <v>233</v>
      </c>
      <c r="CE926" s="4"/>
      <c r="CF926" s="4">
        <v>82</v>
      </c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</row>
    <row r="927">
      <c r="A927" s="2" t="s">
        <v>4763</v>
      </c>
      <c r="B927" s="2" t="s">
        <v>1414</v>
      </c>
      <c r="C927" s="2" t="s">
        <v>530</v>
      </c>
      <c r="D927" s="2" t="s">
        <v>1414</v>
      </c>
      <c r="E927" s="2" t="s">
        <v>1414</v>
      </c>
      <c r="F927" s="2" t="s">
        <v>4748</v>
      </c>
      <c r="G927" s="2" t="s">
        <v>4749</v>
      </c>
      <c r="H927" s="2" t="s">
        <v>4750</v>
      </c>
      <c r="I927" s="2" t="s">
        <v>4751</v>
      </c>
      <c r="J927" s="2" t="s">
        <v>1808</v>
      </c>
      <c r="K927" s="2" t="s">
        <v>4753</v>
      </c>
      <c r="L927" s="3">
        <v>107.72</v>
      </c>
      <c r="M927" s="3">
        <v>113.11</v>
      </c>
      <c r="N927" s="3">
        <v>239.99</v>
      </c>
      <c r="O927" s="2" t="s">
        <v>245</v>
      </c>
      <c r="P927" s="2" t="s">
        <v>311</v>
      </c>
      <c r="Q927" s="2" t="s">
        <v>239</v>
      </c>
      <c r="R927" s="2" t="s">
        <v>233</v>
      </c>
      <c r="S927" s="2" t="s">
        <v>233</v>
      </c>
      <c r="T927" s="2" t="s">
        <v>233</v>
      </c>
      <c r="U927" s="2" t="s">
        <v>396</v>
      </c>
      <c r="V927" s="2" t="s">
        <v>1085</v>
      </c>
      <c r="W927" s="2" t="s">
        <v>776</v>
      </c>
      <c r="X927" s="2" t="s">
        <v>233</v>
      </c>
      <c r="Y927" s="2" t="s">
        <v>4756</v>
      </c>
      <c r="Z927" s="4">
        <v>487</v>
      </c>
      <c r="AA927" s="4">
        <f>=ROUNDDOWN({0},0)</f>
      </c>
      <c r="AB927" s="5"/>
      <c r="AC927" s="2" t="s">
        <v>233</v>
      </c>
      <c r="AD927" s="4"/>
      <c r="AE927" s="4"/>
      <c r="AF927" s="6">
        <v>63</v>
      </c>
      <c r="AG927" s="6"/>
      <c r="AH927" s="7">
        <v>1</v>
      </c>
      <c r="AI927" s="4"/>
      <c r="AJ927" s="4">
        <f>=ROUNDDOWN({0},0)</f>
      </c>
      <c r="AK927" s="5"/>
      <c r="AL927" s="2" t="s">
        <v>233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233</v>
      </c>
      <c r="AW927" s="8" t="s">
        <v>233</v>
      </c>
      <c r="AX927" s="4" t="s">
        <v>233</v>
      </c>
      <c r="AY927" s="8" t="s">
        <v>233</v>
      </c>
      <c r="AZ927" s="7" t="s">
        <v>233</v>
      </c>
      <c r="BA927" s="7" t="s">
        <v>233</v>
      </c>
      <c r="BB927" s="7"/>
      <c r="BC927" s="4" t="s">
        <v>233</v>
      </c>
      <c r="BD927" s="8" t="s">
        <v>233</v>
      </c>
      <c r="BE927" s="4" t="s">
        <v>233</v>
      </c>
      <c r="BF927" s="8" t="s">
        <v>233</v>
      </c>
      <c r="BG927" s="7" t="s">
        <v>233</v>
      </c>
      <c r="BH927" s="7" t="s">
        <v>233</v>
      </c>
      <c r="BI927" s="7"/>
      <c r="BJ927" s="4"/>
      <c r="BK927" s="8"/>
      <c r="BL927" s="2" t="s">
        <v>4764</v>
      </c>
      <c r="BM927" s="7"/>
      <c r="BN927" s="7"/>
      <c r="BO927" s="4"/>
      <c r="BP927" s="8"/>
      <c r="BQ927" s="4"/>
      <c r="BR927" s="8"/>
      <c r="BS927" s="7"/>
      <c r="BT927" s="7"/>
      <c r="BU927" s="2" t="s">
        <v>4765</v>
      </c>
      <c r="BV927" s="2" t="s">
        <v>233</v>
      </c>
      <c r="BW927" s="2" t="s">
        <v>233</v>
      </c>
      <c r="BX927" s="2" t="s">
        <v>233</v>
      </c>
      <c r="BY927" s="2" t="s">
        <v>280</v>
      </c>
      <c r="BZ927" s="2" t="s">
        <v>245</v>
      </c>
      <c r="CA927" s="2" t="s">
        <v>4759</v>
      </c>
      <c r="CB927" s="2" t="s">
        <v>4766</v>
      </c>
      <c r="CC927" s="2" t="s">
        <v>246</v>
      </c>
      <c r="CD927" s="2" t="s">
        <v>233</v>
      </c>
      <c r="CE927" s="4"/>
      <c r="CF927" s="4">
        <v>487</v>
      </c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</row>
    <row r="928">
      <c r="A928" s="2" t="s">
        <v>4767</v>
      </c>
      <c r="B928" s="2" t="s">
        <v>1414</v>
      </c>
      <c r="C928" s="2" t="s">
        <v>530</v>
      </c>
      <c r="D928" s="2" t="s">
        <v>1414</v>
      </c>
      <c r="E928" s="2" t="s">
        <v>1414</v>
      </c>
      <c r="F928" s="2" t="s">
        <v>4748</v>
      </c>
      <c r="G928" s="2" t="s">
        <v>4749</v>
      </c>
      <c r="H928" s="2" t="s">
        <v>4750</v>
      </c>
      <c r="I928" s="2" t="s">
        <v>4751</v>
      </c>
      <c r="J928" s="2" t="s">
        <v>4752</v>
      </c>
      <c r="K928" s="2" t="s">
        <v>4768</v>
      </c>
      <c r="L928" s="3">
        <v>28.39</v>
      </c>
      <c r="M928" s="3">
        <v>29.81</v>
      </c>
      <c r="N928" s="3">
        <v>64.99</v>
      </c>
      <c r="O928" s="2" t="s">
        <v>245</v>
      </c>
      <c r="P928" s="2" t="s">
        <v>311</v>
      </c>
      <c r="Q928" s="2" t="s">
        <v>239</v>
      </c>
      <c r="R928" s="2" t="s">
        <v>233</v>
      </c>
      <c r="S928" s="2" t="s">
        <v>233</v>
      </c>
      <c r="T928" s="2" t="s">
        <v>233</v>
      </c>
      <c r="U928" s="2" t="s">
        <v>396</v>
      </c>
      <c r="V928" s="2" t="s">
        <v>1085</v>
      </c>
      <c r="W928" s="2" t="s">
        <v>451</v>
      </c>
      <c r="X928" s="2" t="s">
        <v>233</v>
      </c>
      <c r="Y928" s="2" t="s">
        <v>3075</v>
      </c>
      <c r="Z928" s="4">
        <v>25</v>
      </c>
      <c r="AA928" s="4">
        <f>=ROUNDDOWN(50,0)</f>
      </c>
      <c r="AB928" s="5">
        <v>0.5</v>
      </c>
      <c r="AC928" s="2" t="s">
        <v>233</v>
      </c>
      <c r="AD928" s="4"/>
      <c r="AE928" s="4"/>
      <c r="AF928" s="6">
        <v>63</v>
      </c>
      <c r="AG928" s="6"/>
      <c r="AH928" s="7">
        <v>1</v>
      </c>
      <c r="AI928" s="4"/>
      <c r="AJ928" s="4">
        <f>=ROUNDDOWN({0},0)</f>
      </c>
      <c r="AK928" s="5"/>
      <c r="AL928" s="2" t="s">
        <v>233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233</v>
      </c>
      <c r="AW928" s="8" t="s">
        <v>233</v>
      </c>
      <c r="AX928" s="4" t="s">
        <v>233</v>
      </c>
      <c r="AY928" s="8" t="s">
        <v>233</v>
      </c>
      <c r="AZ928" s="7" t="s">
        <v>233</v>
      </c>
      <c r="BA928" s="7" t="s">
        <v>233</v>
      </c>
      <c r="BB928" s="7"/>
      <c r="BC928" s="4" t="s">
        <v>233</v>
      </c>
      <c r="BD928" s="8" t="s">
        <v>233</v>
      </c>
      <c r="BE928" s="4" t="s">
        <v>233</v>
      </c>
      <c r="BF928" s="8" t="s">
        <v>233</v>
      </c>
      <c r="BG928" s="7" t="s">
        <v>233</v>
      </c>
      <c r="BH928" s="7" t="s">
        <v>233</v>
      </c>
      <c r="BI928" s="7"/>
      <c r="BJ928" s="4">
        <v>2</v>
      </c>
      <c r="BK928" s="8">
        <v>50.08</v>
      </c>
      <c r="BL928" s="2" t="s">
        <v>3076</v>
      </c>
      <c r="BM928" s="7"/>
      <c r="BN928" s="7"/>
      <c r="BO928" s="4"/>
      <c r="BP928" s="8"/>
      <c r="BQ928" s="4"/>
      <c r="BR928" s="8"/>
      <c r="BS928" s="7"/>
      <c r="BT928" s="7"/>
      <c r="BU928" s="2" t="s">
        <v>4769</v>
      </c>
      <c r="BV928" s="2" t="s">
        <v>233</v>
      </c>
      <c r="BW928" s="2" t="s">
        <v>233</v>
      </c>
      <c r="BX928" s="2" t="s">
        <v>233</v>
      </c>
      <c r="BY928" s="2" t="s">
        <v>280</v>
      </c>
      <c r="BZ928" s="2" t="s">
        <v>245</v>
      </c>
      <c r="CA928" s="2" t="s">
        <v>1404</v>
      </c>
      <c r="CB928" s="2" t="s">
        <v>4770</v>
      </c>
      <c r="CC928" s="2" t="s">
        <v>246</v>
      </c>
      <c r="CD928" s="2" t="s">
        <v>233</v>
      </c>
      <c r="CE928" s="4"/>
      <c r="CF928" s="4">
        <v>25</v>
      </c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</row>
    <row r="929">
      <c r="A929" s="2" t="s">
        <v>4771</v>
      </c>
      <c r="B929" s="2" t="s">
        <v>1414</v>
      </c>
      <c r="C929" s="2" t="s">
        <v>530</v>
      </c>
      <c r="D929" s="2" t="s">
        <v>1414</v>
      </c>
      <c r="E929" s="2" t="s">
        <v>1414</v>
      </c>
      <c r="F929" s="2" t="s">
        <v>4748</v>
      </c>
      <c r="G929" s="2" t="s">
        <v>4749</v>
      </c>
      <c r="H929" s="2" t="s">
        <v>4750</v>
      </c>
      <c r="I929" s="2" t="s">
        <v>4751</v>
      </c>
      <c r="J929" s="2" t="s">
        <v>1418</v>
      </c>
      <c r="K929" s="2" t="s">
        <v>4768</v>
      </c>
      <c r="L929" s="3">
        <v>50.36</v>
      </c>
      <c r="M929" s="3">
        <v>52.88</v>
      </c>
      <c r="N929" s="3">
        <v>114.99</v>
      </c>
      <c r="O929" s="2" t="s">
        <v>245</v>
      </c>
      <c r="P929" s="2" t="s">
        <v>311</v>
      </c>
      <c r="Q929" s="2" t="s">
        <v>239</v>
      </c>
      <c r="R929" s="2" t="s">
        <v>233</v>
      </c>
      <c r="S929" s="2" t="s">
        <v>233</v>
      </c>
      <c r="T929" s="2" t="s">
        <v>233</v>
      </c>
      <c r="U929" s="2" t="s">
        <v>396</v>
      </c>
      <c r="V929" s="2" t="s">
        <v>1085</v>
      </c>
      <c r="W929" s="2" t="s">
        <v>451</v>
      </c>
      <c r="X929" s="2" t="s">
        <v>233</v>
      </c>
      <c r="Y929" s="2" t="s">
        <v>3075</v>
      </c>
      <c r="Z929" s="4">
        <v>79</v>
      </c>
      <c r="AA929" s="4">
        <f>=ROUNDDOWN(65.8333333333333,0)</f>
      </c>
      <c r="AB929" s="5">
        <v>1.2</v>
      </c>
      <c r="AC929" s="2" t="s">
        <v>233</v>
      </c>
      <c r="AD929" s="4"/>
      <c r="AE929" s="4"/>
      <c r="AF929" s="6">
        <v>63</v>
      </c>
      <c r="AG929" s="6"/>
      <c r="AH929" s="7">
        <v>1</v>
      </c>
      <c r="AI929" s="4"/>
      <c r="AJ929" s="4">
        <f>=ROUNDDOWN({0},0)</f>
      </c>
      <c r="AK929" s="5"/>
      <c r="AL929" s="2" t="s">
        <v>233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233</v>
      </c>
      <c r="AW929" s="8" t="s">
        <v>233</v>
      </c>
      <c r="AX929" s="4" t="s">
        <v>233</v>
      </c>
      <c r="AY929" s="8" t="s">
        <v>233</v>
      </c>
      <c r="AZ929" s="7" t="s">
        <v>233</v>
      </c>
      <c r="BA929" s="7" t="s">
        <v>233</v>
      </c>
      <c r="BB929" s="7"/>
      <c r="BC929" s="4" t="s">
        <v>233</v>
      </c>
      <c r="BD929" s="8" t="s">
        <v>233</v>
      </c>
      <c r="BE929" s="4" t="s">
        <v>233</v>
      </c>
      <c r="BF929" s="8" t="s">
        <v>233</v>
      </c>
      <c r="BG929" s="7" t="s">
        <v>233</v>
      </c>
      <c r="BH929" s="7" t="s">
        <v>233</v>
      </c>
      <c r="BI929" s="7"/>
      <c r="BJ929" s="4"/>
      <c r="BK929" s="8"/>
      <c r="BL929" s="2" t="s">
        <v>4772</v>
      </c>
      <c r="BM929" s="7"/>
      <c r="BN929" s="7"/>
      <c r="BO929" s="4"/>
      <c r="BP929" s="8"/>
      <c r="BQ929" s="4"/>
      <c r="BR929" s="8"/>
      <c r="BS929" s="7"/>
      <c r="BT929" s="7"/>
      <c r="BU929" s="2" t="s">
        <v>4773</v>
      </c>
      <c r="BV929" s="2" t="s">
        <v>233</v>
      </c>
      <c r="BW929" s="2" t="s">
        <v>233</v>
      </c>
      <c r="BX929" s="2" t="s">
        <v>233</v>
      </c>
      <c r="BY929" s="2" t="s">
        <v>280</v>
      </c>
      <c r="BZ929" s="2" t="s">
        <v>245</v>
      </c>
      <c r="CA929" s="2" t="s">
        <v>1404</v>
      </c>
      <c r="CB929" s="2" t="s">
        <v>2872</v>
      </c>
      <c r="CC929" s="2" t="s">
        <v>246</v>
      </c>
      <c r="CD929" s="2" t="s">
        <v>233</v>
      </c>
      <c r="CE929" s="4"/>
      <c r="CF929" s="4">
        <v>79</v>
      </c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</row>
    <row r="930">
      <c r="A930" s="2" t="s">
        <v>4774</v>
      </c>
      <c r="B930" s="2" t="s">
        <v>1414</v>
      </c>
      <c r="C930" s="2" t="s">
        <v>530</v>
      </c>
      <c r="D930" s="2" t="s">
        <v>1414</v>
      </c>
      <c r="E930" s="2" t="s">
        <v>1414</v>
      </c>
      <c r="F930" s="2" t="s">
        <v>4748</v>
      </c>
      <c r="G930" s="2" t="s">
        <v>4749</v>
      </c>
      <c r="H930" s="2" t="s">
        <v>4750</v>
      </c>
      <c r="I930" s="2" t="s">
        <v>4751</v>
      </c>
      <c r="J930" s="2" t="s">
        <v>1426</v>
      </c>
      <c r="K930" s="2" t="s">
        <v>4768</v>
      </c>
      <c r="L930" s="3">
        <v>77.01</v>
      </c>
      <c r="M930" s="3">
        <v>80.86</v>
      </c>
      <c r="N930" s="3">
        <v>174.99</v>
      </c>
      <c r="O930" s="2" t="s">
        <v>245</v>
      </c>
      <c r="P930" s="2" t="s">
        <v>311</v>
      </c>
      <c r="Q930" s="2" t="s">
        <v>239</v>
      </c>
      <c r="R930" s="2" t="s">
        <v>233</v>
      </c>
      <c r="S930" s="2" t="s">
        <v>233</v>
      </c>
      <c r="T930" s="2" t="s">
        <v>233</v>
      </c>
      <c r="U930" s="2" t="s">
        <v>396</v>
      </c>
      <c r="V930" s="2" t="s">
        <v>1085</v>
      </c>
      <c r="W930" s="2" t="s">
        <v>451</v>
      </c>
      <c r="X930" s="2" t="s">
        <v>233</v>
      </c>
      <c r="Y930" s="2" t="s">
        <v>3075</v>
      </c>
      <c r="Z930" s="4">
        <v>33</v>
      </c>
      <c r="AA930" s="4">
        <f>=ROUNDDOWN(27.5,0)</f>
      </c>
      <c r="AB930" s="5">
        <v>1.2</v>
      </c>
      <c r="AC930" s="2" t="s">
        <v>233</v>
      </c>
      <c r="AD930" s="4"/>
      <c r="AE930" s="4"/>
      <c r="AF930" s="6">
        <v>63</v>
      </c>
      <c r="AG930" s="6"/>
      <c r="AH930" s="7">
        <v>1</v>
      </c>
      <c r="AI930" s="4"/>
      <c r="AJ930" s="4">
        <f>=ROUNDDOWN({0},0)</f>
      </c>
      <c r="AK930" s="5"/>
      <c r="AL930" s="2" t="s">
        <v>233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233</v>
      </c>
      <c r="AW930" s="8" t="s">
        <v>233</v>
      </c>
      <c r="AX930" s="4" t="s">
        <v>233</v>
      </c>
      <c r="AY930" s="8" t="s">
        <v>233</v>
      </c>
      <c r="AZ930" s="7" t="s">
        <v>233</v>
      </c>
      <c r="BA930" s="7" t="s">
        <v>233</v>
      </c>
      <c r="BB930" s="7"/>
      <c r="BC930" s="4" t="s">
        <v>233</v>
      </c>
      <c r="BD930" s="8" t="s">
        <v>233</v>
      </c>
      <c r="BE930" s="4" t="s">
        <v>233</v>
      </c>
      <c r="BF930" s="8" t="s">
        <v>233</v>
      </c>
      <c r="BG930" s="7" t="s">
        <v>233</v>
      </c>
      <c r="BH930" s="7" t="s">
        <v>233</v>
      </c>
      <c r="BI930" s="7"/>
      <c r="BJ930" s="4">
        <v>1</v>
      </c>
      <c r="BK930" s="8">
        <v>88.56</v>
      </c>
      <c r="BL930" s="2" t="s">
        <v>4775</v>
      </c>
      <c r="BM930" s="7"/>
      <c r="BN930" s="7"/>
      <c r="BO930" s="4"/>
      <c r="BP930" s="8"/>
      <c r="BQ930" s="4"/>
      <c r="BR930" s="8"/>
      <c r="BS930" s="7"/>
      <c r="BT930" s="7"/>
      <c r="BU930" s="2" t="s">
        <v>4776</v>
      </c>
      <c r="BV930" s="2" t="s">
        <v>233</v>
      </c>
      <c r="BW930" s="2" t="s">
        <v>233</v>
      </c>
      <c r="BX930" s="2" t="s">
        <v>233</v>
      </c>
      <c r="BY930" s="2" t="s">
        <v>280</v>
      </c>
      <c r="BZ930" s="2" t="s">
        <v>245</v>
      </c>
      <c r="CA930" s="2" t="s">
        <v>1404</v>
      </c>
      <c r="CB930" s="2" t="s">
        <v>4777</v>
      </c>
      <c r="CC930" s="2" t="s">
        <v>246</v>
      </c>
      <c r="CD930" s="2" t="s">
        <v>233</v>
      </c>
      <c r="CE930" s="4"/>
      <c r="CF930" s="4">
        <v>33</v>
      </c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</row>
    <row r="931">
      <c r="A931" s="2" t="s">
        <v>4778</v>
      </c>
      <c r="B931" s="2" t="s">
        <v>1414</v>
      </c>
      <c r="C931" s="2" t="s">
        <v>530</v>
      </c>
      <c r="D931" s="2" t="s">
        <v>1414</v>
      </c>
      <c r="E931" s="2" t="s">
        <v>1414</v>
      </c>
      <c r="F931" s="2" t="s">
        <v>4748</v>
      </c>
      <c r="G931" s="2" t="s">
        <v>4749</v>
      </c>
      <c r="H931" s="2" t="s">
        <v>4750</v>
      </c>
      <c r="I931" s="2" t="s">
        <v>4751</v>
      </c>
      <c r="J931" s="2" t="s">
        <v>1808</v>
      </c>
      <c r="K931" s="2" t="s">
        <v>4768</v>
      </c>
      <c r="L931" s="3">
        <v>107.72</v>
      </c>
      <c r="M931" s="3">
        <v>113.11</v>
      </c>
      <c r="N931" s="3">
        <v>239.99</v>
      </c>
      <c r="O931" s="2" t="s">
        <v>245</v>
      </c>
      <c r="P931" s="2" t="s">
        <v>311</v>
      </c>
      <c r="Q931" s="2" t="s">
        <v>239</v>
      </c>
      <c r="R931" s="2" t="s">
        <v>233</v>
      </c>
      <c r="S931" s="2" t="s">
        <v>233</v>
      </c>
      <c r="T931" s="2" t="s">
        <v>233</v>
      </c>
      <c r="U931" s="2" t="s">
        <v>396</v>
      </c>
      <c r="V931" s="2" t="s">
        <v>1085</v>
      </c>
      <c r="W931" s="2" t="s">
        <v>451</v>
      </c>
      <c r="X931" s="2" t="s">
        <v>233</v>
      </c>
      <c r="Y931" s="2" t="s">
        <v>3075</v>
      </c>
      <c r="Z931" s="4">
        <v>495</v>
      </c>
      <c r="AA931" s="4">
        <f>=ROUNDDOWN(115.116279069767,0)</f>
      </c>
      <c r="AB931" s="5">
        <v>4.3</v>
      </c>
      <c r="AC931" s="2" t="s">
        <v>233</v>
      </c>
      <c r="AD931" s="4"/>
      <c r="AE931" s="4"/>
      <c r="AF931" s="6">
        <v>63</v>
      </c>
      <c r="AG931" s="6"/>
      <c r="AH931" s="7">
        <v>1</v>
      </c>
      <c r="AI931" s="4"/>
      <c r="AJ931" s="4">
        <f>=ROUNDDOWN({0},0)</f>
      </c>
      <c r="AK931" s="5"/>
      <c r="AL931" s="2" t="s">
        <v>233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233</v>
      </c>
      <c r="AW931" s="8" t="s">
        <v>233</v>
      </c>
      <c r="AX931" s="4" t="s">
        <v>233</v>
      </c>
      <c r="AY931" s="8" t="s">
        <v>233</v>
      </c>
      <c r="AZ931" s="7" t="s">
        <v>233</v>
      </c>
      <c r="BA931" s="7" t="s">
        <v>233</v>
      </c>
      <c r="BB931" s="7"/>
      <c r="BC931" s="4" t="s">
        <v>233</v>
      </c>
      <c r="BD931" s="8" t="s">
        <v>233</v>
      </c>
      <c r="BE931" s="4" t="s">
        <v>233</v>
      </c>
      <c r="BF931" s="8" t="s">
        <v>233</v>
      </c>
      <c r="BG931" s="7" t="s">
        <v>233</v>
      </c>
      <c r="BH931" s="7" t="s">
        <v>233</v>
      </c>
      <c r="BI931" s="7"/>
      <c r="BJ931" s="4">
        <v>4</v>
      </c>
      <c r="BK931" s="8">
        <v>296.9</v>
      </c>
      <c r="BL931" s="2" t="s">
        <v>2057</v>
      </c>
      <c r="BM931" s="7"/>
      <c r="BN931" s="7"/>
      <c r="BO931" s="4"/>
      <c r="BP931" s="8"/>
      <c r="BQ931" s="4"/>
      <c r="BR931" s="8"/>
      <c r="BS931" s="7"/>
      <c r="BT931" s="7"/>
      <c r="BU931" s="2" t="s">
        <v>4779</v>
      </c>
      <c r="BV931" s="2" t="s">
        <v>233</v>
      </c>
      <c r="BW931" s="2" t="s">
        <v>233</v>
      </c>
      <c r="BX931" s="2" t="s">
        <v>233</v>
      </c>
      <c r="BY931" s="2" t="s">
        <v>280</v>
      </c>
      <c r="BZ931" s="2" t="s">
        <v>245</v>
      </c>
      <c r="CA931" s="2" t="s">
        <v>1404</v>
      </c>
      <c r="CB931" s="2" t="s">
        <v>1357</v>
      </c>
      <c r="CC931" s="2" t="s">
        <v>246</v>
      </c>
      <c r="CD931" s="2" t="s">
        <v>233</v>
      </c>
      <c r="CE931" s="4"/>
      <c r="CF931" s="4">
        <v>495</v>
      </c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</row>
    <row r="932">
      <c r="A932" s="2" t="s">
        <v>4780</v>
      </c>
      <c r="B932" s="2" t="s">
        <v>1066</v>
      </c>
      <c r="C932" s="2" t="s">
        <v>1157</v>
      </c>
      <c r="D932" s="2" t="s">
        <v>1067</v>
      </c>
      <c r="E932" s="2" t="s">
        <v>2543</v>
      </c>
      <c r="F932" s="2" t="s">
        <v>4781</v>
      </c>
      <c r="G932" s="2" t="s">
        <v>4781</v>
      </c>
      <c r="H932" s="2" t="s">
        <v>4781</v>
      </c>
      <c r="I932" s="2" t="s">
        <v>4782</v>
      </c>
      <c r="J932" s="2" t="s">
        <v>892</v>
      </c>
      <c r="K932" s="2" t="s">
        <v>2358</v>
      </c>
      <c r="L932" s="3">
        <v>112.1</v>
      </c>
      <c r="M932" s="3">
        <v>117.7</v>
      </c>
      <c r="N932" s="3">
        <v>239</v>
      </c>
      <c r="O932" s="2" t="s">
        <v>245</v>
      </c>
      <c r="P932" s="2" t="s">
        <v>311</v>
      </c>
      <c r="Q932" s="2" t="s">
        <v>239</v>
      </c>
      <c r="R932" s="2" t="s">
        <v>233</v>
      </c>
      <c r="S932" s="2" t="s">
        <v>233</v>
      </c>
      <c r="T932" s="2" t="s">
        <v>233</v>
      </c>
      <c r="U932" s="2" t="s">
        <v>396</v>
      </c>
      <c r="V932" s="2" t="s">
        <v>893</v>
      </c>
      <c r="W932" s="2" t="s">
        <v>451</v>
      </c>
      <c r="X932" s="2" t="s">
        <v>397</v>
      </c>
      <c r="Y932" s="2" t="s">
        <v>3578</v>
      </c>
      <c r="Z932" s="4"/>
      <c r="AA932" s="4">
        <f>=ROUNDDOWN({0},0)</f>
      </c>
      <c r="AB932" s="5">
        <v>4</v>
      </c>
      <c r="AC932" s="2" t="s">
        <v>233</v>
      </c>
      <c r="AD932" s="4"/>
      <c r="AE932" s="4"/>
      <c r="AF932" s="6">
        <v>74</v>
      </c>
      <c r="AG932" s="6"/>
      <c r="AH932" s="7">
        <v>0.0968</v>
      </c>
      <c r="AI932" s="4"/>
      <c r="AJ932" s="4">
        <f>=ROUNDDOWN({0},0)</f>
      </c>
      <c r="AK932" s="5"/>
      <c r="AL932" s="2" t="s">
        <v>233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 t="s">
        <v>233</v>
      </c>
      <c r="BD932" s="8" t="s">
        <v>233</v>
      </c>
      <c r="BE932" s="4" t="s">
        <v>233</v>
      </c>
      <c r="BF932" s="8" t="s">
        <v>233</v>
      </c>
      <c r="BG932" s="7" t="s">
        <v>233</v>
      </c>
      <c r="BH932" s="7" t="s">
        <v>233</v>
      </c>
      <c r="BI932" s="7"/>
      <c r="BJ932" s="4">
        <v>1</v>
      </c>
      <c r="BK932" s="8">
        <v>138.77</v>
      </c>
      <c r="BL932" s="2" t="s">
        <v>469</v>
      </c>
      <c r="BM932" s="7"/>
      <c r="BN932" s="7"/>
      <c r="BO932" s="4"/>
      <c r="BP932" s="8"/>
      <c r="BQ932" s="4"/>
      <c r="BR932" s="8"/>
      <c r="BS932" s="7"/>
      <c r="BT932" s="7"/>
      <c r="BU932" s="2" t="s">
        <v>243</v>
      </c>
      <c r="BV932" s="2" t="s">
        <v>233</v>
      </c>
      <c r="BW932" s="2" t="s">
        <v>233</v>
      </c>
      <c r="BX932" s="2" t="s">
        <v>243</v>
      </c>
      <c r="BY932" s="2" t="s">
        <v>2514</v>
      </c>
      <c r="BZ932" s="2" t="s">
        <v>245</v>
      </c>
      <c r="CA932" s="2" t="s">
        <v>233</v>
      </c>
      <c r="CB932" s="2" t="s">
        <v>233</v>
      </c>
      <c r="CC932" s="2" t="s">
        <v>246</v>
      </c>
      <c r="CD932" s="2" t="s">
        <v>233</v>
      </c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</row>
    <row r="933">
      <c r="A933" s="2" t="s">
        <v>4783</v>
      </c>
      <c r="B933" s="2" t="s">
        <v>1066</v>
      </c>
      <c r="C933" s="2" t="s">
        <v>1157</v>
      </c>
      <c r="D933" s="2" t="s">
        <v>1067</v>
      </c>
      <c r="E933" s="2" t="s">
        <v>2543</v>
      </c>
      <c r="F933" s="2" t="s">
        <v>4781</v>
      </c>
      <c r="G933" s="2" t="s">
        <v>4781</v>
      </c>
      <c r="H933" s="2" t="s">
        <v>4781</v>
      </c>
      <c r="I933" s="2" t="s">
        <v>4782</v>
      </c>
      <c r="J933" s="2" t="s">
        <v>892</v>
      </c>
      <c r="K933" s="2" t="s">
        <v>1191</v>
      </c>
      <c r="L933" s="3">
        <v>112.1</v>
      </c>
      <c r="M933" s="3">
        <v>117.7</v>
      </c>
      <c r="N933" s="3">
        <v>239</v>
      </c>
      <c r="O933" s="2" t="s">
        <v>245</v>
      </c>
      <c r="P933" s="2" t="s">
        <v>238</v>
      </c>
      <c r="Q933" s="2" t="s">
        <v>239</v>
      </c>
      <c r="R933" s="2" t="s">
        <v>233</v>
      </c>
      <c r="S933" s="2" t="s">
        <v>233</v>
      </c>
      <c r="T933" s="2" t="s">
        <v>233</v>
      </c>
      <c r="U933" s="2" t="s">
        <v>396</v>
      </c>
      <c r="V933" s="2" t="s">
        <v>893</v>
      </c>
      <c r="W933" s="2" t="s">
        <v>451</v>
      </c>
      <c r="X933" s="2" t="s">
        <v>397</v>
      </c>
      <c r="Y933" s="2" t="s">
        <v>2467</v>
      </c>
      <c r="Z933" s="4">
        <v>100</v>
      </c>
      <c r="AA933" s="4">
        <f>=ROUNDDOWN(25,0)</f>
      </c>
      <c r="AB933" s="5">
        <v>4</v>
      </c>
      <c r="AC933" s="2" t="s">
        <v>233</v>
      </c>
      <c r="AD933" s="4"/>
      <c r="AE933" s="4"/>
      <c r="AF933" s="6">
        <v>74</v>
      </c>
      <c r="AG933" s="6"/>
      <c r="AH933" s="7">
        <v>1</v>
      </c>
      <c r="AI933" s="4"/>
      <c r="AJ933" s="4">
        <f>=ROUNDDOWN({0},0)</f>
      </c>
      <c r="AK933" s="5"/>
      <c r="AL933" s="2" t="s">
        <v>233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 t="s">
        <v>233</v>
      </c>
      <c r="BD933" s="8" t="s">
        <v>233</v>
      </c>
      <c r="BE933" s="4" t="s">
        <v>233</v>
      </c>
      <c r="BF933" s="8" t="s">
        <v>233</v>
      </c>
      <c r="BG933" s="7" t="s">
        <v>233</v>
      </c>
      <c r="BH933" s="7" t="s">
        <v>233</v>
      </c>
      <c r="BI933" s="7"/>
      <c r="BJ933" s="4"/>
      <c r="BK933" s="8"/>
      <c r="BL933" s="2" t="s">
        <v>233</v>
      </c>
      <c r="BM933" s="7"/>
      <c r="BN933" s="7"/>
      <c r="BO933" s="4"/>
      <c r="BP933" s="8"/>
      <c r="BQ933" s="4"/>
      <c r="BR933" s="8"/>
      <c r="BS933" s="7"/>
      <c r="BT933" s="7"/>
      <c r="BU933" s="2" t="s">
        <v>243</v>
      </c>
      <c r="BV933" s="2" t="s">
        <v>233</v>
      </c>
      <c r="BW933" s="2" t="s">
        <v>233</v>
      </c>
      <c r="BX933" s="2" t="s">
        <v>243</v>
      </c>
      <c r="BY933" s="2" t="s">
        <v>2514</v>
      </c>
      <c r="BZ933" s="2" t="s">
        <v>245</v>
      </c>
      <c r="CA933" s="2" t="s">
        <v>233</v>
      </c>
      <c r="CB933" s="2" t="s">
        <v>233</v>
      </c>
      <c r="CC933" s="2" t="s">
        <v>246</v>
      </c>
      <c r="CD933" s="2" t="s">
        <v>233</v>
      </c>
      <c r="CE933" s="4"/>
      <c r="CF933" s="4">
        <v>100</v>
      </c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</row>
    <row r="934">
      <c r="A934" s="2" t="s">
        <v>4784</v>
      </c>
      <c r="B934" s="2" t="s">
        <v>1066</v>
      </c>
      <c r="C934" s="2" t="s">
        <v>1157</v>
      </c>
      <c r="D934" s="2" t="s">
        <v>1067</v>
      </c>
      <c r="E934" s="2" t="s">
        <v>2543</v>
      </c>
      <c r="F934" s="2" t="s">
        <v>4781</v>
      </c>
      <c r="G934" s="2" t="s">
        <v>4781</v>
      </c>
      <c r="H934" s="2" t="s">
        <v>4781</v>
      </c>
      <c r="I934" s="2" t="s">
        <v>4782</v>
      </c>
      <c r="J934" s="2" t="s">
        <v>892</v>
      </c>
      <c r="K934" s="2" t="s">
        <v>4785</v>
      </c>
      <c r="L934" s="3">
        <v>112.1</v>
      </c>
      <c r="M934" s="3">
        <v>117.7</v>
      </c>
      <c r="N934" s="3">
        <v>239</v>
      </c>
      <c r="O934" s="2" t="s">
        <v>245</v>
      </c>
      <c r="P934" s="2" t="s">
        <v>238</v>
      </c>
      <c r="Q934" s="2" t="s">
        <v>239</v>
      </c>
      <c r="R934" s="2" t="s">
        <v>233</v>
      </c>
      <c r="S934" s="2" t="s">
        <v>233</v>
      </c>
      <c r="T934" s="2" t="s">
        <v>233</v>
      </c>
      <c r="U934" s="2" t="s">
        <v>396</v>
      </c>
      <c r="V934" s="2" t="s">
        <v>893</v>
      </c>
      <c r="W934" s="2" t="s">
        <v>451</v>
      </c>
      <c r="X934" s="2" t="s">
        <v>397</v>
      </c>
      <c r="Y934" s="2" t="s">
        <v>4786</v>
      </c>
      <c r="Z934" s="4">
        <v>100</v>
      </c>
      <c r="AA934" s="4">
        <f>=ROUNDDOWN(16.6666666666667,0)</f>
      </c>
      <c r="AB934" s="5">
        <v>6</v>
      </c>
      <c r="AC934" s="2" t="s">
        <v>4787</v>
      </c>
      <c r="AD934" s="4">
        <v>100</v>
      </c>
      <c r="AE934" s="4">
        <v>100</v>
      </c>
      <c r="AF934" s="6">
        <v>74</v>
      </c>
      <c r="AG934" s="6"/>
      <c r="AH934" s="7">
        <v>1</v>
      </c>
      <c r="AI934" s="4"/>
      <c r="AJ934" s="4">
        <f>=ROUNDDOWN({0},0)</f>
      </c>
      <c r="AK934" s="5"/>
      <c r="AL934" s="2" t="s">
        <v>233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 t="s">
        <v>233</v>
      </c>
      <c r="BD934" s="8" t="s">
        <v>233</v>
      </c>
      <c r="BE934" s="4" t="s">
        <v>233</v>
      </c>
      <c r="BF934" s="8" t="s">
        <v>233</v>
      </c>
      <c r="BG934" s="7" t="s">
        <v>233</v>
      </c>
      <c r="BH934" s="7" t="s">
        <v>233</v>
      </c>
      <c r="BI934" s="7"/>
      <c r="BJ934" s="4"/>
      <c r="BK934" s="8"/>
      <c r="BL934" s="2" t="s">
        <v>233</v>
      </c>
      <c r="BM934" s="7"/>
      <c r="BN934" s="7"/>
      <c r="BO934" s="4"/>
      <c r="BP934" s="8"/>
      <c r="BQ934" s="4"/>
      <c r="BR934" s="8"/>
      <c r="BS934" s="7"/>
      <c r="BT934" s="7"/>
      <c r="BU934" s="2" t="s">
        <v>4788</v>
      </c>
      <c r="BV934" s="2" t="s">
        <v>233</v>
      </c>
      <c r="BW934" s="2" t="s">
        <v>233</v>
      </c>
      <c r="BX934" s="2" t="s">
        <v>243</v>
      </c>
      <c r="BY934" s="2" t="s">
        <v>280</v>
      </c>
      <c r="BZ934" s="2" t="s">
        <v>245</v>
      </c>
      <c r="CA934" s="2" t="s">
        <v>1580</v>
      </c>
      <c r="CB934" s="2" t="s">
        <v>233</v>
      </c>
      <c r="CC934" s="2" t="s">
        <v>246</v>
      </c>
      <c r="CD934" s="2" t="s">
        <v>233</v>
      </c>
      <c r="CE934" s="4"/>
      <c r="CF934" s="4">
        <v>100</v>
      </c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>
        <v>100</v>
      </c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</row>
    <row r="935">
      <c r="A935" s="2" t="s">
        <v>4789</v>
      </c>
      <c r="B935" s="2" t="s">
        <v>1066</v>
      </c>
      <c r="C935" s="2" t="s">
        <v>1157</v>
      </c>
      <c r="D935" s="2" t="s">
        <v>1067</v>
      </c>
      <c r="E935" s="2" t="s">
        <v>2543</v>
      </c>
      <c r="F935" s="2" t="s">
        <v>4781</v>
      </c>
      <c r="G935" s="2" t="s">
        <v>4781</v>
      </c>
      <c r="H935" s="2" t="s">
        <v>4781</v>
      </c>
      <c r="I935" s="2" t="s">
        <v>4782</v>
      </c>
      <c r="J935" s="2" t="s">
        <v>892</v>
      </c>
      <c r="K935" s="2" t="s">
        <v>255</v>
      </c>
      <c r="L935" s="3">
        <v>112.1</v>
      </c>
      <c r="M935" s="3">
        <v>117.7</v>
      </c>
      <c r="N935" s="3">
        <v>239</v>
      </c>
      <c r="O935" s="2" t="s">
        <v>245</v>
      </c>
      <c r="P935" s="2" t="s">
        <v>238</v>
      </c>
      <c r="Q935" s="2" t="s">
        <v>239</v>
      </c>
      <c r="R935" s="2" t="s">
        <v>233</v>
      </c>
      <c r="S935" s="2" t="s">
        <v>233</v>
      </c>
      <c r="T935" s="2" t="s">
        <v>233</v>
      </c>
      <c r="U935" s="2" t="s">
        <v>396</v>
      </c>
      <c r="V935" s="2" t="s">
        <v>893</v>
      </c>
      <c r="W935" s="2" t="s">
        <v>451</v>
      </c>
      <c r="X935" s="2" t="s">
        <v>397</v>
      </c>
      <c r="Y935" s="2" t="s">
        <v>3578</v>
      </c>
      <c r="Z935" s="4">
        <v>42</v>
      </c>
      <c r="AA935" s="4">
        <f>=ROUNDDOWN(21,0)</f>
      </c>
      <c r="AB935" s="5">
        <v>2</v>
      </c>
      <c r="AC935" s="2" t="s">
        <v>233</v>
      </c>
      <c r="AD935" s="4"/>
      <c r="AE935" s="4"/>
      <c r="AF935" s="6">
        <v>74</v>
      </c>
      <c r="AG935" s="6"/>
      <c r="AH935" s="7">
        <v>1</v>
      </c>
      <c r="AI935" s="4"/>
      <c r="AJ935" s="4">
        <f>=ROUNDDOWN({0},0)</f>
      </c>
      <c r="AK935" s="5"/>
      <c r="AL935" s="2" t="s">
        <v>233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 t="s">
        <v>233</v>
      </c>
      <c r="BD935" s="8" t="s">
        <v>233</v>
      </c>
      <c r="BE935" s="4" t="s">
        <v>233</v>
      </c>
      <c r="BF935" s="8" t="s">
        <v>233</v>
      </c>
      <c r="BG935" s="7" t="s">
        <v>233</v>
      </c>
      <c r="BH935" s="7" t="s">
        <v>233</v>
      </c>
      <c r="BI935" s="7"/>
      <c r="BJ935" s="4"/>
      <c r="BK935" s="8"/>
      <c r="BL935" s="2" t="s">
        <v>233</v>
      </c>
      <c r="BM935" s="7"/>
      <c r="BN935" s="7"/>
      <c r="BO935" s="4"/>
      <c r="BP935" s="8"/>
      <c r="BQ935" s="4"/>
      <c r="BR935" s="8"/>
      <c r="BS935" s="7"/>
      <c r="BT935" s="7"/>
      <c r="BU935" s="2" t="s">
        <v>4790</v>
      </c>
      <c r="BV935" s="2" t="s">
        <v>233</v>
      </c>
      <c r="BW935" s="2" t="s">
        <v>233</v>
      </c>
      <c r="BX935" s="2" t="s">
        <v>243</v>
      </c>
      <c r="BY935" s="2" t="s">
        <v>280</v>
      </c>
      <c r="BZ935" s="2" t="s">
        <v>245</v>
      </c>
      <c r="CA935" s="2" t="s">
        <v>3543</v>
      </c>
      <c r="CB935" s="2" t="s">
        <v>1675</v>
      </c>
      <c r="CC935" s="2" t="s">
        <v>246</v>
      </c>
      <c r="CD935" s="2" t="s">
        <v>233</v>
      </c>
      <c r="CE935" s="4"/>
      <c r="CF935" s="4">
        <v>42</v>
      </c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</row>
    <row r="936">
      <c r="A936" s="2" t="s">
        <v>4791</v>
      </c>
      <c r="B936" s="2" t="s">
        <v>1066</v>
      </c>
      <c r="C936" s="2" t="s">
        <v>1157</v>
      </c>
      <c r="D936" s="2" t="s">
        <v>1067</v>
      </c>
      <c r="E936" s="2" t="s">
        <v>2543</v>
      </c>
      <c r="F936" s="2" t="s">
        <v>4781</v>
      </c>
      <c r="G936" s="2" t="s">
        <v>4781</v>
      </c>
      <c r="H936" s="2" t="s">
        <v>4781</v>
      </c>
      <c r="I936" s="2" t="s">
        <v>4782</v>
      </c>
      <c r="J936" s="2" t="s">
        <v>892</v>
      </c>
      <c r="K936" s="2" t="s">
        <v>4792</v>
      </c>
      <c r="L936" s="3">
        <v>112.1</v>
      </c>
      <c r="M936" s="3">
        <v>117.7</v>
      </c>
      <c r="N936" s="3">
        <v>239</v>
      </c>
      <c r="O936" s="2" t="s">
        <v>245</v>
      </c>
      <c r="P936" s="2" t="s">
        <v>238</v>
      </c>
      <c r="Q936" s="2" t="s">
        <v>239</v>
      </c>
      <c r="R936" s="2" t="s">
        <v>233</v>
      </c>
      <c r="S936" s="2" t="s">
        <v>233</v>
      </c>
      <c r="T936" s="2" t="s">
        <v>233</v>
      </c>
      <c r="U936" s="2" t="s">
        <v>396</v>
      </c>
      <c r="V936" s="2" t="s">
        <v>893</v>
      </c>
      <c r="W936" s="2" t="s">
        <v>451</v>
      </c>
      <c r="X936" s="2" t="s">
        <v>397</v>
      </c>
      <c r="Y936" s="2" t="s">
        <v>4793</v>
      </c>
      <c r="Z936" s="4">
        <v>80</v>
      </c>
      <c r="AA936" s="4">
        <f>=ROUNDDOWN(40,0)</f>
      </c>
      <c r="AB936" s="5">
        <v>2</v>
      </c>
      <c r="AC936" s="2" t="s">
        <v>233</v>
      </c>
      <c r="AD936" s="4"/>
      <c r="AE936" s="4"/>
      <c r="AF936" s="6">
        <v>74</v>
      </c>
      <c r="AG936" s="6"/>
      <c r="AH936" s="7">
        <v>1</v>
      </c>
      <c r="AI936" s="4"/>
      <c r="AJ936" s="4">
        <f>=ROUNDDOWN({0},0)</f>
      </c>
      <c r="AK936" s="5"/>
      <c r="AL936" s="2" t="s">
        <v>233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233</v>
      </c>
      <c r="BD936" s="8" t="s">
        <v>233</v>
      </c>
      <c r="BE936" s="4" t="s">
        <v>233</v>
      </c>
      <c r="BF936" s="8" t="s">
        <v>233</v>
      </c>
      <c r="BG936" s="7" t="s">
        <v>233</v>
      </c>
      <c r="BH936" s="7" t="s">
        <v>233</v>
      </c>
      <c r="BI936" s="7"/>
      <c r="BJ936" s="4"/>
      <c r="BK936" s="8"/>
      <c r="BL936" s="2" t="s">
        <v>233</v>
      </c>
      <c r="BM936" s="7"/>
      <c r="BN936" s="7"/>
      <c r="BO936" s="4"/>
      <c r="BP936" s="8"/>
      <c r="BQ936" s="4"/>
      <c r="BR936" s="8"/>
      <c r="BS936" s="7"/>
      <c r="BT936" s="7"/>
      <c r="BU936" s="2" t="s">
        <v>4794</v>
      </c>
      <c r="BV936" s="2" t="s">
        <v>233</v>
      </c>
      <c r="BW936" s="2" t="s">
        <v>233</v>
      </c>
      <c r="BX936" s="2" t="s">
        <v>243</v>
      </c>
      <c r="BY936" s="2" t="s">
        <v>280</v>
      </c>
      <c r="BZ936" s="2" t="s">
        <v>245</v>
      </c>
      <c r="CA936" s="2" t="s">
        <v>1580</v>
      </c>
      <c r="CB936" s="2" t="s">
        <v>233</v>
      </c>
      <c r="CC936" s="2" t="s">
        <v>246</v>
      </c>
      <c r="CD936" s="2" t="s">
        <v>233</v>
      </c>
      <c r="CE936" s="4"/>
      <c r="CF936" s="4">
        <v>80</v>
      </c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</row>
    <row r="937">
      <c r="A937" s="2" t="s">
        <v>4795</v>
      </c>
      <c r="B937" s="2" t="s">
        <v>1066</v>
      </c>
      <c r="C937" s="2" t="s">
        <v>1157</v>
      </c>
      <c r="D937" s="2" t="s">
        <v>1067</v>
      </c>
      <c r="E937" s="2" t="s">
        <v>2543</v>
      </c>
      <c r="F937" s="2" t="s">
        <v>4781</v>
      </c>
      <c r="G937" s="2" t="s">
        <v>4781</v>
      </c>
      <c r="H937" s="2" t="s">
        <v>4781</v>
      </c>
      <c r="I937" s="2" t="s">
        <v>4782</v>
      </c>
      <c r="J937" s="2" t="s">
        <v>892</v>
      </c>
      <c r="K937" s="2" t="s">
        <v>4796</v>
      </c>
      <c r="L937" s="3">
        <v>112.1</v>
      </c>
      <c r="M937" s="3">
        <v>117.7</v>
      </c>
      <c r="N937" s="3">
        <v>239</v>
      </c>
      <c r="O937" s="2" t="s">
        <v>245</v>
      </c>
      <c r="P937" s="2" t="s">
        <v>311</v>
      </c>
      <c r="Q937" s="2" t="s">
        <v>239</v>
      </c>
      <c r="R937" s="2" t="s">
        <v>233</v>
      </c>
      <c r="S937" s="2" t="s">
        <v>233</v>
      </c>
      <c r="T937" s="2" t="s">
        <v>233</v>
      </c>
      <c r="U937" s="2" t="s">
        <v>396</v>
      </c>
      <c r="V937" s="2" t="s">
        <v>893</v>
      </c>
      <c r="W937" s="2" t="s">
        <v>451</v>
      </c>
      <c r="X937" s="2" t="s">
        <v>397</v>
      </c>
      <c r="Y937" s="2" t="s">
        <v>3578</v>
      </c>
      <c r="Z937" s="4"/>
      <c r="AA937" s="4">
        <f>=ROUNDDOWN({0},0)</f>
      </c>
      <c r="AB937" s="5">
        <v>6</v>
      </c>
      <c r="AC937" s="2" t="s">
        <v>233</v>
      </c>
      <c r="AD937" s="4"/>
      <c r="AE937" s="4"/>
      <c r="AF937" s="6">
        <v>74</v>
      </c>
      <c r="AG937" s="6"/>
      <c r="AH937" s="7">
        <v>0.6452</v>
      </c>
      <c r="AI937" s="4"/>
      <c r="AJ937" s="4">
        <f>=ROUNDDOWN({0},0)</f>
      </c>
      <c r="AK937" s="5"/>
      <c r="AL937" s="2" t="s">
        <v>233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233</v>
      </c>
      <c r="BD937" s="8" t="s">
        <v>233</v>
      </c>
      <c r="BE937" s="4" t="s">
        <v>233</v>
      </c>
      <c r="BF937" s="8" t="s">
        <v>233</v>
      </c>
      <c r="BG937" s="7" t="s">
        <v>233</v>
      </c>
      <c r="BH937" s="7" t="s">
        <v>233</v>
      </c>
      <c r="BI937" s="7"/>
      <c r="BJ937" s="4">
        <v>1</v>
      </c>
      <c r="BK937" s="8">
        <v>121.24</v>
      </c>
      <c r="BL937" s="2" t="s">
        <v>1028</v>
      </c>
      <c r="BM937" s="7"/>
      <c r="BN937" s="7"/>
      <c r="BO937" s="4"/>
      <c r="BP937" s="8"/>
      <c r="BQ937" s="4"/>
      <c r="BR937" s="8"/>
      <c r="BS937" s="7"/>
      <c r="BT937" s="7"/>
      <c r="BU937" s="2" t="s">
        <v>4797</v>
      </c>
      <c r="BV937" s="2" t="s">
        <v>233</v>
      </c>
      <c r="BW937" s="2" t="s">
        <v>233</v>
      </c>
      <c r="BX937" s="2" t="s">
        <v>243</v>
      </c>
      <c r="BY937" s="2" t="s">
        <v>280</v>
      </c>
      <c r="BZ937" s="2" t="s">
        <v>245</v>
      </c>
      <c r="CA937" s="2" t="s">
        <v>3543</v>
      </c>
      <c r="CB937" s="2" t="s">
        <v>4777</v>
      </c>
      <c r="CC937" s="2" t="s">
        <v>246</v>
      </c>
      <c r="CD937" s="2" t="s">
        <v>233</v>
      </c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</row>
    <row r="938">
      <c r="A938" s="2" t="s">
        <v>4798</v>
      </c>
      <c r="B938" s="2" t="s">
        <v>910</v>
      </c>
      <c r="C938" s="2" t="s">
        <v>1130</v>
      </c>
      <c r="D938" s="2" t="s">
        <v>912</v>
      </c>
      <c r="E938" s="2" t="s">
        <v>1139</v>
      </c>
      <c r="F938" s="2" t="s">
        <v>2147</v>
      </c>
      <c r="G938" s="2" t="s">
        <v>4799</v>
      </c>
      <c r="H938" s="2" t="s">
        <v>4800</v>
      </c>
      <c r="I938" s="2" t="s">
        <v>4801</v>
      </c>
      <c r="J938" s="2" t="s">
        <v>1142</v>
      </c>
      <c r="K938" s="2" t="s">
        <v>255</v>
      </c>
      <c r="L938" s="3">
        <v>62.5</v>
      </c>
      <c r="M938" s="3">
        <v>65.63</v>
      </c>
      <c r="N938" s="3">
        <v>124.99</v>
      </c>
      <c r="O938" s="2" t="s">
        <v>245</v>
      </c>
      <c r="P938" s="2" t="s">
        <v>311</v>
      </c>
      <c r="Q938" s="2" t="s">
        <v>239</v>
      </c>
      <c r="R938" s="2" t="s">
        <v>233</v>
      </c>
      <c r="S938" s="2" t="s">
        <v>4802</v>
      </c>
      <c r="T938" s="2" t="s">
        <v>341</v>
      </c>
      <c r="U938" s="2" t="s">
        <v>475</v>
      </c>
      <c r="V938" s="2" t="s">
        <v>241</v>
      </c>
      <c r="W938" s="2" t="s">
        <v>275</v>
      </c>
      <c r="X938" s="2" t="s">
        <v>451</v>
      </c>
      <c r="Y938" s="2" t="s">
        <v>937</v>
      </c>
      <c r="Z938" s="4">
        <v>37</v>
      </c>
      <c r="AA938" s="4">
        <f>=ROUNDDOWN(14.2307692307692,0)</f>
      </c>
      <c r="AB938" s="5">
        <v>2.6</v>
      </c>
      <c r="AC938" s="2" t="s">
        <v>233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233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>
        <v>12</v>
      </c>
      <c r="BK938" s="8">
        <v>811.8</v>
      </c>
      <c r="BL938" s="2" t="s">
        <v>3386</v>
      </c>
      <c r="BM938" s="7"/>
      <c r="BN938" s="7"/>
      <c r="BO938" s="4"/>
      <c r="BP938" s="8"/>
      <c r="BQ938" s="4"/>
      <c r="BR938" s="8"/>
      <c r="BS938" s="7"/>
      <c r="BT938" s="7"/>
      <c r="BU938" s="2" t="s">
        <v>4803</v>
      </c>
      <c r="BV938" s="2" t="s">
        <v>233</v>
      </c>
      <c r="BW938" s="2" t="s">
        <v>233</v>
      </c>
      <c r="BX938" s="2" t="s">
        <v>233</v>
      </c>
      <c r="BY938" s="2" t="s">
        <v>280</v>
      </c>
      <c r="BZ938" s="2" t="s">
        <v>245</v>
      </c>
      <c r="CA938" s="2" t="s">
        <v>3760</v>
      </c>
      <c r="CB938" s="2" t="s">
        <v>4804</v>
      </c>
      <c r="CC938" s="2" t="s">
        <v>246</v>
      </c>
      <c r="CD938" s="2" t="s">
        <v>233</v>
      </c>
      <c r="CE938" s="4">
        <v>37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</row>
    <row r="939">
      <c r="A939" s="2" t="s">
        <v>4805</v>
      </c>
      <c r="B939" s="2" t="s">
        <v>1066</v>
      </c>
      <c r="C939" s="2" t="s">
        <v>530</v>
      </c>
      <c r="D939" s="2" t="s">
        <v>4806</v>
      </c>
      <c r="E939" s="2" t="s">
        <v>4807</v>
      </c>
      <c r="F939" s="2" t="s">
        <v>4808</v>
      </c>
      <c r="G939" s="2" t="s">
        <v>4809</v>
      </c>
      <c r="H939" s="2" t="s">
        <v>4810</v>
      </c>
      <c r="I939" s="2" t="s">
        <v>4811</v>
      </c>
      <c r="J939" s="2" t="s">
        <v>892</v>
      </c>
      <c r="K939" s="2" t="s">
        <v>255</v>
      </c>
      <c r="L939" s="3">
        <v>239</v>
      </c>
      <c r="M939" s="3">
        <v>250.95</v>
      </c>
      <c r="N939" s="3">
        <v>499</v>
      </c>
      <c r="O939" s="2" t="s">
        <v>237</v>
      </c>
      <c r="P939" s="2" t="s">
        <v>311</v>
      </c>
      <c r="Q939" s="2" t="s">
        <v>239</v>
      </c>
      <c r="R939" s="2" t="s">
        <v>233</v>
      </c>
      <c r="S939" s="2" t="s">
        <v>233</v>
      </c>
      <c r="T939" s="2" t="s">
        <v>233</v>
      </c>
      <c r="U939" s="2" t="s">
        <v>233</v>
      </c>
      <c r="V939" s="2" t="s">
        <v>893</v>
      </c>
      <c r="W939" s="2" t="s">
        <v>451</v>
      </c>
      <c r="X939" s="2" t="s">
        <v>2652</v>
      </c>
      <c r="Y939" s="2" t="s">
        <v>4812</v>
      </c>
      <c r="Z939" s="4">
        <v>58</v>
      </c>
      <c r="AA939" s="4">
        <f>=ROUNDDOWN(290,0)</f>
      </c>
      <c r="AB939" s="5">
        <v>0.2</v>
      </c>
      <c r="AC939" s="2" t="s">
        <v>233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233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/>
      <c r="BK939" s="8"/>
      <c r="BL939" s="2" t="s">
        <v>233</v>
      </c>
      <c r="BM939" s="7"/>
      <c r="BN939" s="7"/>
      <c r="BO939" s="4"/>
      <c r="BP939" s="8"/>
      <c r="BQ939" s="4"/>
      <c r="BR939" s="8"/>
      <c r="BS939" s="7"/>
      <c r="BT939" s="7"/>
      <c r="BU939" s="2" t="s">
        <v>4813</v>
      </c>
      <c r="BV939" s="2" t="s">
        <v>233</v>
      </c>
      <c r="BW939" s="2" t="s">
        <v>233</v>
      </c>
      <c r="BX939" s="2" t="s">
        <v>233</v>
      </c>
      <c r="BY939" s="2" t="s">
        <v>280</v>
      </c>
      <c r="BZ939" s="2" t="s">
        <v>245</v>
      </c>
      <c r="CA939" s="2" t="s">
        <v>4814</v>
      </c>
      <c r="CB939" s="2" t="s">
        <v>4815</v>
      </c>
      <c r="CC939" s="2" t="s">
        <v>246</v>
      </c>
      <c r="CD939" s="2" t="s">
        <v>233</v>
      </c>
      <c r="CE939" s="4"/>
      <c r="CF939" s="4">
        <v>58</v>
      </c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</row>
    <row r="940">
      <c r="A940" s="2" t="s">
        <v>4816</v>
      </c>
      <c r="B940" s="2" t="s">
        <v>1414</v>
      </c>
      <c r="C940" s="2" t="s">
        <v>530</v>
      </c>
      <c r="D940" s="2" t="s">
        <v>1414</v>
      </c>
      <c r="E940" s="2" t="s">
        <v>1414</v>
      </c>
      <c r="F940" s="2" t="s">
        <v>4817</v>
      </c>
      <c r="G940" s="2" t="s">
        <v>4818</v>
      </c>
      <c r="H940" s="2" t="s">
        <v>4819</v>
      </c>
      <c r="I940" s="2" t="s">
        <v>4820</v>
      </c>
      <c r="J940" s="2" t="s">
        <v>4752</v>
      </c>
      <c r="K940" s="2" t="s">
        <v>2817</v>
      </c>
      <c r="L940" s="3">
        <v>24.44</v>
      </c>
      <c r="M940" s="3">
        <v>25.66</v>
      </c>
      <c r="N940" s="3">
        <v>54.99</v>
      </c>
      <c r="O940" s="2" t="s">
        <v>237</v>
      </c>
      <c r="P940" s="2" t="s">
        <v>311</v>
      </c>
      <c r="Q940" s="2" t="s">
        <v>239</v>
      </c>
      <c r="R940" s="2" t="s">
        <v>233</v>
      </c>
      <c r="S940" s="2" t="s">
        <v>233</v>
      </c>
      <c r="T940" s="2" t="s">
        <v>233</v>
      </c>
      <c r="U940" s="2" t="s">
        <v>396</v>
      </c>
      <c r="V940" s="2" t="s">
        <v>1085</v>
      </c>
      <c r="W940" s="2" t="s">
        <v>1763</v>
      </c>
      <c r="X940" s="2" t="s">
        <v>233</v>
      </c>
      <c r="Y940" s="2" t="s">
        <v>4821</v>
      </c>
      <c r="Z940" s="4">
        <v>154</v>
      </c>
      <c r="AA940" s="4">
        <f>=ROUNDDOWN({0},0)</f>
      </c>
      <c r="AB940" s="5"/>
      <c r="AC940" s="2" t="s">
        <v>233</v>
      </c>
      <c r="AD940" s="4"/>
      <c r="AE940" s="4"/>
      <c r="AF940" s="6">
        <v>63</v>
      </c>
      <c r="AG940" s="6"/>
      <c r="AH940" s="7">
        <v>1</v>
      </c>
      <c r="AI940" s="4"/>
      <c r="AJ940" s="4">
        <f>=ROUNDDOWN({0},0)</f>
      </c>
      <c r="AK940" s="5"/>
      <c r="AL940" s="2" t="s">
        <v>233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4822</v>
      </c>
      <c r="BM940" s="7"/>
      <c r="BN940" s="7"/>
      <c r="BO940" s="4"/>
      <c r="BP940" s="8"/>
      <c r="BQ940" s="4"/>
      <c r="BR940" s="8"/>
      <c r="BS940" s="7"/>
      <c r="BT940" s="7"/>
      <c r="BU940" s="2" t="s">
        <v>4823</v>
      </c>
      <c r="BV940" s="2" t="s">
        <v>233</v>
      </c>
      <c r="BW940" s="2" t="s">
        <v>233</v>
      </c>
      <c r="BX940" s="2" t="s">
        <v>243</v>
      </c>
      <c r="BY940" s="2" t="s">
        <v>280</v>
      </c>
      <c r="BZ940" s="2" t="s">
        <v>245</v>
      </c>
      <c r="CA940" s="2" t="s">
        <v>1099</v>
      </c>
      <c r="CB940" s="2" t="s">
        <v>959</v>
      </c>
      <c r="CC940" s="2" t="s">
        <v>246</v>
      </c>
      <c r="CD940" s="2" t="s">
        <v>233</v>
      </c>
      <c r="CE940" s="4"/>
      <c r="CF940" s="4">
        <v>154</v>
      </c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</row>
    <row r="941">
      <c r="A941" s="2" t="s">
        <v>4824</v>
      </c>
      <c r="B941" s="2" t="s">
        <v>1066</v>
      </c>
      <c r="C941" s="2" t="s">
        <v>947</v>
      </c>
      <c r="D941" s="2" t="s">
        <v>1067</v>
      </c>
      <c r="E941" s="2" t="s">
        <v>1068</v>
      </c>
      <c r="F941" s="2" t="s">
        <v>4825</v>
      </c>
      <c r="G941" s="2" t="s">
        <v>4825</v>
      </c>
      <c r="H941" s="2" t="s">
        <v>4825</v>
      </c>
      <c r="I941" s="2" t="s">
        <v>4826</v>
      </c>
      <c r="J941" s="2" t="s">
        <v>892</v>
      </c>
      <c r="K941" s="2" t="s">
        <v>2358</v>
      </c>
      <c r="L941" s="3">
        <v>561.91</v>
      </c>
      <c r="M941" s="3">
        <v>590.01</v>
      </c>
      <c r="N941" s="3">
        <v>1179</v>
      </c>
      <c r="O941" s="2" t="s">
        <v>245</v>
      </c>
      <c r="P941" s="2" t="s">
        <v>1118</v>
      </c>
      <c r="Q941" s="2" t="s">
        <v>239</v>
      </c>
      <c r="R941" s="2" t="s">
        <v>16</v>
      </c>
      <c r="S941" s="2" t="s">
        <v>4827</v>
      </c>
      <c r="T941" s="2" t="s">
        <v>233</v>
      </c>
      <c r="U941" s="2" t="s">
        <v>491</v>
      </c>
      <c r="V941" s="2" t="s">
        <v>241</v>
      </c>
      <c r="W941" s="2" t="s">
        <v>977</v>
      </c>
      <c r="X941" s="2" t="s">
        <v>953</v>
      </c>
      <c r="Y941" s="2" t="s">
        <v>2836</v>
      </c>
      <c r="Z941" s="4">
        <v>208</v>
      </c>
      <c r="AA941" s="4">
        <f>=ROUNDDOWN({0},0)</f>
      </c>
      <c r="AB941" s="5"/>
      <c r="AC941" s="2" t="s">
        <v>319</v>
      </c>
      <c r="AD941" s="4">
        <v>58</v>
      </c>
      <c r="AE941" s="4">
        <v>149</v>
      </c>
      <c r="AF941" s="6"/>
      <c r="AG941" s="6"/>
      <c r="AH941" s="7">
        <v>1</v>
      </c>
      <c r="AI941" s="4"/>
      <c r="AJ941" s="4">
        <f>=ROUNDDOWN({0},0)</f>
      </c>
      <c r="AK941" s="5"/>
      <c r="AL941" s="2" t="s">
        <v>233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/>
      <c r="BK941" s="8"/>
      <c r="BL941" s="2" t="s">
        <v>233</v>
      </c>
      <c r="BM941" s="7"/>
      <c r="BN941" s="7"/>
      <c r="BO941" s="4"/>
      <c r="BP941" s="8"/>
      <c r="BQ941" s="4"/>
      <c r="BR941" s="8"/>
      <c r="BS941" s="7"/>
      <c r="BT941" s="7"/>
      <c r="BU941" s="2" t="s">
        <v>243</v>
      </c>
      <c r="BV941" s="2" t="s">
        <v>233</v>
      </c>
      <c r="BW941" s="2" t="s">
        <v>233</v>
      </c>
      <c r="BX941" s="2" t="s">
        <v>243</v>
      </c>
      <c r="BY941" s="2" t="s">
        <v>346</v>
      </c>
      <c r="BZ941" s="2" t="s">
        <v>245</v>
      </c>
      <c r="CA941" s="2" t="s">
        <v>233</v>
      </c>
      <c r="CB941" s="2" t="s">
        <v>233</v>
      </c>
      <c r="CC941" s="2" t="s">
        <v>246</v>
      </c>
      <c r="CD941" s="2" t="s">
        <v>233</v>
      </c>
      <c r="CE941" s="4"/>
      <c r="CF941" s="4">
        <v>206</v>
      </c>
      <c r="CG941" s="4"/>
      <c r="CH941" s="4"/>
      <c r="CI941" s="4">
        <v>2</v>
      </c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>
        <v>58</v>
      </c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>
        <v>91</v>
      </c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</row>
    <row r="942">
      <c r="A942" s="2" t="s">
        <v>4828</v>
      </c>
      <c r="B942" s="2" t="s">
        <v>1174</v>
      </c>
      <c r="C942" s="2" t="s">
        <v>530</v>
      </c>
      <c r="D942" s="2" t="s">
        <v>3304</v>
      </c>
      <c r="E942" s="2" t="s">
        <v>3305</v>
      </c>
      <c r="F942" s="2" t="s">
        <v>4829</v>
      </c>
      <c r="G942" s="2" t="s">
        <v>4830</v>
      </c>
      <c r="H942" s="2" t="s">
        <v>4831</v>
      </c>
      <c r="I942" s="2" t="s">
        <v>4832</v>
      </c>
      <c r="J942" s="2" t="s">
        <v>4833</v>
      </c>
      <c r="K942" s="2" t="s">
        <v>2976</v>
      </c>
      <c r="L942" s="3">
        <v>9</v>
      </c>
      <c r="M942" s="3">
        <v>9.45</v>
      </c>
      <c r="N942" s="3">
        <v>19.99</v>
      </c>
      <c r="O942" s="2" t="s">
        <v>252</v>
      </c>
      <c r="P942" s="2" t="s">
        <v>311</v>
      </c>
      <c r="Q942" s="2" t="s">
        <v>239</v>
      </c>
      <c r="R942" s="2" t="s">
        <v>233</v>
      </c>
      <c r="S942" s="2" t="s">
        <v>4834</v>
      </c>
      <c r="T942" s="2" t="s">
        <v>233</v>
      </c>
      <c r="U942" s="2" t="s">
        <v>233</v>
      </c>
      <c r="V942" s="2" t="s">
        <v>1658</v>
      </c>
      <c r="W942" s="2" t="s">
        <v>397</v>
      </c>
      <c r="X942" s="2" t="s">
        <v>233</v>
      </c>
      <c r="Y942" s="2" t="s">
        <v>276</v>
      </c>
      <c r="Z942" s="4"/>
      <c r="AA942" s="4">
        <f>=ROUNDDOWN({0},0)</f>
      </c>
      <c r="AB942" s="5"/>
      <c r="AC942" s="2" t="s">
        <v>233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233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/>
      <c r="BK942" s="8"/>
      <c r="BL942" s="2" t="s">
        <v>233</v>
      </c>
      <c r="BM942" s="7"/>
      <c r="BN942" s="7"/>
      <c r="BO942" s="4"/>
      <c r="BP942" s="8"/>
      <c r="BQ942" s="4"/>
      <c r="BR942" s="8"/>
      <c r="BS942" s="7"/>
      <c r="BT942" s="7"/>
      <c r="BU942" s="2" t="s">
        <v>4835</v>
      </c>
      <c r="BV942" s="2" t="s">
        <v>233</v>
      </c>
      <c r="BW942" s="2" t="s">
        <v>233</v>
      </c>
      <c r="BX942" s="2" t="s">
        <v>233</v>
      </c>
      <c r="BY942" s="2" t="s">
        <v>280</v>
      </c>
      <c r="BZ942" s="2" t="s">
        <v>245</v>
      </c>
      <c r="CA942" s="2" t="s">
        <v>281</v>
      </c>
      <c r="CB942" s="2" t="s">
        <v>4836</v>
      </c>
      <c r="CC942" s="2" t="s">
        <v>246</v>
      </c>
      <c r="CD942" s="2" t="s">
        <v>233</v>
      </c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</row>
    <row r="943">
      <c r="A943" s="2" t="s">
        <v>4837</v>
      </c>
      <c r="B943" s="2" t="s">
        <v>886</v>
      </c>
      <c r="C943" s="2" t="s">
        <v>1157</v>
      </c>
      <c r="D943" s="2" t="s">
        <v>888</v>
      </c>
      <c r="E943" s="2" t="s">
        <v>889</v>
      </c>
      <c r="F943" s="2" t="s">
        <v>4838</v>
      </c>
      <c r="G943" s="2" t="s">
        <v>4838</v>
      </c>
      <c r="H943" s="2" t="s">
        <v>4838</v>
      </c>
      <c r="I943" s="2" t="s">
        <v>4839</v>
      </c>
      <c r="J943" s="2" t="s">
        <v>892</v>
      </c>
      <c r="K943" s="2" t="s">
        <v>645</v>
      </c>
      <c r="L943" s="3">
        <v>117.76</v>
      </c>
      <c r="M943" s="3">
        <v>123.65</v>
      </c>
      <c r="N943" s="3">
        <v>279.99</v>
      </c>
      <c r="O943" s="2" t="s">
        <v>245</v>
      </c>
      <c r="P943" s="2" t="s">
        <v>311</v>
      </c>
      <c r="Q943" s="2" t="s">
        <v>239</v>
      </c>
      <c r="R943" s="2" t="s">
        <v>233</v>
      </c>
      <c r="S943" s="2" t="s">
        <v>233</v>
      </c>
      <c r="T943" s="2" t="s">
        <v>233</v>
      </c>
      <c r="U943" s="2" t="s">
        <v>396</v>
      </c>
      <c r="V943" s="2" t="s">
        <v>893</v>
      </c>
      <c r="W943" s="2" t="s">
        <v>397</v>
      </c>
      <c r="X943" s="2" t="s">
        <v>451</v>
      </c>
      <c r="Y943" s="2" t="s">
        <v>905</v>
      </c>
      <c r="Z943" s="4">
        <v>73</v>
      </c>
      <c r="AA943" s="4">
        <f>=ROUNDDOWN(146,0)</f>
      </c>
      <c r="AB943" s="5">
        <v>0.5</v>
      </c>
      <c r="AC943" s="2" t="s">
        <v>233</v>
      </c>
      <c r="AD943" s="4"/>
      <c r="AE943" s="4"/>
      <c r="AF943" s="6">
        <v>63</v>
      </c>
      <c r="AG943" s="6"/>
      <c r="AH943" s="7">
        <v>1</v>
      </c>
      <c r="AI943" s="4"/>
      <c r="AJ943" s="4">
        <f>=ROUNDDOWN({0},0)</f>
      </c>
      <c r="AK943" s="5"/>
      <c r="AL943" s="2" t="s">
        <v>233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/>
      <c r="BK943" s="8"/>
      <c r="BL943" s="2" t="s">
        <v>744</v>
      </c>
      <c r="BM943" s="7"/>
      <c r="BN943" s="7"/>
      <c r="BO943" s="4"/>
      <c r="BP943" s="8"/>
      <c r="BQ943" s="4"/>
      <c r="BR943" s="8"/>
      <c r="BS943" s="7"/>
      <c r="BT943" s="7"/>
      <c r="BU943" s="2" t="s">
        <v>4840</v>
      </c>
      <c r="BV943" s="2" t="s">
        <v>233</v>
      </c>
      <c r="BW943" s="2" t="s">
        <v>233</v>
      </c>
      <c r="BX943" s="2" t="s">
        <v>233</v>
      </c>
      <c r="BY943" s="2" t="s">
        <v>280</v>
      </c>
      <c r="BZ943" s="2" t="s">
        <v>245</v>
      </c>
      <c r="CA943" s="2" t="s">
        <v>907</v>
      </c>
      <c r="CB943" s="2" t="s">
        <v>233</v>
      </c>
      <c r="CC943" s="2" t="s">
        <v>246</v>
      </c>
      <c r="CD943" s="2" t="s">
        <v>233</v>
      </c>
      <c r="CE943" s="4"/>
      <c r="CF943" s="4">
        <v>73</v>
      </c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</row>
    <row r="944">
      <c r="A944" s="2" t="s">
        <v>4841</v>
      </c>
      <c r="B944" s="2" t="s">
        <v>1066</v>
      </c>
      <c r="C944" s="2" t="s">
        <v>530</v>
      </c>
      <c r="D944" s="2" t="s">
        <v>1067</v>
      </c>
      <c r="E944" s="2" t="s">
        <v>1068</v>
      </c>
      <c r="F944" s="2" t="s">
        <v>4842</v>
      </c>
      <c r="G944" s="2" t="s">
        <v>4843</v>
      </c>
      <c r="H944" s="2" t="s">
        <v>4844</v>
      </c>
      <c r="I944" s="2" t="s">
        <v>4845</v>
      </c>
      <c r="J944" s="2" t="s">
        <v>892</v>
      </c>
      <c r="K944" s="2" t="s">
        <v>4846</v>
      </c>
      <c r="L944" s="3">
        <v>560.44</v>
      </c>
      <c r="M944" s="3">
        <v>588.46</v>
      </c>
      <c r="N944" s="3">
        <v>1179</v>
      </c>
      <c r="O944" s="2" t="s">
        <v>245</v>
      </c>
      <c r="P944" s="2" t="s">
        <v>1118</v>
      </c>
      <c r="Q944" s="2" t="s">
        <v>239</v>
      </c>
      <c r="R944" s="2" t="s">
        <v>16</v>
      </c>
      <c r="S944" s="2" t="s">
        <v>4847</v>
      </c>
      <c r="T944" s="2" t="s">
        <v>233</v>
      </c>
      <c r="U944" s="2" t="s">
        <v>491</v>
      </c>
      <c r="V944" s="2" t="s">
        <v>241</v>
      </c>
      <c r="W944" s="2" t="s">
        <v>451</v>
      </c>
      <c r="X944" s="2" t="s">
        <v>397</v>
      </c>
      <c r="Y944" s="2" t="s">
        <v>3149</v>
      </c>
      <c r="Z944" s="4">
        <v>33</v>
      </c>
      <c r="AA944" s="4">
        <f>=ROUNDDOWN({0},0)</f>
      </c>
      <c r="AB944" s="5"/>
      <c r="AC944" s="2" t="s">
        <v>2819</v>
      </c>
      <c r="AD944" s="4">
        <v>55</v>
      </c>
      <c r="AE944" s="4">
        <v>115</v>
      </c>
      <c r="AF944" s="6"/>
      <c r="AG944" s="6"/>
      <c r="AH944" s="7">
        <v>1</v>
      </c>
      <c r="AI944" s="4"/>
      <c r="AJ944" s="4">
        <f>=ROUNDDOWN({0},0)</f>
      </c>
      <c r="AK944" s="5"/>
      <c r="AL944" s="2" t="s">
        <v>233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233</v>
      </c>
      <c r="AW944" s="8" t="s">
        <v>233</v>
      </c>
      <c r="AX944" s="4" t="s">
        <v>233</v>
      </c>
      <c r="AY944" s="8" t="s">
        <v>233</v>
      </c>
      <c r="AZ944" s="7" t="s">
        <v>233</v>
      </c>
      <c r="BA944" s="7" t="s">
        <v>233</v>
      </c>
      <c r="BB944" s="7" t="s">
        <v>233</v>
      </c>
      <c r="BC944" s="4" t="s">
        <v>233</v>
      </c>
      <c r="BD944" s="8" t="s">
        <v>233</v>
      </c>
      <c r="BE944" s="4" t="s">
        <v>233</v>
      </c>
      <c r="BF944" s="8" t="s">
        <v>233</v>
      </c>
      <c r="BG944" s="7" t="s">
        <v>233</v>
      </c>
      <c r="BH944" s="7" t="s">
        <v>233</v>
      </c>
      <c r="BI944" s="7"/>
      <c r="BJ944" s="4"/>
      <c r="BK944" s="8"/>
      <c r="BL944" s="2" t="s">
        <v>233</v>
      </c>
      <c r="BM944" s="7"/>
      <c r="BN944" s="7"/>
      <c r="BO944" s="4"/>
      <c r="BP944" s="8"/>
      <c r="BQ944" s="4"/>
      <c r="BR944" s="8"/>
      <c r="BS944" s="7"/>
      <c r="BT944" s="7"/>
      <c r="BU944" s="2" t="s">
        <v>243</v>
      </c>
      <c r="BV944" s="2" t="s">
        <v>233</v>
      </c>
      <c r="BW944" s="2" t="s">
        <v>233</v>
      </c>
      <c r="BX944" s="2" t="s">
        <v>243</v>
      </c>
      <c r="BY944" s="2" t="s">
        <v>346</v>
      </c>
      <c r="BZ944" s="2" t="s">
        <v>245</v>
      </c>
      <c r="CA944" s="2" t="s">
        <v>233</v>
      </c>
      <c r="CB944" s="2" t="s">
        <v>233</v>
      </c>
      <c r="CC944" s="2" t="s">
        <v>246</v>
      </c>
      <c r="CD944" s="2" t="s">
        <v>233</v>
      </c>
      <c r="CE944" s="4"/>
      <c r="CF944" s="4">
        <v>25</v>
      </c>
      <c r="CG944" s="4"/>
      <c r="CH944" s="4"/>
      <c r="CI944" s="4">
        <v>8</v>
      </c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>
        <v>55</v>
      </c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>
        <v>60</v>
      </c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</row>
    <row r="945">
      <c r="A945" s="2" t="s">
        <v>4848</v>
      </c>
      <c r="B945" s="2" t="s">
        <v>1066</v>
      </c>
      <c r="C945" s="2" t="s">
        <v>530</v>
      </c>
      <c r="D945" s="2" t="s">
        <v>1919</v>
      </c>
      <c r="E945" s="2" t="s">
        <v>1920</v>
      </c>
      <c r="F945" s="2" t="s">
        <v>4842</v>
      </c>
      <c r="G945" s="2" t="s">
        <v>4843</v>
      </c>
      <c r="H945" s="2" t="s">
        <v>4844</v>
      </c>
      <c r="I945" s="2" t="s">
        <v>4849</v>
      </c>
      <c r="J945" s="2" t="s">
        <v>892</v>
      </c>
      <c r="K945" s="2" t="s">
        <v>4846</v>
      </c>
      <c r="L945" s="3">
        <v>144</v>
      </c>
      <c r="M945" s="3">
        <v>151.2</v>
      </c>
      <c r="N945" s="3">
        <v>299</v>
      </c>
      <c r="O945" s="2" t="s">
        <v>245</v>
      </c>
      <c r="P945" s="2" t="s">
        <v>272</v>
      </c>
      <c r="Q945" s="2" t="s">
        <v>239</v>
      </c>
      <c r="R945" s="2" t="s">
        <v>233</v>
      </c>
      <c r="S945" s="2" t="s">
        <v>233</v>
      </c>
      <c r="T945" s="2" t="s">
        <v>233</v>
      </c>
      <c r="U945" s="2" t="s">
        <v>396</v>
      </c>
      <c r="V945" s="2" t="s">
        <v>893</v>
      </c>
      <c r="W945" s="2" t="s">
        <v>451</v>
      </c>
      <c r="X945" s="2" t="s">
        <v>397</v>
      </c>
      <c r="Y945" s="2" t="s">
        <v>3034</v>
      </c>
      <c r="Z945" s="4"/>
      <c r="AA945" s="4">
        <f>=ROUNDDOWN({0},0)</f>
      </c>
      <c r="AB945" s="5">
        <v>25</v>
      </c>
      <c r="AC945" s="2" t="s">
        <v>1719</v>
      </c>
      <c r="AD945" s="4">
        <v>480</v>
      </c>
      <c r="AE945" s="4">
        <v>480</v>
      </c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233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233</v>
      </c>
      <c r="AW945" s="8" t="s">
        <v>233</v>
      </c>
      <c r="AX945" s="4" t="s">
        <v>233</v>
      </c>
      <c r="AY945" s="8" t="s">
        <v>233</v>
      </c>
      <c r="AZ945" s="7" t="s">
        <v>233</v>
      </c>
      <c r="BA945" s="7" t="s">
        <v>233</v>
      </c>
      <c r="BB945" s="7" t="s">
        <v>233</v>
      </c>
      <c r="BC945" s="4" t="s">
        <v>233</v>
      </c>
      <c r="BD945" s="8" t="s">
        <v>233</v>
      </c>
      <c r="BE945" s="4" t="s">
        <v>233</v>
      </c>
      <c r="BF945" s="8" t="s">
        <v>233</v>
      </c>
      <c r="BG945" s="7" t="s">
        <v>233</v>
      </c>
      <c r="BH945" s="7" t="s">
        <v>233</v>
      </c>
      <c r="BI945" s="7"/>
      <c r="BJ945" s="4"/>
      <c r="BK945" s="8"/>
      <c r="BL945" s="2" t="s">
        <v>233</v>
      </c>
      <c r="BM945" s="7"/>
      <c r="BN945" s="7"/>
      <c r="BO945" s="4"/>
      <c r="BP945" s="8"/>
      <c r="BQ945" s="4"/>
      <c r="BR945" s="8"/>
      <c r="BS945" s="7"/>
      <c r="BT945" s="7"/>
      <c r="BU945" s="2" t="s">
        <v>4850</v>
      </c>
      <c r="BV945" s="2" t="s">
        <v>233</v>
      </c>
      <c r="BW945" s="2" t="s">
        <v>233</v>
      </c>
      <c r="BX945" s="2" t="s">
        <v>243</v>
      </c>
      <c r="BY945" s="2" t="s">
        <v>280</v>
      </c>
      <c r="BZ945" s="2" t="s">
        <v>245</v>
      </c>
      <c r="CA945" s="2" t="s">
        <v>2096</v>
      </c>
      <c r="CB945" s="2" t="s">
        <v>4851</v>
      </c>
      <c r="CC945" s="2" t="s">
        <v>246</v>
      </c>
      <c r="CD945" s="2" t="s">
        <v>233</v>
      </c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>
        <v>480</v>
      </c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</row>
    <row r="946">
      <c r="A946" s="2" t="s">
        <v>4852</v>
      </c>
      <c r="B946" s="2" t="s">
        <v>1066</v>
      </c>
      <c r="C946" s="2" t="s">
        <v>530</v>
      </c>
      <c r="D946" s="2" t="s">
        <v>1067</v>
      </c>
      <c r="E946" s="2" t="s">
        <v>1068</v>
      </c>
      <c r="F946" s="2" t="s">
        <v>4853</v>
      </c>
      <c r="G946" s="2" t="s">
        <v>4854</v>
      </c>
      <c r="H946" s="2" t="s">
        <v>4855</v>
      </c>
      <c r="I946" s="2" t="s">
        <v>4856</v>
      </c>
      <c r="J946" s="2" t="s">
        <v>892</v>
      </c>
      <c r="K946" s="2" t="s">
        <v>853</v>
      </c>
      <c r="L946" s="3">
        <v>492.12</v>
      </c>
      <c r="M946" s="3">
        <v>516.73</v>
      </c>
      <c r="N946" s="3">
        <v>1039</v>
      </c>
      <c r="O946" s="2" t="s">
        <v>245</v>
      </c>
      <c r="P946" s="2" t="s">
        <v>1118</v>
      </c>
      <c r="Q946" s="2" t="s">
        <v>239</v>
      </c>
      <c r="R946" s="2" t="s">
        <v>16</v>
      </c>
      <c r="S946" s="2" t="s">
        <v>233</v>
      </c>
      <c r="T946" s="2" t="s">
        <v>233</v>
      </c>
      <c r="U946" s="2" t="s">
        <v>491</v>
      </c>
      <c r="V946" s="2" t="s">
        <v>241</v>
      </c>
      <c r="W946" s="2" t="s">
        <v>397</v>
      </c>
      <c r="X946" s="2" t="s">
        <v>233</v>
      </c>
      <c r="Y946" s="2" t="s">
        <v>1458</v>
      </c>
      <c r="Z946" s="4">
        <v>93</v>
      </c>
      <c r="AA946" s="4">
        <f>=ROUNDDOWN({0},0)</f>
      </c>
      <c r="AB946" s="5"/>
      <c r="AC946" s="2" t="s">
        <v>2721</v>
      </c>
      <c r="AD946" s="4">
        <v>34</v>
      </c>
      <c r="AE946" s="4">
        <v>131</v>
      </c>
      <c r="AF946" s="6"/>
      <c r="AG946" s="6"/>
      <c r="AH946" s="7">
        <v>1</v>
      </c>
      <c r="AI946" s="4"/>
      <c r="AJ946" s="4">
        <f>=ROUNDDOWN({0},0)</f>
      </c>
      <c r="AK946" s="5"/>
      <c r="AL946" s="2" t="s">
        <v>233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233</v>
      </c>
      <c r="BD946" s="8" t="s">
        <v>233</v>
      </c>
      <c r="BE946" s="4" t="s">
        <v>233</v>
      </c>
      <c r="BF946" s="8" t="s">
        <v>233</v>
      </c>
      <c r="BG946" s="7" t="s">
        <v>233</v>
      </c>
      <c r="BH946" s="7" t="s">
        <v>233</v>
      </c>
      <c r="BI946" s="7"/>
      <c r="BJ946" s="4"/>
      <c r="BK946" s="8"/>
      <c r="BL946" s="2" t="s">
        <v>233</v>
      </c>
      <c r="BM946" s="7"/>
      <c r="BN946" s="7"/>
      <c r="BO946" s="4"/>
      <c r="BP946" s="8"/>
      <c r="BQ946" s="4"/>
      <c r="BR946" s="8"/>
      <c r="BS946" s="7"/>
      <c r="BT946" s="7"/>
      <c r="BU946" s="2" t="s">
        <v>243</v>
      </c>
      <c r="BV946" s="2" t="s">
        <v>233</v>
      </c>
      <c r="BW946" s="2" t="s">
        <v>233</v>
      </c>
      <c r="BX946" s="2" t="s">
        <v>243</v>
      </c>
      <c r="BY946" s="2" t="s">
        <v>346</v>
      </c>
      <c r="BZ946" s="2" t="s">
        <v>245</v>
      </c>
      <c r="CA946" s="2" t="s">
        <v>233</v>
      </c>
      <c r="CB946" s="2" t="s">
        <v>233</v>
      </c>
      <c r="CC946" s="2" t="s">
        <v>246</v>
      </c>
      <c r="CD946" s="2" t="s">
        <v>233</v>
      </c>
      <c r="CE946" s="4"/>
      <c r="CF946" s="4">
        <v>93</v>
      </c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>
        <v>34</v>
      </c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>
        <v>16</v>
      </c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>
        <v>81</v>
      </c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</row>
    <row r="947">
      <c r="A947" s="2" t="s">
        <v>4857</v>
      </c>
      <c r="B947" s="2" t="s">
        <v>1066</v>
      </c>
      <c r="C947" s="2" t="s">
        <v>530</v>
      </c>
      <c r="D947" s="2" t="s">
        <v>1067</v>
      </c>
      <c r="E947" s="2" t="s">
        <v>1068</v>
      </c>
      <c r="F947" s="2" t="s">
        <v>4853</v>
      </c>
      <c r="G947" s="2" t="s">
        <v>4854</v>
      </c>
      <c r="H947" s="2" t="s">
        <v>4855</v>
      </c>
      <c r="I947" s="2" t="s">
        <v>4858</v>
      </c>
      <c r="J947" s="2" t="s">
        <v>892</v>
      </c>
      <c r="K947" s="2" t="s">
        <v>4859</v>
      </c>
      <c r="L947" s="3">
        <v>251.08</v>
      </c>
      <c r="M947" s="3">
        <v>263.63</v>
      </c>
      <c r="N947" s="3">
        <v>529</v>
      </c>
      <c r="O947" s="2" t="s">
        <v>245</v>
      </c>
      <c r="P947" s="2" t="s">
        <v>238</v>
      </c>
      <c r="Q947" s="2" t="s">
        <v>239</v>
      </c>
      <c r="R947" s="2" t="s">
        <v>233</v>
      </c>
      <c r="S947" s="2" t="s">
        <v>233</v>
      </c>
      <c r="T947" s="2" t="s">
        <v>233</v>
      </c>
      <c r="U947" s="2" t="s">
        <v>396</v>
      </c>
      <c r="V947" s="2" t="s">
        <v>241</v>
      </c>
      <c r="W947" s="2" t="s">
        <v>776</v>
      </c>
      <c r="X947" s="2" t="s">
        <v>343</v>
      </c>
      <c r="Y947" s="2" t="s">
        <v>4860</v>
      </c>
      <c r="Z947" s="4">
        <v>194</v>
      </c>
      <c r="AA947" s="4">
        <f>=ROUNDDOWN(277.142857142857,0)</f>
      </c>
      <c r="AB947" s="5">
        <v>0.7</v>
      </c>
      <c r="AC947" s="2" t="s">
        <v>233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233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233</v>
      </c>
      <c r="BD947" s="8" t="s">
        <v>233</v>
      </c>
      <c r="BE947" s="4" t="s">
        <v>233</v>
      </c>
      <c r="BF947" s="8" t="s">
        <v>233</v>
      </c>
      <c r="BG947" s="7" t="s">
        <v>233</v>
      </c>
      <c r="BH947" s="7" t="s">
        <v>233</v>
      </c>
      <c r="BI947" s="7"/>
      <c r="BJ947" s="4">
        <v>4</v>
      </c>
      <c r="BK947" s="8">
        <v>999.6</v>
      </c>
      <c r="BL947" s="2" t="s">
        <v>744</v>
      </c>
      <c r="BM947" s="7"/>
      <c r="BN947" s="7"/>
      <c r="BO947" s="4"/>
      <c r="BP947" s="8"/>
      <c r="BQ947" s="4"/>
      <c r="BR947" s="8"/>
      <c r="BS947" s="7"/>
      <c r="BT947" s="7"/>
      <c r="BU947" s="2" t="s">
        <v>4861</v>
      </c>
      <c r="BV947" s="2" t="s">
        <v>233</v>
      </c>
      <c r="BW947" s="2" t="s">
        <v>233</v>
      </c>
      <c r="BX947" s="2" t="s">
        <v>798</v>
      </c>
      <c r="BY947" s="2" t="s">
        <v>280</v>
      </c>
      <c r="BZ947" s="2" t="s">
        <v>245</v>
      </c>
      <c r="CA947" s="2" t="s">
        <v>2338</v>
      </c>
      <c r="CB947" s="2" t="s">
        <v>233</v>
      </c>
      <c r="CC947" s="2" t="s">
        <v>246</v>
      </c>
      <c r="CD947" s="2" t="s">
        <v>233</v>
      </c>
      <c r="CE947" s="4"/>
      <c r="CF947" s="4">
        <v>194</v>
      </c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</row>
    <row r="948">
      <c r="A948" s="2" t="s">
        <v>4862</v>
      </c>
      <c r="B948" s="2" t="s">
        <v>886</v>
      </c>
      <c r="C948" s="2" t="s">
        <v>887</v>
      </c>
      <c r="D948" s="2" t="s">
        <v>3762</v>
      </c>
      <c r="E948" s="2" t="s">
        <v>3763</v>
      </c>
      <c r="F948" s="2" t="s">
        <v>4863</v>
      </c>
      <c r="G948" s="2" t="s">
        <v>4863</v>
      </c>
      <c r="H948" s="2" t="s">
        <v>4863</v>
      </c>
      <c r="I948" s="2" t="s">
        <v>4864</v>
      </c>
      <c r="J948" s="2" t="s">
        <v>892</v>
      </c>
      <c r="K948" s="2" t="s">
        <v>4865</v>
      </c>
      <c r="L948" s="3">
        <v>48</v>
      </c>
      <c r="M948" s="3">
        <v>50.4</v>
      </c>
      <c r="N948" s="3">
        <v>99.99</v>
      </c>
      <c r="O948" s="2" t="s">
        <v>245</v>
      </c>
      <c r="P948" s="2" t="s">
        <v>272</v>
      </c>
      <c r="Q948" s="2" t="s">
        <v>239</v>
      </c>
      <c r="R948" s="2" t="s">
        <v>233</v>
      </c>
      <c r="S948" s="2" t="s">
        <v>233</v>
      </c>
      <c r="T948" s="2" t="s">
        <v>233</v>
      </c>
      <c r="U948" s="2" t="s">
        <v>396</v>
      </c>
      <c r="V948" s="2" t="s">
        <v>893</v>
      </c>
      <c r="W948" s="2" t="s">
        <v>705</v>
      </c>
      <c r="X948" s="2" t="s">
        <v>233</v>
      </c>
      <c r="Y948" s="2" t="s">
        <v>3892</v>
      </c>
      <c r="Z948" s="4">
        <v>91</v>
      </c>
      <c r="AA948" s="4">
        <f>=ROUNDDOWN(22.75,0)</f>
      </c>
      <c r="AB948" s="5">
        <v>4</v>
      </c>
      <c r="AC948" s="2" t="s">
        <v>233</v>
      </c>
      <c r="AD948" s="4"/>
      <c r="AE948" s="4"/>
      <c r="AF948" s="6">
        <v>63</v>
      </c>
      <c r="AG948" s="6"/>
      <c r="AH948" s="7">
        <v>1</v>
      </c>
      <c r="AI948" s="4"/>
      <c r="AJ948" s="4">
        <f>=ROUNDDOWN({0},0)</f>
      </c>
      <c r="AK948" s="5"/>
      <c r="AL948" s="2" t="s">
        <v>233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2</v>
      </c>
      <c r="BK948" s="8">
        <v>105.84</v>
      </c>
      <c r="BL948" s="2" t="s">
        <v>2554</v>
      </c>
      <c r="BM948" s="7"/>
      <c r="BN948" s="7"/>
      <c r="BO948" s="4"/>
      <c r="BP948" s="8"/>
      <c r="BQ948" s="4"/>
      <c r="BR948" s="8"/>
      <c r="BS948" s="7"/>
      <c r="BT948" s="7"/>
      <c r="BU948" s="2" t="s">
        <v>4866</v>
      </c>
      <c r="BV948" s="2" t="s">
        <v>233</v>
      </c>
      <c r="BW948" s="2" t="s">
        <v>233</v>
      </c>
      <c r="BX948" s="2" t="s">
        <v>243</v>
      </c>
      <c r="BY948" s="2" t="s">
        <v>280</v>
      </c>
      <c r="BZ948" s="2" t="s">
        <v>245</v>
      </c>
      <c r="CA948" s="2" t="s">
        <v>2002</v>
      </c>
      <c r="CB948" s="2" t="s">
        <v>754</v>
      </c>
      <c r="CC948" s="2" t="s">
        <v>246</v>
      </c>
      <c r="CD948" s="2" t="s">
        <v>233</v>
      </c>
      <c r="CE948" s="4"/>
      <c r="CF948" s="4">
        <v>91</v>
      </c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</row>
    <row r="949">
      <c r="A949" s="2" t="s">
        <v>4867</v>
      </c>
      <c r="B949" s="2" t="s">
        <v>264</v>
      </c>
      <c r="C949" s="2" t="s">
        <v>911</v>
      </c>
      <c r="D949" s="2" t="s">
        <v>969</v>
      </c>
      <c r="E949" s="2" t="s">
        <v>970</v>
      </c>
      <c r="F949" s="2" t="s">
        <v>4868</v>
      </c>
      <c r="G949" s="2" t="s">
        <v>4868</v>
      </c>
      <c r="H949" s="2" t="s">
        <v>4868</v>
      </c>
      <c r="I949" s="2" t="s">
        <v>4869</v>
      </c>
      <c r="J949" s="2" t="s">
        <v>270</v>
      </c>
      <c r="K949" s="2" t="s">
        <v>255</v>
      </c>
      <c r="L949" s="3">
        <v>33.33</v>
      </c>
      <c r="M949" s="3">
        <v>35</v>
      </c>
      <c r="N949" s="3">
        <v>69.99</v>
      </c>
      <c r="O949" s="2" t="s">
        <v>245</v>
      </c>
      <c r="P949" s="2" t="s">
        <v>238</v>
      </c>
      <c r="Q949" s="2" t="s">
        <v>239</v>
      </c>
      <c r="R949" s="2" t="s">
        <v>233</v>
      </c>
      <c r="S949" s="2" t="s">
        <v>4870</v>
      </c>
      <c r="T949" s="2" t="s">
        <v>395</v>
      </c>
      <c r="U949" s="2" t="s">
        <v>491</v>
      </c>
      <c r="V949" s="2" t="s">
        <v>241</v>
      </c>
      <c r="W949" s="2" t="s">
        <v>275</v>
      </c>
      <c r="X949" s="2" t="s">
        <v>233</v>
      </c>
      <c r="Y949" s="2" t="s">
        <v>233</v>
      </c>
      <c r="Z949" s="4"/>
      <c r="AA949" s="4">
        <f>=ROUNDDOWN({0},0)</f>
      </c>
      <c r="AB949" s="5">
        <v>17</v>
      </c>
      <c r="AC949" s="2" t="s">
        <v>4871</v>
      </c>
      <c r="AD949" s="4">
        <v>100</v>
      </c>
      <c r="AE949" s="4">
        <v>440</v>
      </c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233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233</v>
      </c>
      <c r="AW949" s="8" t="s">
        <v>233</v>
      </c>
      <c r="AX949" s="4" t="s">
        <v>233</v>
      </c>
      <c r="AY949" s="8" t="s">
        <v>233</v>
      </c>
      <c r="AZ949" s="7" t="s">
        <v>233</v>
      </c>
      <c r="BA949" s="7" t="s">
        <v>233</v>
      </c>
      <c r="BB949" s="7"/>
      <c r="BC949" s="4" t="s">
        <v>233</v>
      </c>
      <c r="BD949" s="8" t="s">
        <v>233</v>
      </c>
      <c r="BE949" s="4" t="s">
        <v>233</v>
      </c>
      <c r="BF949" s="8" t="s">
        <v>233</v>
      </c>
      <c r="BG949" s="7" t="s">
        <v>233</v>
      </c>
      <c r="BH949" s="7" t="s">
        <v>233</v>
      </c>
      <c r="BI949" s="7"/>
      <c r="BJ949" s="4"/>
      <c r="BK949" s="8"/>
      <c r="BL949" s="2" t="s">
        <v>233</v>
      </c>
      <c r="BM949" s="7"/>
      <c r="BN949" s="7"/>
      <c r="BO949" s="4"/>
      <c r="BP949" s="8"/>
      <c r="BQ949" s="4"/>
      <c r="BR949" s="8"/>
      <c r="BS949" s="7"/>
      <c r="BT949" s="7"/>
      <c r="BU949" s="2" t="s">
        <v>243</v>
      </c>
      <c r="BV949" s="2" t="s">
        <v>233</v>
      </c>
      <c r="BW949" s="2" t="s">
        <v>233</v>
      </c>
      <c r="BX949" s="2" t="s">
        <v>243</v>
      </c>
      <c r="BY949" s="2" t="s">
        <v>244</v>
      </c>
      <c r="BZ949" s="2" t="s">
        <v>245</v>
      </c>
      <c r="CA949" s="2" t="s">
        <v>233</v>
      </c>
      <c r="CB949" s="2" t="s">
        <v>233</v>
      </c>
      <c r="CC949" s="2" t="s">
        <v>246</v>
      </c>
      <c r="CD949" s="2" t="s">
        <v>233</v>
      </c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>
        <v>100</v>
      </c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>
        <v>60</v>
      </c>
      <c r="FN949" s="4"/>
      <c r="FO949" s="4"/>
      <c r="FP949" s="4"/>
      <c r="FQ949" s="4"/>
      <c r="FR949" s="4"/>
      <c r="FS949" s="4">
        <v>60</v>
      </c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>
        <v>220</v>
      </c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</row>
    <row r="950">
      <c r="A950" s="2" t="s">
        <v>4872</v>
      </c>
      <c r="B950" s="2" t="s">
        <v>264</v>
      </c>
      <c r="C950" s="2" t="s">
        <v>911</v>
      </c>
      <c r="D950" s="2" t="s">
        <v>969</v>
      </c>
      <c r="E950" s="2" t="s">
        <v>970</v>
      </c>
      <c r="F950" s="2" t="s">
        <v>4868</v>
      </c>
      <c r="G950" s="2" t="s">
        <v>4868</v>
      </c>
      <c r="H950" s="2" t="s">
        <v>4868</v>
      </c>
      <c r="I950" s="2" t="s">
        <v>4869</v>
      </c>
      <c r="J950" s="2" t="s">
        <v>981</v>
      </c>
      <c r="K950" s="2" t="s">
        <v>255</v>
      </c>
      <c r="L950" s="3">
        <v>38.09</v>
      </c>
      <c r="M950" s="3">
        <v>39.99</v>
      </c>
      <c r="N950" s="3">
        <v>79.99</v>
      </c>
      <c r="O950" s="2" t="s">
        <v>245</v>
      </c>
      <c r="P950" s="2" t="s">
        <v>238</v>
      </c>
      <c r="Q950" s="2" t="s">
        <v>239</v>
      </c>
      <c r="R950" s="2" t="s">
        <v>233</v>
      </c>
      <c r="S950" s="2" t="s">
        <v>4870</v>
      </c>
      <c r="T950" s="2" t="s">
        <v>395</v>
      </c>
      <c r="U950" s="2" t="s">
        <v>475</v>
      </c>
      <c r="V950" s="2" t="s">
        <v>241</v>
      </c>
      <c r="W950" s="2" t="s">
        <v>275</v>
      </c>
      <c r="X950" s="2" t="s">
        <v>233</v>
      </c>
      <c r="Y950" s="2" t="s">
        <v>233</v>
      </c>
      <c r="Z950" s="4"/>
      <c r="AA950" s="4">
        <f>=ROUNDDOWN({0},0)</f>
      </c>
      <c r="AB950" s="5">
        <v>54</v>
      </c>
      <c r="AC950" s="2" t="s">
        <v>4871</v>
      </c>
      <c r="AD950" s="4">
        <v>100</v>
      </c>
      <c r="AE950" s="4">
        <v>820</v>
      </c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233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233</v>
      </c>
      <c r="AW950" s="8" t="s">
        <v>233</v>
      </c>
      <c r="AX950" s="4" t="s">
        <v>233</v>
      </c>
      <c r="AY950" s="8" t="s">
        <v>233</v>
      </c>
      <c r="AZ950" s="7" t="s">
        <v>233</v>
      </c>
      <c r="BA950" s="7" t="s">
        <v>233</v>
      </c>
      <c r="BB950" s="7"/>
      <c r="BC950" s="4" t="s">
        <v>233</v>
      </c>
      <c r="BD950" s="8" t="s">
        <v>233</v>
      </c>
      <c r="BE950" s="4" t="s">
        <v>233</v>
      </c>
      <c r="BF950" s="8" t="s">
        <v>233</v>
      </c>
      <c r="BG950" s="7" t="s">
        <v>233</v>
      </c>
      <c r="BH950" s="7" t="s">
        <v>233</v>
      </c>
      <c r="BI950" s="7"/>
      <c r="BJ950" s="4"/>
      <c r="BK950" s="8"/>
      <c r="BL950" s="2" t="s">
        <v>233</v>
      </c>
      <c r="BM950" s="7"/>
      <c r="BN950" s="7"/>
      <c r="BO950" s="4"/>
      <c r="BP950" s="8"/>
      <c r="BQ950" s="4"/>
      <c r="BR950" s="8"/>
      <c r="BS950" s="7"/>
      <c r="BT950" s="7"/>
      <c r="BU950" s="2" t="s">
        <v>243</v>
      </c>
      <c r="BV950" s="2" t="s">
        <v>233</v>
      </c>
      <c r="BW950" s="2" t="s">
        <v>233</v>
      </c>
      <c r="BX950" s="2" t="s">
        <v>243</v>
      </c>
      <c r="BY950" s="2" t="s">
        <v>244</v>
      </c>
      <c r="BZ950" s="2" t="s">
        <v>245</v>
      </c>
      <c r="CA950" s="2" t="s">
        <v>233</v>
      </c>
      <c r="CB950" s="2" t="s">
        <v>233</v>
      </c>
      <c r="CC950" s="2" t="s">
        <v>246</v>
      </c>
      <c r="CD950" s="2" t="s">
        <v>233</v>
      </c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>
        <v>100</v>
      </c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>
        <v>50</v>
      </c>
      <c r="FN950" s="4"/>
      <c r="FO950" s="4"/>
      <c r="FP950" s="4"/>
      <c r="FQ950" s="4"/>
      <c r="FR950" s="4"/>
      <c r="FS950" s="4">
        <v>260</v>
      </c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>
        <v>410</v>
      </c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</row>
    <row r="951">
      <c r="A951" s="2" t="s">
        <v>4873</v>
      </c>
      <c r="B951" s="2" t="s">
        <v>264</v>
      </c>
      <c r="C951" s="2" t="s">
        <v>911</v>
      </c>
      <c r="D951" s="2" t="s">
        <v>969</v>
      </c>
      <c r="E951" s="2" t="s">
        <v>970</v>
      </c>
      <c r="F951" s="2" t="s">
        <v>4868</v>
      </c>
      <c r="G951" s="2" t="s">
        <v>4868</v>
      </c>
      <c r="H951" s="2" t="s">
        <v>4868</v>
      </c>
      <c r="I951" s="2" t="s">
        <v>4869</v>
      </c>
      <c r="J951" s="2" t="s">
        <v>1142</v>
      </c>
      <c r="K951" s="2" t="s">
        <v>255</v>
      </c>
      <c r="L951" s="3">
        <v>42.85</v>
      </c>
      <c r="M951" s="3">
        <v>44.99</v>
      </c>
      <c r="N951" s="3">
        <v>89.99</v>
      </c>
      <c r="O951" s="2" t="s">
        <v>245</v>
      </c>
      <c r="P951" s="2" t="s">
        <v>238</v>
      </c>
      <c r="Q951" s="2" t="s">
        <v>239</v>
      </c>
      <c r="R951" s="2" t="s">
        <v>233</v>
      </c>
      <c r="S951" s="2" t="s">
        <v>4870</v>
      </c>
      <c r="T951" s="2" t="s">
        <v>395</v>
      </c>
      <c r="U951" s="2" t="s">
        <v>475</v>
      </c>
      <c r="V951" s="2" t="s">
        <v>241</v>
      </c>
      <c r="W951" s="2" t="s">
        <v>275</v>
      </c>
      <c r="X951" s="2" t="s">
        <v>233</v>
      </c>
      <c r="Y951" s="2" t="s">
        <v>233</v>
      </c>
      <c r="Z951" s="4"/>
      <c r="AA951" s="4">
        <f>=ROUNDDOWN({0},0)</f>
      </c>
      <c r="AB951" s="5">
        <v>29</v>
      </c>
      <c r="AC951" s="2" t="s">
        <v>4871</v>
      </c>
      <c r="AD951" s="4">
        <v>100</v>
      </c>
      <c r="AE951" s="4">
        <v>420</v>
      </c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233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233</v>
      </c>
      <c r="AW951" s="8" t="s">
        <v>233</v>
      </c>
      <c r="AX951" s="4" t="s">
        <v>233</v>
      </c>
      <c r="AY951" s="8" t="s">
        <v>233</v>
      </c>
      <c r="AZ951" s="7" t="s">
        <v>233</v>
      </c>
      <c r="BA951" s="7" t="s">
        <v>233</v>
      </c>
      <c r="BB951" s="7"/>
      <c r="BC951" s="4" t="s">
        <v>233</v>
      </c>
      <c r="BD951" s="8" t="s">
        <v>233</v>
      </c>
      <c r="BE951" s="4" t="s">
        <v>233</v>
      </c>
      <c r="BF951" s="8" t="s">
        <v>233</v>
      </c>
      <c r="BG951" s="7" t="s">
        <v>233</v>
      </c>
      <c r="BH951" s="7" t="s">
        <v>233</v>
      </c>
      <c r="BI951" s="7"/>
      <c r="BJ951" s="4"/>
      <c r="BK951" s="8"/>
      <c r="BL951" s="2" t="s">
        <v>233</v>
      </c>
      <c r="BM951" s="7"/>
      <c r="BN951" s="7"/>
      <c r="BO951" s="4"/>
      <c r="BP951" s="8"/>
      <c r="BQ951" s="4"/>
      <c r="BR951" s="8"/>
      <c r="BS951" s="7"/>
      <c r="BT951" s="7"/>
      <c r="BU951" s="2" t="s">
        <v>243</v>
      </c>
      <c r="BV951" s="2" t="s">
        <v>233</v>
      </c>
      <c r="BW951" s="2" t="s">
        <v>233</v>
      </c>
      <c r="BX951" s="2" t="s">
        <v>243</v>
      </c>
      <c r="BY951" s="2" t="s">
        <v>244</v>
      </c>
      <c r="BZ951" s="2" t="s">
        <v>245</v>
      </c>
      <c r="CA951" s="2" t="s">
        <v>233</v>
      </c>
      <c r="CB951" s="2" t="s">
        <v>233</v>
      </c>
      <c r="CC951" s="2" t="s">
        <v>246</v>
      </c>
      <c r="CD951" s="2" t="s">
        <v>233</v>
      </c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>
        <v>100</v>
      </c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>
        <v>55</v>
      </c>
      <c r="FN951" s="4"/>
      <c r="FO951" s="4"/>
      <c r="FP951" s="4"/>
      <c r="FQ951" s="4"/>
      <c r="FR951" s="4"/>
      <c r="FS951" s="4">
        <v>55</v>
      </c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>
        <v>210</v>
      </c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</row>
    <row r="952">
      <c r="A952" s="2" t="s">
        <v>4874</v>
      </c>
      <c r="B952" s="2" t="s">
        <v>264</v>
      </c>
      <c r="C952" s="2" t="s">
        <v>911</v>
      </c>
      <c r="D952" s="2" t="s">
        <v>969</v>
      </c>
      <c r="E952" s="2" t="s">
        <v>970</v>
      </c>
      <c r="F952" s="2" t="s">
        <v>4868</v>
      </c>
      <c r="G952" s="2" t="s">
        <v>4868</v>
      </c>
      <c r="H952" s="2" t="s">
        <v>4868</v>
      </c>
      <c r="I952" s="2" t="s">
        <v>4869</v>
      </c>
      <c r="J952" s="2" t="s">
        <v>270</v>
      </c>
      <c r="K952" s="2" t="s">
        <v>257</v>
      </c>
      <c r="L952" s="3">
        <v>33.33</v>
      </c>
      <c r="M952" s="3">
        <v>35</v>
      </c>
      <c r="N952" s="3">
        <v>69.99</v>
      </c>
      <c r="O952" s="2" t="s">
        <v>245</v>
      </c>
      <c r="P952" s="2" t="s">
        <v>238</v>
      </c>
      <c r="Q952" s="2" t="s">
        <v>239</v>
      </c>
      <c r="R952" s="2" t="s">
        <v>233</v>
      </c>
      <c r="S952" s="2" t="s">
        <v>4875</v>
      </c>
      <c r="T952" s="2" t="s">
        <v>395</v>
      </c>
      <c r="U952" s="2" t="s">
        <v>491</v>
      </c>
      <c r="V952" s="2" t="s">
        <v>241</v>
      </c>
      <c r="W952" s="2" t="s">
        <v>275</v>
      </c>
      <c r="X952" s="2" t="s">
        <v>233</v>
      </c>
      <c r="Y952" s="2" t="s">
        <v>233</v>
      </c>
      <c r="Z952" s="4"/>
      <c r="AA952" s="4">
        <f>=ROUNDDOWN({0},0)</f>
      </c>
      <c r="AB952" s="5">
        <v>15</v>
      </c>
      <c r="AC952" s="2" t="s">
        <v>4871</v>
      </c>
      <c r="AD952" s="4">
        <v>100</v>
      </c>
      <c r="AE952" s="4">
        <v>410</v>
      </c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233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233</v>
      </c>
      <c r="AW952" s="8" t="s">
        <v>233</v>
      </c>
      <c r="AX952" s="4" t="s">
        <v>233</v>
      </c>
      <c r="AY952" s="8" t="s">
        <v>233</v>
      </c>
      <c r="AZ952" s="7" t="s">
        <v>233</v>
      </c>
      <c r="BA952" s="7" t="s">
        <v>233</v>
      </c>
      <c r="BB952" s="7"/>
      <c r="BC952" s="4" t="s">
        <v>233</v>
      </c>
      <c r="BD952" s="8" t="s">
        <v>233</v>
      </c>
      <c r="BE952" s="4" t="s">
        <v>233</v>
      </c>
      <c r="BF952" s="8" t="s">
        <v>233</v>
      </c>
      <c r="BG952" s="7" t="s">
        <v>233</v>
      </c>
      <c r="BH952" s="7" t="s">
        <v>233</v>
      </c>
      <c r="BI952" s="7"/>
      <c r="BJ952" s="4"/>
      <c r="BK952" s="8"/>
      <c r="BL952" s="2" t="s">
        <v>233</v>
      </c>
      <c r="BM952" s="7"/>
      <c r="BN952" s="7"/>
      <c r="BO952" s="4"/>
      <c r="BP952" s="8"/>
      <c r="BQ952" s="4"/>
      <c r="BR952" s="8"/>
      <c r="BS952" s="7"/>
      <c r="BT952" s="7"/>
      <c r="BU952" s="2" t="s">
        <v>243</v>
      </c>
      <c r="BV952" s="2" t="s">
        <v>233</v>
      </c>
      <c r="BW952" s="2" t="s">
        <v>233</v>
      </c>
      <c r="BX952" s="2" t="s">
        <v>243</v>
      </c>
      <c r="BY952" s="2" t="s">
        <v>244</v>
      </c>
      <c r="BZ952" s="2" t="s">
        <v>245</v>
      </c>
      <c r="CA952" s="2" t="s">
        <v>233</v>
      </c>
      <c r="CB952" s="2" t="s">
        <v>233</v>
      </c>
      <c r="CC952" s="2" t="s">
        <v>246</v>
      </c>
      <c r="CD952" s="2" t="s">
        <v>233</v>
      </c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>
        <v>100</v>
      </c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>
        <v>53</v>
      </c>
      <c r="FN952" s="4"/>
      <c r="FO952" s="4"/>
      <c r="FP952" s="4"/>
      <c r="FQ952" s="4"/>
      <c r="FR952" s="4"/>
      <c r="FS952" s="4">
        <v>52</v>
      </c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>
        <v>205</v>
      </c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</row>
    <row r="953">
      <c r="A953" s="2" t="s">
        <v>4876</v>
      </c>
      <c r="B953" s="2" t="s">
        <v>264</v>
      </c>
      <c r="C953" s="2" t="s">
        <v>911</v>
      </c>
      <c r="D953" s="2" t="s">
        <v>969</v>
      </c>
      <c r="E953" s="2" t="s">
        <v>970</v>
      </c>
      <c r="F953" s="2" t="s">
        <v>4868</v>
      </c>
      <c r="G953" s="2" t="s">
        <v>4868</v>
      </c>
      <c r="H953" s="2" t="s">
        <v>4868</v>
      </c>
      <c r="I953" s="2" t="s">
        <v>4869</v>
      </c>
      <c r="J953" s="2" t="s">
        <v>981</v>
      </c>
      <c r="K953" s="2" t="s">
        <v>257</v>
      </c>
      <c r="L953" s="3">
        <v>38.09</v>
      </c>
      <c r="M953" s="3">
        <v>39.99</v>
      </c>
      <c r="N953" s="3">
        <v>79.99</v>
      </c>
      <c r="O953" s="2" t="s">
        <v>245</v>
      </c>
      <c r="P953" s="2" t="s">
        <v>238</v>
      </c>
      <c r="Q953" s="2" t="s">
        <v>239</v>
      </c>
      <c r="R953" s="2" t="s">
        <v>233</v>
      </c>
      <c r="S953" s="2" t="s">
        <v>4875</v>
      </c>
      <c r="T953" s="2" t="s">
        <v>395</v>
      </c>
      <c r="U953" s="2" t="s">
        <v>475</v>
      </c>
      <c r="V953" s="2" t="s">
        <v>241</v>
      </c>
      <c r="W953" s="2" t="s">
        <v>275</v>
      </c>
      <c r="X953" s="2" t="s">
        <v>233</v>
      </c>
      <c r="Y953" s="2" t="s">
        <v>233</v>
      </c>
      <c r="Z953" s="4"/>
      <c r="AA953" s="4">
        <f>=ROUNDDOWN({0},0)</f>
      </c>
      <c r="AB953" s="5"/>
      <c r="AC953" s="2" t="s">
        <v>4871</v>
      </c>
      <c r="AD953" s="4">
        <v>100</v>
      </c>
      <c r="AE953" s="4">
        <v>770</v>
      </c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233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233</v>
      </c>
      <c r="AW953" s="8" t="s">
        <v>233</v>
      </c>
      <c r="AX953" s="4" t="s">
        <v>233</v>
      </c>
      <c r="AY953" s="8" t="s">
        <v>233</v>
      </c>
      <c r="AZ953" s="7" t="s">
        <v>233</v>
      </c>
      <c r="BA953" s="7" t="s">
        <v>233</v>
      </c>
      <c r="BB953" s="7"/>
      <c r="BC953" s="4" t="s">
        <v>233</v>
      </c>
      <c r="BD953" s="8" t="s">
        <v>233</v>
      </c>
      <c r="BE953" s="4" t="s">
        <v>233</v>
      </c>
      <c r="BF953" s="8" t="s">
        <v>233</v>
      </c>
      <c r="BG953" s="7" t="s">
        <v>233</v>
      </c>
      <c r="BH953" s="7" t="s">
        <v>233</v>
      </c>
      <c r="BI953" s="7"/>
      <c r="BJ953" s="4"/>
      <c r="BK953" s="8"/>
      <c r="BL953" s="2" t="s">
        <v>233</v>
      </c>
      <c r="BM953" s="7"/>
      <c r="BN953" s="7"/>
      <c r="BO953" s="4"/>
      <c r="BP953" s="8"/>
      <c r="BQ953" s="4"/>
      <c r="BR953" s="8"/>
      <c r="BS953" s="7"/>
      <c r="BT953" s="7"/>
      <c r="BU953" s="2" t="s">
        <v>243</v>
      </c>
      <c r="BV953" s="2" t="s">
        <v>233</v>
      </c>
      <c r="BW953" s="2" t="s">
        <v>233</v>
      </c>
      <c r="BX953" s="2" t="s">
        <v>243</v>
      </c>
      <c r="BY953" s="2" t="s">
        <v>244</v>
      </c>
      <c r="BZ953" s="2" t="s">
        <v>245</v>
      </c>
      <c r="CA953" s="2" t="s">
        <v>233</v>
      </c>
      <c r="CB953" s="2" t="s">
        <v>233</v>
      </c>
      <c r="CC953" s="2" t="s">
        <v>246</v>
      </c>
      <c r="CD953" s="2" t="s">
        <v>233</v>
      </c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>
        <v>100</v>
      </c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>
        <v>50</v>
      </c>
      <c r="FN953" s="4"/>
      <c r="FO953" s="4"/>
      <c r="FP953" s="4"/>
      <c r="FQ953" s="4"/>
      <c r="FR953" s="4"/>
      <c r="FS953" s="4">
        <v>235</v>
      </c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>
        <v>385</v>
      </c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</row>
    <row r="954">
      <c r="A954" s="2" t="s">
        <v>4877</v>
      </c>
      <c r="B954" s="2" t="s">
        <v>264</v>
      </c>
      <c r="C954" s="2" t="s">
        <v>911</v>
      </c>
      <c r="D954" s="2" t="s">
        <v>969</v>
      </c>
      <c r="E954" s="2" t="s">
        <v>970</v>
      </c>
      <c r="F954" s="2" t="s">
        <v>4868</v>
      </c>
      <c r="G954" s="2" t="s">
        <v>4868</v>
      </c>
      <c r="H954" s="2" t="s">
        <v>4868</v>
      </c>
      <c r="I954" s="2" t="s">
        <v>4869</v>
      </c>
      <c r="J954" s="2" t="s">
        <v>1142</v>
      </c>
      <c r="K954" s="2" t="s">
        <v>257</v>
      </c>
      <c r="L954" s="3">
        <v>42.85</v>
      </c>
      <c r="M954" s="3">
        <v>44.99</v>
      </c>
      <c r="N954" s="3">
        <v>89.99</v>
      </c>
      <c r="O954" s="2" t="s">
        <v>245</v>
      </c>
      <c r="P954" s="2" t="s">
        <v>238</v>
      </c>
      <c r="Q954" s="2" t="s">
        <v>239</v>
      </c>
      <c r="R954" s="2" t="s">
        <v>233</v>
      </c>
      <c r="S954" s="2" t="s">
        <v>4875</v>
      </c>
      <c r="T954" s="2" t="s">
        <v>395</v>
      </c>
      <c r="U954" s="2" t="s">
        <v>475</v>
      </c>
      <c r="V954" s="2" t="s">
        <v>241</v>
      </c>
      <c r="W954" s="2" t="s">
        <v>275</v>
      </c>
      <c r="X954" s="2" t="s">
        <v>233</v>
      </c>
      <c r="Y954" s="2" t="s">
        <v>233</v>
      </c>
      <c r="Z954" s="4"/>
      <c r="AA954" s="4">
        <f>=ROUNDDOWN({0},0)</f>
      </c>
      <c r="AB954" s="5">
        <v>29</v>
      </c>
      <c r="AC954" s="2" t="s">
        <v>4871</v>
      </c>
      <c r="AD954" s="4">
        <v>100</v>
      </c>
      <c r="AE954" s="4">
        <v>420</v>
      </c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233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233</v>
      </c>
      <c r="AW954" s="8" t="s">
        <v>233</v>
      </c>
      <c r="AX954" s="4" t="s">
        <v>233</v>
      </c>
      <c r="AY954" s="8" t="s">
        <v>233</v>
      </c>
      <c r="AZ954" s="7" t="s">
        <v>233</v>
      </c>
      <c r="BA954" s="7" t="s">
        <v>233</v>
      </c>
      <c r="BB954" s="7"/>
      <c r="BC954" s="4" t="s">
        <v>233</v>
      </c>
      <c r="BD954" s="8" t="s">
        <v>233</v>
      </c>
      <c r="BE954" s="4" t="s">
        <v>233</v>
      </c>
      <c r="BF954" s="8" t="s">
        <v>233</v>
      </c>
      <c r="BG954" s="7" t="s">
        <v>233</v>
      </c>
      <c r="BH954" s="7" t="s">
        <v>233</v>
      </c>
      <c r="BI954" s="7"/>
      <c r="BJ954" s="4"/>
      <c r="BK954" s="8"/>
      <c r="BL954" s="2" t="s">
        <v>233</v>
      </c>
      <c r="BM954" s="7"/>
      <c r="BN954" s="7"/>
      <c r="BO954" s="4"/>
      <c r="BP954" s="8"/>
      <c r="BQ954" s="4"/>
      <c r="BR954" s="8"/>
      <c r="BS954" s="7"/>
      <c r="BT954" s="7"/>
      <c r="BU954" s="2" t="s">
        <v>243</v>
      </c>
      <c r="BV954" s="2" t="s">
        <v>233</v>
      </c>
      <c r="BW954" s="2" t="s">
        <v>233</v>
      </c>
      <c r="BX954" s="2" t="s">
        <v>243</v>
      </c>
      <c r="BY954" s="2" t="s">
        <v>244</v>
      </c>
      <c r="BZ954" s="2" t="s">
        <v>245</v>
      </c>
      <c r="CA954" s="2" t="s">
        <v>233</v>
      </c>
      <c r="CB954" s="2" t="s">
        <v>233</v>
      </c>
      <c r="CC954" s="2" t="s">
        <v>246</v>
      </c>
      <c r="CD954" s="2" t="s">
        <v>233</v>
      </c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>
        <v>100</v>
      </c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>
        <v>55</v>
      </c>
      <c r="FN954" s="4"/>
      <c r="FO954" s="4"/>
      <c r="FP954" s="4"/>
      <c r="FQ954" s="4"/>
      <c r="FR954" s="4"/>
      <c r="FS954" s="4">
        <v>55</v>
      </c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>
        <v>210</v>
      </c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</row>
    <row r="955">
      <c r="A955" s="2" t="s">
        <v>4878</v>
      </c>
      <c r="B955" s="2" t="s">
        <v>264</v>
      </c>
      <c r="C955" s="2" t="s">
        <v>911</v>
      </c>
      <c r="D955" s="2" t="s">
        <v>969</v>
      </c>
      <c r="E955" s="2" t="s">
        <v>970</v>
      </c>
      <c r="F955" s="2" t="s">
        <v>4868</v>
      </c>
      <c r="G955" s="2" t="s">
        <v>4868</v>
      </c>
      <c r="H955" s="2" t="s">
        <v>4868</v>
      </c>
      <c r="I955" s="2" t="s">
        <v>4869</v>
      </c>
      <c r="J955" s="2" t="s">
        <v>270</v>
      </c>
      <c r="K955" s="2" t="s">
        <v>2951</v>
      </c>
      <c r="L955" s="3">
        <v>33.33</v>
      </c>
      <c r="M955" s="3">
        <v>35</v>
      </c>
      <c r="N955" s="3">
        <v>69.99</v>
      </c>
      <c r="O955" s="2" t="s">
        <v>245</v>
      </c>
      <c r="P955" s="2" t="s">
        <v>238</v>
      </c>
      <c r="Q955" s="2" t="s">
        <v>239</v>
      </c>
      <c r="R955" s="2" t="s">
        <v>233</v>
      </c>
      <c r="S955" s="2" t="s">
        <v>4879</v>
      </c>
      <c r="T955" s="2" t="s">
        <v>395</v>
      </c>
      <c r="U955" s="2" t="s">
        <v>491</v>
      </c>
      <c r="V955" s="2" t="s">
        <v>241</v>
      </c>
      <c r="W955" s="2" t="s">
        <v>275</v>
      </c>
      <c r="X955" s="2" t="s">
        <v>233</v>
      </c>
      <c r="Y955" s="2" t="s">
        <v>233</v>
      </c>
      <c r="Z955" s="4"/>
      <c r="AA955" s="4">
        <f>=ROUNDDOWN({0},0)</f>
      </c>
      <c r="AB955" s="5">
        <v>13</v>
      </c>
      <c r="AC955" s="2" t="s">
        <v>4871</v>
      </c>
      <c r="AD955" s="4">
        <v>100</v>
      </c>
      <c r="AE955" s="4">
        <v>390</v>
      </c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233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233</v>
      </c>
      <c r="AW955" s="8" t="s">
        <v>233</v>
      </c>
      <c r="AX955" s="4" t="s">
        <v>233</v>
      </c>
      <c r="AY955" s="8" t="s">
        <v>233</v>
      </c>
      <c r="AZ955" s="7" t="s">
        <v>233</v>
      </c>
      <c r="BA955" s="7" t="s">
        <v>233</v>
      </c>
      <c r="BB955" s="7"/>
      <c r="BC955" s="4" t="s">
        <v>233</v>
      </c>
      <c r="BD955" s="8" t="s">
        <v>233</v>
      </c>
      <c r="BE955" s="4" t="s">
        <v>233</v>
      </c>
      <c r="BF955" s="8" t="s">
        <v>233</v>
      </c>
      <c r="BG955" s="7" t="s">
        <v>233</v>
      </c>
      <c r="BH955" s="7" t="s">
        <v>233</v>
      </c>
      <c r="BI955" s="7"/>
      <c r="BJ955" s="4"/>
      <c r="BK955" s="8"/>
      <c r="BL955" s="2" t="s">
        <v>233</v>
      </c>
      <c r="BM955" s="7"/>
      <c r="BN955" s="7"/>
      <c r="BO955" s="4"/>
      <c r="BP955" s="8"/>
      <c r="BQ955" s="4"/>
      <c r="BR955" s="8"/>
      <c r="BS955" s="7"/>
      <c r="BT955" s="7"/>
      <c r="BU955" s="2" t="s">
        <v>243</v>
      </c>
      <c r="BV955" s="2" t="s">
        <v>233</v>
      </c>
      <c r="BW955" s="2" t="s">
        <v>233</v>
      </c>
      <c r="BX955" s="2" t="s">
        <v>243</v>
      </c>
      <c r="BY955" s="2" t="s">
        <v>244</v>
      </c>
      <c r="BZ955" s="2" t="s">
        <v>245</v>
      </c>
      <c r="CA955" s="2" t="s">
        <v>233</v>
      </c>
      <c r="CB955" s="2" t="s">
        <v>233</v>
      </c>
      <c r="CC955" s="2" t="s">
        <v>246</v>
      </c>
      <c r="CD955" s="2" t="s">
        <v>233</v>
      </c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>
        <v>100</v>
      </c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>
        <v>48</v>
      </c>
      <c r="FN955" s="4"/>
      <c r="FO955" s="4"/>
      <c r="FP955" s="4"/>
      <c r="FQ955" s="4"/>
      <c r="FR955" s="4"/>
      <c r="FS955" s="4">
        <v>47</v>
      </c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>
        <v>195</v>
      </c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</row>
    <row r="956">
      <c r="A956" s="2" t="s">
        <v>4880</v>
      </c>
      <c r="B956" s="2" t="s">
        <v>264</v>
      </c>
      <c r="C956" s="2" t="s">
        <v>911</v>
      </c>
      <c r="D956" s="2" t="s">
        <v>969</v>
      </c>
      <c r="E956" s="2" t="s">
        <v>970</v>
      </c>
      <c r="F956" s="2" t="s">
        <v>4868</v>
      </c>
      <c r="G956" s="2" t="s">
        <v>4868</v>
      </c>
      <c r="H956" s="2" t="s">
        <v>4868</v>
      </c>
      <c r="I956" s="2" t="s">
        <v>4869</v>
      </c>
      <c r="J956" s="2" t="s">
        <v>981</v>
      </c>
      <c r="K956" s="2" t="s">
        <v>2951</v>
      </c>
      <c r="L956" s="3">
        <v>38.09</v>
      </c>
      <c r="M956" s="3">
        <v>39.99</v>
      </c>
      <c r="N956" s="3">
        <v>79.99</v>
      </c>
      <c r="O956" s="2" t="s">
        <v>245</v>
      </c>
      <c r="P956" s="2" t="s">
        <v>238</v>
      </c>
      <c r="Q956" s="2" t="s">
        <v>239</v>
      </c>
      <c r="R956" s="2" t="s">
        <v>233</v>
      </c>
      <c r="S956" s="2" t="s">
        <v>4879</v>
      </c>
      <c r="T956" s="2" t="s">
        <v>395</v>
      </c>
      <c r="U956" s="2" t="s">
        <v>475</v>
      </c>
      <c r="V956" s="2" t="s">
        <v>241</v>
      </c>
      <c r="W956" s="2" t="s">
        <v>275</v>
      </c>
      <c r="X956" s="2" t="s">
        <v>233</v>
      </c>
      <c r="Y956" s="2" t="s">
        <v>233</v>
      </c>
      <c r="Z956" s="4"/>
      <c r="AA956" s="4">
        <f>=ROUNDDOWN({0},0)</f>
      </c>
      <c r="AB956" s="5"/>
      <c r="AC956" s="2" t="s">
        <v>4871</v>
      </c>
      <c r="AD956" s="4">
        <v>100</v>
      </c>
      <c r="AE956" s="4">
        <v>700</v>
      </c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233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233</v>
      </c>
      <c r="AW956" s="8" t="s">
        <v>233</v>
      </c>
      <c r="AX956" s="4" t="s">
        <v>233</v>
      </c>
      <c r="AY956" s="8" t="s">
        <v>233</v>
      </c>
      <c r="AZ956" s="7" t="s">
        <v>233</v>
      </c>
      <c r="BA956" s="7" t="s">
        <v>233</v>
      </c>
      <c r="BB956" s="7"/>
      <c r="BC956" s="4" t="s">
        <v>233</v>
      </c>
      <c r="BD956" s="8" t="s">
        <v>233</v>
      </c>
      <c r="BE956" s="4" t="s">
        <v>233</v>
      </c>
      <c r="BF956" s="8" t="s">
        <v>233</v>
      </c>
      <c r="BG956" s="7" t="s">
        <v>233</v>
      </c>
      <c r="BH956" s="7" t="s">
        <v>233</v>
      </c>
      <c r="BI956" s="7"/>
      <c r="BJ956" s="4"/>
      <c r="BK956" s="8"/>
      <c r="BL956" s="2" t="s">
        <v>233</v>
      </c>
      <c r="BM956" s="7"/>
      <c r="BN956" s="7"/>
      <c r="BO956" s="4"/>
      <c r="BP956" s="8"/>
      <c r="BQ956" s="4"/>
      <c r="BR956" s="8"/>
      <c r="BS956" s="7"/>
      <c r="BT956" s="7"/>
      <c r="BU956" s="2" t="s">
        <v>243</v>
      </c>
      <c r="BV956" s="2" t="s">
        <v>233</v>
      </c>
      <c r="BW956" s="2" t="s">
        <v>233</v>
      </c>
      <c r="BX956" s="2" t="s">
        <v>243</v>
      </c>
      <c r="BY956" s="2" t="s">
        <v>244</v>
      </c>
      <c r="BZ956" s="2" t="s">
        <v>245</v>
      </c>
      <c r="CA956" s="2" t="s">
        <v>233</v>
      </c>
      <c r="CB956" s="2" t="s">
        <v>233</v>
      </c>
      <c r="CC956" s="2" t="s">
        <v>246</v>
      </c>
      <c r="CD956" s="2" t="s">
        <v>233</v>
      </c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>
        <v>100</v>
      </c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>
        <v>50</v>
      </c>
      <c r="FN956" s="4"/>
      <c r="FO956" s="4"/>
      <c r="FP956" s="4"/>
      <c r="FQ956" s="4"/>
      <c r="FR956" s="4"/>
      <c r="FS956" s="4">
        <v>200</v>
      </c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>
        <v>350</v>
      </c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</row>
    <row r="957">
      <c r="A957" s="2" t="s">
        <v>4881</v>
      </c>
      <c r="B957" s="2" t="s">
        <v>264</v>
      </c>
      <c r="C957" s="2" t="s">
        <v>911</v>
      </c>
      <c r="D957" s="2" t="s">
        <v>969</v>
      </c>
      <c r="E957" s="2" t="s">
        <v>970</v>
      </c>
      <c r="F957" s="2" t="s">
        <v>4868</v>
      </c>
      <c r="G957" s="2" t="s">
        <v>4868</v>
      </c>
      <c r="H957" s="2" t="s">
        <v>4868</v>
      </c>
      <c r="I957" s="2" t="s">
        <v>4869</v>
      </c>
      <c r="J957" s="2" t="s">
        <v>1142</v>
      </c>
      <c r="K957" s="2" t="s">
        <v>2951</v>
      </c>
      <c r="L957" s="3">
        <v>42.85</v>
      </c>
      <c r="M957" s="3">
        <v>44.99</v>
      </c>
      <c r="N957" s="3">
        <v>89.99</v>
      </c>
      <c r="O957" s="2" t="s">
        <v>245</v>
      </c>
      <c r="P957" s="2" t="s">
        <v>238</v>
      </c>
      <c r="Q957" s="2" t="s">
        <v>239</v>
      </c>
      <c r="R957" s="2" t="s">
        <v>233</v>
      </c>
      <c r="S957" s="2" t="s">
        <v>4879</v>
      </c>
      <c r="T957" s="2" t="s">
        <v>395</v>
      </c>
      <c r="U957" s="2" t="s">
        <v>475</v>
      </c>
      <c r="V957" s="2" t="s">
        <v>241</v>
      </c>
      <c r="W957" s="2" t="s">
        <v>275</v>
      </c>
      <c r="X957" s="2" t="s">
        <v>233</v>
      </c>
      <c r="Y957" s="2" t="s">
        <v>233</v>
      </c>
      <c r="Z957" s="4"/>
      <c r="AA957" s="4">
        <f>=ROUNDDOWN({0},0)</f>
      </c>
      <c r="AB957" s="5">
        <v>26</v>
      </c>
      <c r="AC957" s="2" t="s">
        <v>4871</v>
      </c>
      <c r="AD957" s="4">
        <v>100</v>
      </c>
      <c r="AE957" s="4">
        <v>400</v>
      </c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233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233</v>
      </c>
      <c r="AW957" s="8" t="s">
        <v>233</v>
      </c>
      <c r="AX957" s="4" t="s">
        <v>233</v>
      </c>
      <c r="AY957" s="8" t="s">
        <v>233</v>
      </c>
      <c r="AZ957" s="7" t="s">
        <v>233</v>
      </c>
      <c r="BA957" s="7" t="s">
        <v>233</v>
      </c>
      <c r="BB957" s="7"/>
      <c r="BC957" s="4" t="s">
        <v>233</v>
      </c>
      <c r="BD957" s="8" t="s">
        <v>233</v>
      </c>
      <c r="BE957" s="4" t="s">
        <v>233</v>
      </c>
      <c r="BF957" s="8" t="s">
        <v>233</v>
      </c>
      <c r="BG957" s="7" t="s">
        <v>233</v>
      </c>
      <c r="BH957" s="7" t="s">
        <v>233</v>
      </c>
      <c r="BI957" s="7"/>
      <c r="BJ957" s="4"/>
      <c r="BK957" s="8"/>
      <c r="BL957" s="2" t="s">
        <v>233</v>
      </c>
      <c r="BM957" s="7"/>
      <c r="BN957" s="7"/>
      <c r="BO957" s="4"/>
      <c r="BP957" s="8"/>
      <c r="BQ957" s="4"/>
      <c r="BR957" s="8"/>
      <c r="BS957" s="7"/>
      <c r="BT957" s="7"/>
      <c r="BU957" s="2" t="s">
        <v>243</v>
      </c>
      <c r="BV957" s="2" t="s">
        <v>233</v>
      </c>
      <c r="BW957" s="2" t="s">
        <v>233</v>
      </c>
      <c r="BX957" s="2" t="s">
        <v>243</v>
      </c>
      <c r="BY957" s="2" t="s">
        <v>244</v>
      </c>
      <c r="BZ957" s="2" t="s">
        <v>245</v>
      </c>
      <c r="CA957" s="2" t="s">
        <v>233</v>
      </c>
      <c r="CB957" s="2" t="s">
        <v>233</v>
      </c>
      <c r="CC957" s="2" t="s">
        <v>246</v>
      </c>
      <c r="CD957" s="2" t="s">
        <v>233</v>
      </c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>
        <v>100</v>
      </c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>
        <v>50</v>
      </c>
      <c r="FN957" s="4"/>
      <c r="FO957" s="4"/>
      <c r="FP957" s="4"/>
      <c r="FQ957" s="4"/>
      <c r="FR957" s="4"/>
      <c r="FS957" s="4">
        <v>50</v>
      </c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>
        <v>200</v>
      </c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</row>
    <row r="958">
      <c r="A958" s="2" t="s">
        <v>4882</v>
      </c>
      <c r="B958" s="2" t="s">
        <v>264</v>
      </c>
      <c r="C958" s="2" t="s">
        <v>911</v>
      </c>
      <c r="D958" s="2" t="s">
        <v>969</v>
      </c>
      <c r="E958" s="2" t="s">
        <v>970</v>
      </c>
      <c r="F958" s="2" t="s">
        <v>4868</v>
      </c>
      <c r="G958" s="2" t="s">
        <v>4868</v>
      </c>
      <c r="H958" s="2" t="s">
        <v>4868</v>
      </c>
      <c r="I958" s="2" t="s">
        <v>4869</v>
      </c>
      <c r="J958" s="2" t="s">
        <v>270</v>
      </c>
      <c r="K958" s="2" t="s">
        <v>2158</v>
      </c>
      <c r="L958" s="3">
        <v>33.33</v>
      </c>
      <c r="M958" s="3">
        <v>35</v>
      </c>
      <c r="N958" s="3">
        <v>69.99</v>
      </c>
      <c r="O958" s="2" t="s">
        <v>245</v>
      </c>
      <c r="P958" s="2" t="s">
        <v>238</v>
      </c>
      <c r="Q958" s="2" t="s">
        <v>239</v>
      </c>
      <c r="R958" s="2" t="s">
        <v>233</v>
      </c>
      <c r="S958" s="2" t="s">
        <v>4883</v>
      </c>
      <c r="T958" s="2" t="s">
        <v>395</v>
      </c>
      <c r="U958" s="2" t="s">
        <v>491</v>
      </c>
      <c r="V958" s="2" t="s">
        <v>241</v>
      </c>
      <c r="W958" s="2" t="s">
        <v>275</v>
      </c>
      <c r="X958" s="2" t="s">
        <v>233</v>
      </c>
      <c r="Y958" s="2" t="s">
        <v>233</v>
      </c>
      <c r="Z958" s="4"/>
      <c r="AA958" s="4">
        <f>=ROUNDDOWN({0},0)</f>
      </c>
      <c r="AB958" s="5">
        <v>15</v>
      </c>
      <c r="AC958" s="2" t="s">
        <v>4871</v>
      </c>
      <c r="AD958" s="4">
        <v>100</v>
      </c>
      <c r="AE958" s="4">
        <v>400</v>
      </c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233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233</v>
      </c>
      <c r="AW958" s="8" t="s">
        <v>233</v>
      </c>
      <c r="AX958" s="4" t="s">
        <v>233</v>
      </c>
      <c r="AY958" s="8" t="s">
        <v>233</v>
      </c>
      <c r="AZ958" s="7" t="s">
        <v>233</v>
      </c>
      <c r="BA958" s="7" t="s">
        <v>233</v>
      </c>
      <c r="BB958" s="7"/>
      <c r="BC958" s="4" t="s">
        <v>233</v>
      </c>
      <c r="BD958" s="8" t="s">
        <v>233</v>
      </c>
      <c r="BE958" s="4" t="s">
        <v>233</v>
      </c>
      <c r="BF958" s="8" t="s">
        <v>233</v>
      </c>
      <c r="BG958" s="7" t="s">
        <v>233</v>
      </c>
      <c r="BH958" s="7" t="s">
        <v>233</v>
      </c>
      <c r="BI958" s="7"/>
      <c r="BJ958" s="4"/>
      <c r="BK958" s="8"/>
      <c r="BL958" s="2" t="s">
        <v>233</v>
      </c>
      <c r="BM958" s="7"/>
      <c r="BN958" s="7"/>
      <c r="BO958" s="4"/>
      <c r="BP958" s="8"/>
      <c r="BQ958" s="4"/>
      <c r="BR958" s="8"/>
      <c r="BS958" s="7"/>
      <c r="BT958" s="7"/>
      <c r="BU958" s="2" t="s">
        <v>243</v>
      </c>
      <c r="BV958" s="2" t="s">
        <v>233</v>
      </c>
      <c r="BW958" s="2" t="s">
        <v>233</v>
      </c>
      <c r="BX958" s="2" t="s">
        <v>243</v>
      </c>
      <c r="BY958" s="2" t="s">
        <v>244</v>
      </c>
      <c r="BZ958" s="2" t="s">
        <v>245</v>
      </c>
      <c r="CA958" s="2" t="s">
        <v>233</v>
      </c>
      <c r="CB958" s="2" t="s">
        <v>233</v>
      </c>
      <c r="CC958" s="2" t="s">
        <v>246</v>
      </c>
      <c r="CD958" s="2" t="s">
        <v>233</v>
      </c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>
        <v>100</v>
      </c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>
        <v>50</v>
      </c>
      <c r="FN958" s="4"/>
      <c r="FO958" s="4"/>
      <c r="FP958" s="4"/>
      <c r="FQ958" s="4"/>
      <c r="FR958" s="4"/>
      <c r="FS958" s="4">
        <v>50</v>
      </c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>
        <v>200</v>
      </c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</row>
    <row r="959">
      <c r="A959" s="2" t="s">
        <v>4884</v>
      </c>
      <c r="B959" s="2" t="s">
        <v>264</v>
      </c>
      <c r="C959" s="2" t="s">
        <v>911</v>
      </c>
      <c r="D959" s="2" t="s">
        <v>969</v>
      </c>
      <c r="E959" s="2" t="s">
        <v>970</v>
      </c>
      <c r="F959" s="2" t="s">
        <v>4868</v>
      </c>
      <c r="G959" s="2" t="s">
        <v>4868</v>
      </c>
      <c r="H959" s="2" t="s">
        <v>4868</v>
      </c>
      <c r="I959" s="2" t="s">
        <v>4869</v>
      </c>
      <c r="J959" s="2" t="s">
        <v>981</v>
      </c>
      <c r="K959" s="2" t="s">
        <v>2158</v>
      </c>
      <c r="L959" s="3">
        <v>38.09</v>
      </c>
      <c r="M959" s="3">
        <v>39.99</v>
      </c>
      <c r="N959" s="3">
        <v>79.99</v>
      </c>
      <c r="O959" s="2" t="s">
        <v>245</v>
      </c>
      <c r="P959" s="2" t="s">
        <v>238</v>
      </c>
      <c r="Q959" s="2" t="s">
        <v>239</v>
      </c>
      <c r="R959" s="2" t="s">
        <v>233</v>
      </c>
      <c r="S959" s="2" t="s">
        <v>4883</v>
      </c>
      <c r="T959" s="2" t="s">
        <v>395</v>
      </c>
      <c r="U959" s="2" t="s">
        <v>475</v>
      </c>
      <c r="V959" s="2" t="s">
        <v>241</v>
      </c>
      <c r="W959" s="2" t="s">
        <v>275</v>
      </c>
      <c r="X959" s="2" t="s">
        <v>233</v>
      </c>
      <c r="Y959" s="2" t="s">
        <v>233</v>
      </c>
      <c r="Z959" s="4"/>
      <c r="AA959" s="4">
        <f>=ROUNDDOWN({0},0)</f>
      </c>
      <c r="AB959" s="5"/>
      <c r="AC959" s="2" t="s">
        <v>4871</v>
      </c>
      <c r="AD959" s="4">
        <v>100</v>
      </c>
      <c r="AE959" s="4">
        <v>800</v>
      </c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233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233</v>
      </c>
      <c r="AW959" s="8" t="s">
        <v>233</v>
      </c>
      <c r="AX959" s="4" t="s">
        <v>233</v>
      </c>
      <c r="AY959" s="8" t="s">
        <v>233</v>
      </c>
      <c r="AZ959" s="7" t="s">
        <v>233</v>
      </c>
      <c r="BA959" s="7" t="s">
        <v>233</v>
      </c>
      <c r="BB959" s="7"/>
      <c r="BC959" s="4" t="s">
        <v>233</v>
      </c>
      <c r="BD959" s="8" t="s">
        <v>233</v>
      </c>
      <c r="BE959" s="4" t="s">
        <v>233</v>
      </c>
      <c r="BF959" s="8" t="s">
        <v>233</v>
      </c>
      <c r="BG959" s="7" t="s">
        <v>233</v>
      </c>
      <c r="BH959" s="7" t="s">
        <v>233</v>
      </c>
      <c r="BI959" s="7"/>
      <c r="BJ959" s="4"/>
      <c r="BK959" s="8"/>
      <c r="BL959" s="2" t="s">
        <v>233</v>
      </c>
      <c r="BM959" s="7"/>
      <c r="BN959" s="7"/>
      <c r="BO959" s="4"/>
      <c r="BP959" s="8"/>
      <c r="BQ959" s="4"/>
      <c r="BR959" s="8"/>
      <c r="BS959" s="7"/>
      <c r="BT959" s="7"/>
      <c r="BU959" s="2" t="s">
        <v>243</v>
      </c>
      <c r="BV959" s="2" t="s">
        <v>233</v>
      </c>
      <c r="BW959" s="2" t="s">
        <v>233</v>
      </c>
      <c r="BX959" s="2" t="s">
        <v>243</v>
      </c>
      <c r="BY959" s="2" t="s">
        <v>244</v>
      </c>
      <c r="BZ959" s="2" t="s">
        <v>245</v>
      </c>
      <c r="CA959" s="2" t="s">
        <v>233</v>
      </c>
      <c r="CB959" s="2" t="s">
        <v>233</v>
      </c>
      <c r="CC959" s="2" t="s">
        <v>246</v>
      </c>
      <c r="CD959" s="2" t="s">
        <v>233</v>
      </c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>
        <v>100</v>
      </c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>
        <v>100</v>
      </c>
      <c r="FN959" s="4"/>
      <c r="FO959" s="4"/>
      <c r="FP959" s="4"/>
      <c r="FQ959" s="4"/>
      <c r="FR959" s="4"/>
      <c r="FS959" s="4">
        <v>200</v>
      </c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>
        <v>400</v>
      </c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</row>
    <row r="960">
      <c r="A960" s="2" t="s">
        <v>4885</v>
      </c>
      <c r="B960" s="2" t="s">
        <v>264</v>
      </c>
      <c r="C960" s="2" t="s">
        <v>911</v>
      </c>
      <c r="D960" s="2" t="s">
        <v>969</v>
      </c>
      <c r="E960" s="2" t="s">
        <v>970</v>
      </c>
      <c r="F960" s="2" t="s">
        <v>4868</v>
      </c>
      <c r="G960" s="2" t="s">
        <v>4868</v>
      </c>
      <c r="H960" s="2" t="s">
        <v>4868</v>
      </c>
      <c r="I960" s="2" t="s">
        <v>4869</v>
      </c>
      <c r="J960" s="2" t="s">
        <v>1142</v>
      </c>
      <c r="K960" s="2" t="s">
        <v>2158</v>
      </c>
      <c r="L960" s="3">
        <v>42.85</v>
      </c>
      <c r="M960" s="3">
        <v>44.99</v>
      </c>
      <c r="N960" s="3">
        <v>89.99</v>
      </c>
      <c r="O960" s="2" t="s">
        <v>245</v>
      </c>
      <c r="P960" s="2" t="s">
        <v>238</v>
      </c>
      <c r="Q960" s="2" t="s">
        <v>239</v>
      </c>
      <c r="R960" s="2" t="s">
        <v>233</v>
      </c>
      <c r="S960" s="2" t="s">
        <v>4883</v>
      </c>
      <c r="T960" s="2" t="s">
        <v>395</v>
      </c>
      <c r="U960" s="2" t="s">
        <v>475</v>
      </c>
      <c r="V960" s="2" t="s">
        <v>241</v>
      </c>
      <c r="W960" s="2" t="s">
        <v>275</v>
      </c>
      <c r="X960" s="2" t="s">
        <v>233</v>
      </c>
      <c r="Y960" s="2" t="s">
        <v>233</v>
      </c>
      <c r="Z960" s="4"/>
      <c r="AA960" s="4">
        <f>=ROUNDDOWN({0},0)</f>
      </c>
      <c r="AB960" s="5">
        <v>27</v>
      </c>
      <c r="AC960" s="2" t="s">
        <v>4871</v>
      </c>
      <c r="AD960" s="4">
        <v>100</v>
      </c>
      <c r="AE960" s="4">
        <v>390</v>
      </c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233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233</v>
      </c>
      <c r="AW960" s="8" t="s">
        <v>233</v>
      </c>
      <c r="AX960" s="4" t="s">
        <v>233</v>
      </c>
      <c r="AY960" s="8" t="s">
        <v>233</v>
      </c>
      <c r="AZ960" s="7" t="s">
        <v>233</v>
      </c>
      <c r="BA960" s="7" t="s">
        <v>233</v>
      </c>
      <c r="BB960" s="7"/>
      <c r="BC960" s="4" t="s">
        <v>233</v>
      </c>
      <c r="BD960" s="8" t="s">
        <v>233</v>
      </c>
      <c r="BE960" s="4" t="s">
        <v>233</v>
      </c>
      <c r="BF960" s="8" t="s">
        <v>233</v>
      </c>
      <c r="BG960" s="7" t="s">
        <v>233</v>
      </c>
      <c r="BH960" s="7" t="s">
        <v>233</v>
      </c>
      <c r="BI960" s="7"/>
      <c r="BJ960" s="4"/>
      <c r="BK960" s="8"/>
      <c r="BL960" s="2" t="s">
        <v>233</v>
      </c>
      <c r="BM960" s="7"/>
      <c r="BN960" s="7"/>
      <c r="BO960" s="4"/>
      <c r="BP960" s="8"/>
      <c r="BQ960" s="4"/>
      <c r="BR960" s="8"/>
      <c r="BS960" s="7"/>
      <c r="BT960" s="7"/>
      <c r="BU960" s="2" t="s">
        <v>243</v>
      </c>
      <c r="BV960" s="2" t="s">
        <v>233</v>
      </c>
      <c r="BW960" s="2" t="s">
        <v>233</v>
      </c>
      <c r="BX960" s="2" t="s">
        <v>243</v>
      </c>
      <c r="BY960" s="2" t="s">
        <v>244</v>
      </c>
      <c r="BZ960" s="2" t="s">
        <v>245</v>
      </c>
      <c r="CA960" s="2" t="s">
        <v>233</v>
      </c>
      <c r="CB960" s="2" t="s">
        <v>233</v>
      </c>
      <c r="CC960" s="2" t="s">
        <v>246</v>
      </c>
      <c r="CD960" s="2" t="s">
        <v>233</v>
      </c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>
        <v>100</v>
      </c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>
        <v>48</v>
      </c>
      <c r="FN960" s="4"/>
      <c r="FO960" s="4"/>
      <c r="FP960" s="4"/>
      <c r="FQ960" s="4"/>
      <c r="FR960" s="4"/>
      <c r="FS960" s="4">
        <v>47</v>
      </c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>
        <v>195</v>
      </c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</row>
    <row r="961">
      <c r="A961" s="2" t="s">
        <v>4886</v>
      </c>
      <c r="B961" s="2" t="s">
        <v>264</v>
      </c>
      <c r="C961" s="2" t="s">
        <v>911</v>
      </c>
      <c r="D961" s="2" t="s">
        <v>266</v>
      </c>
      <c r="E961" s="2" t="s">
        <v>390</v>
      </c>
      <c r="F961" s="2" t="s">
        <v>4868</v>
      </c>
      <c r="G961" s="2" t="s">
        <v>4868</v>
      </c>
      <c r="H961" s="2" t="s">
        <v>4868</v>
      </c>
      <c r="I961" s="2" t="s">
        <v>4887</v>
      </c>
      <c r="J961" s="2" t="s">
        <v>270</v>
      </c>
      <c r="K961" s="2" t="s">
        <v>297</v>
      </c>
      <c r="L961" s="3">
        <v>20.57</v>
      </c>
      <c r="M961" s="3">
        <v>21.6</v>
      </c>
      <c r="N961" s="3">
        <v>44.99</v>
      </c>
      <c r="O961" s="2" t="s">
        <v>245</v>
      </c>
      <c r="P961" s="2" t="s">
        <v>238</v>
      </c>
      <c r="Q961" s="2" t="s">
        <v>239</v>
      </c>
      <c r="R961" s="2" t="s">
        <v>233</v>
      </c>
      <c r="S961" s="2" t="s">
        <v>4888</v>
      </c>
      <c r="T961" s="2" t="s">
        <v>1481</v>
      </c>
      <c r="U961" s="2" t="s">
        <v>396</v>
      </c>
      <c r="V961" s="2" t="s">
        <v>241</v>
      </c>
      <c r="W961" s="2" t="s">
        <v>275</v>
      </c>
      <c r="X961" s="2" t="s">
        <v>233</v>
      </c>
      <c r="Y961" s="2" t="s">
        <v>1580</v>
      </c>
      <c r="Z961" s="4">
        <v>180</v>
      </c>
      <c r="AA961" s="4">
        <f>=ROUNDDOWN(10,0)</f>
      </c>
      <c r="AB961" s="5">
        <v>18</v>
      </c>
      <c r="AC961" s="2" t="s">
        <v>1601</v>
      </c>
      <c r="AD961" s="4">
        <v>190</v>
      </c>
      <c r="AE961" s="4">
        <v>190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233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233</v>
      </c>
      <c r="AW961" s="8" t="s">
        <v>233</v>
      </c>
      <c r="AX961" s="4" t="s">
        <v>233</v>
      </c>
      <c r="AY961" s="8" t="s">
        <v>233</v>
      </c>
      <c r="AZ961" s="7" t="s">
        <v>233</v>
      </c>
      <c r="BA961" s="7" t="s">
        <v>233</v>
      </c>
      <c r="BB961" s="7"/>
      <c r="BC961" s="4" t="s">
        <v>233</v>
      </c>
      <c r="BD961" s="8" t="s">
        <v>233</v>
      </c>
      <c r="BE961" s="4" t="s">
        <v>233</v>
      </c>
      <c r="BF961" s="8" t="s">
        <v>233</v>
      </c>
      <c r="BG961" s="7" t="s">
        <v>233</v>
      </c>
      <c r="BH961" s="7" t="s">
        <v>233</v>
      </c>
      <c r="BI961" s="7"/>
      <c r="BJ961" s="4"/>
      <c r="BK961" s="8"/>
      <c r="BL961" s="2" t="s">
        <v>233</v>
      </c>
      <c r="BM961" s="7"/>
      <c r="BN961" s="7"/>
      <c r="BO961" s="4"/>
      <c r="BP961" s="8"/>
      <c r="BQ961" s="4"/>
      <c r="BR961" s="8"/>
      <c r="BS961" s="7"/>
      <c r="BT961" s="7"/>
      <c r="BU961" s="2" t="s">
        <v>243</v>
      </c>
      <c r="BV961" s="2" t="s">
        <v>233</v>
      </c>
      <c r="BW961" s="2" t="s">
        <v>233</v>
      </c>
      <c r="BX961" s="2" t="s">
        <v>243</v>
      </c>
      <c r="BY961" s="2" t="s">
        <v>346</v>
      </c>
      <c r="BZ961" s="2" t="s">
        <v>245</v>
      </c>
      <c r="CA961" s="2" t="s">
        <v>233</v>
      </c>
      <c r="CB961" s="2" t="s">
        <v>233</v>
      </c>
      <c r="CC961" s="2" t="s">
        <v>246</v>
      </c>
      <c r="CD961" s="2" t="s">
        <v>233</v>
      </c>
      <c r="CE961" s="4">
        <v>180</v>
      </c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>
        <v>190</v>
      </c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</row>
    <row r="962">
      <c r="A962" s="2" t="s">
        <v>4889</v>
      </c>
      <c r="B962" s="2" t="s">
        <v>264</v>
      </c>
      <c r="C962" s="2" t="s">
        <v>911</v>
      </c>
      <c r="D962" s="2" t="s">
        <v>266</v>
      </c>
      <c r="E962" s="2" t="s">
        <v>390</v>
      </c>
      <c r="F962" s="2" t="s">
        <v>4868</v>
      </c>
      <c r="G962" s="2" t="s">
        <v>4868</v>
      </c>
      <c r="H962" s="2" t="s">
        <v>4868</v>
      </c>
      <c r="I962" s="2" t="s">
        <v>4887</v>
      </c>
      <c r="J962" s="2" t="s">
        <v>290</v>
      </c>
      <c r="K962" s="2" t="s">
        <v>297</v>
      </c>
      <c r="L962" s="3">
        <v>23.8</v>
      </c>
      <c r="M962" s="3">
        <v>24.99</v>
      </c>
      <c r="N962" s="3">
        <v>49.99</v>
      </c>
      <c r="O962" s="2" t="s">
        <v>245</v>
      </c>
      <c r="P962" s="2" t="s">
        <v>238</v>
      </c>
      <c r="Q962" s="2" t="s">
        <v>239</v>
      </c>
      <c r="R962" s="2" t="s">
        <v>233</v>
      </c>
      <c r="S962" s="2" t="s">
        <v>4888</v>
      </c>
      <c r="T962" s="2" t="s">
        <v>1481</v>
      </c>
      <c r="U962" s="2" t="s">
        <v>396</v>
      </c>
      <c r="V962" s="2" t="s">
        <v>241</v>
      </c>
      <c r="W962" s="2" t="s">
        <v>275</v>
      </c>
      <c r="X962" s="2" t="s">
        <v>233</v>
      </c>
      <c r="Y962" s="2" t="s">
        <v>1580</v>
      </c>
      <c r="Z962" s="4">
        <v>200</v>
      </c>
      <c r="AA962" s="4">
        <f>=ROUNDDOWN(9.09090909090909,0)</f>
      </c>
      <c r="AB962" s="5">
        <v>22</v>
      </c>
      <c r="AC962" s="2" t="s">
        <v>1601</v>
      </c>
      <c r="AD962" s="4">
        <v>220</v>
      </c>
      <c r="AE962" s="4">
        <v>220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233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233</v>
      </c>
      <c r="AW962" s="8" t="s">
        <v>233</v>
      </c>
      <c r="AX962" s="4" t="s">
        <v>233</v>
      </c>
      <c r="AY962" s="8" t="s">
        <v>233</v>
      </c>
      <c r="AZ962" s="7" t="s">
        <v>233</v>
      </c>
      <c r="BA962" s="7" t="s">
        <v>233</v>
      </c>
      <c r="BB962" s="7"/>
      <c r="BC962" s="4" t="s">
        <v>233</v>
      </c>
      <c r="BD962" s="8" t="s">
        <v>233</v>
      </c>
      <c r="BE962" s="4" t="s">
        <v>233</v>
      </c>
      <c r="BF962" s="8" t="s">
        <v>233</v>
      </c>
      <c r="BG962" s="7" t="s">
        <v>233</v>
      </c>
      <c r="BH962" s="7" t="s">
        <v>233</v>
      </c>
      <c r="BI962" s="7"/>
      <c r="BJ962" s="4"/>
      <c r="BK962" s="8"/>
      <c r="BL962" s="2" t="s">
        <v>233</v>
      </c>
      <c r="BM962" s="7"/>
      <c r="BN962" s="7"/>
      <c r="BO962" s="4"/>
      <c r="BP962" s="8"/>
      <c r="BQ962" s="4"/>
      <c r="BR962" s="8"/>
      <c r="BS962" s="7"/>
      <c r="BT962" s="7"/>
      <c r="BU962" s="2" t="s">
        <v>243</v>
      </c>
      <c r="BV962" s="2" t="s">
        <v>233</v>
      </c>
      <c r="BW962" s="2" t="s">
        <v>233</v>
      </c>
      <c r="BX962" s="2" t="s">
        <v>243</v>
      </c>
      <c r="BY962" s="2" t="s">
        <v>346</v>
      </c>
      <c r="BZ962" s="2" t="s">
        <v>245</v>
      </c>
      <c r="CA962" s="2" t="s">
        <v>233</v>
      </c>
      <c r="CB962" s="2" t="s">
        <v>233</v>
      </c>
      <c r="CC962" s="2" t="s">
        <v>246</v>
      </c>
      <c r="CD962" s="2" t="s">
        <v>233</v>
      </c>
      <c r="CE962" s="4">
        <v>200</v>
      </c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>
        <v>220</v>
      </c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</row>
    <row r="963">
      <c r="A963" s="2" t="s">
        <v>4890</v>
      </c>
      <c r="B963" s="2" t="s">
        <v>264</v>
      </c>
      <c r="C963" s="2" t="s">
        <v>911</v>
      </c>
      <c r="D963" s="2" t="s">
        <v>266</v>
      </c>
      <c r="E963" s="2" t="s">
        <v>390</v>
      </c>
      <c r="F963" s="2" t="s">
        <v>4868</v>
      </c>
      <c r="G963" s="2" t="s">
        <v>4868</v>
      </c>
      <c r="H963" s="2" t="s">
        <v>4868</v>
      </c>
      <c r="I963" s="2" t="s">
        <v>4887</v>
      </c>
      <c r="J963" s="2" t="s">
        <v>348</v>
      </c>
      <c r="K963" s="2" t="s">
        <v>297</v>
      </c>
      <c r="L963" s="3">
        <v>26.19</v>
      </c>
      <c r="M963" s="3">
        <v>27.5</v>
      </c>
      <c r="N963" s="3">
        <v>54.99</v>
      </c>
      <c r="O963" s="2" t="s">
        <v>245</v>
      </c>
      <c r="P963" s="2" t="s">
        <v>238</v>
      </c>
      <c r="Q963" s="2" t="s">
        <v>239</v>
      </c>
      <c r="R963" s="2" t="s">
        <v>233</v>
      </c>
      <c r="S963" s="2" t="s">
        <v>4888</v>
      </c>
      <c r="T963" s="2" t="s">
        <v>1481</v>
      </c>
      <c r="U963" s="2" t="s">
        <v>396</v>
      </c>
      <c r="V963" s="2" t="s">
        <v>241</v>
      </c>
      <c r="W963" s="2" t="s">
        <v>275</v>
      </c>
      <c r="X963" s="2" t="s">
        <v>233</v>
      </c>
      <c r="Y963" s="2" t="s">
        <v>1580</v>
      </c>
      <c r="Z963" s="4">
        <v>380</v>
      </c>
      <c r="AA963" s="4">
        <f>=ROUNDDOWN(10.2702702702703,0)</f>
      </c>
      <c r="AB963" s="5">
        <v>37</v>
      </c>
      <c r="AC963" s="2" t="s">
        <v>1601</v>
      </c>
      <c r="AD963" s="4">
        <v>380</v>
      </c>
      <c r="AE963" s="4">
        <v>380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233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233</v>
      </c>
      <c r="AW963" s="8" t="s">
        <v>233</v>
      </c>
      <c r="AX963" s="4" t="s">
        <v>233</v>
      </c>
      <c r="AY963" s="8" t="s">
        <v>233</v>
      </c>
      <c r="AZ963" s="7" t="s">
        <v>233</v>
      </c>
      <c r="BA963" s="7" t="s">
        <v>233</v>
      </c>
      <c r="BB963" s="7"/>
      <c r="BC963" s="4" t="s">
        <v>233</v>
      </c>
      <c r="BD963" s="8" t="s">
        <v>233</v>
      </c>
      <c r="BE963" s="4" t="s">
        <v>233</v>
      </c>
      <c r="BF963" s="8" t="s">
        <v>233</v>
      </c>
      <c r="BG963" s="7" t="s">
        <v>233</v>
      </c>
      <c r="BH963" s="7" t="s">
        <v>233</v>
      </c>
      <c r="BI963" s="7"/>
      <c r="BJ963" s="4"/>
      <c r="BK963" s="8"/>
      <c r="BL963" s="2" t="s">
        <v>233</v>
      </c>
      <c r="BM963" s="7"/>
      <c r="BN963" s="7"/>
      <c r="BO963" s="4"/>
      <c r="BP963" s="8"/>
      <c r="BQ963" s="4"/>
      <c r="BR963" s="8"/>
      <c r="BS963" s="7"/>
      <c r="BT963" s="7"/>
      <c r="BU963" s="2" t="s">
        <v>243</v>
      </c>
      <c r="BV963" s="2" t="s">
        <v>233</v>
      </c>
      <c r="BW963" s="2" t="s">
        <v>233</v>
      </c>
      <c r="BX963" s="2" t="s">
        <v>243</v>
      </c>
      <c r="BY963" s="2" t="s">
        <v>346</v>
      </c>
      <c r="BZ963" s="2" t="s">
        <v>245</v>
      </c>
      <c r="CA963" s="2" t="s">
        <v>233</v>
      </c>
      <c r="CB963" s="2" t="s">
        <v>233</v>
      </c>
      <c r="CC963" s="2" t="s">
        <v>246</v>
      </c>
      <c r="CD963" s="2" t="s">
        <v>233</v>
      </c>
      <c r="CE963" s="4">
        <v>380</v>
      </c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>
        <v>380</v>
      </c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</row>
    <row r="964">
      <c r="A964" s="2" t="s">
        <v>4891</v>
      </c>
      <c r="B964" s="2" t="s">
        <v>264</v>
      </c>
      <c r="C964" s="2" t="s">
        <v>911</v>
      </c>
      <c r="D964" s="2" t="s">
        <v>266</v>
      </c>
      <c r="E964" s="2" t="s">
        <v>390</v>
      </c>
      <c r="F964" s="2" t="s">
        <v>4868</v>
      </c>
      <c r="G964" s="2" t="s">
        <v>4868</v>
      </c>
      <c r="H964" s="2" t="s">
        <v>4868</v>
      </c>
      <c r="I964" s="2" t="s">
        <v>4887</v>
      </c>
      <c r="J964" s="2" t="s">
        <v>328</v>
      </c>
      <c r="K964" s="2" t="s">
        <v>297</v>
      </c>
      <c r="L964" s="3">
        <v>28.57</v>
      </c>
      <c r="M964" s="3">
        <v>30</v>
      </c>
      <c r="N964" s="3">
        <v>59.99</v>
      </c>
      <c r="O964" s="2" t="s">
        <v>245</v>
      </c>
      <c r="P964" s="2" t="s">
        <v>238</v>
      </c>
      <c r="Q964" s="2" t="s">
        <v>239</v>
      </c>
      <c r="R964" s="2" t="s">
        <v>233</v>
      </c>
      <c r="S964" s="2" t="s">
        <v>4888</v>
      </c>
      <c r="T964" s="2" t="s">
        <v>1481</v>
      </c>
      <c r="U964" s="2" t="s">
        <v>396</v>
      </c>
      <c r="V964" s="2" t="s">
        <v>241</v>
      </c>
      <c r="W964" s="2" t="s">
        <v>275</v>
      </c>
      <c r="X964" s="2" t="s">
        <v>233</v>
      </c>
      <c r="Y964" s="2" t="s">
        <v>1580</v>
      </c>
      <c r="Z964" s="4">
        <v>220</v>
      </c>
      <c r="AA964" s="4">
        <f>=ROUNDDOWN(10,0)</f>
      </c>
      <c r="AB964" s="5">
        <v>22</v>
      </c>
      <c r="AC964" s="2" t="s">
        <v>1601</v>
      </c>
      <c r="AD964" s="4">
        <v>460</v>
      </c>
      <c r="AE964" s="4">
        <v>460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233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233</v>
      </c>
      <c r="AW964" s="8" t="s">
        <v>233</v>
      </c>
      <c r="AX964" s="4" t="s">
        <v>233</v>
      </c>
      <c r="AY964" s="8" t="s">
        <v>233</v>
      </c>
      <c r="AZ964" s="7" t="s">
        <v>233</v>
      </c>
      <c r="BA964" s="7" t="s">
        <v>233</v>
      </c>
      <c r="BB964" s="7"/>
      <c r="BC964" s="4" t="s">
        <v>233</v>
      </c>
      <c r="BD964" s="8" t="s">
        <v>233</v>
      </c>
      <c r="BE964" s="4" t="s">
        <v>233</v>
      </c>
      <c r="BF964" s="8" t="s">
        <v>233</v>
      </c>
      <c r="BG964" s="7" t="s">
        <v>233</v>
      </c>
      <c r="BH964" s="7" t="s">
        <v>233</v>
      </c>
      <c r="BI964" s="7"/>
      <c r="BJ964" s="4"/>
      <c r="BK964" s="8"/>
      <c r="BL964" s="2" t="s">
        <v>233</v>
      </c>
      <c r="BM964" s="7"/>
      <c r="BN964" s="7"/>
      <c r="BO964" s="4"/>
      <c r="BP964" s="8"/>
      <c r="BQ964" s="4"/>
      <c r="BR964" s="8"/>
      <c r="BS964" s="7"/>
      <c r="BT964" s="7"/>
      <c r="BU964" s="2" t="s">
        <v>243</v>
      </c>
      <c r="BV964" s="2" t="s">
        <v>233</v>
      </c>
      <c r="BW964" s="2" t="s">
        <v>233</v>
      </c>
      <c r="BX964" s="2" t="s">
        <v>243</v>
      </c>
      <c r="BY964" s="2" t="s">
        <v>346</v>
      </c>
      <c r="BZ964" s="2" t="s">
        <v>245</v>
      </c>
      <c r="CA964" s="2" t="s">
        <v>233</v>
      </c>
      <c r="CB964" s="2" t="s">
        <v>233</v>
      </c>
      <c r="CC964" s="2" t="s">
        <v>246</v>
      </c>
      <c r="CD964" s="2" t="s">
        <v>233</v>
      </c>
      <c r="CE964" s="4">
        <v>220</v>
      </c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>
        <v>460</v>
      </c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</row>
    <row r="965">
      <c r="A965" s="2" t="s">
        <v>4892</v>
      </c>
      <c r="B965" s="2" t="s">
        <v>228</v>
      </c>
      <c r="C965" s="2" t="s">
        <v>701</v>
      </c>
      <c r="D965" s="2" t="s">
        <v>230</v>
      </c>
      <c r="E965" s="2" t="s">
        <v>231</v>
      </c>
      <c r="F965" s="2" t="s">
        <v>4893</v>
      </c>
      <c r="G965" s="2" t="s">
        <v>4893</v>
      </c>
      <c r="H965" s="2" t="s">
        <v>4893</v>
      </c>
      <c r="I965" s="2" t="s">
        <v>231</v>
      </c>
      <c r="J965" s="2" t="s">
        <v>270</v>
      </c>
      <c r="K965" s="2" t="s">
        <v>255</v>
      </c>
      <c r="L965" s="3">
        <v>16.56</v>
      </c>
      <c r="M965" s="3">
        <v>17.39</v>
      </c>
      <c r="N965" s="3">
        <v>36.99</v>
      </c>
      <c r="O965" s="2" t="s">
        <v>245</v>
      </c>
      <c r="P965" s="2" t="s">
        <v>238</v>
      </c>
      <c r="Q965" s="2" t="s">
        <v>239</v>
      </c>
      <c r="R965" s="2" t="s">
        <v>233</v>
      </c>
      <c r="S965" s="2" t="s">
        <v>4894</v>
      </c>
      <c r="T965" s="2" t="s">
        <v>1481</v>
      </c>
      <c r="U965" s="2" t="s">
        <v>396</v>
      </c>
      <c r="V965" s="2" t="s">
        <v>241</v>
      </c>
      <c r="W965" s="2" t="s">
        <v>275</v>
      </c>
      <c r="X965" s="2" t="s">
        <v>233</v>
      </c>
      <c r="Y965" s="2" t="s">
        <v>4786</v>
      </c>
      <c r="Z965" s="4">
        <v>105</v>
      </c>
      <c r="AA965" s="4">
        <f>=ROUNDDOWN({0},0)</f>
      </c>
      <c r="AB965" s="5"/>
      <c r="AC965" s="2" t="s">
        <v>277</v>
      </c>
      <c r="AD965" s="4">
        <v>105</v>
      </c>
      <c r="AE965" s="4">
        <v>105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233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233</v>
      </c>
      <c r="AW965" s="8" t="s">
        <v>233</v>
      </c>
      <c r="AX965" s="4" t="s">
        <v>233</v>
      </c>
      <c r="AY965" s="8" t="s">
        <v>233</v>
      </c>
      <c r="AZ965" s="7" t="s">
        <v>233</v>
      </c>
      <c r="BA965" s="7" t="s">
        <v>233</v>
      </c>
      <c r="BB965" s="7"/>
      <c r="BC965" s="4" t="s">
        <v>233</v>
      </c>
      <c r="BD965" s="8" t="s">
        <v>233</v>
      </c>
      <c r="BE965" s="4" t="s">
        <v>233</v>
      </c>
      <c r="BF965" s="8" t="s">
        <v>233</v>
      </c>
      <c r="BG965" s="7" t="s">
        <v>233</v>
      </c>
      <c r="BH965" s="7" t="s">
        <v>233</v>
      </c>
      <c r="BI965" s="7"/>
      <c r="BJ965" s="4"/>
      <c r="BK965" s="8"/>
      <c r="BL965" s="2" t="s">
        <v>233</v>
      </c>
      <c r="BM965" s="7"/>
      <c r="BN965" s="7"/>
      <c r="BO965" s="4"/>
      <c r="BP965" s="8"/>
      <c r="BQ965" s="4"/>
      <c r="BR965" s="8"/>
      <c r="BS965" s="7"/>
      <c r="BT965" s="7"/>
      <c r="BU965" s="2" t="s">
        <v>4895</v>
      </c>
      <c r="BV965" s="2" t="s">
        <v>233</v>
      </c>
      <c r="BW965" s="2" t="s">
        <v>233</v>
      </c>
      <c r="BX965" s="2" t="s">
        <v>243</v>
      </c>
      <c r="BY965" s="2" t="s">
        <v>280</v>
      </c>
      <c r="BZ965" s="2" t="s">
        <v>245</v>
      </c>
      <c r="CA965" s="2" t="s">
        <v>2564</v>
      </c>
      <c r="CB965" s="2" t="s">
        <v>233</v>
      </c>
      <c r="CC965" s="2" t="s">
        <v>246</v>
      </c>
      <c r="CD965" s="2" t="s">
        <v>233</v>
      </c>
      <c r="CE965" s="4">
        <v>105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>
        <v>105</v>
      </c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</row>
    <row r="966">
      <c r="A966" s="2" t="s">
        <v>4896</v>
      </c>
      <c r="B966" s="2" t="s">
        <v>228</v>
      </c>
      <c r="C966" s="2" t="s">
        <v>701</v>
      </c>
      <c r="D966" s="2" t="s">
        <v>230</v>
      </c>
      <c r="E966" s="2" t="s">
        <v>231</v>
      </c>
      <c r="F966" s="2" t="s">
        <v>4893</v>
      </c>
      <c r="G966" s="2" t="s">
        <v>4893</v>
      </c>
      <c r="H966" s="2" t="s">
        <v>4893</v>
      </c>
      <c r="I966" s="2" t="s">
        <v>231</v>
      </c>
      <c r="J966" s="2" t="s">
        <v>981</v>
      </c>
      <c r="K966" s="2" t="s">
        <v>255</v>
      </c>
      <c r="L966" s="3">
        <v>19.6</v>
      </c>
      <c r="M966" s="3">
        <v>20.58</v>
      </c>
      <c r="N966" s="3">
        <v>41.99</v>
      </c>
      <c r="O966" s="2" t="s">
        <v>245</v>
      </c>
      <c r="P966" s="2" t="s">
        <v>238</v>
      </c>
      <c r="Q966" s="2" t="s">
        <v>239</v>
      </c>
      <c r="R966" s="2" t="s">
        <v>233</v>
      </c>
      <c r="S966" s="2" t="s">
        <v>4894</v>
      </c>
      <c r="T966" s="2" t="s">
        <v>1481</v>
      </c>
      <c r="U966" s="2" t="s">
        <v>396</v>
      </c>
      <c r="V966" s="2" t="s">
        <v>241</v>
      </c>
      <c r="W966" s="2" t="s">
        <v>275</v>
      </c>
      <c r="X966" s="2" t="s">
        <v>233</v>
      </c>
      <c r="Y966" s="2" t="s">
        <v>4786</v>
      </c>
      <c r="Z966" s="4">
        <v>164</v>
      </c>
      <c r="AA966" s="4">
        <f>=ROUNDDOWN(164,0)</f>
      </c>
      <c r="AB966" s="5">
        <v>1</v>
      </c>
      <c r="AC966" s="2" t="s">
        <v>277</v>
      </c>
      <c r="AD966" s="4">
        <v>165</v>
      </c>
      <c r="AE966" s="4">
        <v>165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233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233</v>
      </c>
      <c r="AW966" s="8" t="s">
        <v>233</v>
      </c>
      <c r="AX966" s="4" t="s">
        <v>233</v>
      </c>
      <c r="AY966" s="8" t="s">
        <v>233</v>
      </c>
      <c r="AZ966" s="7" t="s">
        <v>233</v>
      </c>
      <c r="BA966" s="7" t="s">
        <v>233</v>
      </c>
      <c r="BB966" s="7"/>
      <c r="BC966" s="4" t="s">
        <v>233</v>
      </c>
      <c r="BD966" s="8" t="s">
        <v>233</v>
      </c>
      <c r="BE966" s="4" t="s">
        <v>233</v>
      </c>
      <c r="BF966" s="8" t="s">
        <v>233</v>
      </c>
      <c r="BG966" s="7" t="s">
        <v>233</v>
      </c>
      <c r="BH966" s="7" t="s">
        <v>233</v>
      </c>
      <c r="BI966" s="7"/>
      <c r="BJ966" s="4"/>
      <c r="BK966" s="8"/>
      <c r="BL966" s="2" t="s">
        <v>233</v>
      </c>
      <c r="BM966" s="7"/>
      <c r="BN966" s="7"/>
      <c r="BO966" s="4"/>
      <c r="BP966" s="8"/>
      <c r="BQ966" s="4"/>
      <c r="BR966" s="8"/>
      <c r="BS966" s="7"/>
      <c r="BT966" s="7"/>
      <c r="BU966" s="2" t="s">
        <v>4897</v>
      </c>
      <c r="BV966" s="2" t="s">
        <v>233</v>
      </c>
      <c r="BW966" s="2" t="s">
        <v>233</v>
      </c>
      <c r="BX966" s="2" t="s">
        <v>243</v>
      </c>
      <c r="BY966" s="2" t="s">
        <v>280</v>
      </c>
      <c r="BZ966" s="2" t="s">
        <v>245</v>
      </c>
      <c r="CA966" s="2" t="s">
        <v>2564</v>
      </c>
      <c r="CB966" s="2" t="s">
        <v>233</v>
      </c>
      <c r="CC966" s="2" t="s">
        <v>246</v>
      </c>
      <c r="CD966" s="2" t="s">
        <v>233</v>
      </c>
      <c r="CE966" s="4">
        <v>164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>
        <v>165</v>
      </c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</row>
    <row r="967">
      <c r="A967" s="2" t="s">
        <v>4898</v>
      </c>
      <c r="B967" s="2" t="s">
        <v>228</v>
      </c>
      <c r="C967" s="2" t="s">
        <v>701</v>
      </c>
      <c r="D967" s="2" t="s">
        <v>230</v>
      </c>
      <c r="E967" s="2" t="s">
        <v>231</v>
      </c>
      <c r="F967" s="2" t="s">
        <v>4893</v>
      </c>
      <c r="G967" s="2" t="s">
        <v>4893</v>
      </c>
      <c r="H967" s="2" t="s">
        <v>4893</v>
      </c>
      <c r="I967" s="2" t="s">
        <v>231</v>
      </c>
      <c r="J967" s="2" t="s">
        <v>328</v>
      </c>
      <c r="K967" s="2" t="s">
        <v>255</v>
      </c>
      <c r="L967" s="3">
        <v>22.38</v>
      </c>
      <c r="M967" s="3">
        <v>23.5</v>
      </c>
      <c r="N967" s="3">
        <v>46.99</v>
      </c>
      <c r="O967" s="2" t="s">
        <v>245</v>
      </c>
      <c r="P967" s="2" t="s">
        <v>238</v>
      </c>
      <c r="Q967" s="2" t="s">
        <v>239</v>
      </c>
      <c r="R967" s="2" t="s">
        <v>233</v>
      </c>
      <c r="S967" s="2" t="s">
        <v>4894</v>
      </c>
      <c r="T967" s="2" t="s">
        <v>1481</v>
      </c>
      <c r="U967" s="2" t="s">
        <v>396</v>
      </c>
      <c r="V967" s="2" t="s">
        <v>241</v>
      </c>
      <c r="W967" s="2" t="s">
        <v>275</v>
      </c>
      <c r="X967" s="2" t="s">
        <v>233</v>
      </c>
      <c r="Y967" s="2" t="s">
        <v>4786</v>
      </c>
      <c r="Z967" s="4">
        <v>130</v>
      </c>
      <c r="AA967" s="4">
        <f>=ROUNDDOWN({0},0)</f>
      </c>
      <c r="AB967" s="5"/>
      <c r="AC967" s="2" t="s">
        <v>277</v>
      </c>
      <c r="AD967" s="4">
        <v>130</v>
      </c>
      <c r="AE967" s="4">
        <v>130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233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233</v>
      </c>
      <c r="AW967" s="8" t="s">
        <v>233</v>
      </c>
      <c r="AX967" s="4" t="s">
        <v>233</v>
      </c>
      <c r="AY967" s="8" t="s">
        <v>233</v>
      </c>
      <c r="AZ967" s="7" t="s">
        <v>233</v>
      </c>
      <c r="BA967" s="7" t="s">
        <v>233</v>
      </c>
      <c r="BB967" s="7"/>
      <c r="BC967" s="4" t="s">
        <v>233</v>
      </c>
      <c r="BD967" s="8" t="s">
        <v>233</v>
      </c>
      <c r="BE967" s="4" t="s">
        <v>233</v>
      </c>
      <c r="BF967" s="8" t="s">
        <v>233</v>
      </c>
      <c r="BG967" s="7" t="s">
        <v>233</v>
      </c>
      <c r="BH967" s="7" t="s">
        <v>233</v>
      </c>
      <c r="BI967" s="7"/>
      <c r="BJ967" s="4"/>
      <c r="BK967" s="8"/>
      <c r="BL967" s="2" t="s">
        <v>233</v>
      </c>
      <c r="BM967" s="7"/>
      <c r="BN967" s="7"/>
      <c r="BO967" s="4"/>
      <c r="BP967" s="8"/>
      <c r="BQ967" s="4"/>
      <c r="BR967" s="8"/>
      <c r="BS967" s="7"/>
      <c r="BT967" s="7"/>
      <c r="BU967" s="2" t="s">
        <v>4899</v>
      </c>
      <c r="BV967" s="2" t="s">
        <v>233</v>
      </c>
      <c r="BW967" s="2" t="s">
        <v>233</v>
      </c>
      <c r="BX967" s="2" t="s">
        <v>243</v>
      </c>
      <c r="BY967" s="2" t="s">
        <v>280</v>
      </c>
      <c r="BZ967" s="2" t="s">
        <v>245</v>
      </c>
      <c r="CA967" s="2" t="s">
        <v>2564</v>
      </c>
      <c r="CB967" s="2" t="s">
        <v>233</v>
      </c>
      <c r="CC967" s="2" t="s">
        <v>246</v>
      </c>
      <c r="CD967" s="2" t="s">
        <v>233</v>
      </c>
      <c r="CE967" s="4">
        <v>130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>
        <v>130</v>
      </c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</row>
    <row r="968">
      <c r="A968" s="2" t="s">
        <v>4900</v>
      </c>
      <c r="B968" s="2" t="s">
        <v>228</v>
      </c>
      <c r="C968" s="2" t="s">
        <v>701</v>
      </c>
      <c r="D968" s="2" t="s">
        <v>230</v>
      </c>
      <c r="E968" s="2" t="s">
        <v>231</v>
      </c>
      <c r="F968" s="2" t="s">
        <v>4893</v>
      </c>
      <c r="G968" s="2" t="s">
        <v>4893</v>
      </c>
      <c r="H968" s="2" t="s">
        <v>4893</v>
      </c>
      <c r="I968" s="2" t="s">
        <v>231</v>
      </c>
      <c r="J968" s="2" t="s">
        <v>270</v>
      </c>
      <c r="K968" s="2" t="s">
        <v>4796</v>
      </c>
      <c r="L968" s="3">
        <v>16.56</v>
      </c>
      <c r="M968" s="3">
        <v>17.39</v>
      </c>
      <c r="N968" s="3">
        <v>36.99</v>
      </c>
      <c r="O968" s="2" t="s">
        <v>245</v>
      </c>
      <c r="P968" s="2" t="s">
        <v>238</v>
      </c>
      <c r="Q968" s="2" t="s">
        <v>239</v>
      </c>
      <c r="R968" s="2" t="s">
        <v>233</v>
      </c>
      <c r="S968" s="2" t="s">
        <v>4901</v>
      </c>
      <c r="T968" s="2" t="s">
        <v>1481</v>
      </c>
      <c r="U968" s="2" t="s">
        <v>396</v>
      </c>
      <c r="V968" s="2" t="s">
        <v>241</v>
      </c>
      <c r="W968" s="2" t="s">
        <v>275</v>
      </c>
      <c r="X968" s="2" t="s">
        <v>233</v>
      </c>
      <c r="Y968" s="2" t="s">
        <v>4786</v>
      </c>
      <c r="Z968" s="4">
        <v>125</v>
      </c>
      <c r="AA968" s="4">
        <f>=ROUNDDOWN({0},0)</f>
      </c>
      <c r="AB968" s="5"/>
      <c r="AC968" s="2" t="s">
        <v>277</v>
      </c>
      <c r="AD968" s="4">
        <v>125</v>
      </c>
      <c r="AE968" s="4">
        <v>125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233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233</v>
      </c>
      <c r="AW968" s="8" t="s">
        <v>233</v>
      </c>
      <c r="AX968" s="4" t="s">
        <v>233</v>
      </c>
      <c r="AY968" s="8" t="s">
        <v>233</v>
      </c>
      <c r="AZ968" s="7" t="s">
        <v>233</v>
      </c>
      <c r="BA968" s="7" t="s">
        <v>233</v>
      </c>
      <c r="BB968" s="7"/>
      <c r="BC968" s="4" t="s">
        <v>233</v>
      </c>
      <c r="BD968" s="8" t="s">
        <v>233</v>
      </c>
      <c r="BE968" s="4" t="s">
        <v>233</v>
      </c>
      <c r="BF968" s="8" t="s">
        <v>233</v>
      </c>
      <c r="BG968" s="7" t="s">
        <v>233</v>
      </c>
      <c r="BH968" s="7" t="s">
        <v>233</v>
      </c>
      <c r="BI968" s="7"/>
      <c r="BJ968" s="4"/>
      <c r="BK968" s="8"/>
      <c r="BL968" s="2" t="s">
        <v>233</v>
      </c>
      <c r="BM968" s="7"/>
      <c r="BN968" s="7"/>
      <c r="BO968" s="4"/>
      <c r="BP968" s="8"/>
      <c r="BQ968" s="4"/>
      <c r="BR968" s="8"/>
      <c r="BS968" s="7"/>
      <c r="BT968" s="7"/>
      <c r="BU968" s="2" t="s">
        <v>4902</v>
      </c>
      <c r="BV968" s="2" t="s">
        <v>233</v>
      </c>
      <c r="BW968" s="2" t="s">
        <v>233</v>
      </c>
      <c r="BX968" s="2" t="s">
        <v>243</v>
      </c>
      <c r="BY968" s="2" t="s">
        <v>280</v>
      </c>
      <c r="BZ968" s="2" t="s">
        <v>245</v>
      </c>
      <c r="CA968" s="2" t="s">
        <v>2564</v>
      </c>
      <c r="CB968" s="2" t="s">
        <v>233</v>
      </c>
      <c r="CC968" s="2" t="s">
        <v>246</v>
      </c>
      <c r="CD968" s="2" t="s">
        <v>233</v>
      </c>
      <c r="CE968" s="4">
        <v>125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>
        <v>125</v>
      </c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</row>
    <row r="969">
      <c r="A969" s="2" t="s">
        <v>4903</v>
      </c>
      <c r="B969" s="2" t="s">
        <v>228</v>
      </c>
      <c r="C969" s="2" t="s">
        <v>701</v>
      </c>
      <c r="D969" s="2" t="s">
        <v>230</v>
      </c>
      <c r="E969" s="2" t="s">
        <v>231</v>
      </c>
      <c r="F969" s="2" t="s">
        <v>4893</v>
      </c>
      <c r="G969" s="2" t="s">
        <v>4893</v>
      </c>
      <c r="H969" s="2" t="s">
        <v>4893</v>
      </c>
      <c r="I969" s="2" t="s">
        <v>231</v>
      </c>
      <c r="J969" s="2" t="s">
        <v>981</v>
      </c>
      <c r="K969" s="2" t="s">
        <v>4796</v>
      </c>
      <c r="L969" s="3">
        <v>19.6</v>
      </c>
      <c r="M969" s="3">
        <v>20.58</v>
      </c>
      <c r="N969" s="3">
        <v>41.99</v>
      </c>
      <c r="O969" s="2" t="s">
        <v>245</v>
      </c>
      <c r="P969" s="2" t="s">
        <v>238</v>
      </c>
      <c r="Q969" s="2" t="s">
        <v>239</v>
      </c>
      <c r="R969" s="2" t="s">
        <v>233</v>
      </c>
      <c r="S969" s="2" t="s">
        <v>4901</v>
      </c>
      <c r="T969" s="2" t="s">
        <v>1481</v>
      </c>
      <c r="U969" s="2" t="s">
        <v>396</v>
      </c>
      <c r="V969" s="2" t="s">
        <v>241</v>
      </c>
      <c r="W969" s="2" t="s">
        <v>275</v>
      </c>
      <c r="X969" s="2" t="s">
        <v>233</v>
      </c>
      <c r="Y969" s="2" t="s">
        <v>4786</v>
      </c>
      <c r="Z969" s="4">
        <v>170</v>
      </c>
      <c r="AA969" s="4">
        <f>=ROUNDDOWN({0},0)</f>
      </c>
      <c r="AB969" s="5"/>
      <c r="AC969" s="2" t="s">
        <v>277</v>
      </c>
      <c r="AD969" s="4">
        <v>170</v>
      </c>
      <c r="AE969" s="4">
        <v>170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233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233</v>
      </c>
      <c r="AW969" s="8" t="s">
        <v>233</v>
      </c>
      <c r="AX969" s="4" t="s">
        <v>233</v>
      </c>
      <c r="AY969" s="8" t="s">
        <v>233</v>
      </c>
      <c r="AZ969" s="7" t="s">
        <v>233</v>
      </c>
      <c r="BA969" s="7" t="s">
        <v>233</v>
      </c>
      <c r="BB969" s="7"/>
      <c r="BC969" s="4" t="s">
        <v>233</v>
      </c>
      <c r="BD969" s="8" t="s">
        <v>233</v>
      </c>
      <c r="BE969" s="4" t="s">
        <v>233</v>
      </c>
      <c r="BF969" s="8" t="s">
        <v>233</v>
      </c>
      <c r="BG969" s="7" t="s">
        <v>233</v>
      </c>
      <c r="BH969" s="7" t="s">
        <v>233</v>
      </c>
      <c r="BI969" s="7"/>
      <c r="BJ969" s="4"/>
      <c r="BK969" s="8"/>
      <c r="BL969" s="2" t="s">
        <v>233</v>
      </c>
      <c r="BM969" s="7"/>
      <c r="BN969" s="7"/>
      <c r="BO969" s="4"/>
      <c r="BP969" s="8"/>
      <c r="BQ969" s="4"/>
      <c r="BR969" s="8"/>
      <c r="BS969" s="7"/>
      <c r="BT969" s="7"/>
      <c r="BU969" s="2" t="s">
        <v>4904</v>
      </c>
      <c r="BV969" s="2" t="s">
        <v>233</v>
      </c>
      <c r="BW969" s="2" t="s">
        <v>233</v>
      </c>
      <c r="BX969" s="2" t="s">
        <v>243</v>
      </c>
      <c r="BY969" s="2" t="s">
        <v>280</v>
      </c>
      <c r="BZ969" s="2" t="s">
        <v>245</v>
      </c>
      <c r="CA969" s="2" t="s">
        <v>2564</v>
      </c>
      <c r="CB969" s="2" t="s">
        <v>233</v>
      </c>
      <c r="CC969" s="2" t="s">
        <v>246</v>
      </c>
      <c r="CD969" s="2" t="s">
        <v>233</v>
      </c>
      <c r="CE969" s="4">
        <v>170</v>
      </c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>
        <v>170</v>
      </c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</row>
    <row r="970">
      <c r="A970" s="2" t="s">
        <v>4905</v>
      </c>
      <c r="B970" s="2" t="s">
        <v>228</v>
      </c>
      <c r="C970" s="2" t="s">
        <v>701</v>
      </c>
      <c r="D970" s="2" t="s">
        <v>230</v>
      </c>
      <c r="E970" s="2" t="s">
        <v>231</v>
      </c>
      <c r="F970" s="2" t="s">
        <v>4893</v>
      </c>
      <c r="G970" s="2" t="s">
        <v>4893</v>
      </c>
      <c r="H970" s="2" t="s">
        <v>4893</v>
      </c>
      <c r="I970" s="2" t="s">
        <v>231</v>
      </c>
      <c r="J970" s="2" t="s">
        <v>328</v>
      </c>
      <c r="K970" s="2" t="s">
        <v>4796</v>
      </c>
      <c r="L970" s="3">
        <v>22.38</v>
      </c>
      <c r="M970" s="3">
        <v>23.5</v>
      </c>
      <c r="N970" s="3">
        <v>46.99</v>
      </c>
      <c r="O970" s="2" t="s">
        <v>245</v>
      </c>
      <c r="P970" s="2" t="s">
        <v>238</v>
      </c>
      <c r="Q970" s="2" t="s">
        <v>239</v>
      </c>
      <c r="R970" s="2" t="s">
        <v>233</v>
      </c>
      <c r="S970" s="2" t="s">
        <v>4901</v>
      </c>
      <c r="T970" s="2" t="s">
        <v>1481</v>
      </c>
      <c r="U970" s="2" t="s">
        <v>396</v>
      </c>
      <c r="V970" s="2" t="s">
        <v>241</v>
      </c>
      <c r="W970" s="2" t="s">
        <v>275</v>
      </c>
      <c r="X970" s="2" t="s">
        <v>233</v>
      </c>
      <c r="Y970" s="2" t="s">
        <v>4786</v>
      </c>
      <c r="Z970" s="4">
        <v>105</v>
      </c>
      <c r="AA970" s="4">
        <f>=ROUNDDOWN({0},0)</f>
      </c>
      <c r="AB970" s="5"/>
      <c r="AC970" s="2" t="s">
        <v>277</v>
      </c>
      <c r="AD970" s="4">
        <v>105</v>
      </c>
      <c r="AE970" s="4">
        <v>105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233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233</v>
      </c>
      <c r="AW970" s="8" t="s">
        <v>233</v>
      </c>
      <c r="AX970" s="4" t="s">
        <v>233</v>
      </c>
      <c r="AY970" s="8" t="s">
        <v>233</v>
      </c>
      <c r="AZ970" s="7" t="s">
        <v>233</v>
      </c>
      <c r="BA970" s="7" t="s">
        <v>233</v>
      </c>
      <c r="BB970" s="7"/>
      <c r="BC970" s="4" t="s">
        <v>233</v>
      </c>
      <c r="BD970" s="8" t="s">
        <v>233</v>
      </c>
      <c r="BE970" s="4" t="s">
        <v>233</v>
      </c>
      <c r="BF970" s="8" t="s">
        <v>233</v>
      </c>
      <c r="BG970" s="7" t="s">
        <v>233</v>
      </c>
      <c r="BH970" s="7" t="s">
        <v>233</v>
      </c>
      <c r="BI970" s="7"/>
      <c r="BJ970" s="4"/>
      <c r="BK970" s="8"/>
      <c r="BL970" s="2" t="s">
        <v>233</v>
      </c>
      <c r="BM970" s="7"/>
      <c r="BN970" s="7"/>
      <c r="BO970" s="4"/>
      <c r="BP970" s="8"/>
      <c r="BQ970" s="4"/>
      <c r="BR970" s="8"/>
      <c r="BS970" s="7"/>
      <c r="BT970" s="7"/>
      <c r="BU970" s="2" t="s">
        <v>4906</v>
      </c>
      <c r="BV970" s="2" t="s">
        <v>233</v>
      </c>
      <c r="BW970" s="2" t="s">
        <v>233</v>
      </c>
      <c r="BX970" s="2" t="s">
        <v>243</v>
      </c>
      <c r="BY970" s="2" t="s">
        <v>280</v>
      </c>
      <c r="BZ970" s="2" t="s">
        <v>245</v>
      </c>
      <c r="CA970" s="2" t="s">
        <v>2564</v>
      </c>
      <c r="CB970" s="2" t="s">
        <v>233</v>
      </c>
      <c r="CC970" s="2" t="s">
        <v>246</v>
      </c>
      <c r="CD970" s="2" t="s">
        <v>233</v>
      </c>
      <c r="CE970" s="4">
        <v>105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>
        <v>105</v>
      </c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</row>
    <row r="971">
      <c r="A971" s="2" t="s">
        <v>4907</v>
      </c>
      <c r="B971" s="2" t="s">
        <v>228</v>
      </c>
      <c r="C971" s="2" t="s">
        <v>701</v>
      </c>
      <c r="D971" s="2" t="s">
        <v>230</v>
      </c>
      <c r="E971" s="2" t="s">
        <v>231</v>
      </c>
      <c r="F971" s="2" t="s">
        <v>4893</v>
      </c>
      <c r="G971" s="2" t="s">
        <v>4893</v>
      </c>
      <c r="H971" s="2" t="s">
        <v>4893</v>
      </c>
      <c r="I971" s="2" t="s">
        <v>231</v>
      </c>
      <c r="J971" s="2" t="s">
        <v>270</v>
      </c>
      <c r="K971" s="2" t="s">
        <v>2197</v>
      </c>
      <c r="L971" s="3">
        <v>16.56</v>
      </c>
      <c r="M971" s="3">
        <v>17.39</v>
      </c>
      <c r="N971" s="3">
        <v>36.99</v>
      </c>
      <c r="O971" s="2" t="s">
        <v>245</v>
      </c>
      <c r="P971" s="2" t="s">
        <v>238</v>
      </c>
      <c r="Q971" s="2" t="s">
        <v>239</v>
      </c>
      <c r="R971" s="2" t="s">
        <v>233</v>
      </c>
      <c r="S971" s="2" t="s">
        <v>4908</v>
      </c>
      <c r="T971" s="2" t="s">
        <v>1481</v>
      </c>
      <c r="U971" s="2" t="s">
        <v>396</v>
      </c>
      <c r="V971" s="2" t="s">
        <v>241</v>
      </c>
      <c r="W971" s="2" t="s">
        <v>275</v>
      </c>
      <c r="X971" s="2" t="s">
        <v>233</v>
      </c>
      <c r="Y971" s="2" t="s">
        <v>2699</v>
      </c>
      <c r="Z971" s="4">
        <v>110</v>
      </c>
      <c r="AA971" s="4">
        <f>=ROUNDDOWN({0},0)</f>
      </c>
      <c r="AB971" s="5"/>
      <c r="AC971" s="2" t="s">
        <v>277</v>
      </c>
      <c r="AD971" s="4">
        <v>110</v>
      </c>
      <c r="AE971" s="4">
        <v>110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233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233</v>
      </c>
      <c r="AW971" s="8" t="s">
        <v>233</v>
      </c>
      <c r="AX971" s="4" t="s">
        <v>233</v>
      </c>
      <c r="AY971" s="8" t="s">
        <v>233</v>
      </c>
      <c r="AZ971" s="7" t="s">
        <v>233</v>
      </c>
      <c r="BA971" s="7" t="s">
        <v>233</v>
      </c>
      <c r="BB971" s="7"/>
      <c r="BC971" s="4" t="s">
        <v>233</v>
      </c>
      <c r="BD971" s="8" t="s">
        <v>233</v>
      </c>
      <c r="BE971" s="4" t="s">
        <v>233</v>
      </c>
      <c r="BF971" s="8" t="s">
        <v>233</v>
      </c>
      <c r="BG971" s="7" t="s">
        <v>233</v>
      </c>
      <c r="BH971" s="7" t="s">
        <v>233</v>
      </c>
      <c r="BI971" s="7"/>
      <c r="BJ971" s="4"/>
      <c r="BK971" s="8"/>
      <c r="BL971" s="2" t="s">
        <v>233</v>
      </c>
      <c r="BM971" s="7"/>
      <c r="BN971" s="7"/>
      <c r="BO971" s="4"/>
      <c r="BP971" s="8"/>
      <c r="BQ971" s="4"/>
      <c r="BR971" s="8"/>
      <c r="BS971" s="7"/>
      <c r="BT971" s="7"/>
      <c r="BU971" s="2" t="s">
        <v>4909</v>
      </c>
      <c r="BV971" s="2" t="s">
        <v>233</v>
      </c>
      <c r="BW971" s="2" t="s">
        <v>233</v>
      </c>
      <c r="BX971" s="2" t="s">
        <v>243</v>
      </c>
      <c r="BY971" s="2" t="s">
        <v>280</v>
      </c>
      <c r="BZ971" s="2" t="s">
        <v>245</v>
      </c>
      <c r="CA971" s="2" t="s">
        <v>2564</v>
      </c>
      <c r="CB971" s="2" t="s">
        <v>233</v>
      </c>
      <c r="CC971" s="2" t="s">
        <v>246</v>
      </c>
      <c r="CD971" s="2" t="s">
        <v>233</v>
      </c>
      <c r="CE971" s="4">
        <v>110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>
        <v>110</v>
      </c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</row>
    <row r="972">
      <c r="A972" s="2" t="s">
        <v>4910</v>
      </c>
      <c r="B972" s="2" t="s">
        <v>228</v>
      </c>
      <c r="C972" s="2" t="s">
        <v>701</v>
      </c>
      <c r="D972" s="2" t="s">
        <v>230</v>
      </c>
      <c r="E972" s="2" t="s">
        <v>231</v>
      </c>
      <c r="F972" s="2" t="s">
        <v>4893</v>
      </c>
      <c r="G972" s="2" t="s">
        <v>4893</v>
      </c>
      <c r="H972" s="2" t="s">
        <v>4893</v>
      </c>
      <c r="I972" s="2" t="s">
        <v>231</v>
      </c>
      <c r="J972" s="2" t="s">
        <v>981</v>
      </c>
      <c r="K972" s="2" t="s">
        <v>2197</v>
      </c>
      <c r="L972" s="3">
        <v>19.6</v>
      </c>
      <c r="M972" s="3">
        <v>20.58</v>
      </c>
      <c r="N972" s="3">
        <v>41.99</v>
      </c>
      <c r="O972" s="2" t="s">
        <v>245</v>
      </c>
      <c r="P972" s="2" t="s">
        <v>238</v>
      </c>
      <c r="Q972" s="2" t="s">
        <v>239</v>
      </c>
      <c r="R972" s="2" t="s">
        <v>233</v>
      </c>
      <c r="S972" s="2" t="s">
        <v>4908</v>
      </c>
      <c r="T972" s="2" t="s">
        <v>1481</v>
      </c>
      <c r="U972" s="2" t="s">
        <v>396</v>
      </c>
      <c r="V972" s="2" t="s">
        <v>241</v>
      </c>
      <c r="W972" s="2" t="s">
        <v>275</v>
      </c>
      <c r="X972" s="2" t="s">
        <v>233</v>
      </c>
      <c r="Y972" s="2" t="s">
        <v>2699</v>
      </c>
      <c r="Z972" s="4">
        <v>161</v>
      </c>
      <c r="AA972" s="4">
        <f>=ROUNDDOWN({0},0)</f>
      </c>
      <c r="AB972" s="5"/>
      <c r="AC972" s="2" t="s">
        <v>277</v>
      </c>
      <c r="AD972" s="4">
        <v>165</v>
      </c>
      <c r="AE972" s="4">
        <v>165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233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233</v>
      </c>
      <c r="AW972" s="8" t="s">
        <v>233</v>
      </c>
      <c r="AX972" s="4" t="s">
        <v>233</v>
      </c>
      <c r="AY972" s="8" t="s">
        <v>233</v>
      </c>
      <c r="AZ972" s="7" t="s">
        <v>233</v>
      </c>
      <c r="BA972" s="7" t="s">
        <v>233</v>
      </c>
      <c r="BB972" s="7"/>
      <c r="BC972" s="4" t="s">
        <v>233</v>
      </c>
      <c r="BD972" s="8" t="s">
        <v>233</v>
      </c>
      <c r="BE972" s="4" t="s">
        <v>233</v>
      </c>
      <c r="BF972" s="8" t="s">
        <v>233</v>
      </c>
      <c r="BG972" s="7" t="s">
        <v>233</v>
      </c>
      <c r="BH972" s="7" t="s">
        <v>233</v>
      </c>
      <c r="BI972" s="7"/>
      <c r="BJ972" s="4"/>
      <c r="BK972" s="8"/>
      <c r="BL972" s="2" t="s">
        <v>233</v>
      </c>
      <c r="BM972" s="7"/>
      <c r="BN972" s="7"/>
      <c r="BO972" s="4"/>
      <c r="BP972" s="8"/>
      <c r="BQ972" s="4"/>
      <c r="BR972" s="8"/>
      <c r="BS972" s="7"/>
      <c r="BT972" s="7"/>
      <c r="BU972" s="2" t="s">
        <v>4911</v>
      </c>
      <c r="BV972" s="2" t="s">
        <v>233</v>
      </c>
      <c r="BW972" s="2" t="s">
        <v>233</v>
      </c>
      <c r="BX972" s="2" t="s">
        <v>243</v>
      </c>
      <c r="BY972" s="2" t="s">
        <v>280</v>
      </c>
      <c r="BZ972" s="2" t="s">
        <v>245</v>
      </c>
      <c r="CA972" s="2" t="s">
        <v>2564</v>
      </c>
      <c r="CB972" s="2" t="s">
        <v>233</v>
      </c>
      <c r="CC972" s="2" t="s">
        <v>246</v>
      </c>
      <c r="CD972" s="2" t="s">
        <v>233</v>
      </c>
      <c r="CE972" s="4">
        <v>161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>
        <v>165</v>
      </c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</row>
    <row r="973">
      <c r="A973" s="2" t="s">
        <v>4912</v>
      </c>
      <c r="B973" s="2" t="s">
        <v>228</v>
      </c>
      <c r="C973" s="2" t="s">
        <v>701</v>
      </c>
      <c r="D973" s="2" t="s">
        <v>230</v>
      </c>
      <c r="E973" s="2" t="s">
        <v>231</v>
      </c>
      <c r="F973" s="2" t="s">
        <v>4893</v>
      </c>
      <c r="G973" s="2" t="s">
        <v>4893</v>
      </c>
      <c r="H973" s="2" t="s">
        <v>4893</v>
      </c>
      <c r="I973" s="2" t="s">
        <v>231</v>
      </c>
      <c r="J973" s="2" t="s">
        <v>328</v>
      </c>
      <c r="K973" s="2" t="s">
        <v>2197</v>
      </c>
      <c r="L973" s="3">
        <v>22.38</v>
      </c>
      <c r="M973" s="3">
        <v>23.5</v>
      </c>
      <c r="N973" s="3">
        <v>46.99</v>
      </c>
      <c r="O973" s="2" t="s">
        <v>245</v>
      </c>
      <c r="P973" s="2" t="s">
        <v>238</v>
      </c>
      <c r="Q973" s="2" t="s">
        <v>239</v>
      </c>
      <c r="R973" s="2" t="s">
        <v>233</v>
      </c>
      <c r="S973" s="2" t="s">
        <v>4908</v>
      </c>
      <c r="T973" s="2" t="s">
        <v>1481</v>
      </c>
      <c r="U973" s="2" t="s">
        <v>396</v>
      </c>
      <c r="V973" s="2" t="s">
        <v>241</v>
      </c>
      <c r="W973" s="2" t="s">
        <v>275</v>
      </c>
      <c r="X973" s="2" t="s">
        <v>233</v>
      </c>
      <c r="Y973" s="2" t="s">
        <v>4786</v>
      </c>
      <c r="Z973" s="4">
        <v>125</v>
      </c>
      <c r="AA973" s="4">
        <f>=ROUNDDOWN({0},0)</f>
      </c>
      <c r="AB973" s="5"/>
      <c r="AC973" s="2" t="s">
        <v>277</v>
      </c>
      <c r="AD973" s="4">
        <v>125</v>
      </c>
      <c r="AE973" s="4">
        <v>125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233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233</v>
      </c>
      <c r="AW973" s="8" t="s">
        <v>233</v>
      </c>
      <c r="AX973" s="4" t="s">
        <v>233</v>
      </c>
      <c r="AY973" s="8" t="s">
        <v>233</v>
      </c>
      <c r="AZ973" s="7" t="s">
        <v>233</v>
      </c>
      <c r="BA973" s="7" t="s">
        <v>233</v>
      </c>
      <c r="BB973" s="7"/>
      <c r="BC973" s="4" t="s">
        <v>233</v>
      </c>
      <c r="BD973" s="8" t="s">
        <v>233</v>
      </c>
      <c r="BE973" s="4" t="s">
        <v>233</v>
      </c>
      <c r="BF973" s="8" t="s">
        <v>233</v>
      </c>
      <c r="BG973" s="7" t="s">
        <v>233</v>
      </c>
      <c r="BH973" s="7" t="s">
        <v>233</v>
      </c>
      <c r="BI973" s="7"/>
      <c r="BJ973" s="4"/>
      <c r="BK973" s="8"/>
      <c r="BL973" s="2" t="s">
        <v>233</v>
      </c>
      <c r="BM973" s="7"/>
      <c r="BN973" s="7"/>
      <c r="BO973" s="4"/>
      <c r="BP973" s="8"/>
      <c r="BQ973" s="4"/>
      <c r="BR973" s="8"/>
      <c r="BS973" s="7"/>
      <c r="BT973" s="7"/>
      <c r="BU973" s="2" t="s">
        <v>4913</v>
      </c>
      <c r="BV973" s="2" t="s">
        <v>233</v>
      </c>
      <c r="BW973" s="2" t="s">
        <v>233</v>
      </c>
      <c r="BX973" s="2" t="s">
        <v>243</v>
      </c>
      <c r="BY973" s="2" t="s">
        <v>280</v>
      </c>
      <c r="BZ973" s="2" t="s">
        <v>245</v>
      </c>
      <c r="CA973" s="2" t="s">
        <v>2564</v>
      </c>
      <c r="CB973" s="2" t="s">
        <v>233</v>
      </c>
      <c r="CC973" s="2" t="s">
        <v>246</v>
      </c>
      <c r="CD973" s="2" t="s">
        <v>233</v>
      </c>
      <c r="CE973" s="4">
        <v>125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>
        <v>125</v>
      </c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</row>
    <row r="974">
      <c r="A974" s="2" t="s">
        <v>4914</v>
      </c>
      <c r="B974" s="2" t="s">
        <v>228</v>
      </c>
      <c r="C974" s="2" t="s">
        <v>701</v>
      </c>
      <c r="D974" s="2" t="s">
        <v>230</v>
      </c>
      <c r="E974" s="2" t="s">
        <v>231</v>
      </c>
      <c r="F974" s="2" t="s">
        <v>4893</v>
      </c>
      <c r="G974" s="2" t="s">
        <v>4893</v>
      </c>
      <c r="H974" s="2" t="s">
        <v>4893</v>
      </c>
      <c r="I974" s="2" t="s">
        <v>231</v>
      </c>
      <c r="J974" s="2" t="s">
        <v>270</v>
      </c>
      <c r="K974" s="2" t="s">
        <v>297</v>
      </c>
      <c r="L974" s="3">
        <v>16.56</v>
      </c>
      <c r="M974" s="3">
        <v>17.39</v>
      </c>
      <c r="N974" s="3">
        <v>36.99</v>
      </c>
      <c r="O974" s="2" t="s">
        <v>245</v>
      </c>
      <c r="P974" s="2" t="s">
        <v>238</v>
      </c>
      <c r="Q974" s="2" t="s">
        <v>239</v>
      </c>
      <c r="R974" s="2" t="s">
        <v>233</v>
      </c>
      <c r="S974" s="2" t="s">
        <v>4915</v>
      </c>
      <c r="T974" s="2" t="s">
        <v>1481</v>
      </c>
      <c r="U974" s="2" t="s">
        <v>396</v>
      </c>
      <c r="V974" s="2" t="s">
        <v>241</v>
      </c>
      <c r="W974" s="2" t="s">
        <v>275</v>
      </c>
      <c r="X974" s="2" t="s">
        <v>233</v>
      </c>
      <c r="Y974" s="2" t="s">
        <v>2699</v>
      </c>
      <c r="Z974" s="4">
        <v>110</v>
      </c>
      <c r="AA974" s="4">
        <f>=ROUNDDOWN({0},0)</f>
      </c>
      <c r="AB974" s="5"/>
      <c r="AC974" s="2" t="s">
        <v>277</v>
      </c>
      <c r="AD974" s="4">
        <v>110</v>
      </c>
      <c r="AE974" s="4">
        <v>110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233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233</v>
      </c>
      <c r="AW974" s="8" t="s">
        <v>233</v>
      </c>
      <c r="AX974" s="4" t="s">
        <v>233</v>
      </c>
      <c r="AY974" s="8" t="s">
        <v>233</v>
      </c>
      <c r="AZ974" s="7" t="s">
        <v>233</v>
      </c>
      <c r="BA974" s="7" t="s">
        <v>233</v>
      </c>
      <c r="BB974" s="7"/>
      <c r="BC974" s="4" t="s">
        <v>233</v>
      </c>
      <c r="BD974" s="8" t="s">
        <v>233</v>
      </c>
      <c r="BE974" s="4" t="s">
        <v>233</v>
      </c>
      <c r="BF974" s="8" t="s">
        <v>233</v>
      </c>
      <c r="BG974" s="7" t="s">
        <v>233</v>
      </c>
      <c r="BH974" s="7" t="s">
        <v>233</v>
      </c>
      <c r="BI974" s="7"/>
      <c r="BJ974" s="4"/>
      <c r="BK974" s="8"/>
      <c r="BL974" s="2" t="s">
        <v>233</v>
      </c>
      <c r="BM974" s="7"/>
      <c r="BN974" s="7"/>
      <c r="BO974" s="4"/>
      <c r="BP974" s="8"/>
      <c r="BQ974" s="4"/>
      <c r="BR974" s="8"/>
      <c r="BS974" s="7"/>
      <c r="BT974" s="7"/>
      <c r="BU974" s="2" t="s">
        <v>4916</v>
      </c>
      <c r="BV974" s="2" t="s">
        <v>233</v>
      </c>
      <c r="BW974" s="2" t="s">
        <v>233</v>
      </c>
      <c r="BX974" s="2" t="s">
        <v>243</v>
      </c>
      <c r="BY974" s="2" t="s">
        <v>280</v>
      </c>
      <c r="BZ974" s="2" t="s">
        <v>245</v>
      </c>
      <c r="CA974" s="2" t="s">
        <v>2564</v>
      </c>
      <c r="CB974" s="2" t="s">
        <v>233</v>
      </c>
      <c r="CC974" s="2" t="s">
        <v>246</v>
      </c>
      <c r="CD974" s="2" t="s">
        <v>233</v>
      </c>
      <c r="CE974" s="4">
        <v>110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>
        <v>110</v>
      </c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</row>
    <row r="975">
      <c r="A975" s="2" t="s">
        <v>4917</v>
      </c>
      <c r="B975" s="2" t="s">
        <v>228</v>
      </c>
      <c r="C975" s="2" t="s">
        <v>701</v>
      </c>
      <c r="D975" s="2" t="s">
        <v>230</v>
      </c>
      <c r="E975" s="2" t="s">
        <v>231</v>
      </c>
      <c r="F975" s="2" t="s">
        <v>4893</v>
      </c>
      <c r="G975" s="2" t="s">
        <v>4893</v>
      </c>
      <c r="H975" s="2" t="s">
        <v>4893</v>
      </c>
      <c r="I975" s="2" t="s">
        <v>231</v>
      </c>
      <c r="J975" s="2" t="s">
        <v>981</v>
      </c>
      <c r="K975" s="2" t="s">
        <v>297</v>
      </c>
      <c r="L975" s="3">
        <v>19.6</v>
      </c>
      <c r="M975" s="3">
        <v>20.58</v>
      </c>
      <c r="N975" s="3">
        <v>41.99</v>
      </c>
      <c r="O975" s="2" t="s">
        <v>245</v>
      </c>
      <c r="P975" s="2" t="s">
        <v>238</v>
      </c>
      <c r="Q975" s="2" t="s">
        <v>239</v>
      </c>
      <c r="R975" s="2" t="s">
        <v>233</v>
      </c>
      <c r="S975" s="2" t="s">
        <v>4915</v>
      </c>
      <c r="T975" s="2" t="s">
        <v>1481</v>
      </c>
      <c r="U975" s="2" t="s">
        <v>396</v>
      </c>
      <c r="V975" s="2" t="s">
        <v>241</v>
      </c>
      <c r="W975" s="2" t="s">
        <v>275</v>
      </c>
      <c r="X975" s="2" t="s">
        <v>233</v>
      </c>
      <c r="Y975" s="2" t="s">
        <v>2699</v>
      </c>
      <c r="Z975" s="4">
        <v>180</v>
      </c>
      <c r="AA975" s="4">
        <f>=ROUNDDOWN({0},0)</f>
      </c>
      <c r="AB975" s="5"/>
      <c r="AC975" s="2" t="s">
        <v>277</v>
      </c>
      <c r="AD975" s="4">
        <v>180</v>
      </c>
      <c r="AE975" s="4">
        <v>180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233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233</v>
      </c>
      <c r="AW975" s="8" t="s">
        <v>233</v>
      </c>
      <c r="AX975" s="4" t="s">
        <v>233</v>
      </c>
      <c r="AY975" s="8" t="s">
        <v>233</v>
      </c>
      <c r="AZ975" s="7" t="s">
        <v>233</v>
      </c>
      <c r="BA975" s="7" t="s">
        <v>233</v>
      </c>
      <c r="BB975" s="7"/>
      <c r="BC975" s="4" t="s">
        <v>233</v>
      </c>
      <c r="BD975" s="8" t="s">
        <v>233</v>
      </c>
      <c r="BE975" s="4" t="s">
        <v>233</v>
      </c>
      <c r="BF975" s="8" t="s">
        <v>233</v>
      </c>
      <c r="BG975" s="7" t="s">
        <v>233</v>
      </c>
      <c r="BH975" s="7" t="s">
        <v>233</v>
      </c>
      <c r="BI975" s="7"/>
      <c r="BJ975" s="4"/>
      <c r="BK975" s="8"/>
      <c r="BL975" s="2" t="s">
        <v>233</v>
      </c>
      <c r="BM975" s="7"/>
      <c r="BN975" s="7"/>
      <c r="BO975" s="4"/>
      <c r="BP975" s="8"/>
      <c r="BQ975" s="4"/>
      <c r="BR975" s="8"/>
      <c r="BS975" s="7"/>
      <c r="BT975" s="7"/>
      <c r="BU975" s="2" t="s">
        <v>4918</v>
      </c>
      <c r="BV975" s="2" t="s">
        <v>233</v>
      </c>
      <c r="BW975" s="2" t="s">
        <v>233</v>
      </c>
      <c r="BX975" s="2" t="s">
        <v>243</v>
      </c>
      <c r="BY975" s="2" t="s">
        <v>280</v>
      </c>
      <c r="BZ975" s="2" t="s">
        <v>245</v>
      </c>
      <c r="CA975" s="2" t="s">
        <v>2564</v>
      </c>
      <c r="CB975" s="2" t="s">
        <v>233</v>
      </c>
      <c r="CC975" s="2" t="s">
        <v>246</v>
      </c>
      <c r="CD975" s="2" t="s">
        <v>233</v>
      </c>
      <c r="CE975" s="4">
        <v>180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>
        <v>180</v>
      </c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</row>
    <row r="976">
      <c r="A976" s="2" t="s">
        <v>4919</v>
      </c>
      <c r="B976" s="2" t="s">
        <v>228</v>
      </c>
      <c r="C976" s="2" t="s">
        <v>701</v>
      </c>
      <c r="D976" s="2" t="s">
        <v>230</v>
      </c>
      <c r="E976" s="2" t="s">
        <v>231</v>
      </c>
      <c r="F976" s="2" t="s">
        <v>4893</v>
      </c>
      <c r="G976" s="2" t="s">
        <v>4893</v>
      </c>
      <c r="H976" s="2" t="s">
        <v>4893</v>
      </c>
      <c r="I976" s="2" t="s">
        <v>231</v>
      </c>
      <c r="J976" s="2" t="s">
        <v>328</v>
      </c>
      <c r="K976" s="2" t="s">
        <v>297</v>
      </c>
      <c r="L976" s="3">
        <v>22.38</v>
      </c>
      <c r="M976" s="3">
        <v>23.5</v>
      </c>
      <c r="N976" s="3">
        <v>46.99</v>
      </c>
      <c r="O976" s="2" t="s">
        <v>245</v>
      </c>
      <c r="P976" s="2" t="s">
        <v>238</v>
      </c>
      <c r="Q976" s="2" t="s">
        <v>239</v>
      </c>
      <c r="R976" s="2" t="s">
        <v>233</v>
      </c>
      <c r="S976" s="2" t="s">
        <v>4915</v>
      </c>
      <c r="T976" s="2" t="s">
        <v>1481</v>
      </c>
      <c r="U976" s="2" t="s">
        <v>396</v>
      </c>
      <c r="V976" s="2" t="s">
        <v>241</v>
      </c>
      <c r="W976" s="2" t="s">
        <v>275</v>
      </c>
      <c r="X976" s="2" t="s">
        <v>233</v>
      </c>
      <c r="Y976" s="2" t="s">
        <v>2699</v>
      </c>
      <c r="Z976" s="4">
        <v>108</v>
      </c>
      <c r="AA976" s="4">
        <f>=ROUNDDOWN(54,0)</f>
      </c>
      <c r="AB976" s="5">
        <v>2</v>
      </c>
      <c r="AC976" s="2" t="s">
        <v>277</v>
      </c>
      <c r="AD976" s="4">
        <v>110</v>
      </c>
      <c r="AE976" s="4">
        <v>110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233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233</v>
      </c>
      <c r="AW976" s="8" t="s">
        <v>233</v>
      </c>
      <c r="AX976" s="4" t="s">
        <v>233</v>
      </c>
      <c r="AY976" s="8" t="s">
        <v>233</v>
      </c>
      <c r="AZ976" s="7" t="s">
        <v>233</v>
      </c>
      <c r="BA976" s="7" t="s">
        <v>233</v>
      </c>
      <c r="BB976" s="7"/>
      <c r="BC976" s="4" t="s">
        <v>233</v>
      </c>
      <c r="BD976" s="8" t="s">
        <v>233</v>
      </c>
      <c r="BE976" s="4" t="s">
        <v>233</v>
      </c>
      <c r="BF976" s="8" t="s">
        <v>233</v>
      </c>
      <c r="BG976" s="7" t="s">
        <v>233</v>
      </c>
      <c r="BH976" s="7" t="s">
        <v>233</v>
      </c>
      <c r="BI976" s="7"/>
      <c r="BJ976" s="4"/>
      <c r="BK976" s="8"/>
      <c r="BL976" s="2" t="s">
        <v>233</v>
      </c>
      <c r="BM976" s="7"/>
      <c r="BN976" s="7"/>
      <c r="BO976" s="4"/>
      <c r="BP976" s="8"/>
      <c r="BQ976" s="4"/>
      <c r="BR976" s="8"/>
      <c r="BS976" s="7"/>
      <c r="BT976" s="7"/>
      <c r="BU976" s="2" t="s">
        <v>4920</v>
      </c>
      <c r="BV976" s="2" t="s">
        <v>233</v>
      </c>
      <c r="BW976" s="2" t="s">
        <v>233</v>
      </c>
      <c r="BX976" s="2" t="s">
        <v>243</v>
      </c>
      <c r="BY976" s="2" t="s">
        <v>280</v>
      </c>
      <c r="BZ976" s="2" t="s">
        <v>245</v>
      </c>
      <c r="CA976" s="2" t="s">
        <v>2564</v>
      </c>
      <c r="CB976" s="2" t="s">
        <v>3257</v>
      </c>
      <c r="CC976" s="2" t="s">
        <v>246</v>
      </c>
      <c r="CD976" s="2" t="s">
        <v>233</v>
      </c>
      <c r="CE976" s="4">
        <v>108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>
        <v>110</v>
      </c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</row>
    <row r="977">
      <c r="A977" s="2" t="s">
        <v>4921</v>
      </c>
      <c r="B977" s="2" t="s">
        <v>1242</v>
      </c>
      <c r="C977" s="2" t="s">
        <v>530</v>
      </c>
      <c r="D977" s="2" t="s">
        <v>969</v>
      </c>
      <c r="E977" s="2" t="s">
        <v>1078</v>
      </c>
      <c r="F977" s="2" t="s">
        <v>2575</v>
      </c>
      <c r="G977" s="2" t="s">
        <v>4922</v>
      </c>
      <c r="H977" s="2" t="s">
        <v>4923</v>
      </c>
      <c r="I977" s="2" t="s">
        <v>4924</v>
      </c>
      <c r="J977" s="2" t="s">
        <v>1142</v>
      </c>
      <c r="K977" s="2" t="s">
        <v>236</v>
      </c>
      <c r="L977" s="3">
        <v>66.66</v>
      </c>
      <c r="M977" s="3">
        <v>69.99</v>
      </c>
      <c r="N977" s="3">
        <v>139.99</v>
      </c>
      <c r="O977" s="2" t="s">
        <v>245</v>
      </c>
      <c r="P977" s="2" t="s">
        <v>311</v>
      </c>
      <c r="Q977" s="2" t="s">
        <v>239</v>
      </c>
      <c r="R977" s="2" t="s">
        <v>233</v>
      </c>
      <c r="S977" s="2" t="s">
        <v>4925</v>
      </c>
      <c r="T977" s="2" t="s">
        <v>395</v>
      </c>
      <c r="U977" s="2" t="s">
        <v>1482</v>
      </c>
      <c r="V977" s="2" t="s">
        <v>359</v>
      </c>
      <c r="W977" s="2" t="s">
        <v>1700</v>
      </c>
      <c r="X977" s="2" t="s">
        <v>275</v>
      </c>
      <c r="Y977" s="2" t="s">
        <v>4926</v>
      </c>
      <c r="Z977" s="4">
        <v>374</v>
      </c>
      <c r="AA977" s="4">
        <f>=ROUNDDOWN(124.666666666667,0)</f>
      </c>
      <c r="AB977" s="5">
        <v>3</v>
      </c>
      <c r="AC977" s="2" t="s">
        <v>233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233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>
        <v>8</v>
      </c>
      <c r="BK977" s="8">
        <v>601.22</v>
      </c>
      <c r="BL977" s="2" t="s">
        <v>4927</v>
      </c>
      <c r="BM977" s="7"/>
      <c r="BN977" s="7"/>
      <c r="BO977" s="4"/>
      <c r="BP977" s="8"/>
      <c r="BQ977" s="4"/>
      <c r="BR977" s="8"/>
      <c r="BS977" s="7"/>
      <c r="BT977" s="7"/>
      <c r="BU977" s="2" t="s">
        <v>4928</v>
      </c>
      <c r="BV977" s="2" t="s">
        <v>233</v>
      </c>
      <c r="BW977" s="2" t="s">
        <v>233</v>
      </c>
      <c r="BX977" s="2" t="s">
        <v>233</v>
      </c>
      <c r="BY977" s="2" t="s">
        <v>280</v>
      </c>
      <c r="BZ977" s="2" t="s">
        <v>245</v>
      </c>
      <c r="CA977" s="2" t="s">
        <v>1674</v>
      </c>
      <c r="CB977" s="2" t="s">
        <v>4929</v>
      </c>
      <c r="CC977" s="2" t="s">
        <v>246</v>
      </c>
      <c r="CD977" s="2" t="s">
        <v>233</v>
      </c>
      <c r="CE977" s="4">
        <v>374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</row>
    <row r="978">
      <c r="A978" s="2" t="s">
        <v>4930</v>
      </c>
      <c r="B978" s="2" t="s">
        <v>228</v>
      </c>
      <c r="C978" s="2" t="s">
        <v>530</v>
      </c>
      <c r="D978" s="2" t="s">
        <v>1194</v>
      </c>
      <c r="E978" s="2" t="s">
        <v>1195</v>
      </c>
      <c r="F978" s="2" t="s">
        <v>4931</v>
      </c>
      <c r="G978" s="2" t="s">
        <v>4932</v>
      </c>
      <c r="H978" s="2" t="s">
        <v>4932</v>
      </c>
      <c r="I978" s="2" t="s">
        <v>4933</v>
      </c>
      <c r="J978" s="2" t="s">
        <v>1200</v>
      </c>
      <c r="K978" s="2" t="s">
        <v>645</v>
      </c>
      <c r="L978" s="3">
        <v>14.86</v>
      </c>
      <c r="M978" s="3">
        <v>15.6</v>
      </c>
      <c r="N978" s="3">
        <v>34.99</v>
      </c>
      <c r="O978" s="2" t="s">
        <v>245</v>
      </c>
      <c r="P978" s="2" t="s">
        <v>741</v>
      </c>
      <c r="Q978" s="2" t="s">
        <v>239</v>
      </c>
      <c r="R978" s="2" t="s">
        <v>233</v>
      </c>
      <c r="S978" s="2" t="s">
        <v>4934</v>
      </c>
      <c r="T978" s="2" t="s">
        <v>976</v>
      </c>
      <c r="U978" s="2" t="s">
        <v>233</v>
      </c>
      <c r="V978" s="2" t="s">
        <v>241</v>
      </c>
      <c r="W978" s="2" t="s">
        <v>705</v>
      </c>
      <c r="X978" s="2" t="s">
        <v>233</v>
      </c>
      <c r="Y978" s="2" t="s">
        <v>276</v>
      </c>
      <c r="Z978" s="4">
        <v>831</v>
      </c>
      <c r="AA978" s="4">
        <f>=ROUNDDOWN(33.24,0)</f>
      </c>
      <c r="AB978" s="5">
        <v>25</v>
      </c>
      <c r="AC978" s="2" t="s">
        <v>233</v>
      </c>
      <c r="AD978" s="4"/>
      <c r="AE978" s="4"/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233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233</v>
      </c>
      <c r="AW978" s="8" t="s">
        <v>233</v>
      </c>
      <c r="AX978" s="4" t="s">
        <v>233</v>
      </c>
      <c r="AY978" s="8" t="s">
        <v>233</v>
      </c>
      <c r="AZ978" s="7" t="s">
        <v>233</v>
      </c>
      <c r="BA978" s="7" t="s">
        <v>233</v>
      </c>
      <c r="BB978" s="7"/>
      <c r="BC978" s="4" t="s">
        <v>233</v>
      </c>
      <c r="BD978" s="8" t="s">
        <v>233</v>
      </c>
      <c r="BE978" s="4" t="s">
        <v>233</v>
      </c>
      <c r="BF978" s="8" t="s">
        <v>233</v>
      </c>
      <c r="BG978" s="7" t="s">
        <v>233</v>
      </c>
      <c r="BH978" s="7" t="s">
        <v>233</v>
      </c>
      <c r="BI978" s="7"/>
      <c r="BJ978" s="4">
        <v>107</v>
      </c>
      <c r="BK978" s="8">
        <v>1612.64</v>
      </c>
      <c r="BL978" s="2" t="s">
        <v>4935</v>
      </c>
      <c r="BM978" s="7"/>
      <c r="BN978" s="7"/>
      <c r="BO978" s="4"/>
      <c r="BP978" s="8"/>
      <c r="BQ978" s="4"/>
      <c r="BR978" s="8"/>
      <c r="BS978" s="7"/>
      <c r="BT978" s="7"/>
      <c r="BU978" s="2" t="s">
        <v>4936</v>
      </c>
      <c r="BV978" s="2" t="s">
        <v>233</v>
      </c>
      <c r="BW978" s="2" t="s">
        <v>233</v>
      </c>
      <c r="BX978" s="2" t="s">
        <v>233</v>
      </c>
      <c r="BY978" s="2" t="s">
        <v>280</v>
      </c>
      <c r="BZ978" s="2" t="s">
        <v>245</v>
      </c>
      <c r="CA978" s="2" t="s">
        <v>281</v>
      </c>
      <c r="CB978" s="2" t="s">
        <v>3492</v>
      </c>
      <c r="CC978" s="2" t="s">
        <v>246</v>
      </c>
      <c r="CD978" s="2" t="s">
        <v>233</v>
      </c>
      <c r="CE978" s="4">
        <v>831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</row>
    <row r="979">
      <c r="A979" s="2" t="s">
        <v>4937</v>
      </c>
      <c r="B979" s="2" t="s">
        <v>228</v>
      </c>
      <c r="C979" s="2" t="s">
        <v>530</v>
      </c>
      <c r="D979" s="2" t="s">
        <v>1616</v>
      </c>
      <c r="E979" s="2" t="s">
        <v>2599</v>
      </c>
      <c r="F979" s="2" t="s">
        <v>4931</v>
      </c>
      <c r="G979" s="2" t="s">
        <v>4932</v>
      </c>
      <c r="H979" s="2" t="s">
        <v>4932</v>
      </c>
      <c r="I979" s="2" t="s">
        <v>4938</v>
      </c>
      <c r="J979" s="2" t="s">
        <v>1736</v>
      </c>
      <c r="K979" s="2" t="s">
        <v>645</v>
      </c>
      <c r="L979" s="3">
        <v>14.72</v>
      </c>
      <c r="M979" s="3">
        <v>15.46</v>
      </c>
      <c r="N979" s="3">
        <v>31.99</v>
      </c>
      <c r="O979" s="2" t="s">
        <v>245</v>
      </c>
      <c r="P979" s="2" t="s">
        <v>272</v>
      </c>
      <c r="Q979" s="2" t="s">
        <v>239</v>
      </c>
      <c r="R979" s="2" t="s">
        <v>233</v>
      </c>
      <c r="S979" s="2" t="s">
        <v>4934</v>
      </c>
      <c r="T979" s="2" t="s">
        <v>976</v>
      </c>
      <c r="U979" s="2" t="s">
        <v>396</v>
      </c>
      <c r="V979" s="2" t="s">
        <v>241</v>
      </c>
      <c r="W979" s="2" t="s">
        <v>705</v>
      </c>
      <c r="X979" s="2" t="s">
        <v>233</v>
      </c>
      <c r="Y979" s="2" t="s">
        <v>276</v>
      </c>
      <c r="Z979" s="4">
        <v>927</v>
      </c>
      <c r="AA979" s="4">
        <f>=ROUNDDOWN(31.530612244898,0)</f>
      </c>
      <c r="AB979" s="5">
        <v>29.4</v>
      </c>
      <c r="AC979" s="2" t="s">
        <v>299</v>
      </c>
      <c r="AD979" s="4">
        <v>550</v>
      </c>
      <c r="AE979" s="4">
        <v>550</v>
      </c>
      <c r="AF979" s="6">
        <v>64</v>
      </c>
      <c r="AG979" s="6"/>
      <c r="AH979" s="7">
        <v>1</v>
      </c>
      <c r="AI979" s="4"/>
      <c r="AJ979" s="4">
        <f>=ROUNDDOWN({0},0)</f>
      </c>
      <c r="AK979" s="5"/>
      <c r="AL979" s="2" t="s">
        <v>233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233</v>
      </c>
      <c r="AW979" s="8" t="s">
        <v>233</v>
      </c>
      <c r="AX979" s="4" t="s">
        <v>233</v>
      </c>
      <c r="AY979" s="8" t="s">
        <v>233</v>
      </c>
      <c r="AZ979" s="7" t="s">
        <v>233</v>
      </c>
      <c r="BA979" s="7" t="s">
        <v>233</v>
      </c>
      <c r="BB979" s="7"/>
      <c r="BC979" s="4" t="s">
        <v>233</v>
      </c>
      <c r="BD979" s="8" t="s">
        <v>233</v>
      </c>
      <c r="BE979" s="4" t="s">
        <v>233</v>
      </c>
      <c r="BF979" s="8" t="s">
        <v>233</v>
      </c>
      <c r="BG979" s="7" t="s">
        <v>233</v>
      </c>
      <c r="BH979" s="7" t="s">
        <v>233</v>
      </c>
      <c r="BI979" s="7"/>
      <c r="BJ979" s="4">
        <v>136</v>
      </c>
      <c r="BK979" s="8">
        <v>2102.47</v>
      </c>
      <c r="BL979" s="2" t="s">
        <v>4939</v>
      </c>
      <c r="BM979" s="7"/>
      <c r="BN979" s="7"/>
      <c r="BO979" s="4"/>
      <c r="BP979" s="8"/>
      <c r="BQ979" s="4"/>
      <c r="BR979" s="8"/>
      <c r="BS979" s="7"/>
      <c r="BT979" s="7"/>
      <c r="BU979" s="2" t="s">
        <v>4940</v>
      </c>
      <c r="BV979" s="2" t="s">
        <v>233</v>
      </c>
      <c r="BW979" s="2" t="s">
        <v>233</v>
      </c>
      <c r="BX979" s="2" t="s">
        <v>233</v>
      </c>
      <c r="BY979" s="2" t="s">
        <v>280</v>
      </c>
      <c r="BZ979" s="2" t="s">
        <v>245</v>
      </c>
      <c r="CA979" s="2" t="s">
        <v>281</v>
      </c>
      <c r="CB979" s="2" t="s">
        <v>528</v>
      </c>
      <c r="CC979" s="2" t="s">
        <v>246</v>
      </c>
      <c r="CD979" s="2" t="s">
        <v>233</v>
      </c>
      <c r="CE979" s="4">
        <v>927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>
        <v>550</v>
      </c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</row>
    <row r="980">
      <c r="A980" s="2" t="s">
        <v>4941</v>
      </c>
      <c r="B980" s="2" t="s">
        <v>228</v>
      </c>
      <c r="C980" s="2" t="s">
        <v>530</v>
      </c>
      <c r="D980" s="2" t="s">
        <v>1194</v>
      </c>
      <c r="E980" s="2" t="s">
        <v>1195</v>
      </c>
      <c r="F980" s="2" t="s">
        <v>4931</v>
      </c>
      <c r="G980" s="2" t="s">
        <v>4932</v>
      </c>
      <c r="H980" s="2" t="s">
        <v>4932</v>
      </c>
      <c r="I980" s="2" t="s">
        <v>4933</v>
      </c>
      <c r="J980" s="2" t="s">
        <v>1200</v>
      </c>
      <c r="K980" s="2" t="s">
        <v>552</v>
      </c>
      <c r="L980" s="3">
        <v>14.86</v>
      </c>
      <c r="M980" s="3">
        <v>15.6</v>
      </c>
      <c r="N980" s="3">
        <v>34.99</v>
      </c>
      <c r="O980" s="2" t="s">
        <v>245</v>
      </c>
      <c r="P980" s="2" t="s">
        <v>272</v>
      </c>
      <c r="Q980" s="2" t="s">
        <v>239</v>
      </c>
      <c r="R980" s="2" t="s">
        <v>233</v>
      </c>
      <c r="S980" s="2" t="s">
        <v>4942</v>
      </c>
      <c r="T980" s="2" t="s">
        <v>976</v>
      </c>
      <c r="U980" s="2" t="s">
        <v>233</v>
      </c>
      <c r="V980" s="2" t="s">
        <v>241</v>
      </c>
      <c r="W980" s="2" t="s">
        <v>705</v>
      </c>
      <c r="X980" s="2" t="s">
        <v>233</v>
      </c>
      <c r="Y980" s="2" t="s">
        <v>4943</v>
      </c>
      <c r="Z980" s="4">
        <v>282</v>
      </c>
      <c r="AA980" s="4">
        <f>=ROUNDDOWN(33.9759036144578,0)</f>
      </c>
      <c r="AB980" s="5">
        <v>8.3</v>
      </c>
      <c r="AC980" s="2" t="s">
        <v>319</v>
      </c>
      <c r="AD980" s="4">
        <v>250</v>
      </c>
      <c r="AE980" s="4">
        <v>400</v>
      </c>
      <c r="AF980" s="6">
        <v>64</v>
      </c>
      <c r="AG980" s="6"/>
      <c r="AH980" s="7">
        <v>1</v>
      </c>
      <c r="AI980" s="4"/>
      <c r="AJ980" s="4">
        <f>=ROUNDDOWN({0},0)</f>
      </c>
      <c r="AK980" s="5"/>
      <c r="AL980" s="2" t="s">
        <v>233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233</v>
      </c>
      <c r="AW980" s="8" t="s">
        <v>233</v>
      </c>
      <c r="AX980" s="4" t="s">
        <v>233</v>
      </c>
      <c r="AY980" s="8" t="s">
        <v>233</v>
      </c>
      <c r="AZ980" s="7" t="s">
        <v>233</v>
      </c>
      <c r="BA980" s="7" t="s">
        <v>233</v>
      </c>
      <c r="BB980" s="7"/>
      <c r="BC980" s="4" t="s">
        <v>233</v>
      </c>
      <c r="BD980" s="8" t="s">
        <v>233</v>
      </c>
      <c r="BE980" s="4" t="s">
        <v>233</v>
      </c>
      <c r="BF980" s="8" t="s">
        <v>233</v>
      </c>
      <c r="BG980" s="7" t="s">
        <v>233</v>
      </c>
      <c r="BH980" s="7" t="s">
        <v>233</v>
      </c>
      <c r="BI980" s="7"/>
      <c r="BJ980" s="4">
        <v>46</v>
      </c>
      <c r="BK980" s="8">
        <v>698.3</v>
      </c>
      <c r="BL980" s="2" t="s">
        <v>4944</v>
      </c>
      <c r="BM980" s="7"/>
      <c r="BN980" s="7"/>
      <c r="BO980" s="4"/>
      <c r="BP980" s="8"/>
      <c r="BQ980" s="4"/>
      <c r="BR980" s="8"/>
      <c r="BS980" s="7"/>
      <c r="BT980" s="7"/>
      <c r="BU980" s="2" t="s">
        <v>4945</v>
      </c>
      <c r="BV980" s="2" t="s">
        <v>233</v>
      </c>
      <c r="BW980" s="2" t="s">
        <v>233</v>
      </c>
      <c r="BX980" s="2" t="s">
        <v>233</v>
      </c>
      <c r="BY980" s="2" t="s">
        <v>280</v>
      </c>
      <c r="BZ980" s="2" t="s">
        <v>245</v>
      </c>
      <c r="CA980" s="2" t="s">
        <v>4946</v>
      </c>
      <c r="CB980" s="2" t="s">
        <v>1535</v>
      </c>
      <c r="CC980" s="2" t="s">
        <v>246</v>
      </c>
      <c r="CD980" s="2" t="s">
        <v>233</v>
      </c>
      <c r="CE980" s="4">
        <v>282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>
        <v>250</v>
      </c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>
        <v>150</v>
      </c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</row>
    <row r="981">
      <c r="A981" s="2" t="s">
        <v>4947</v>
      </c>
      <c r="B981" s="2" t="s">
        <v>228</v>
      </c>
      <c r="C981" s="2" t="s">
        <v>530</v>
      </c>
      <c r="D981" s="2" t="s">
        <v>1616</v>
      </c>
      <c r="E981" s="2" t="s">
        <v>2599</v>
      </c>
      <c r="F981" s="2" t="s">
        <v>4931</v>
      </c>
      <c r="G981" s="2" t="s">
        <v>4932</v>
      </c>
      <c r="H981" s="2" t="s">
        <v>4932</v>
      </c>
      <c r="I981" s="2" t="s">
        <v>4938</v>
      </c>
      <c r="J981" s="2" t="s">
        <v>1736</v>
      </c>
      <c r="K981" s="2" t="s">
        <v>552</v>
      </c>
      <c r="L981" s="3">
        <v>14.72</v>
      </c>
      <c r="M981" s="3">
        <v>15.46</v>
      </c>
      <c r="N981" s="3">
        <v>31.99</v>
      </c>
      <c r="O981" s="2" t="s">
        <v>245</v>
      </c>
      <c r="P981" s="2" t="s">
        <v>741</v>
      </c>
      <c r="Q981" s="2" t="s">
        <v>239</v>
      </c>
      <c r="R981" s="2" t="s">
        <v>233</v>
      </c>
      <c r="S981" s="2" t="s">
        <v>4942</v>
      </c>
      <c r="T981" s="2" t="s">
        <v>976</v>
      </c>
      <c r="U981" s="2" t="s">
        <v>396</v>
      </c>
      <c r="V981" s="2" t="s">
        <v>241</v>
      </c>
      <c r="W981" s="2" t="s">
        <v>705</v>
      </c>
      <c r="X981" s="2" t="s">
        <v>233</v>
      </c>
      <c r="Y981" s="2" t="s">
        <v>4943</v>
      </c>
      <c r="Z981" s="4">
        <v>87</v>
      </c>
      <c r="AA981" s="4">
        <f>=ROUNDDOWN(2.35135135135135,0)</f>
      </c>
      <c r="AB981" s="5">
        <v>37</v>
      </c>
      <c r="AC981" s="2" t="s">
        <v>319</v>
      </c>
      <c r="AD981" s="4">
        <v>700</v>
      </c>
      <c r="AE981" s="4">
        <v>1500</v>
      </c>
      <c r="AF981" s="6">
        <v>64</v>
      </c>
      <c r="AG981" s="6"/>
      <c r="AH981" s="7">
        <v>1</v>
      </c>
      <c r="AI981" s="4"/>
      <c r="AJ981" s="4">
        <f>=ROUNDDOWN({0},0)</f>
      </c>
      <c r="AK981" s="5"/>
      <c r="AL981" s="2" t="s">
        <v>233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233</v>
      </c>
      <c r="AW981" s="8" t="s">
        <v>233</v>
      </c>
      <c r="AX981" s="4" t="s">
        <v>233</v>
      </c>
      <c r="AY981" s="8" t="s">
        <v>233</v>
      </c>
      <c r="AZ981" s="7" t="s">
        <v>233</v>
      </c>
      <c r="BA981" s="7" t="s">
        <v>233</v>
      </c>
      <c r="BB981" s="7"/>
      <c r="BC981" s="4" t="s">
        <v>233</v>
      </c>
      <c r="BD981" s="8" t="s">
        <v>233</v>
      </c>
      <c r="BE981" s="4" t="s">
        <v>233</v>
      </c>
      <c r="BF981" s="8" t="s">
        <v>233</v>
      </c>
      <c r="BG981" s="7" t="s">
        <v>233</v>
      </c>
      <c r="BH981" s="7" t="s">
        <v>233</v>
      </c>
      <c r="BI981" s="7"/>
      <c r="BJ981" s="4">
        <v>110</v>
      </c>
      <c r="BK981" s="8">
        <v>1699.18</v>
      </c>
      <c r="BL981" s="2" t="s">
        <v>4948</v>
      </c>
      <c r="BM981" s="7"/>
      <c r="BN981" s="7"/>
      <c r="BO981" s="4"/>
      <c r="BP981" s="8"/>
      <c r="BQ981" s="4"/>
      <c r="BR981" s="8"/>
      <c r="BS981" s="7"/>
      <c r="BT981" s="7"/>
      <c r="BU981" s="2" t="s">
        <v>4949</v>
      </c>
      <c r="BV981" s="2" t="s">
        <v>233</v>
      </c>
      <c r="BW981" s="2" t="s">
        <v>233</v>
      </c>
      <c r="BX981" s="2" t="s">
        <v>233</v>
      </c>
      <c r="BY981" s="2" t="s">
        <v>280</v>
      </c>
      <c r="BZ981" s="2" t="s">
        <v>245</v>
      </c>
      <c r="CA981" s="2" t="s">
        <v>4946</v>
      </c>
      <c r="CB981" s="2" t="s">
        <v>4950</v>
      </c>
      <c r="CC981" s="2" t="s">
        <v>246</v>
      </c>
      <c r="CD981" s="2" t="s">
        <v>233</v>
      </c>
      <c r="CE981" s="4">
        <v>87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>
        <v>700</v>
      </c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>
        <v>800</v>
      </c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</row>
    <row r="982">
      <c r="A982" s="2" t="s">
        <v>4951</v>
      </c>
      <c r="B982" s="2" t="s">
        <v>228</v>
      </c>
      <c r="C982" s="2" t="s">
        <v>530</v>
      </c>
      <c r="D982" s="2" t="s">
        <v>1194</v>
      </c>
      <c r="E982" s="2" t="s">
        <v>1195</v>
      </c>
      <c r="F982" s="2" t="s">
        <v>4931</v>
      </c>
      <c r="G982" s="2" t="s">
        <v>4932</v>
      </c>
      <c r="H982" s="2" t="s">
        <v>4932</v>
      </c>
      <c r="I982" s="2" t="s">
        <v>4933</v>
      </c>
      <c r="J982" s="2" t="s">
        <v>1200</v>
      </c>
      <c r="K982" s="2" t="s">
        <v>984</v>
      </c>
      <c r="L982" s="3">
        <v>14.86</v>
      </c>
      <c r="M982" s="3">
        <v>15.6</v>
      </c>
      <c r="N982" s="3">
        <v>34.99</v>
      </c>
      <c r="O982" s="2" t="s">
        <v>245</v>
      </c>
      <c r="P982" s="2" t="s">
        <v>741</v>
      </c>
      <c r="Q982" s="2" t="s">
        <v>239</v>
      </c>
      <c r="R982" s="2" t="s">
        <v>233</v>
      </c>
      <c r="S982" s="2" t="s">
        <v>4952</v>
      </c>
      <c r="T982" s="2" t="s">
        <v>976</v>
      </c>
      <c r="U982" s="2" t="s">
        <v>233</v>
      </c>
      <c r="V982" s="2" t="s">
        <v>241</v>
      </c>
      <c r="W982" s="2" t="s">
        <v>705</v>
      </c>
      <c r="X982" s="2" t="s">
        <v>233</v>
      </c>
      <c r="Y982" s="2" t="s">
        <v>276</v>
      </c>
      <c r="Z982" s="4">
        <v>628</v>
      </c>
      <c r="AA982" s="4">
        <f>=ROUNDDOWN(23.2592592592593,0)</f>
      </c>
      <c r="AB982" s="5">
        <v>27</v>
      </c>
      <c r="AC982" s="2" t="s">
        <v>4953</v>
      </c>
      <c r="AD982" s="4">
        <v>500</v>
      </c>
      <c r="AE982" s="4">
        <v>1100</v>
      </c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233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233</v>
      </c>
      <c r="AW982" s="8" t="s">
        <v>233</v>
      </c>
      <c r="AX982" s="4" t="s">
        <v>233</v>
      </c>
      <c r="AY982" s="8" t="s">
        <v>233</v>
      </c>
      <c r="AZ982" s="7" t="s">
        <v>233</v>
      </c>
      <c r="BA982" s="7" t="s">
        <v>233</v>
      </c>
      <c r="BB982" s="7"/>
      <c r="BC982" s="4" t="s">
        <v>233</v>
      </c>
      <c r="BD982" s="8" t="s">
        <v>233</v>
      </c>
      <c r="BE982" s="4" t="s">
        <v>233</v>
      </c>
      <c r="BF982" s="8" t="s">
        <v>233</v>
      </c>
      <c r="BG982" s="7" t="s">
        <v>233</v>
      </c>
      <c r="BH982" s="7" t="s">
        <v>233</v>
      </c>
      <c r="BI982" s="7"/>
      <c r="BJ982" s="4">
        <v>117</v>
      </c>
      <c r="BK982" s="8">
        <v>1768.89</v>
      </c>
      <c r="BL982" s="2" t="s">
        <v>4954</v>
      </c>
      <c r="BM982" s="7"/>
      <c r="BN982" s="7"/>
      <c r="BO982" s="4"/>
      <c r="BP982" s="8"/>
      <c r="BQ982" s="4"/>
      <c r="BR982" s="8"/>
      <c r="BS982" s="7"/>
      <c r="BT982" s="7"/>
      <c r="BU982" s="2" t="s">
        <v>4955</v>
      </c>
      <c r="BV982" s="2" t="s">
        <v>233</v>
      </c>
      <c r="BW982" s="2" t="s">
        <v>233</v>
      </c>
      <c r="BX982" s="2" t="s">
        <v>233</v>
      </c>
      <c r="BY982" s="2" t="s">
        <v>280</v>
      </c>
      <c r="BZ982" s="2" t="s">
        <v>245</v>
      </c>
      <c r="CA982" s="2" t="s">
        <v>281</v>
      </c>
      <c r="CB982" s="2" t="s">
        <v>4956</v>
      </c>
      <c r="CC982" s="2" t="s">
        <v>246</v>
      </c>
      <c r="CD982" s="2" t="s">
        <v>233</v>
      </c>
      <c r="CE982" s="4">
        <v>628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>
        <v>500</v>
      </c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>
        <v>600</v>
      </c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</row>
    <row r="983">
      <c r="A983" s="2" t="s">
        <v>4957</v>
      </c>
      <c r="B983" s="2" t="s">
        <v>228</v>
      </c>
      <c r="C983" s="2" t="s">
        <v>530</v>
      </c>
      <c r="D983" s="2" t="s">
        <v>1616</v>
      </c>
      <c r="E983" s="2" t="s">
        <v>2599</v>
      </c>
      <c r="F983" s="2" t="s">
        <v>4931</v>
      </c>
      <c r="G983" s="2" t="s">
        <v>4932</v>
      </c>
      <c r="H983" s="2" t="s">
        <v>4932</v>
      </c>
      <c r="I983" s="2" t="s">
        <v>4938</v>
      </c>
      <c r="J983" s="2" t="s">
        <v>1736</v>
      </c>
      <c r="K983" s="2" t="s">
        <v>984</v>
      </c>
      <c r="L983" s="3">
        <v>14.72</v>
      </c>
      <c r="M983" s="3">
        <v>15.46</v>
      </c>
      <c r="N983" s="3">
        <v>31.99</v>
      </c>
      <c r="O983" s="2" t="s">
        <v>245</v>
      </c>
      <c r="P983" s="2" t="s">
        <v>272</v>
      </c>
      <c r="Q983" s="2" t="s">
        <v>239</v>
      </c>
      <c r="R983" s="2" t="s">
        <v>233</v>
      </c>
      <c r="S983" s="2" t="s">
        <v>4952</v>
      </c>
      <c r="T983" s="2" t="s">
        <v>976</v>
      </c>
      <c r="U983" s="2" t="s">
        <v>396</v>
      </c>
      <c r="V983" s="2" t="s">
        <v>241</v>
      </c>
      <c r="W983" s="2" t="s">
        <v>705</v>
      </c>
      <c r="X983" s="2" t="s">
        <v>233</v>
      </c>
      <c r="Y983" s="2" t="s">
        <v>276</v>
      </c>
      <c r="Z983" s="4">
        <v>954</v>
      </c>
      <c r="AA983" s="4">
        <f>=ROUNDDOWN(32.8965517241379,0)</f>
      </c>
      <c r="AB983" s="5">
        <v>29</v>
      </c>
      <c r="AC983" s="2" t="s">
        <v>4953</v>
      </c>
      <c r="AD983" s="4">
        <v>350</v>
      </c>
      <c r="AE983" s="4">
        <v>850</v>
      </c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233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233</v>
      </c>
      <c r="AW983" s="8" t="s">
        <v>233</v>
      </c>
      <c r="AX983" s="4" t="s">
        <v>233</v>
      </c>
      <c r="AY983" s="8" t="s">
        <v>233</v>
      </c>
      <c r="AZ983" s="7" t="s">
        <v>233</v>
      </c>
      <c r="BA983" s="7" t="s">
        <v>233</v>
      </c>
      <c r="BB983" s="7"/>
      <c r="BC983" s="4" t="s">
        <v>233</v>
      </c>
      <c r="BD983" s="8" t="s">
        <v>233</v>
      </c>
      <c r="BE983" s="4" t="s">
        <v>233</v>
      </c>
      <c r="BF983" s="8" t="s">
        <v>233</v>
      </c>
      <c r="BG983" s="7" t="s">
        <v>233</v>
      </c>
      <c r="BH983" s="7" t="s">
        <v>233</v>
      </c>
      <c r="BI983" s="7"/>
      <c r="BJ983" s="4">
        <v>93</v>
      </c>
      <c r="BK983" s="8">
        <v>1593.76</v>
      </c>
      <c r="BL983" s="2" t="s">
        <v>4958</v>
      </c>
      <c r="BM983" s="7"/>
      <c r="BN983" s="7"/>
      <c r="BO983" s="4"/>
      <c r="BP983" s="8"/>
      <c r="BQ983" s="4"/>
      <c r="BR983" s="8"/>
      <c r="BS983" s="7"/>
      <c r="BT983" s="7"/>
      <c r="BU983" s="2" t="s">
        <v>4959</v>
      </c>
      <c r="BV983" s="2" t="s">
        <v>233</v>
      </c>
      <c r="BW983" s="2" t="s">
        <v>233</v>
      </c>
      <c r="BX983" s="2" t="s">
        <v>233</v>
      </c>
      <c r="BY983" s="2" t="s">
        <v>280</v>
      </c>
      <c r="BZ983" s="2" t="s">
        <v>245</v>
      </c>
      <c r="CA983" s="2" t="s">
        <v>281</v>
      </c>
      <c r="CB983" s="2" t="s">
        <v>4960</v>
      </c>
      <c r="CC983" s="2" t="s">
        <v>246</v>
      </c>
      <c r="CD983" s="2" t="s">
        <v>233</v>
      </c>
      <c r="CE983" s="4">
        <v>954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>
        <v>350</v>
      </c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>
        <v>500</v>
      </c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</row>
    <row r="984">
      <c r="A984" s="2" t="s">
        <v>4961</v>
      </c>
      <c r="B984" s="2" t="s">
        <v>228</v>
      </c>
      <c r="C984" s="2" t="s">
        <v>530</v>
      </c>
      <c r="D984" s="2" t="s">
        <v>1616</v>
      </c>
      <c r="E984" s="2" t="s">
        <v>2599</v>
      </c>
      <c r="F984" s="2" t="s">
        <v>4931</v>
      </c>
      <c r="G984" s="2" t="s">
        <v>4932</v>
      </c>
      <c r="H984" s="2" t="s">
        <v>4932</v>
      </c>
      <c r="I984" s="2" t="s">
        <v>4938</v>
      </c>
      <c r="J984" s="2" t="s">
        <v>1736</v>
      </c>
      <c r="K984" s="2" t="s">
        <v>255</v>
      </c>
      <c r="L984" s="3">
        <v>14.72</v>
      </c>
      <c r="M984" s="3">
        <v>15.46</v>
      </c>
      <c r="N984" s="3">
        <v>31.99</v>
      </c>
      <c r="O984" s="2" t="s">
        <v>245</v>
      </c>
      <c r="P984" s="2" t="s">
        <v>272</v>
      </c>
      <c r="Q984" s="2" t="s">
        <v>239</v>
      </c>
      <c r="R984" s="2" t="s">
        <v>233</v>
      </c>
      <c r="S984" s="2" t="s">
        <v>4962</v>
      </c>
      <c r="T984" s="2" t="s">
        <v>976</v>
      </c>
      <c r="U984" s="2" t="s">
        <v>396</v>
      </c>
      <c r="V984" s="2" t="s">
        <v>241</v>
      </c>
      <c r="W984" s="2" t="s">
        <v>705</v>
      </c>
      <c r="X984" s="2" t="s">
        <v>233</v>
      </c>
      <c r="Y984" s="2" t="s">
        <v>276</v>
      </c>
      <c r="Z984" s="4">
        <v>540</v>
      </c>
      <c r="AA984" s="4">
        <f>=ROUNDDOWN(19.2857142857143,0)</f>
      </c>
      <c r="AB984" s="5">
        <v>28</v>
      </c>
      <c r="AC984" s="2" t="s">
        <v>4953</v>
      </c>
      <c r="AD984" s="4">
        <v>300</v>
      </c>
      <c r="AE984" s="4">
        <v>900</v>
      </c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233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 t="s">
        <v>233</v>
      </c>
      <c r="BD984" s="8" t="s">
        <v>233</v>
      </c>
      <c r="BE984" s="4" t="s">
        <v>233</v>
      </c>
      <c r="BF984" s="8" t="s">
        <v>233</v>
      </c>
      <c r="BG984" s="7" t="s">
        <v>233</v>
      </c>
      <c r="BH984" s="7" t="s">
        <v>233</v>
      </c>
      <c r="BI984" s="7"/>
      <c r="BJ984" s="4">
        <v>53</v>
      </c>
      <c r="BK984" s="8">
        <v>834.69</v>
      </c>
      <c r="BL984" s="2" t="s">
        <v>4963</v>
      </c>
      <c r="BM984" s="7"/>
      <c r="BN984" s="7"/>
      <c r="BO984" s="4"/>
      <c r="BP984" s="8"/>
      <c r="BQ984" s="4"/>
      <c r="BR984" s="8"/>
      <c r="BS984" s="7"/>
      <c r="BT984" s="7"/>
      <c r="BU984" s="2" t="s">
        <v>4964</v>
      </c>
      <c r="BV984" s="2" t="s">
        <v>233</v>
      </c>
      <c r="BW984" s="2" t="s">
        <v>233</v>
      </c>
      <c r="BX984" s="2" t="s">
        <v>233</v>
      </c>
      <c r="BY984" s="2" t="s">
        <v>280</v>
      </c>
      <c r="BZ984" s="2" t="s">
        <v>245</v>
      </c>
      <c r="CA984" s="2" t="s">
        <v>281</v>
      </c>
      <c r="CB984" s="2" t="s">
        <v>4965</v>
      </c>
      <c r="CC984" s="2" t="s">
        <v>246</v>
      </c>
      <c r="CD984" s="2" t="s">
        <v>233</v>
      </c>
      <c r="CE984" s="4">
        <v>540</v>
      </c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>
        <v>300</v>
      </c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>
        <v>600</v>
      </c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</row>
    <row r="985">
      <c r="A985" s="2" t="s">
        <v>4966</v>
      </c>
      <c r="B985" s="2" t="s">
        <v>228</v>
      </c>
      <c r="C985" s="2" t="s">
        <v>530</v>
      </c>
      <c r="D985" s="2" t="s">
        <v>1194</v>
      </c>
      <c r="E985" s="2" t="s">
        <v>1195</v>
      </c>
      <c r="F985" s="2" t="s">
        <v>4931</v>
      </c>
      <c r="G985" s="2" t="s">
        <v>4932</v>
      </c>
      <c r="H985" s="2" t="s">
        <v>4932</v>
      </c>
      <c r="I985" s="2" t="s">
        <v>4933</v>
      </c>
      <c r="J985" s="2" t="s">
        <v>1200</v>
      </c>
      <c r="K985" s="2" t="s">
        <v>569</v>
      </c>
      <c r="L985" s="3">
        <v>14.86</v>
      </c>
      <c r="M985" s="3">
        <v>15.6</v>
      </c>
      <c r="N985" s="3">
        <v>34.99</v>
      </c>
      <c r="O985" s="2" t="s">
        <v>245</v>
      </c>
      <c r="P985" s="2" t="s">
        <v>763</v>
      </c>
      <c r="Q985" s="2" t="s">
        <v>239</v>
      </c>
      <c r="R985" s="2" t="s">
        <v>233</v>
      </c>
      <c r="S985" s="2" t="s">
        <v>4967</v>
      </c>
      <c r="T985" s="2" t="s">
        <v>976</v>
      </c>
      <c r="U985" s="2" t="s">
        <v>233</v>
      </c>
      <c r="V985" s="2" t="s">
        <v>241</v>
      </c>
      <c r="W985" s="2" t="s">
        <v>705</v>
      </c>
      <c r="X985" s="2" t="s">
        <v>233</v>
      </c>
      <c r="Y985" s="2" t="s">
        <v>276</v>
      </c>
      <c r="Z985" s="4">
        <v>1155</v>
      </c>
      <c r="AA985" s="4">
        <f>=ROUNDDOWN(21.7924528301887,0)</f>
      </c>
      <c r="AB985" s="5">
        <v>53</v>
      </c>
      <c r="AC985" s="2" t="s">
        <v>4953</v>
      </c>
      <c r="AD985" s="4">
        <v>400</v>
      </c>
      <c r="AE985" s="4">
        <v>650</v>
      </c>
      <c r="AF985" s="6">
        <v>64</v>
      </c>
      <c r="AG985" s="6"/>
      <c r="AH985" s="7">
        <v>1</v>
      </c>
      <c r="AI985" s="4"/>
      <c r="AJ985" s="4">
        <f>=ROUNDDOWN({0},0)</f>
      </c>
      <c r="AK985" s="5"/>
      <c r="AL985" s="2" t="s">
        <v>233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233</v>
      </c>
      <c r="AW985" s="8" t="s">
        <v>233</v>
      </c>
      <c r="AX985" s="4" t="s">
        <v>233</v>
      </c>
      <c r="AY985" s="8" t="s">
        <v>233</v>
      </c>
      <c r="AZ985" s="7" t="s">
        <v>233</v>
      </c>
      <c r="BA985" s="7" t="s">
        <v>233</v>
      </c>
      <c r="BB985" s="7"/>
      <c r="BC985" s="4" t="s">
        <v>233</v>
      </c>
      <c r="BD985" s="8" t="s">
        <v>233</v>
      </c>
      <c r="BE985" s="4" t="s">
        <v>233</v>
      </c>
      <c r="BF985" s="8" t="s">
        <v>233</v>
      </c>
      <c r="BG985" s="7" t="s">
        <v>233</v>
      </c>
      <c r="BH985" s="7" t="s">
        <v>233</v>
      </c>
      <c r="BI985" s="7"/>
      <c r="BJ985" s="4">
        <v>239</v>
      </c>
      <c r="BK985" s="8">
        <v>3617.1</v>
      </c>
      <c r="BL985" s="2" t="s">
        <v>4968</v>
      </c>
      <c r="BM985" s="7"/>
      <c r="BN985" s="7"/>
      <c r="BO985" s="4"/>
      <c r="BP985" s="8"/>
      <c r="BQ985" s="4"/>
      <c r="BR985" s="8"/>
      <c r="BS985" s="7"/>
      <c r="BT985" s="7"/>
      <c r="BU985" s="2" t="s">
        <v>4969</v>
      </c>
      <c r="BV985" s="2" t="s">
        <v>233</v>
      </c>
      <c r="BW985" s="2" t="s">
        <v>233</v>
      </c>
      <c r="BX985" s="2" t="s">
        <v>233</v>
      </c>
      <c r="BY985" s="2" t="s">
        <v>280</v>
      </c>
      <c r="BZ985" s="2" t="s">
        <v>245</v>
      </c>
      <c r="CA985" s="2" t="s">
        <v>281</v>
      </c>
      <c r="CB985" s="2" t="s">
        <v>4970</v>
      </c>
      <c r="CC985" s="2" t="s">
        <v>246</v>
      </c>
      <c r="CD985" s="2" t="s">
        <v>233</v>
      </c>
      <c r="CE985" s="4">
        <v>1155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>
        <v>400</v>
      </c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>
        <v>250</v>
      </c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</row>
    <row r="986">
      <c r="A986" s="2" t="s">
        <v>4971</v>
      </c>
      <c r="B986" s="2" t="s">
        <v>228</v>
      </c>
      <c r="C986" s="2" t="s">
        <v>530</v>
      </c>
      <c r="D986" s="2" t="s">
        <v>1616</v>
      </c>
      <c r="E986" s="2" t="s">
        <v>2599</v>
      </c>
      <c r="F986" s="2" t="s">
        <v>4931</v>
      </c>
      <c r="G986" s="2" t="s">
        <v>4932</v>
      </c>
      <c r="H986" s="2" t="s">
        <v>4932</v>
      </c>
      <c r="I986" s="2" t="s">
        <v>4938</v>
      </c>
      <c r="J986" s="2" t="s">
        <v>1736</v>
      </c>
      <c r="K986" s="2" t="s">
        <v>569</v>
      </c>
      <c r="L986" s="3">
        <v>14.72</v>
      </c>
      <c r="M986" s="3">
        <v>15.46</v>
      </c>
      <c r="N986" s="3">
        <v>31.99</v>
      </c>
      <c r="O986" s="2" t="s">
        <v>245</v>
      </c>
      <c r="P986" s="2" t="s">
        <v>741</v>
      </c>
      <c r="Q986" s="2" t="s">
        <v>239</v>
      </c>
      <c r="R986" s="2" t="s">
        <v>233</v>
      </c>
      <c r="S986" s="2" t="s">
        <v>4967</v>
      </c>
      <c r="T986" s="2" t="s">
        <v>976</v>
      </c>
      <c r="U986" s="2" t="s">
        <v>396</v>
      </c>
      <c r="V986" s="2" t="s">
        <v>241</v>
      </c>
      <c r="W986" s="2" t="s">
        <v>705</v>
      </c>
      <c r="X986" s="2" t="s">
        <v>233</v>
      </c>
      <c r="Y986" s="2" t="s">
        <v>276</v>
      </c>
      <c r="Z986" s="4">
        <v>180</v>
      </c>
      <c r="AA986" s="4">
        <f>=ROUNDDOWN(4.73684210526316,0)</f>
      </c>
      <c r="AB986" s="5">
        <v>38</v>
      </c>
      <c r="AC986" s="2" t="s">
        <v>4953</v>
      </c>
      <c r="AD986" s="4">
        <v>600</v>
      </c>
      <c r="AE986" s="4">
        <v>1000</v>
      </c>
      <c r="AF986" s="6">
        <v>64</v>
      </c>
      <c r="AG986" s="6"/>
      <c r="AH986" s="7">
        <v>1</v>
      </c>
      <c r="AI986" s="4"/>
      <c r="AJ986" s="4">
        <f>=ROUNDDOWN({0},0)</f>
      </c>
      <c r="AK986" s="5"/>
      <c r="AL986" s="2" t="s">
        <v>233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233</v>
      </c>
      <c r="AW986" s="8" t="s">
        <v>233</v>
      </c>
      <c r="AX986" s="4" t="s">
        <v>233</v>
      </c>
      <c r="AY986" s="8" t="s">
        <v>233</v>
      </c>
      <c r="AZ986" s="7" t="s">
        <v>233</v>
      </c>
      <c r="BA986" s="7" t="s">
        <v>233</v>
      </c>
      <c r="BB986" s="7"/>
      <c r="BC986" s="4" t="s">
        <v>233</v>
      </c>
      <c r="BD986" s="8" t="s">
        <v>233</v>
      </c>
      <c r="BE986" s="4" t="s">
        <v>233</v>
      </c>
      <c r="BF986" s="8" t="s">
        <v>233</v>
      </c>
      <c r="BG986" s="7" t="s">
        <v>233</v>
      </c>
      <c r="BH986" s="7" t="s">
        <v>233</v>
      </c>
      <c r="BI986" s="7"/>
      <c r="BJ986" s="4">
        <v>207</v>
      </c>
      <c r="BK986" s="8">
        <v>3166.97</v>
      </c>
      <c r="BL986" s="2" t="s">
        <v>4972</v>
      </c>
      <c r="BM986" s="7"/>
      <c r="BN986" s="7"/>
      <c r="BO986" s="4"/>
      <c r="BP986" s="8"/>
      <c r="BQ986" s="4"/>
      <c r="BR986" s="8"/>
      <c r="BS986" s="7"/>
      <c r="BT986" s="7"/>
      <c r="BU986" s="2" t="s">
        <v>4973</v>
      </c>
      <c r="BV986" s="2" t="s">
        <v>233</v>
      </c>
      <c r="BW986" s="2" t="s">
        <v>233</v>
      </c>
      <c r="BX986" s="2" t="s">
        <v>233</v>
      </c>
      <c r="BY986" s="2" t="s">
        <v>280</v>
      </c>
      <c r="BZ986" s="2" t="s">
        <v>245</v>
      </c>
      <c r="CA986" s="2" t="s">
        <v>281</v>
      </c>
      <c r="CB986" s="2" t="s">
        <v>4960</v>
      </c>
      <c r="CC986" s="2" t="s">
        <v>246</v>
      </c>
      <c r="CD986" s="2" t="s">
        <v>233</v>
      </c>
      <c r="CE986" s="4">
        <v>180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>
        <v>600</v>
      </c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>
        <v>400</v>
      </c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</row>
    <row r="987">
      <c r="A987" s="2" t="s">
        <v>4974</v>
      </c>
      <c r="B987" s="2" t="s">
        <v>910</v>
      </c>
      <c r="C987" s="2" t="s">
        <v>1130</v>
      </c>
      <c r="D987" s="2" t="s">
        <v>1862</v>
      </c>
      <c r="E987" s="2" t="s">
        <v>1863</v>
      </c>
      <c r="F987" s="2" t="s">
        <v>4975</v>
      </c>
      <c r="G987" s="2" t="s">
        <v>4976</v>
      </c>
      <c r="H987" s="2" t="s">
        <v>4977</v>
      </c>
      <c r="I987" s="2" t="s">
        <v>4978</v>
      </c>
      <c r="J987" s="2" t="s">
        <v>981</v>
      </c>
      <c r="K987" s="2" t="s">
        <v>236</v>
      </c>
      <c r="L987" s="3">
        <v>33.33</v>
      </c>
      <c r="M987" s="3">
        <v>35</v>
      </c>
      <c r="N987" s="3">
        <v>69.99</v>
      </c>
      <c r="O987" s="2" t="s">
        <v>245</v>
      </c>
      <c r="P987" s="2" t="s">
        <v>238</v>
      </c>
      <c r="Q987" s="2" t="s">
        <v>239</v>
      </c>
      <c r="R987" s="2" t="s">
        <v>233</v>
      </c>
      <c r="S987" s="2" t="s">
        <v>4979</v>
      </c>
      <c r="T987" s="2" t="s">
        <v>1481</v>
      </c>
      <c r="U987" s="2" t="s">
        <v>475</v>
      </c>
      <c r="V987" s="2" t="s">
        <v>241</v>
      </c>
      <c r="W987" s="2" t="s">
        <v>275</v>
      </c>
      <c r="X987" s="2" t="s">
        <v>451</v>
      </c>
      <c r="Y987" s="2" t="s">
        <v>1580</v>
      </c>
      <c r="Z987" s="4">
        <v>178</v>
      </c>
      <c r="AA987" s="4">
        <f>=ROUNDDOWN({0},0)</f>
      </c>
      <c r="AB987" s="5"/>
      <c r="AC987" s="2" t="s">
        <v>1514</v>
      </c>
      <c r="AD987" s="4">
        <v>180</v>
      </c>
      <c r="AE987" s="4">
        <v>180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233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233</v>
      </c>
      <c r="AW987" s="8" t="s">
        <v>233</v>
      </c>
      <c r="AX987" s="4" t="s">
        <v>233</v>
      </c>
      <c r="AY987" s="8" t="s">
        <v>233</v>
      </c>
      <c r="AZ987" s="7" t="s">
        <v>233</v>
      </c>
      <c r="BA987" s="7" t="s">
        <v>233</v>
      </c>
      <c r="BB987" s="7"/>
      <c r="BC987" s="4" t="s">
        <v>233</v>
      </c>
      <c r="BD987" s="8" t="s">
        <v>233</v>
      </c>
      <c r="BE987" s="4" t="s">
        <v>233</v>
      </c>
      <c r="BF987" s="8" t="s">
        <v>233</v>
      </c>
      <c r="BG987" s="7" t="s">
        <v>233</v>
      </c>
      <c r="BH987" s="7" t="s">
        <v>233</v>
      </c>
      <c r="BI987" s="7"/>
      <c r="BJ987" s="4"/>
      <c r="BK987" s="8"/>
      <c r="BL987" s="2" t="s">
        <v>233</v>
      </c>
      <c r="BM987" s="7"/>
      <c r="BN987" s="7"/>
      <c r="BO987" s="4"/>
      <c r="BP987" s="8"/>
      <c r="BQ987" s="4"/>
      <c r="BR987" s="8"/>
      <c r="BS987" s="7"/>
      <c r="BT987" s="7"/>
      <c r="BU987" s="2" t="s">
        <v>4980</v>
      </c>
      <c r="BV987" s="2" t="s">
        <v>233</v>
      </c>
      <c r="BW987" s="2" t="s">
        <v>233</v>
      </c>
      <c r="BX987" s="2" t="s">
        <v>243</v>
      </c>
      <c r="BY987" s="2" t="s">
        <v>280</v>
      </c>
      <c r="BZ987" s="2" t="s">
        <v>245</v>
      </c>
      <c r="CA987" s="2" t="s">
        <v>350</v>
      </c>
      <c r="CB987" s="2" t="s">
        <v>233</v>
      </c>
      <c r="CC987" s="2" t="s">
        <v>246</v>
      </c>
      <c r="CD987" s="2" t="s">
        <v>233</v>
      </c>
      <c r="CE987" s="4">
        <v>178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>
        <v>180</v>
      </c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</row>
    <row r="988">
      <c r="A988" s="2" t="s">
        <v>4981</v>
      </c>
      <c r="B988" s="2" t="s">
        <v>910</v>
      </c>
      <c r="C988" s="2" t="s">
        <v>1130</v>
      </c>
      <c r="D988" s="2" t="s">
        <v>1862</v>
      </c>
      <c r="E988" s="2" t="s">
        <v>1863</v>
      </c>
      <c r="F988" s="2" t="s">
        <v>4975</v>
      </c>
      <c r="G988" s="2" t="s">
        <v>4976</v>
      </c>
      <c r="H988" s="2" t="s">
        <v>4977</v>
      </c>
      <c r="I988" s="2" t="s">
        <v>4978</v>
      </c>
      <c r="J988" s="2" t="s">
        <v>1142</v>
      </c>
      <c r="K988" s="2" t="s">
        <v>236</v>
      </c>
      <c r="L988" s="3">
        <v>38.09</v>
      </c>
      <c r="M988" s="3">
        <v>39.99</v>
      </c>
      <c r="N988" s="3">
        <v>79.99</v>
      </c>
      <c r="O988" s="2" t="s">
        <v>245</v>
      </c>
      <c r="P988" s="2" t="s">
        <v>238</v>
      </c>
      <c r="Q988" s="2" t="s">
        <v>239</v>
      </c>
      <c r="R988" s="2" t="s">
        <v>233</v>
      </c>
      <c r="S988" s="2" t="s">
        <v>4979</v>
      </c>
      <c r="T988" s="2" t="s">
        <v>1481</v>
      </c>
      <c r="U988" s="2" t="s">
        <v>475</v>
      </c>
      <c r="V988" s="2" t="s">
        <v>241</v>
      </c>
      <c r="W988" s="2" t="s">
        <v>275</v>
      </c>
      <c r="X988" s="2" t="s">
        <v>451</v>
      </c>
      <c r="Y988" s="2" t="s">
        <v>1580</v>
      </c>
      <c r="Z988" s="4">
        <v>213</v>
      </c>
      <c r="AA988" s="4">
        <f>=ROUNDDOWN(1065,0)</f>
      </c>
      <c r="AB988" s="5">
        <v>0.2</v>
      </c>
      <c r="AC988" s="2" t="s">
        <v>1514</v>
      </c>
      <c r="AD988" s="4">
        <v>220</v>
      </c>
      <c r="AE988" s="4">
        <v>220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233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233</v>
      </c>
      <c r="AW988" s="8" t="s">
        <v>233</v>
      </c>
      <c r="AX988" s="4" t="s">
        <v>233</v>
      </c>
      <c r="AY988" s="8" t="s">
        <v>233</v>
      </c>
      <c r="AZ988" s="7" t="s">
        <v>233</v>
      </c>
      <c r="BA988" s="7" t="s">
        <v>233</v>
      </c>
      <c r="BB988" s="7"/>
      <c r="BC988" s="4" t="s">
        <v>233</v>
      </c>
      <c r="BD988" s="8" t="s">
        <v>233</v>
      </c>
      <c r="BE988" s="4" t="s">
        <v>233</v>
      </c>
      <c r="BF988" s="8" t="s">
        <v>233</v>
      </c>
      <c r="BG988" s="7" t="s">
        <v>233</v>
      </c>
      <c r="BH988" s="7" t="s">
        <v>233</v>
      </c>
      <c r="BI988" s="7"/>
      <c r="BJ988" s="4">
        <v>1</v>
      </c>
      <c r="BK988" s="8">
        <v>39.99</v>
      </c>
      <c r="BL988" s="2" t="s">
        <v>744</v>
      </c>
      <c r="BM988" s="7"/>
      <c r="BN988" s="7"/>
      <c r="BO988" s="4"/>
      <c r="BP988" s="8"/>
      <c r="BQ988" s="4"/>
      <c r="BR988" s="8"/>
      <c r="BS988" s="7"/>
      <c r="BT988" s="7"/>
      <c r="BU988" s="2" t="s">
        <v>4982</v>
      </c>
      <c r="BV988" s="2" t="s">
        <v>233</v>
      </c>
      <c r="BW988" s="2" t="s">
        <v>233</v>
      </c>
      <c r="BX988" s="2" t="s">
        <v>243</v>
      </c>
      <c r="BY988" s="2" t="s">
        <v>280</v>
      </c>
      <c r="BZ988" s="2" t="s">
        <v>245</v>
      </c>
      <c r="CA988" s="2" t="s">
        <v>350</v>
      </c>
      <c r="CB988" s="2" t="s">
        <v>233</v>
      </c>
      <c r="CC988" s="2" t="s">
        <v>246</v>
      </c>
      <c r="CD988" s="2" t="s">
        <v>233</v>
      </c>
      <c r="CE988" s="4">
        <v>213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>
        <v>220</v>
      </c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</row>
    <row r="989">
      <c r="A989" s="2" t="s">
        <v>4983</v>
      </c>
      <c r="B989" s="2" t="s">
        <v>910</v>
      </c>
      <c r="C989" s="2" t="s">
        <v>1130</v>
      </c>
      <c r="D989" s="2" t="s">
        <v>1862</v>
      </c>
      <c r="E989" s="2" t="s">
        <v>1863</v>
      </c>
      <c r="F989" s="2" t="s">
        <v>4975</v>
      </c>
      <c r="G989" s="2" t="s">
        <v>4976</v>
      </c>
      <c r="H989" s="2" t="s">
        <v>4977</v>
      </c>
      <c r="I989" s="2" t="s">
        <v>4978</v>
      </c>
      <c r="J989" s="2" t="s">
        <v>981</v>
      </c>
      <c r="K989" s="2" t="s">
        <v>1537</v>
      </c>
      <c r="L989" s="3">
        <v>33.33</v>
      </c>
      <c r="M989" s="3">
        <v>35</v>
      </c>
      <c r="N989" s="3">
        <v>69.99</v>
      </c>
      <c r="O989" s="2" t="s">
        <v>245</v>
      </c>
      <c r="P989" s="2" t="s">
        <v>238</v>
      </c>
      <c r="Q989" s="2" t="s">
        <v>239</v>
      </c>
      <c r="R989" s="2" t="s">
        <v>233</v>
      </c>
      <c r="S989" s="2" t="s">
        <v>4984</v>
      </c>
      <c r="T989" s="2" t="s">
        <v>1481</v>
      </c>
      <c r="U989" s="2" t="s">
        <v>475</v>
      </c>
      <c r="V989" s="2" t="s">
        <v>241</v>
      </c>
      <c r="W989" s="2" t="s">
        <v>275</v>
      </c>
      <c r="X989" s="2" t="s">
        <v>451</v>
      </c>
      <c r="Y989" s="2" t="s">
        <v>1580</v>
      </c>
      <c r="Z989" s="4">
        <v>180</v>
      </c>
      <c r="AA989" s="4">
        <f>=ROUNDDOWN({0},0)</f>
      </c>
      <c r="AB989" s="5"/>
      <c r="AC989" s="2" t="s">
        <v>1514</v>
      </c>
      <c r="AD989" s="4">
        <v>160</v>
      </c>
      <c r="AE989" s="4">
        <v>160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233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233</v>
      </c>
      <c r="AW989" s="8" t="s">
        <v>233</v>
      </c>
      <c r="AX989" s="4" t="s">
        <v>233</v>
      </c>
      <c r="AY989" s="8" t="s">
        <v>233</v>
      </c>
      <c r="AZ989" s="7" t="s">
        <v>233</v>
      </c>
      <c r="BA989" s="7" t="s">
        <v>233</v>
      </c>
      <c r="BB989" s="7"/>
      <c r="BC989" s="4" t="s">
        <v>233</v>
      </c>
      <c r="BD989" s="8" t="s">
        <v>233</v>
      </c>
      <c r="BE989" s="4" t="s">
        <v>233</v>
      </c>
      <c r="BF989" s="8" t="s">
        <v>233</v>
      </c>
      <c r="BG989" s="7" t="s">
        <v>233</v>
      </c>
      <c r="BH989" s="7" t="s">
        <v>233</v>
      </c>
      <c r="BI989" s="7"/>
      <c r="BJ989" s="4"/>
      <c r="BK989" s="8"/>
      <c r="BL989" s="2" t="s">
        <v>233</v>
      </c>
      <c r="BM989" s="7"/>
      <c r="BN989" s="7"/>
      <c r="BO989" s="4"/>
      <c r="BP989" s="8"/>
      <c r="BQ989" s="4"/>
      <c r="BR989" s="8"/>
      <c r="BS989" s="7"/>
      <c r="BT989" s="7"/>
      <c r="BU989" s="2" t="s">
        <v>4985</v>
      </c>
      <c r="BV989" s="2" t="s">
        <v>233</v>
      </c>
      <c r="BW989" s="2" t="s">
        <v>233</v>
      </c>
      <c r="BX989" s="2" t="s">
        <v>243</v>
      </c>
      <c r="BY989" s="2" t="s">
        <v>280</v>
      </c>
      <c r="BZ989" s="2" t="s">
        <v>245</v>
      </c>
      <c r="CA989" s="2" t="s">
        <v>350</v>
      </c>
      <c r="CB989" s="2" t="s">
        <v>233</v>
      </c>
      <c r="CC989" s="2" t="s">
        <v>246</v>
      </c>
      <c r="CD989" s="2" t="s">
        <v>233</v>
      </c>
      <c r="CE989" s="4">
        <v>180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>
        <v>160</v>
      </c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</row>
    <row r="990">
      <c r="A990" s="2" t="s">
        <v>4986</v>
      </c>
      <c r="B990" s="2" t="s">
        <v>910</v>
      </c>
      <c r="C990" s="2" t="s">
        <v>1130</v>
      </c>
      <c r="D990" s="2" t="s">
        <v>1862</v>
      </c>
      <c r="E990" s="2" t="s">
        <v>1863</v>
      </c>
      <c r="F990" s="2" t="s">
        <v>4975</v>
      </c>
      <c r="G990" s="2" t="s">
        <v>4976</v>
      </c>
      <c r="H990" s="2" t="s">
        <v>4977</v>
      </c>
      <c r="I990" s="2" t="s">
        <v>4978</v>
      </c>
      <c r="J990" s="2" t="s">
        <v>1142</v>
      </c>
      <c r="K990" s="2" t="s">
        <v>1537</v>
      </c>
      <c r="L990" s="3">
        <v>38.09</v>
      </c>
      <c r="M990" s="3">
        <v>39.99</v>
      </c>
      <c r="N990" s="3">
        <v>79.99</v>
      </c>
      <c r="O990" s="2" t="s">
        <v>245</v>
      </c>
      <c r="P990" s="2" t="s">
        <v>238</v>
      </c>
      <c r="Q990" s="2" t="s">
        <v>239</v>
      </c>
      <c r="R990" s="2" t="s">
        <v>233</v>
      </c>
      <c r="S990" s="2" t="s">
        <v>4984</v>
      </c>
      <c r="T990" s="2" t="s">
        <v>1481</v>
      </c>
      <c r="U990" s="2" t="s">
        <v>475</v>
      </c>
      <c r="V990" s="2" t="s">
        <v>241</v>
      </c>
      <c r="W990" s="2" t="s">
        <v>275</v>
      </c>
      <c r="X990" s="2" t="s">
        <v>451</v>
      </c>
      <c r="Y990" s="2" t="s">
        <v>1580</v>
      </c>
      <c r="Z990" s="4">
        <v>211</v>
      </c>
      <c r="AA990" s="4">
        <f>=ROUNDDOWN(175.833333333333,0)</f>
      </c>
      <c r="AB990" s="5">
        <v>1.2</v>
      </c>
      <c r="AC990" s="2" t="s">
        <v>1514</v>
      </c>
      <c r="AD990" s="4">
        <v>220</v>
      </c>
      <c r="AE990" s="4">
        <v>220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233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233</v>
      </c>
      <c r="AW990" s="8" t="s">
        <v>233</v>
      </c>
      <c r="AX990" s="4" t="s">
        <v>233</v>
      </c>
      <c r="AY990" s="8" t="s">
        <v>233</v>
      </c>
      <c r="AZ990" s="7" t="s">
        <v>233</v>
      </c>
      <c r="BA990" s="7" t="s">
        <v>233</v>
      </c>
      <c r="BB990" s="7"/>
      <c r="BC990" s="4" t="s">
        <v>233</v>
      </c>
      <c r="BD990" s="8" t="s">
        <v>233</v>
      </c>
      <c r="BE990" s="4" t="s">
        <v>233</v>
      </c>
      <c r="BF990" s="8" t="s">
        <v>233</v>
      </c>
      <c r="BG990" s="7" t="s">
        <v>233</v>
      </c>
      <c r="BH990" s="7" t="s">
        <v>233</v>
      </c>
      <c r="BI990" s="7"/>
      <c r="BJ990" s="4">
        <v>2</v>
      </c>
      <c r="BK990" s="8">
        <v>93.31</v>
      </c>
      <c r="BL990" s="2" t="s">
        <v>744</v>
      </c>
      <c r="BM990" s="7"/>
      <c r="BN990" s="7"/>
      <c r="BO990" s="4"/>
      <c r="BP990" s="8"/>
      <c r="BQ990" s="4"/>
      <c r="BR990" s="8"/>
      <c r="BS990" s="7"/>
      <c r="BT990" s="7"/>
      <c r="BU990" s="2" t="s">
        <v>4987</v>
      </c>
      <c r="BV990" s="2" t="s">
        <v>233</v>
      </c>
      <c r="BW990" s="2" t="s">
        <v>233</v>
      </c>
      <c r="BX990" s="2" t="s">
        <v>243</v>
      </c>
      <c r="BY990" s="2" t="s">
        <v>280</v>
      </c>
      <c r="BZ990" s="2" t="s">
        <v>245</v>
      </c>
      <c r="CA990" s="2" t="s">
        <v>350</v>
      </c>
      <c r="CB990" s="2" t="s">
        <v>233</v>
      </c>
      <c r="CC990" s="2" t="s">
        <v>246</v>
      </c>
      <c r="CD990" s="2" t="s">
        <v>233</v>
      </c>
      <c r="CE990" s="4">
        <v>211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>
        <v>220</v>
      </c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</row>
    <row r="991">
      <c r="A991" s="2" t="s">
        <v>4988</v>
      </c>
      <c r="B991" s="2" t="s">
        <v>1174</v>
      </c>
      <c r="C991" s="2" t="s">
        <v>530</v>
      </c>
      <c r="D991" s="2" t="s">
        <v>1175</v>
      </c>
      <c r="E991" s="2" t="s">
        <v>3661</v>
      </c>
      <c r="F991" s="2" t="s">
        <v>4989</v>
      </c>
      <c r="G991" s="2" t="s">
        <v>4990</v>
      </c>
      <c r="H991" s="2" t="s">
        <v>4991</v>
      </c>
      <c r="I991" s="2" t="s">
        <v>4992</v>
      </c>
      <c r="J991" s="2" t="s">
        <v>3666</v>
      </c>
      <c r="K991" s="2" t="s">
        <v>4993</v>
      </c>
      <c r="L991" s="3">
        <v>23.2</v>
      </c>
      <c r="M991" s="3">
        <v>24.36</v>
      </c>
      <c r="N991" s="3">
        <v>54.99</v>
      </c>
      <c r="O991" s="2" t="s">
        <v>245</v>
      </c>
      <c r="P991" s="2" t="s">
        <v>272</v>
      </c>
      <c r="Q991" s="2" t="s">
        <v>239</v>
      </c>
      <c r="R991" s="2" t="s">
        <v>233</v>
      </c>
      <c r="S991" s="2" t="s">
        <v>4994</v>
      </c>
      <c r="T991" s="2" t="s">
        <v>4995</v>
      </c>
      <c r="U991" s="2" t="s">
        <v>396</v>
      </c>
      <c r="V991" s="2" t="s">
        <v>241</v>
      </c>
      <c r="W991" s="2" t="s">
        <v>275</v>
      </c>
      <c r="X991" s="2" t="s">
        <v>233</v>
      </c>
      <c r="Y991" s="2" t="s">
        <v>4996</v>
      </c>
      <c r="Z991" s="4">
        <v>204</v>
      </c>
      <c r="AA991" s="4">
        <f>=ROUNDDOWN(17,0)</f>
      </c>
      <c r="AB991" s="5">
        <v>12</v>
      </c>
      <c r="AC991" s="2" t="s">
        <v>233</v>
      </c>
      <c r="AD991" s="4"/>
      <c r="AE991" s="4"/>
      <c r="AF991" s="6">
        <v>75</v>
      </c>
      <c r="AG991" s="6"/>
      <c r="AH991" s="7">
        <v>1</v>
      </c>
      <c r="AI991" s="4"/>
      <c r="AJ991" s="4">
        <f>=ROUNDDOWN({0},0)</f>
      </c>
      <c r="AK991" s="5"/>
      <c r="AL991" s="2" t="s">
        <v>233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>
        <v>41</v>
      </c>
      <c r="BK991" s="8">
        <v>1084.33</v>
      </c>
      <c r="BL991" s="2" t="s">
        <v>4997</v>
      </c>
      <c r="BM991" s="7"/>
      <c r="BN991" s="7"/>
      <c r="BO991" s="4"/>
      <c r="BP991" s="8"/>
      <c r="BQ991" s="4"/>
      <c r="BR991" s="8"/>
      <c r="BS991" s="7"/>
      <c r="BT991" s="7"/>
      <c r="BU991" s="2" t="s">
        <v>4998</v>
      </c>
      <c r="BV991" s="2" t="s">
        <v>233</v>
      </c>
      <c r="BW991" s="2" t="s">
        <v>233</v>
      </c>
      <c r="BX991" s="2" t="s">
        <v>233</v>
      </c>
      <c r="BY991" s="2" t="s">
        <v>280</v>
      </c>
      <c r="BZ991" s="2" t="s">
        <v>245</v>
      </c>
      <c r="CA991" s="2" t="s">
        <v>4999</v>
      </c>
      <c r="CB991" s="2" t="s">
        <v>2256</v>
      </c>
      <c r="CC991" s="2" t="s">
        <v>246</v>
      </c>
      <c r="CD991" s="2" t="s">
        <v>233</v>
      </c>
      <c r="CE991" s="4">
        <v>204</v>
      </c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</row>
    <row r="992">
      <c r="A992" s="2" t="s">
        <v>5000</v>
      </c>
      <c r="B992" s="2" t="s">
        <v>928</v>
      </c>
      <c r="C992" s="2" t="s">
        <v>1321</v>
      </c>
      <c r="D992" s="2" t="s">
        <v>1101</v>
      </c>
      <c r="E992" s="2" t="s">
        <v>5001</v>
      </c>
      <c r="F992" s="2" t="s">
        <v>5002</v>
      </c>
      <c r="G992" s="2" t="s">
        <v>5002</v>
      </c>
      <c r="H992" s="2" t="s">
        <v>5002</v>
      </c>
      <c r="I992" s="2" t="s">
        <v>5003</v>
      </c>
      <c r="J992" s="2" t="s">
        <v>892</v>
      </c>
      <c r="K992" s="2" t="s">
        <v>1105</v>
      </c>
      <c r="L992" s="3">
        <v>112.71</v>
      </c>
      <c r="M992" s="3">
        <v>118.35</v>
      </c>
      <c r="N992" s="3">
        <v>199.74</v>
      </c>
      <c r="O992" s="2" t="s">
        <v>245</v>
      </c>
      <c r="P992" s="2" t="s">
        <v>272</v>
      </c>
      <c r="Q992" s="2" t="s">
        <v>239</v>
      </c>
      <c r="R992" s="2" t="s">
        <v>233</v>
      </c>
      <c r="S992" s="2" t="s">
        <v>5004</v>
      </c>
      <c r="T992" s="2" t="s">
        <v>233</v>
      </c>
      <c r="U992" s="2" t="s">
        <v>396</v>
      </c>
      <c r="V992" s="2" t="s">
        <v>241</v>
      </c>
      <c r="W992" s="2" t="s">
        <v>397</v>
      </c>
      <c r="X992" s="2" t="s">
        <v>705</v>
      </c>
      <c r="Y992" s="2" t="s">
        <v>5005</v>
      </c>
      <c r="Z992" s="4">
        <v>39</v>
      </c>
      <c r="AA992" s="4">
        <f>=ROUNDDOWN(13.9285714285714,0)</f>
      </c>
      <c r="AB992" s="5">
        <v>2.8</v>
      </c>
      <c r="AC992" s="2" t="s">
        <v>233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233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/>
      <c r="BD992" s="8"/>
      <c r="BE992" s="4"/>
      <c r="BF992" s="8"/>
      <c r="BG992" s="7"/>
      <c r="BH992" s="7"/>
      <c r="BI992" s="7"/>
      <c r="BJ992" s="4">
        <v>6</v>
      </c>
      <c r="BK992" s="8">
        <v>709.71</v>
      </c>
      <c r="BL992" s="2" t="s">
        <v>5006</v>
      </c>
      <c r="BM992" s="7"/>
      <c r="BN992" s="7"/>
      <c r="BO992" s="4"/>
      <c r="BP992" s="8"/>
      <c r="BQ992" s="4"/>
      <c r="BR992" s="8"/>
      <c r="BS992" s="7"/>
      <c r="BT992" s="7"/>
      <c r="BU992" s="2" t="s">
        <v>5007</v>
      </c>
      <c r="BV992" s="2" t="s">
        <v>233</v>
      </c>
      <c r="BW992" s="2" t="s">
        <v>233</v>
      </c>
      <c r="BX992" s="2" t="s">
        <v>233</v>
      </c>
      <c r="BY992" s="2" t="s">
        <v>280</v>
      </c>
      <c r="BZ992" s="2" t="s">
        <v>245</v>
      </c>
      <c r="CA992" s="2" t="s">
        <v>5008</v>
      </c>
      <c r="CB992" s="2" t="s">
        <v>5009</v>
      </c>
      <c r="CC992" s="2" t="s">
        <v>246</v>
      </c>
      <c r="CD992" s="2" t="s">
        <v>233</v>
      </c>
      <c r="CE992" s="4"/>
      <c r="CF992" s="4">
        <v>39</v>
      </c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</row>
    <row r="993">
      <c r="A993" s="2" t="s">
        <v>5010</v>
      </c>
      <c r="B993" s="2" t="s">
        <v>1174</v>
      </c>
      <c r="C993" s="2" t="s">
        <v>530</v>
      </c>
      <c r="D993" s="2" t="s">
        <v>1175</v>
      </c>
      <c r="E993" s="2" t="s">
        <v>2069</v>
      </c>
      <c r="F993" s="2" t="s">
        <v>5011</v>
      </c>
      <c r="G993" s="2" t="s">
        <v>5012</v>
      </c>
      <c r="H993" s="2" t="s">
        <v>3098</v>
      </c>
      <c r="I993" s="2" t="s">
        <v>5013</v>
      </c>
      <c r="J993" s="2" t="s">
        <v>5014</v>
      </c>
      <c r="K993" s="2" t="s">
        <v>569</v>
      </c>
      <c r="L993" s="3">
        <v>10.5</v>
      </c>
      <c r="M993" s="3">
        <v>11.02</v>
      </c>
      <c r="N993" s="3">
        <v>24.99</v>
      </c>
      <c r="O993" s="2" t="s">
        <v>245</v>
      </c>
      <c r="P993" s="2" t="s">
        <v>272</v>
      </c>
      <c r="Q993" s="2" t="s">
        <v>239</v>
      </c>
      <c r="R993" s="2" t="s">
        <v>233</v>
      </c>
      <c r="S993" s="2" t="s">
        <v>5015</v>
      </c>
      <c r="T993" s="2" t="s">
        <v>233</v>
      </c>
      <c r="U993" s="2" t="s">
        <v>233</v>
      </c>
      <c r="V993" s="2" t="s">
        <v>1085</v>
      </c>
      <c r="W993" s="2" t="s">
        <v>397</v>
      </c>
      <c r="X993" s="2" t="s">
        <v>2069</v>
      </c>
      <c r="Y993" s="2" t="s">
        <v>276</v>
      </c>
      <c r="Z993" s="4">
        <v>153</v>
      </c>
      <c r="AA993" s="4">
        <f>=ROUNDDOWN(13.9090909090909,0)</f>
      </c>
      <c r="AB993" s="5">
        <v>11</v>
      </c>
      <c r="AC993" s="2" t="s">
        <v>2721</v>
      </c>
      <c r="AD993" s="4">
        <v>120</v>
      </c>
      <c r="AE993" s="4">
        <v>292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233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233</v>
      </c>
      <c r="AW993" s="8" t="s">
        <v>233</v>
      </c>
      <c r="AX993" s="4" t="s">
        <v>233</v>
      </c>
      <c r="AY993" s="8" t="s">
        <v>233</v>
      </c>
      <c r="AZ993" s="7" t="s">
        <v>233</v>
      </c>
      <c r="BA993" s="7" t="s">
        <v>233</v>
      </c>
      <c r="BB993" s="7"/>
      <c r="BC993" s="4" t="s">
        <v>233</v>
      </c>
      <c r="BD993" s="8" t="s">
        <v>233</v>
      </c>
      <c r="BE993" s="4" t="s">
        <v>233</v>
      </c>
      <c r="BF993" s="8" t="s">
        <v>233</v>
      </c>
      <c r="BG993" s="7" t="s">
        <v>233</v>
      </c>
      <c r="BH993" s="7" t="s">
        <v>233</v>
      </c>
      <c r="BI993" s="7"/>
      <c r="BJ993" s="4">
        <v>16</v>
      </c>
      <c r="BK993" s="8">
        <v>156.98</v>
      </c>
      <c r="BL993" s="2" t="s">
        <v>5016</v>
      </c>
      <c r="BM993" s="7"/>
      <c r="BN993" s="7"/>
      <c r="BO993" s="4"/>
      <c r="BP993" s="8"/>
      <c r="BQ993" s="4"/>
      <c r="BR993" s="8"/>
      <c r="BS993" s="7"/>
      <c r="BT993" s="7"/>
      <c r="BU993" s="2" t="s">
        <v>5017</v>
      </c>
      <c r="BV993" s="2" t="s">
        <v>233</v>
      </c>
      <c r="BW993" s="2" t="s">
        <v>233</v>
      </c>
      <c r="BX993" s="2" t="s">
        <v>243</v>
      </c>
      <c r="BY993" s="2" t="s">
        <v>280</v>
      </c>
      <c r="BZ993" s="2" t="s">
        <v>245</v>
      </c>
      <c r="CA993" s="2" t="s">
        <v>5018</v>
      </c>
      <c r="CB993" s="2" t="s">
        <v>5019</v>
      </c>
      <c r="CC993" s="2" t="s">
        <v>246</v>
      </c>
      <c r="CD993" s="2" t="s">
        <v>233</v>
      </c>
      <c r="CE993" s="4">
        <v>153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>
        <v>120</v>
      </c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>
        <v>172</v>
      </c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</row>
    <row r="994">
      <c r="A994" s="2" t="s">
        <v>5020</v>
      </c>
      <c r="B994" s="2" t="s">
        <v>1174</v>
      </c>
      <c r="C994" s="2" t="s">
        <v>530</v>
      </c>
      <c r="D994" s="2" t="s">
        <v>1175</v>
      </c>
      <c r="E994" s="2" t="s">
        <v>2069</v>
      </c>
      <c r="F994" s="2" t="s">
        <v>5011</v>
      </c>
      <c r="G994" s="2" t="s">
        <v>5012</v>
      </c>
      <c r="H994" s="2" t="s">
        <v>3098</v>
      </c>
      <c r="I994" s="2" t="s">
        <v>5013</v>
      </c>
      <c r="J994" s="2" t="s">
        <v>1490</v>
      </c>
      <c r="K994" s="2" t="s">
        <v>569</v>
      </c>
      <c r="L994" s="3">
        <v>15.75</v>
      </c>
      <c r="M994" s="3">
        <v>16.54</v>
      </c>
      <c r="N994" s="3">
        <v>34.99</v>
      </c>
      <c r="O994" s="2" t="s">
        <v>245</v>
      </c>
      <c r="P994" s="2" t="s">
        <v>272</v>
      </c>
      <c r="Q994" s="2" t="s">
        <v>239</v>
      </c>
      <c r="R994" s="2" t="s">
        <v>233</v>
      </c>
      <c r="S994" s="2" t="s">
        <v>5015</v>
      </c>
      <c r="T994" s="2" t="s">
        <v>233</v>
      </c>
      <c r="U994" s="2" t="s">
        <v>233</v>
      </c>
      <c r="V994" s="2" t="s">
        <v>1085</v>
      </c>
      <c r="W994" s="2" t="s">
        <v>397</v>
      </c>
      <c r="X994" s="2" t="s">
        <v>2069</v>
      </c>
      <c r="Y994" s="2" t="s">
        <v>276</v>
      </c>
      <c r="Z994" s="4">
        <v>264</v>
      </c>
      <c r="AA994" s="4">
        <f>=ROUNDDOWN(24,0)</f>
      </c>
      <c r="AB994" s="5">
        <v>11</v>
      </c>
      <c r="AC994" s="2" t="s">
        <v>5021</v>
      </c>
      <c r="AD994" s="4">
        <v>184</v>
      </c>
      <c r="AE994" s="4">
        <v>184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233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233</v>
      </c>
      <c r="AW994" s="8" t="s">
        <v>233</v>
      </c>
      <c r="AX994" s="4" t="s">
        <v>233</v>
      </c>
      <c r="AY994" s="8" t="s">
        <v>233</v>
      </c>
      <c r="AZ994" s="7" t="s">
        <v>233</v>
      </c>
      <c r="BA994" s="7" t="s">
        <v>233</v>
      </c>
      <c r="BB994" s="7"/>
      <c r="BC994" s="4" t="s">
        <v>233</v>
      </c>
      <c r="BD994" s="8" t="s">
        <v>233</v>
      </c>
      <c r="BE994" s="4" t="s">
        <v>233</v>
      </c>
      <c r="BF994" s="8" t="s">
        <v>233</v>
      </c>
      <c r="BG994" s="7" t="s">
        <v>233</v>
      </c>
      <c r="BH994" s="7" t="s">
        <v>233</v>
      </c>
      <c r="BI994" s="7"/>
      <c r="BJ994" s="4">
        <v>44</v>
      </c>
      <c r="BK994" s="8">
        <v>699.36</v>
      </c>
      <c r="BL994" s="2" t="s">
        <v>5022</v>
      </c>
      <c r="BM994" s="7"/>
      <c r="BN994" s="7"/>
      <c r="BO994" s="4"/>
      <c r="BP994" s="8"/>
      <c r="BQ994" s="4"/>
      <c r="BR994" s="8"/>
      <c r="BS994" s="7"/>
      <c r="BT994" s="7"/>
      <c r="BU994" s="2" t="s">
        <v>5023</v>
      </c>
      <c r="BV994" s="2" t="s">
        <v>233</v>
      </c>
      <c r="BW994" s="2" t="s">
        <v>233</v>
      </c>
      <c r="BX994" s="2" t="s">
        <v>243</v>
      </c>
      <c r="BY994" s="2" t="s">
        <v>280</v>
      </c>
      <c r="BZ994" s="2" t="s">
        <v>245</v>
      </c>
      <c r="CA994" s="2" t="s">
        <v>5018</v>
      </c>
      <c r="CB994" s="2" t="s">
        <v>5024</v>
      </c>
      <c r="CC994" s="2" t="s">
        <v>246</v>
      </c>
      <c r="CD994" s="2" t="s">
        <v>233</v>
      </c>
      <c r="CE994" s="4">
        <v>264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>
        <v>184</v>
      </c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</row>
    <row r="995">
      <c r="A995" s="2" t="s">
        <v>5025</v>
      </c>
      <c r="B995" s="2" t="s">
        <v>228</v>
      </c>
      <c r="C995" s="2" t="s">
        <v>701</v>
      </c>
      <c r="D995" s="2" t="s">
        <v>3847</v>
      </c>
      <c r="E995" s="2" t="s">
        <v>3848</v>
      </c>
      <c r="F995" s="2" t="s">
        <v>5026</v>
      </c>
      <c r="G995" s="2" t="s">
        <v>5026</v>
      </c>
      <c r="H995" s="2" t="s">
        <v>5026</v>
      </c>
      <c r="I995" s="2" t="s">
        <v>3850</v>
      </c>
      <c r="J995" s="2" t="s">
        <v>270</v>
      </c>
      <c r="K995" s="2" t="s">
        <v>255</v>
      </c>
      <c r="L995" s="3">
        <v>49.12</v>
      </c>
      <c r="M995" s="3">
        <v>51.58</v>
      </c>
      <c r="N995" s="3">
        <v>104.99</v>
      </c>
      <c r="O995" s="2" t="s">
        <v>245</v>
      </c>
      <c r="P995" s="2" t="s">
        <v>1366</v>
      </c>
      <c r="Q995" s="2" t="s">
        <v>239</v>
      </c>
      <c r="R995" s="2" t="s">
        <v>233</v>
      </c>
      <c r="S995" s="2" t="s">
        <v>5027</v>
      </c>
      <c r="T995" s="2" t="s">
        <v>647</v>
      </c>
      <c r="U995" s="2" t="s">
        <v>396</v>
      </c>
      <c r="V995" s="2" t="s">
        <v>241</v>
      </c>
      <c r="W995" s="2" t="s">
        <v>275</v>
      </c>
      <c r="X995" s="2" t="s">
        <v>1056</v>
      </c>
      <c r="Y995" s="2" t="s">
        <v>648</v>
      </c>
      <c r="Z995" s="4">
        <v>378</v>
      </c>
      <c r="AA995" s="4">
        <f>=ROUNDDOWN(15.75,0)</f>
      </c>
      <c r="AB995" s="5">
        <v>24</v>
      </c>
      <c r="AC995" s="2" t="s">
        <v>233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233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/>
      <c r="BD995" s="8"/>
      <c r="BE995" s="4"/>
      <c r="BF995" s="8"/>
      <c r="BG995" s="7"/>
      <c r="BH995" s="7"/>
      <c r="BI995" s="7"/>
      <c r="BJ995" s="4">
        <v>18</v>
      </c>
      <c r="BK995" s="8">
        <v>948.99</v>
      </c>
      <c r="BL995" s="2" t="s">
        <v>5028</v>
      </c>
      <c r="BM995" s="7"/>
      <c r="BN995" s="7"/>
      <c r="BO995" s="4"/>
      <c r="BP995" s="8"/>
      <c r="BQ995" s="4"/>
      <c r="BR995" s="8"/>
      <c r="BS995" s="7"/>
      <c r="BT995" s="7"/>
      <c r="BU995" s="2" t="s">
        <v>5029</v>
      </c>
      <c r="BV995" s="2" t="s">
        <v>233</v>
      </c>
      <c r="BW995" s="2" t="s">
        <v>233</v>
      </c>
      <c r="BX995" s="2" t="s">
        <v>3953</v>
      </c>
      <c r="BY995" s="2" t="s">
        <v>280</v>
      </c>
      <c r="BZ995" s="2" t="s">
        <v>245</v>
      </c>
      <c r="CA995" s="2" t="s">
        <v>1625</v>
      </c>
      <c r="CB995" s="2" t="s">
        <v>5030</v>
      </c>
      <c r="CC995" s="2" t="s">
        <v>246</v>
      </c>
      <c r="CD995" s="2" t="s">
        <v>233</v>
      </c>
      <c r="CE995" s="4">
        <v>378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</row>
    <row r="996">
      <c r="A996" s="2" t="s">
        <v>5031</v>
      </c>
      <c r="B996" s="2" t="s">
        <v>1174</v>
      </c>
      <c r="C996" s="2" t="s">
        <v>530</v>
      </c>
      <c r="D996" s="2" t="s">
        <v>3304</v>
      </c>
      <c r="E996" s="2" t="s">
        <v>3305</v>
      </c>
      <c r="F996" s="2" t="s">
        <v>5032</v>
      </c>
      <c r="G996" s="2" t="s">
        <v>5033</v>
      </c>
      <c r="H996" s="2" t="s">
        <v>5034</v>
      </c>
      <c r="I996" s="2" t="s">
        <v>5035</v>
      </c>
      <c r="J996" s="2" t="s">
        <v>2099</v>
      </c>
      <c r="K996" s="2" t="s">
        <v>5036</v>
      </c>
      <c r="L996" s="3">
        <v>12.42</v>
      </c>
      <c r="M996" s="3">
        <v>13.04</v>
      </c>
      <c r="N996" s="3">
        <v>26.99</v>
      </c>
      <c r="O996" s="2" t="s">
        <v>245</v>
      </c>
      <c r="P996" s="2" t="s">
        <v>272</v>
      </c>
      <c r="Q996" s="2" t="s">
        <v>239</v>
      </c>
      <c r="R996" s="2" t="s">
        <v>233</v>
      </c>
      <c r="S996" s="2" t="s">
        <v>5037</v>
      </c>
      <c r="T996" s="2" t="s">
        <v>233</v>
      </c>
      <c r="U996" s="2" t="s">
        <v>233</v>
      </c>
      <c r="V996" s="2" t="s">
        <v>241</v>
      </c>
      <c r="W996" s="2" t="s">
        <v>776</v>
      </c>
      <c r="X996" s="2" t="s">
        <v>233</v>
      </c>
      <c r="Y996" s="2" t="s">
        <v>5038</v>
      </c>
      <c r="Z996" s="4">
        <v>60</v>
      </c>
      <c r="AA996" s="4">
        <f>=ROUNDDOWN(2.72727272727273,0)</f>
      </c>
      <c r="AB996" s="5">
        <v>22</v>
      </c>
      <c r="AC996" s="2" t="s">
        <v>1492</v>
      </c>
      <c r="AD996" s="4">
        <v>440</v>
      </c>
      <c r="AE996" s="4">
        <v>824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233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233</v>
      </c>
      <c r="BD996" s="8" t="s">
        <v>233</v>
      </c>
      <c r="BE996" s="4" t="s">
        <v>233</v>
      </c>
      <c r="BF996" s="8" t="s">
        <v>233</v>
      </c>
      <c r="BG996" s="7" t="s">
        <v>233</v>
      </c>
      <c r="BH996" s="7" t="s">
        <v>233</v>
      </c>
      <c r="BI996" s="7"/>
      <c r="BJ996" s="4">
        <v>70</v>
      </c>
      <c r="BK996" s="8">
        <v>869.73</v>
      </c>
      <c r="BL996" s="2" t="s">
        <v>5039</v>
      </c>
      <c r="BM996" s="7"/>
      <c r="BN996" s="7"/>
      <c r="BO996" s="4"/>
      <c r="BP996" s="8"/>
      <c r="BQ996" s="4"/>
      <c r="BR996" s="8"/>
      <c r="BS996" s="7"/>
      <c r="BT996" s="7"/>
      <c r="BU996" s="2" t="s">
        <v>5040</v>
      </c>
      <c r="BV996" s="2" t="s">
        <v>233</v>
      </c>
      <c r="BW996" s="2" t="s">
        <v>233</v>
      </c>
      <c r="BX996" s="2" t="s">
        <v>233</v>
      </c>
      <c r="BY996" s="2" t="s">
        <v>280</v>
      </c>
      <c r="BZ996" s="2" t="s">
        <v>245</v>
      </c>
      <c r="CA996" s="2" t="s">
        <v>437</v>
      </c>
      <c r="CB996" s="2" t="s">
        <v>5041</v>
      </c>
      <c r="CC996" s="2" t="s">
        <v>246</v>
      </c>
      <c r="CD996" s="2" t="s">
        <v>233</v>
      </c>
      <c r="CE996" s="4">
        <v>60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>
        <v>440</v>
      </c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>
        <v>384</v>
      </c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</row>
    <row r="997">
      <c r="A997" s="2" t="s">
        <v>5042</v>
      </c>
      <c r="B997" s="2" t="s">
        <v>1174</v>
      </c>
      <c r="C997" s="2" t="s">
        <v>530</v>
      </c>
      <c r="D997" s="2" t="s">
        <v>3304</v>
      </c>
      <c r="E997" s="2" t="s">
        <v>3305</v>
      </c>
      <c r="F997" s="2" t="s">
        <v>5032</v>
      </c>
      <c r="G997" s="2" t="s">
        <v>5033</v>
      </c>
      <c r="H997" s="2" t="s">
        <v>5034</v>
      </c>
      <c r="I997" s="2" t="s">
        <v>5035</v>
      </c>
      <c r="J997" s="2" t="s">
        <v>2099</v>
      </c>
      <c r="K997" s="2" t="s">
        <v>525</v>
      </c>
      <c r="L997" s="3">
        <v>12.42</v>
      </c>
      <c r="M997" s="3">
        <v>13.04</v>
      </c>
      <c r="N997" s="3">
        <v>26.99</v>
      </c>
      <c r="O997" s="2" t="s">
        <v>245</v>
      </c>
      <c r="P997" s="2" t="s">
        <v>272</v>
      </c>
      <c r="Q997" s="2" t="s">
        <v>239</v>
      </c>
      <c r="R997" s="2" t="s">
        <v>233</v>
      </c>
      <c r="S997" s="2" t="s">
        <v>5043</v>
      </c>
      <c r="T997" s="2" t="s">
        <v>1481</v>
      </c>
      <c r="U997" s="2" t="s">
        <v>396</v>
      </c>
      <c r="V997" s="2" t="s">
        <v>241</v>
      </c>
      <c r="W997" s="2" t="s">
        <v>776</v>
      </c>
      <c r="X997" s="2" t="s">
        <v>233</v>
      </c>
      <c r="Y997" s="2" t="s">
        <v>5044</v>
      </c>
      <c r="Z997" s="4">
        <v>380</v>
      </c>
      <c r="AA997" s="4">
        <f>=ROUNDDOWN(22.3529411764706,0)</f>
      </c>
      <c r="AB997" s="5">
        <v>17</v>
      </c>
      <c r="AC997" s="2" t="s">
        <v>1514</v>
      </c>
      <c r="AD997" s="4">
        <v>200</v>
      </c>
      <c r="AE997" s="4">
        <v>200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233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233</v>
      </c>
      <c r="BD997" s="8" t="s">
        <v>233</v>
      </c>
      <c r="BE997" s="4" t="s">
        <v>233</v>
      </c>
      <c r="BF997" s="8" t="s">
        <v>233</v>
      </c>
      <c r="BG997" s="7" t="s">
        <v>233</v>
      </c>
      <c r="BH997" s="7" t="s">
        <v>233</v>
      </c>
      <c r="BI997" s="7"/>
      <c r="BJ997" s="4">
        <v>66</v>
      </c>
      <c r="BK997" s="8">
        <v>865.86</v>
      </c>
      <c r="BL997" s="2" t="s">
        <v>5045</v>
      </c>
      <c r="BM997" s="7"/>
      <c r="BN997" s="7"/>
      <c r="BO997" s="4"/>
      <c r="BP997" s="8"/>
      <c r="BQ997" s="4"/>
      <c r="BR997" s="8"/>
      <c r="BS997" s="7"/>
      <c r="BT997" s="7"/>
      <c r="BU997" s="2" t="s">
        <v>5046</v>
      </c>
      <c r="BV997" s="2" t="s">
        <v>233</v>
      </c>
      <c r="BW997" s="2" t="s">
        <v>233</v>
      </c>
      <c r="BX997" s="2" t="s">
        <v>233</v>
      </c>
      <c r="BY997" s="2" t="s">
        <v>280</v>
      </c>
      <c r="BZ997" s="2" t="s">
        <v>245</v>
      </c>
      <c r="CA997" s="2" t="s">
        <v>1495</v>
      </c>
      <c r="CB997" s="2" t="s">
        <v>5047</v>
      </c>
      <c r="CC997" s="2" t="s">
        <v>246</v>
      </c>
      <c r="CD997" s="2" t="s">
        <v>233</v>
      </c>
      <c r="CE997" s="4">
        <v>380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>
        <v>200</v>
      </c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</row>
    <row r="998">
      <c r="A998" s="2" t="s">
        <v>5048</v>
      </c>
      <c r="B998" s="2" t="s">
        <v>886</v>
      </c>
      <c r="C998" s="2" t="s">
        <v>901</v>
      </c>
      <c r="D998" s="2" t="s">
        <v>1167</v>
      </c>
      <c r="E998" s="2" t="s">
        <v>1168</v>
      </c>
      <c r="F998" s="2" t="s">
        <v>5049</v>
      </c>
      <c r="G998" s="2" t="s">
        <v>5049</v>
      </c>
      <c r="H998" s="2" t="s">
        <v>5049</v>
      </c>
      <c r="I998" s="2" t="s">
        <v>5050</v>
      </c>
      <c r="J998" s="2" t="s">
        <v>892</v>
      </c>
      <c r="K998" s="2" t="s">
        <v>1105</v>
      </c>
      <c r="L998" s="3">
        <v>52</v>
      </c>
      <c r="M998" s="3">
        <v>54.6</v>
      </c>
      <c r="N998" s="3">
        <v>109.99</v>
      </c>
      <c r="O998" s="2" t="s">
        <v>245</v>
      </c>
      <c r="P998" s="2" t="s">
        <v>238</v>
      </c>
      <c r="Q998" s="2" t="s">
        <v>239</v>
      </c>
      <c r="R998" s="2" t="s">
        <v>233</v>
      </c>
      <c r="S998" s="2" t="s">
        <v>233</v>
      </c>
      <c r="T998" s="2" t="s">
        <v>233</v>
      </c>
      <c r="U998" s="2" t="s">
        <v>396</v>
      </c>
      <c r="V998" s="2" t="s">
        <v>893</v>
      </c>
      <c r="W998" s="2" t="s">
        <v>397</v>
      </c>
      <c r="X998" s="2" t="s">
        <v>275</v>
      </c>
      <c r="Y998" s="2" t="s">
        <v>3199</v>
      </c>
      <c r="Z998" s="4">
        <v>99</v>
      </c>
      <c r="AA998" s="4">
        <f>=ROUNDDOWN({0},0)</f>
      </c>
      <c r="AB998" s="5"/>
      <c r="AC998" s="2" t="s">
        <v>233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233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/>
      <c r="BD998" s="8"/>
      <c r="BE998" s="4"/>
      <c r="BF998" s="8"/>
      <c r="BG998" s="7"/>
      <c r="BH998" s="7"/>
      <c r="BI998" s="7"/>
      <c r="BJ998" s="4"/>
      <c r="BK998" s="8"/>
      <c r="BL998" s="2" t="s">
        <v>233</v>
      </c>
      <c r="BM998" s="7"/>
      <c r="BN998" s="7"/>
      <c r="BO998" s="4"/>
      <c r="BP998" s="8"/>
      <c r="BQ998" s="4"/>
      <c r="BR998" s="8"/>
      <c r="BS998" s="7"/>
      <c r="BT998" s="7"/>
      <c r="BU998" s="2" t="s">
        <v>243</v>
      </c>
      <c r="BV998" s="2" t="s">
        <v>233</v>
      </c>
      <c r="BW998" s="2" t="s">
        <v>233</v>
      </c>
      <c r="BX998" s="2" t="s">
        <v>243</v>
      </c>
      <c r="BY998" s="2" t="s">
        <v>244</v>
      </c>
      <c r="BZ998" s="2" t="s">
        <v>245</v>
      </c>
      <c r="CA998" s="2" t="s">
        <v>233</v>
      </c>
      <c r="CB998" s="2" t="s">
        <v>233</v>
      </c>
      <c r="CC998" s="2" t="s">
        <v>246</v>
      </c>
      <c r="CD998" s="2" t="s">
        <v>233</v>
      </c>
      <c r="CE998" s="4"/>
      <c r="CF998" s="4">
        <v>99</v>
      </c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</row>
    <row r="999">
      <c r="A999" s="2" t="s">
        <v>5051</v>
      </c>
      <c r="B999" s="2" t="s">
        <v>1066</v>
      </c>
      <c r="C999" s="2" t="s">
        <v>947</v>
      </c>
      <c r="D999" s="2" t="s">
        <v>1851</v>
      </c>
      <c r="E999" s="2" t="s">
        <v>1852</v>
      </c>
      <c r="F999" s="2" t="s">
        <v>5052</v>
      </c>
      <c r="G999" s="2" t="s">
        <v>5052</v>
      </c>
      <c r="H999" s="2" t="s">
        <v>5052</v>
      </c>
      <c r="I999" s="2" t="s">
        <v>5053</v>
      </c>
      <c r="J999" s="2" t="s">
        <v>892</v>
      </c>
      <c r="K999" s="2" t="s">
        <v>1537</v>
      </c>
      <c r="L999" s="3">
        <v>144</v>
      </c>
      <c r="M999" s="3">
        <v>151.2</v>
      </c>
      <c r="N999" s="3">
        <v>299</v>
      </c>
      <c r="O999" s="2" t="s">
        <v>245</v>
      </c>
      <c r="P999" s="2" t="s">
        <v>393</v>
      </c>
      <c r="Q999" s="2" t="s">
        <v>239</v>
      </c>
      <c r="R999" s="2" t="s">
        <v>233</v>
      </c>
      <c r="S999" s="2" t="s">
        <v>5054</v>
      </c>
      <c r="T999" s="2" t="s">
        <v>233</v>
      </c>
      <c r="U999" s="2" t="s">
        <v>396</v>
      </c>
      <c r="V999" s="2" t="s">
        <v>241</v>
      </c>
      <c r="W999" s="2" t="s">
        <v>977</v>
      </c>
      <c r="X999" s="2" t="s">
        <v>953</v>
      </c>
      <c r="Y999" s="2" t="s">
        <v>736</v>
      </c>
      <c r="Z999" s="4">
        <v>79</v>
      </c>
      <c r="AA999" s="4">
        <f>=ROUNDDOWN(41.5789473684211,0)</f>
      </c>
      <c r="AB999" s="5">
        <v>1.9</v>
      </c>
      <c r="AC999" s="2" t="s">
        <v>2183</v>
      </c>
      <c r="AD999" s="4">
        <v>81</v>
      </c>
      <c r="AE999" s="4">
        <v>102</v>
      </c>
      <c r="AF999" s="6">
        <v>66</v>
      </c>
      <c r="AG999" s="6">
        <v>49</v>
      </c>
      <c r="AH999" s="7">
        <v>1</v>
      </c>
      <c r="AI999" s="4"/>
      <c r="AJ999" s="4">
        <f>=ROUNDDOWN({0},0)</f>
      </c>
      <c r="AK999" s="5"/>
      <c r="AL999" s="2" t="s">
        <v>233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/>
      <c r="BD999" s="8"/>
      <c r="BE999" s="4"/>
      <c r="BF999" s="8"/>
      <c r="BG999" s="7"/>
      <c r="BH999" s="7"/>
      <c r="BI999" s="7"/>
      <c r="BJ999" s="4">
        <v>12</v>
      </c>
      <c r="BK999" s="8">
        <v>1805.92</v>
      </c>
      <c r="BL999" s="2" t="s">
        <v>5055</v>
      </c>
      <c r="BM999" s="7"/>
      <c r="BN999" s="7"/>
      <c r="BO999" s="4"/>
      <c r="BP999" s="8"/>
      <c r="BQ999" s="4"/>
      <c r="BR999" s="8"/>
      <c r="BS999" s="7"/>
      <c r="BT999" s="7"/>
      <c r="BU999" s="2" t="s">
        <v>5056</v>
      </c>
      <c r="BV999" s="2" t="s">
        <v>233</v>
      </c>
      <c r="BW999" s="2" t="s">
        <v>233</v>
      </c>
      <c r="BX999" s="2" t="s">
        <v>233</v>
      </c>
      <c r="BY999" s="2" t="s">
        <v>280</v>
      </c>
      <c r="BZ999" s="2" t="s">
        <v>245</v>
      </c>
      <c r="CA999" s="2" t="s">
        <v>5057</v>
      </c>
      <c r="CB999" s="2" t="s">
        <v>5058</v>
      </c>
      <c r="CC999" s="2" t="s">
        <v>246</v>
      </c>
      <c r="CD999" s="2" t="s">
        <v>233</v>
      </c>
      <c r="CE999" s="4"/>
      <c r="CF999" s="4">
        <v>71</v>
      </c>
      <c r="CG999" s="4"/>
      <c r="CH999" s="4"/>
      <c r="CI999" s="4">
        <v>8</v>
      </c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>
        <v>81</v>
      </c>
      <c r="FO999" s="4"/>
      <c r="FP999" s="4"/>
      <c r="FQ999" s="4"/>
      <c r="FR999" s="4"/>
      <c r="FS999" s="4"/>
      <c r="FT999" s="4">
        <v>21</v>
      </c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</row>
    <row r="1000">
      <c r="A1000" s="2" t="s">
        <v>5059</v>
      </c>
      <c r="B1000" s="2" t="s">
        <v>1066</v>
      </c>
      <c r="C1000" s="2" t="s">
        <v>530</v>
      </c>
      <c r="D1000" s="2" t="s">
        <v>2140</v>
      </c>
      <c r="E1000" s="2" t="s">
        <v>4141</v>
      </c>
      <c r="F1000" s="2" t="s">
        <v>3072</v>
      </c>
      <c r="G1000" s="2" t="s">
        <v>5060</v>
      </c>
      <c r="H1000" s="2" t="s">
        <v>5061</v>
      </c>
      <c r="I1000" s="2" t="s">
        <v>4141</v>
      </c>
      <c r="J1000" s="2" t="s">
        <v>892</v>
      </c>
      <c r="K1000" s="2" t="s">
        <v>645</v>
      </c>
      <c r="L1000" s="3">
        <v>260</v>
      </c>
      <c r="M1000" s="3">
        <v>273</v>
      </c>
      <c r="N1000" s="3">
        <v>549</v>
      </c>
      <c r="O1000" s="2" t="s">
        <v>237</v>
      </c>
      <c r="P1000" s="2" t="s">
        <v>311</v>
      </c>
      <c r="Q1000" s="2" t="s">
        <v>239</v>
      </c>
      <c r="R1000" s="2" t="s">
        <v>233</v>
      </c>
      <c r="S1000" s="2" t="s">
        <v>233</v>
      </c>
      <c r="T1000" s="2" t="s">
        <v>233</v>
      </c>
      <c r="U1000" s="2" t="s">
        <v>396</v>
      </c>
      <c r="V1000" s="2" t="s">
        <v>893</v>
      </c>
      <c r="W1000" s="2" t="s">
        <v>451</v>
      </c>
      <c r="X1000" s="2" t="s">
        <v>233</v>
      </c>
      <c r="Y1000" s="2" t="s">
        <v>5062</v>
      </c>
      <c r="Z1000" s="4">
        <v>7</v>
      </c>
      <c r="AA1000" s="4">
        <f>=ROUNDDOWN(7.77777777777778,0)</f>
      </c>
      <c r="AB1000" s="5">
        <v>0.9</v>
      </c>
      <c r="AC1000" s="2" t="s">
        <v>233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233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>
        <v>3</v>
      </c>
      <c r="BK1000" s="8">
        <v>783.63</v>
      </c>
      <c r="BL1000" s="2" t="s">
        <v>5063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5064</v>
      </c>
      <c r="BV1000" s="2" t="s">
        <v>233</v>
      </c>
      <c r="BW1000" s="2" t="s">
        <v>233</v>
      </c>
      <c r="BX1000" s="2" t="s">
        <v>233</v>
      </c>
      <c r="BY1000" s="2" t="s">
        <v>280</v>
      </c>
      <c r="BZ1000" s="2" t="s">
        <v>245</v>
      </c>
      <c r="CA1000" s="2" t="s">
        <v>5065</v>
      </c>
      <c r="CB1000" s="2" t="s">
        <v>1668</v>
      </c>
      <c r="CC1000" s="2" t="s">
        <v>246</v>
      </c>
      <c r="CD1000" s="2" t="s">
        <v>233</v>
      </c>
      <c r="CE1000" s="4"/>
      <c r="CF1000" s="4">
        <v>7</v>
      </c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</row>
    <row r="1001">
      <c r="A1001" s="2" t="s">
        <v>5066</v>
      </c>
      <c r="B1001" s="2" t="s">
        <v>1242</v>
      </c>
      <c r="C1001" s="2" t="s">
        <v>1607</v>
      </c>
      <c r="D1001" s="2" t="s">
        <v>912</v>
      </c>
      <c r="E1001" s="2" t="s">
        <v>913</v>
      </c>
      <c r="F1001" s="2" t="s">
        <v>5067</v>
      </c>
      <c r="G1001" s="2" t="s">
        <v>5067</v>
      </c>
      <c r="H1001" s="2" t="s">
        <v>5067</v>
      </c>
      <c r="I1001" s="2" t="s">
        <v>1609</v>
      </c>
      <c r="J1001" s="2" t="s">
        <v>981</v>
      </c>
      <c r="K1001" s="2" t="s">
        <v>5068</v>
      </c>
      <c r="L1001" s="3">
        <v>68.09</v>
      </c>
      <c r="M1001" s="3">
        <v>71.49</v>
      </c>
      <c r="N1001" s="3">
        <v>199.99</v>
      </c>
      <c r="O1001" s="2" t="s">
        <v>245</v>
      </c>
      <c r="P1001" s="2" t="s">
        <v>311</v>
      </c>
      <c r="Q1001" s="2" t="s">
        <v>239</v>
      </c>
      <c r="R1001" s="2" t="s">
        <v>233</v>
      </c>
      <c r="S1001" s="2" t="s">
        <v>233</v>
      </c>
      <c r="T1001" s="2" t="s">
        <v>341</v>
      </c>
      <c r="U1001" s="2" t="s">
        <v>233</v>
      </c>
      <c r="V1001" s="2" t="s">
        <v>241</v>
      </c>
      <c r="W1001" s="2" t="s">
        <v>275</v>
      </c>
      <c r="X1001" s="2" t="s">
        <v>233</v>
      </c>
      <c r="Y1001" s="2" t="s">
        <v>5069</v>
      </c>
      <c r="Z1001" s="4">
        <v>269</v>
      </c>
      <c r="AA1001" s="4">
        <f>=ROUNDDOWN(269,0)</f>
      </c>
      <c r="AB1001" s="5">
        <v>1</v>
      </c>
      <c r="AC1001" s="2" t="s">
        <v>233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233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233</v>
      </c>
      <c r="AW1001" s="8" t="s">
        <v>233</v>
      </c>
      <c r="AX1001" s="4" t="s">
        <v>233</v>
      </c>
      <c r="AY1001" s="8" t="s">
        <v>233</v>
      </c>
      <c r="AZ1001" s="7" t="s">
        <v>233</v>
      </c>
      <c r="BA1001" s="7" t="s">
        <v>233</v>
      </c>
      <c r="BB1001" s="7"/>
      <c r="BC1001" s="4" t="s">
        <v>233</v>
      </c>
      <c r="BD1001" s="8" t="s">
        <v>233</v>
      </c>
      <c r="BE1001" s="4" t="s">
        <v>233</v>
      </c>
      <c r="BF1001" s="8" t="s">
        <v>233</v>
      </c>
      <c r="BG1001" s="7" t="s">
        <v>233</v>
      </c>
      <c r="BH1001" s="7" t="s">
        <v>233</v>
      </c>
      <c r="BI1001" s="7"/>
      <c r="BJ1001" s="4">
        <v>3</v>
      </c>
      <c r="BK1001" s="8">
        <v>237.63</v>
      </c>
      <c r="BL1001" s="2" t="s">
        <v>5070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5071</v>
      </c>
      <c r="BV1001" s="2" t="s">
        <v>233</v>
      </c>
      <c r="BW1001" s="2" t="s">
        <v>233</v>
      </c>
      <c r="BX1001" s="2" t="s">
        <v>233</v>
      </c>
      <c r="BY1001" s="2" t="s">
        <v>280</v>
      </c>
      <c r="BZ1001" s="2" t="s">
        <v>245</v>
      </c>
      <c r="CA1001" s="2" t="s">
        <v>1613</v>
      </c>
      <c r="CB1001" s="2" t="s">
        <v>761</v>
      </c>
      <c r="CC1001" s="2" t="s">
        <v>246</v>
      </c>
      <c r="CD1001" s="2" t="s">
        <v>233</v>
      </c>
      <c r="CE1001" s="4">
        <v>269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</row>
    <row r="1002">
      <c r="A1002" s="2" t="s">
        <v>5072</v>
      </c>
      <c r="B1002" s="2" t="s">
        <v>1242</v>
      </c>
      <c r="C1002" s="2" t="s">
        <v>1607</v>
      </c>
      <c r="D1002" s="2" t="s">
        <v>912</v>
      </c>
      <c r="E1002" s="2" t="s">
        <v>913</v>
      </c>
      <c r="F1002" s="2" t="s">
        <v>5067</v>
      </c>
      <c r="G1002" s="2" t="s">
        <v>5067</v>
      </c>
      <c r="H1002" s="2" t="s">
        <v>5067</v>
      </c>
      <c r="I1002" s="2" t="s">
        <v>1609</v>
      </c>
      <c r="J1002" s="2" t="s">
        <v>1142</v>
      </c>
      <c r="K1002" s="2" t="s">
        <v>5068</v>
      </c>
      <c r="L1002" s="3">
        <v>85.12</v>
      </c>
      <c r="M1002" s="3">
        <v>89.38</v>
      </c>
      <c r="N1002" s="3">
        <v>249.99</v>
      </c>
      <c r="O1002" s="2" t="s">
        <v>245</v>
      </c>
      <c r="P1002" s="2" t="s">
        <v>311</v>
      </c>
      <c r="Q1002" s="2" t="s">
        <v>239</v>
      </c>
      <c r="R1002" s="2" t="s">
        <v>233</v>
      </c>
      <c r="S1002" s="2" t="s">
        <v>233</v>
      </c>
      <c r="T1002" s="2" t="s">
        <v>341</v>
      </c>
      <c r="U1002" s="2" t="s">
        <v>233</v>
      </c>
      <c r="V1002" s="2" t="s">
        <v>241</v>
      </c>
      <c r="W1002" s="2" t="s">
        <v>275</v>
      </c>
      <c r="X1002" s="2" t="s">
        <v>233</v>
      </c>
      <c r="Y1002" s="2" t="s">
        <v>5069</v>
      </c>
      <c r="Z1002" s="4">
        <v>166</v>
      </c>
      <c r="AA1002" s="4">
        <f>=ROUNDDOWN(166,0)</f>
      </c>
      <c r="AB1002" s="5">
        <v>1</v>
      </c>
      <c r="AC1002" s="2" t="s">
        <v>233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233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233</v>
      </c>
      <c r="AW1002" s="8" t="s">
        <v>233</v>
      </c>
      <c r="AX1002" s="4" t="s">
        <v>233</v>
      </c>
      <c r="AY1002" s="8" t="s">
        <v>233</v>
      </c>
      <c r="AZ1002" s="7" t="s">
        <v>233</v>
      </c>
      <c r="BA1002" s="7" t="s">
        <v>233</v>
      </c>
      <c r="BB1002" s="7"/>
      <c r="BC1002" s="4" t="s">
        <v>233</v>
      </c>
      <c r="BD1002" s="8" t="s">
        <v>233</v>
      </c>
      <c r="BE1002" s="4" t="s">
        <v>233</v>
      </c>
      <c r="BF1002" s="8" t="s">
        <v>233</v>
      </c>
      <c r="BG1002" s="7" t="s">
        <v>233</v>
      </c>
      <c r="BH1002" s="7" t="s">
        <v>233</v>
      </c>
      <c r="BI1002" s="7"/>
      <c r="BJ1002" s="4">
        <v>2</v>
      </c>
      <c r="BK1002" s="8">
        <v>203.22</v>
      </c>
      <c r="BL1002" s="2" t="s">
        <v>2246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5073</v>
      </c>
      <c r="BV1002" s="2" t="s">
        <v>233</v>
      </c>
      <c r="BW1002" s="2" t="s">
        <v>233</v>
      </c>
      <c r="BX1002" s="2" t="s">
        <v>233</v>
      </c>
      <c r="BY1002" s="2" t="s">
        <v>280</v>
      </c>
      <c r="BZ1002" s="2" t="s">
        <v>245</v>
      </c>
      <c r="CA1002" s="2" t="s">
        <v>1613</v>
      </c>
      <c r="CB1002" s="2" t="s">
        <v>5074</v>
      </c>
      <c r="CC1002" s="2" t="s">
        <v>246</v>
      </c>
      <c r="CD1002" s="2" t="s">
        <v>233</v>
      </c>
      <c r="CE1002" s="4">
        <v>166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</row>
    <row r="1003">
      <c r="A1003" s="2" t="s">
        <v>5075</v>
      </c>
      <c r="B1003" s="2" t="s">
        <v>886</v>
      </c>
      <c r="C1003" s="2" t="s">
        <v>887</v>
      </c>
      <c r="D1003" s="2" t="s">
        <v>1122</v>
      </c>
      <c r="E1003" s="2" t="s">
        <v>1123</v>
      </c>
      <c r="F1003" s="2" t="s">
        <v>5076</v>
      </c>
      <c r="G1003" s="2" t="s">
        <v>5076</v>
      </c>
      <c r="H1003" s="2" t="s">
        <v>5076</v>
      </c>
      <c r="I1003" s="2" t="s">
        <v>5077</v>
      </c>
      <c r="J1003" s="2" t="s">
        <v>892</v>
      </c>
      <c r="K1003" s="2" t="s">
        <v>5078</v>
      </c>
      <c r="L1003" s="3">
        <v>39.9</v>
      </c>
      <c r="M1003" s="3">
        <v>41.9</v>
      </c>
      <c r="N1003" s="3">
        <v>84.99</v>
      </c>
      <c r="O1003" s="2" t="s">
        <v>245</v>
      </c>
      <c r="P1003" s="2" t="s">
        <v>311</v>
      </c>
      <c r="Q1003" s="2" t="s">
        <v>239</v>
      </c>
      <c r="R1003" s="2" t="s">
        <v>233</v>
      </c>
      <c r="S1003" s="2" t="s">
        <v>233</v>
      </c>
      <c r="T1003" s="2" t="s">
        <v>233</v>
      </c>
      <c r="U1003" s="2" t="s">
        <v>396</v>
      </c>
      <c r="V1003" s="2" t="s">
        <v>893</v>
      </c>
      <c r="W1003" s="2" t="s">
        <v>977</v>
      </c>
      <c r="X1003" s="2" t="s">
        <v>233</v>
      </c>
      <c r="Y1003" s="2" t="s">
        <v>2256</v>
      </c>
      <c r="Z1003" s="4">
        <v>165</v>
      </c>
      <c r="AA1003" s="4">
        <f>=ROUNDDOWN(82.5,0)</f>
      </c>
      <c r="AB1003" s="5">
        <v>2</v>
      </c>
      <c r="AC1003" s="2" t="s">
        <v>233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233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/>
      <c r="BD1003" s="8"/>
      <c r="BE1003" s="4"/>
      <c r="BF1003" s="8"/>
      <c r="BG1003" s="7"/>
      <c r="BH1003" s="7"/>
      <c r="BI1003" s="7"/>
      <c r="BJ1003" s="4"/>
      <c r="BK1003" s="8"/>
      <c r="BL1003" s="2" t="s">
        <v>233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5079</v>
      </c>
      <c r="BV1003" s="2" t="s">
        <v>233</v>
      </c>
      <c r="BW1003" s="2" t="s">
        <v>233</v>
      </c>
      <c r="BX1003" s="2" t="s">
        <v>233</v>
      </c>
      <c r="BY1003" s="2" t="s">
        <v>280</v>
      </c>
      <c r="BZ1003" s="2" t="s">
        <v>245</v>
      </c>
      <c r="CA1003" s="2" t="s">
        <v>2259</v>
      </c>
      <c r="CB1003" s="2" t="s">
        <v>233</v>
      </c>
      <c r="CC1003" s="2" t="s">
        <v>246</v>
      </c>
      <c r="CD1003" s="2" t="s">
        <v>233</v>
      </c>
      <c r="CE1003" s="4"/>
      <c r="CF1003" s="4">
        <v>165</v>
      </c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</row>
    <row r="1004">
      <c r="A1004" s="2" t="s">
        <v>5080</v>
      </c>
      <c r="B1004" s="2" t="s">
        <v>1066</v>
      </c>
      <c r="C1004" s="2" t="s">
        <v>530</v>
      </c>
      <c r="D1004" s="2" t="s">
        <v>1923</v>
      </c>
      <c r="E1004" s="2" t="s">
        <v>1924</v>
      </c>
      <c r="F1004" s="2" t="s">
        <v>5081</v>
      </c>
      <c r="G1004" s="2" t="s">
        <v>5082</v>
      </c>
      <c r="H1004" s="2" t="s">
        <v>5083</v>
      </c>
      <c r="I1004" s="2" t="s">
        <v>3449</v>
      </c>
      <c r="J1004" s="2" t="s">
        <v>892</v>
      </c>
      <c r="K1004" s="2" t="s">
        <v>1191</v>
      </c>
      <c r="L1004" s="3">
        <v>232.97</v>
      </c>
      <c r="M1004" s="3">
        <v>244.62</v>
      </c>
      <c r="N1004" s="3">
        <v>499</v>
      </c>
      <c r="O1004" s="2" t="s">
        <v>245</v>
      </c>
      <c r="P1004" s="2" t="s">
        <v>272</v>
      </c>
      <c r="Q1004" s="2" t="s">
        <v>239</v>
      </c>
      <c r="R1004" s="2" t="s">
        <v>233</v>
      </c>
      <c r="S1004" s="2" t="s">
        <v>233</v>
      </c>
      <c r="T1004" s="2" t="s">
        <v>233</v>
      </c>
      <c r="U1004" s="2" t="s">
        <v>491</v>
      </c>
      <c r="V1004" s="2" t="s">
        <v>241</v>
      </c>
      <c r="W1004" s="2" t="s">
        <v>397</v>
      </c>
      <c r="X1004" s="2" t="s">
        <v>233</v>
      </c>
      <c r="Y1004" s="2" t="s">
        <v>1097</v>
      </c>
      <c r="Z1004" s="4">
        <v>69</v>
      </c>
      <c r="AA1004" s="4">
        <f>=ROUNDDOWN(11.5,0)</f>
      </c>
      <c r="AB1004" s="5">
        <v>6</v>
      </c>
      <c r="AC1004" s="2" t="s">
        <v>5084</v>
      </c>
      <c r="AD1004" s="4">
        <v>100</v>
      </c>
      <c r="AE1004" s="4">
        <v>100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233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>
        <v>18</v>
      </c>
      <c r="BK1004" s="8">
        <v>3734.87</v>
      </c>
      <c r="BL1004" s="2" t="s">
        <v>5085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5086</v>
      </c>
      <c r="BV1004" s="2" t="s">
        <v>233</v>
      </c>
      <c r="BW1004" s="2" t="s">
        <v>233</v>
      </c>
      <c r="BX1004" s="2" t="s">
        <v>233</v>
      </c>
      <c r="BY1004" s="2" t="s">
        <v>280</v>
      </c>
      <c r="BZ1004" s="2" t="s">
        <v>245</v>
      </c>
      <c r="CA1004" s="2" t="s">
        <v>1097</v>
      </c>
      <c r="CB1004" s="2" t="s">
        <v>5087</v>
      </c>
      <c r="CC1004" s="2" t="s">
        <v>246</v>
      </c>
      <c r="CD1004" s="2" t="s">
        <v>233</v>
      </c>
      <c r="CE1004" s="4"/>
      <c r="CF1004" s="4">
        <v>69</v>
      </c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>
        <v>100</v>
      </c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</row>
    <row r="1005">
      <c r="A1005" s="2" t="s">
        <v>5088</v>
      </c>
      <c r="B1005" s="2" t="s">
        <v>886</v>
      </c>
      <c r="C1005" s="2" t="s">
        <v>901</v>
      </c>
      <c r="D1005" s="2" t="s">
        <v>888</v>
      </c>
      <c r="E1005" s="2" t="s">
        <v>889</v>
      </c>
      <c r="F1005" s="2" t="s">
        <v>5089</v>
      </c>
      <c r="G1005" s="2" t="s">
        <v>5089</v>
      </c>
      <c r="H1005" s="2" t="s">
        <v>5089</v>
      </c>
      <c r="I1005" s="2" t="s">
        <v>5090</v>
      </c>
      <c r="J1005" s="2" t="s">
        <v>892</v>
      </c>
      <c r="K1005" s="2" t="s">
        <v>5091</v>
      </c>
      <c r="L1005" s="3">
        <v>88.78</v>
      </c>
      <c r="M1005" s="3">
        <v>93.22</v>
      </c>
      <c r="N1005" s="3">
        <v>199</v>
      </c>
      <c r="O1005" s="2" t="s">
        <v>245</v>
      </c>
      <c r="P1005" s="2" t="s">
        <v>311</v>
      </c>
      <c r="Q1005" s="2" t="s">
        <v>239</v>
      </c>
      <c r="R1005" s="2" t="s">
        <v>233</v>
      </c>
      <c r="S1005" s="2" t="s">
        <v>233</v>
      </c>
      <c r="T1005" s="2" t="s">
        <v>233</v>
      </c>
      <c r="U1005" s="2" t="s">
        <v>396</v>
      </c>
      <c r="V1005" s="2" t="s">
        <v>893</v>
      </c>
      <c r="W1005" s="2" t="s">
        <v>397</v>
      </c>
      <c r="X1005" s="2" t="s">
        <v>5092</v>
      </c>
      <c r="Y1005" s="2" t="s">
        <v>2012</v>
      </c>
      <c r="Z1005" s="4">
        <v>88</v>
      </c>
      <c r="AA1005" s="4">
        <f>=ROUNDDOWN({0},0)</f>
      </c>
      <c r="AB1005" s="5"/>
      <c r="AC1005" s="2" t="s">
        <v>233</v>
      </c>
      <c r="AD1005" s="4"/>
      <c r="AE1005" s="4"/>
      <c r="AF1005" s="6">
        <v>63</v>
      </c>
      <c r="AG1005" s="6"/>
      <c r="AH1005" s="7">
        <v>1</v>
      </c>
      <c r="AI1005" s="4"/>
      <c r="AJ1005" s="4">
        <f>=ROUNDDOWN({0},0)</f>
      </c>
      <c r="AK1005" s="5"/>
      <c r="AL1005" s="2" t="s">
        <v>233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/>
      <c r="BK1005" s="8"/>
      <c r="BL1005" s="2" t="s">
        <v>1028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5093</v>
      </c>
      <c r="BV1005" s="2" t="s">
        <v>233</v>
      </c>
      <c r="BW1005" s="2" t="s">
        <v>233</v>
      </c>
      <c r="BX1005" s="2" t="s">
        <v>233</v>
      </c>
      <c r="BY1005" s="2" t="s">
        <v>280</v>
      </c>
      <c r="BZ1005" s="2" t="s">
        <v>245</v>
      </c>
      <c r="CA1005" s="2" t="s">
        <v>3375</v>
      </c>
      <c r="CB1005" s="2" t="s">
        <v>1962</v>
      </c>
      <c r="CC1005" s="2" t="s">
        <v>246</v>
      </c>
      <c r="CD1005" s="2" t="s">
        <v>233</v>
      </c>
      <c r="CE1005" s="4"/>
      <c r="CF1005" s="4">
        <v>88</v>
      </c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</row>
    <row r="1006">
      <c r="A1006" s="2" t="s">
        <v>5094</v>
      </c>
      <c r="B1006" s="2" t="s">
        <v>333</v>
      </c>
      <c r="C1006" s="2" t="s">
        <v>530</v>
      </c>
      <c r="D1006" s="2" t="s">
        <v>335</v>
      </c>
      <c r="E1006" s="2" t="s">
        <v>336</v>
      </c>
      <c r="F1006" s="2" t="s">
        <v>5095</v>
      </c>
      <c r="G1006" s="2" t="s">
        <v>5095</v>
      </c>
      <c r="H1006" s="2" t="s">
        <v>5095</v>
      </c>
      <c r="I1006" s="2" t="s">
        <v>5096</v>
      </c>
      <c r="J1006" s="2" t="s">
        <v>290</v>
      </c>
      <c r="K1006" s="2" t="s">
        <v>5097</v>
      </c>
      <c r="L1006" s="3">
        <v>13.56</v>
      </c>
      <c r="M1006" s="3">
        <v>14.24</v>
      </c>
      <c r="N1006" s="3">
        <v>32.99</v>
      </c>
      <c r="O1006" s="2" t="s">
        <v>245</v>
      </c>
      <c r="P1006" s="2" t="s">
        <v>311</v>
      </c>
      <c r="Q1006" s="2" t="s">
        <v>239</v>
      </c>
      <c r="R1006" s="2" t="s">
        <v>233</v>
      </c>
      <c r="S1006" s="2" t="s">
        <v>5098</v>
      </c>
      <c r="T1006" s="2" t="s">
        <v>395</v>
      </c>
      <c r="U1006" s="2" t="s">
        <v>342</v>
      </c>
      <c r="V1006" s="2" t="s">
        <v>5099</v>
      </c>
      <c r="W1006" s="2" t="s">
        <v>275</v>
      </c>
      <c r="X1006" s="2" t="s">
        <v>233</v>
      </c>
      <c r="Y1006" s="2" t="s">
        <v>5100</v>
      </c>
      <c r="Z1006" s="4">
        <v>89</v>
      </c>
      <c r="AA1006" s="4">
        <f>=ROUNDDOWN(80.9090909090909,0)</f>
      </c>
      <c r="AB1006" s="5">
        <v>1.1</v>
      </c>
      <c r="AC1006" s="2" t="s">
        <v>233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233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233</v>
      </c>
      <c r="AW1006" s="8" t="s">
        <v>233</v>
      </c>
      <c r="AX1006" s="4" t="s">
        <v>233</v>
      </c>
      <c r="AY1006" s="8" t="s">
        <v>233</v>
      </c>
      <c r="AZ1006" s="7" t="s">
        <v>233</v>
      </c>
      <c r="BA1006" s="7" t="s">
        <v>233</v>
      </c>
      <c r="BB1006" s="7"/>
      <c r="BC1006" s="4" t="s">
        <v>233</v>
      </c>
      <c r="BD1006" s="8" t="s">
        <v>233</v>
      </c>
      <c r="BE1006" s="4" t="s">
        <v>233</v>
      </c>
      <c r="BF1006" s="8" t="s">
        <v>233</v>
      </c>
      <c r="BG1006" s="7" t="s">
        <v>233</v>
      </c>
      <c r="BH1006" s="7" t="s">
        <v>233</v>
      </c>
      <c r="BI1006" s="7"/>
      <c r="BJ1006" s="4">
        <v>6</v>
      </c>
      <c r="BK1006" s="8">
        <v>89.7</v>
      </c>
      <c r="BL1006" s="2" t="s">
        <v>3380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5101</v>
      </c>
      <c r="BV1006" s="2" t="s">
        <v>233</v>
      </c>
      <c r="BW1006" s="2" t="s">
        <v>233</v>
      </c>
      <c r="BX1006" s="2" t="s">
        <v>233</v>
      </c>
      <c r="BY1006" s="2" t="s">
        <v>280</v>
      </c>
      <c r="BZ1006" s="2" t="s">
        <v>245</v>
      </c>
      <c r="CA1006" s="2" t="s">
        <v>2739</v>
      </c>
      <c r="CB1006" s="2" t="s">
        <v>5102</v>
      </c>
      <c r="CC1006" s="2" t="s">
        <v>246</v>
      </c>
      <c r="CD1006" s="2" t="s">
        <v>233</v>
      </c>
      <c r="CE1006" s="4">
        <v>89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</row>
    <row r="1007">
      <c r="A1007" s="2" t="s">
        <v>5103</v>
      </c>
      <c r="B1007" s="2" t="s">
        <v>333</v>
      </c>
      <c r="C1007" s="2" t="s">
        <v>530</v>
      </c>
      <c r="D1007" s="2" t="s">
        <v>335</v>
      </c>
      <c r="E1007" s="2" t="s">
        <v>336</v>
      </c>
      <c r="F1007" s="2" t="s">
        <v>5095</v>
      </c>
      <c r="G1007" s="2" t="s">
        <v>5095</v>
      </c>
      <c r="H1007" s="2" t="s">
        <v>5095</v>
      </c>
      <c r="I1007" s="2" t="s">
        <v>5096</v>
      </c>
      <c r="J1007" s="2" t="s">
        <v>348</v>
      </c>
      <c r="K1007" s="2" t="s">
        <v>5097</v>
      </c>
      <c r="L1007" s="3">
        <v>14.92</v>
      </c>
      <c r="M1007" s="3">
        <v>15.67</v>
      </c>
      <c r="N1007" s="3">
        <v>34.99</v>
      </c>
      <c r="O1007" s="2" t="s">
        <v>245</v>
      </c>
      <c r="P1007" s="2" t="s">
        <v>311</v>
      </c>
      <c r="Q1007" s="2" t="s">
        <v>239</v>
      </c>
      <c r="R1007" s="2" t="s">
        <v>233</v>
      </c>
      <c r="S1007" s="2" t="s">
        <v>5098</v>
      </c>
      <c r="T1007" s="2" t="s">
        <v>395</v>
      </c>
      <c r="U1007" s="2" t="s">
        <v>342</v>
      </c>
      <c r="V1007" s="2" t="s">
        <v>5099</v>
      </c>
      <c r="W1007" s="2" t="s">
        <v>275</v>
      </c>
      <c r="X1007" s="2" t="s">
        <v>233</v>
      </c>
      <c r="Y1007" s="2" t="s">
        <v>5100</v>
      </c>
      <c r="Z1007" s="4">
        <v>104</v>
      </c>
      <c r="AA1007" s="4">
        <f>=ROUNDDOWN(12.2352941176471,0)</f>
      </c>
      <c r="AB1007" s="5">
        <v>8.5</v>
      </c>
      <c r="AC1007" s="2" t="s">
        <v>233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233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233</v>
      </c>
      <c r="AW1007" s="8" t="s">
        <v>233</v>
      </c>
      <c r="AX1007" s="4" t="s">
        <v>233</v>
      </c>
      <c r="AY1007" s="8" t="s">
        <v>233</v>
      </c>
      <c r="AZ1007" s="7" t="s">
        <v>233</v>
      </c>
      <c r="BA1007" s="7" t="s">
        <v>233</v>
      </c>
      <c r="BB1007" s="7"/>
      <c r="BC1007" s="4" t="s">
        <v>233</v>
      </c>
      <c r="BD1007" s="8" t="s">
        <v>233</v>
      </c>
      <c r="BE1007" s="4" t="s">
        <v>233</v>
      </c>
      <c r="BF1007" s="8" t="s">
        <v>233</v>
      </c>
      <c r="BG1007" s="7" t="s">
        <v>233</v>
      </c>
      <c r="BH1007" s="7" t="s">
        <v>233</v>
      </c>
      <c r="BI1007" s="7"/>
      <c r="BJ1007" s="4">
        <v>31</v>
      </c>
      <c r="BK1007" s="8">
        <v>535.1</v>
      </c>
      <c r="BL1007" s="2" t="s">
        <v>5104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5105</v>
      </c>
      <c r="BV1007" s="2" t="s">
        <v>233</v>
      </c>
      <c r="BW1007" s="2" t="s">
        <v>233</v>
      </c>
      <c r="BX1007" s="2" t="s">
        <v>233</v>
      </c>
      <c r="BY1007" s="2" t="s">
        <v>280</v>
      </c>
      <c r="BZ1007" s="2" t="s">
        <v>245</v>
      </c>
      <c r="CA1007" s="2" t="s">
        <v>2739</v>
      </c>
      <c r="CB1007" s="2" t="s">
        <v>2406</v>
      </c>
      <c r="CC1007" s="2" t="s">
        <v>246</v>
      </c>
      <c r="CD1007" s="2" t="s">
        <v>233</v>
      </c>
      <c r="CE1007" s="4">
        <v>104</v>
      </c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</row>
    <row r="1008">
      <c r="A1008" s="2" t="s">
        <v>5106</v>
      </c>
      <c r="B1008" s="2" t="s">
        <v>333</v>
      </c>
      <c r="C1008" s="2" t="s">
        <v>530</v>
      </c>
      <c r="D1008" s="2" t="s">
        <v>335</v>
      </c>
      <c r="E1008" s="2" t="s">
        <v>336</v>
      </c>
      <c r="F1008" s="2" t="s">
        <v>5095</v>
      </c>
      <c r="G1008" s="2" t="s">
        <v>5095</v>
      </c>
      <c r="H1008" s="2" t="s">
        <v>5095</v>
      </c>
      <c r="I1008" s="2" t="s">
        <v>5096</v>
      </c>
      <c r="J1008" s="2" t="s">
        <v>290</v>
      </c>
      <c r="K1008" s="2" t="s">
        <v>5107</v>
      </c>
      <c r="L1008" s="3">
        <v>13.56</v>
      </c>
      <c r="M1008" s="3">
        <v>14.24</v>
      </c>
      <c r="N1008" s="3">
        <v>32.99</v>
      </c>
      <c r="O1008" s="2" t="s">
        <v>245</v>
      </c>
      <c r="P1008" s="2" t="s">
        <v>311</v>
      </c>
      <c r="Q1008" s="2" t="s">
        <v>239</v>
      </c>
      <c r="R1008" s="2" t="s">
        <v>233</v>
      </c>
      <c r="S1008" s="2" t="s">
        <v>5108</v>
      </c>
      <c r="T1008" s="2" t="s">
        <v>395</v>
      </c>
      <c r="U1008" s="2" t="s">
        <v>342</v>
      </c>
      <c r="V1008" s="2" t="s">
        <v>5099</v>
      </c>
      <c r="W1008" s="2" t="s">
        <v>275</v>
      </c>
      <c r="X1008" s="2" t="s">
        <v>233</v>
      </c>
      <c r="Y1008" s="2" t="s">
        <v>5100</v>
      </c>
      <c r="Z1008" s="4">
        <v>106</v>
      </c>
      <c r="AA1008" s="4">
        <f>=ROUNDDOWN(53,0)</f>
      </c>
      <c r="AB1008" s="5">
        <v>2</v>
      </c>
      <c r="AC1008" s="2" t="s">
        <v>233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233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233</v>
      </c>
      <c r="AW1008" s="8" t="s">
        <v>233</v>
      </c>
      <c r="AX1008" s="4" t="s">
        <v>233</v>
      </c>
      <c r="AY1008" s="8" t="s">
        <v>233</v>
      </c>
      <c r="AZ1008" s="7" t="s">
        <v>233</v>
      </c>
      <c r="BA1008" s="7" t="s">
        <v>233</v>
      </c>
      <c r="BB1008" s="7"/>
      <c r="BC1008" s="4" t="s">
        <v>233</v>
      </c>
      <c r="BD1008" s="8" t="s">
        <v>233</v>
      </c>
      <c r="BE1008" s="4" t="s">
        <v>233</v>
      </c>
      <c r="BF1008" s="8" t="s">
        <v>233</v>
      </c>
      <c r="BG1008" s="7" t="s">
        <v>233</v>
      </c>
      <c r="BH1008" s="7" t="s">
        <v>233</v>
      </c>
      <c r="BI1008" s="7"/>
      <c r="BJ1008" s="4">
        <v>5</v>
      </c>
      <c r="BK1008" s="8">
        <v>75.82</v>
      </c>
      <c r="BL1008" s="2" t="s">
        <v>5109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5110</v>
      </c>
      <c r="BV1008" s="2" t="s">
        <v>233</v>
      </c>
      <c r="BW1008" s="2" t="s">
        <v>233</v>
      </c>
      <c r="BX1008" s="2" t="s">
        <v>233</v>
      </c>
      <c r="BY1008" s="2" t="s">
        <v>280</v>
      </c>
      <c r="BZ1008" s="2" t="s">
        <v>245</v>
      </c>
      <c r="CA1008" s="2" t="s">
        <v>2739</v>
      </c>
      <c r="CB1008" s="2" t="s">
        <v>485</v>
      </c>
      <c r="CC1008" s="2" t="s">
        <v>246</v>
      </c>
      <c r="CD1008" s="2" t="s">
        <v>233</v>
      </c>
      <c r="CE1008" s="4">
        <v>106</v>
      </c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</row>
    <row r="1009">
      <c r="A1009" s="2" t="s">
        <v>5111</v>
      </c>
      <c r="B1009" s="2" t="s">
        <v>333</v>
      </c>
      <c r="C1009" s="2" t="s">
        <v>530</v>
      </c>
      <c r="D1009" s="2" t="s">
        <v>335</v>
      </c>
      <c r="E1009" s="2" t="s">
        <v>336</v>
      </c>
      <c r="F1009" s="2" t="s">
        <v>5095</v>
      </c>
      <c r="G1009" s="2" t="s">
        <v>5095</v>
      </c>
      <c r="H1009" s="2" t="s">
        <v>5095</v>
      </c>
      <c r="I1009" s="2" t="s">
        <v>5096</v>
      </c>
      <c r="J1009" s="2" t="s">
        <v>348</v>
      </c>
      <c r="K1009" s="2" t="s">
        <v>5107</v>
      </c>
      <c r="L1009" s="3">
        <v>14.92</v>
      </c>
      <c r="M1009" s="3">
        <v>15.67</v>
      </c>
      <c r="N1009" s="3">
        <v>34.99</v>
      </c>
      <c r="O1009" s="2" t="s">
        <v>245</v>
      </c>
      <c r="P1009" s="2" t="s">
        <v>311</v>
      </c>
      <c r="Q1009" s="2" t="s">
        <v>239</v>
      </c>
      <c r="R1009" s="2" t="s">
        <v>233</v>
      </c>
      <c r="S1009" s="2" t="s">
        <v>5108</v>
      </c>
      <c r="T1009" s="2" t="s">
        <v>395</v>
      </c>
      <c r="U1009" s="2" t="s">
        <v>342</v>
      </c>
      <c r="V1009" s="2" t="s">
        <v>5099</v>
      </c>
      <c r="W1009" s="2" t="s">
        <v>275</v>
      </c>
      <c r="X1009" s="2" t="s">
        <v>233</v>
      </c>
      <c r="Y1009" s="2" t="s">
        <v>5100</v>
      </c>
      <c r="Z1009" s="4">
        <v>118</v>
      </c>
      <c r="AA1009" s="4">
        <f>=ROUNDDOWN(17.3529411764706,0)</f>
      </c>
      <c r="AB1009" s="5">
        <v>6.8</v>
      </c>
      <c r="AC1009" s="2" t="s">
        <v>233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233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233</v>
      </c>
      <c r="AW1009" s="8" t="s">
        <v>233</v>
      </c>
      <c r="AX1009" s="4" t="s">
        <v>233</v>
      </c>
      <c r="AY1009" s="8" t="s">
        <v>233</v>
      </c>
      <c r="AZ1009" s="7" t="s">
        <v>233</v>
      </c>
      <c r="BA1009" s="7" t="s">
        <v>233</v>
      </c>
      <c r="BB1009" s="7"/>
      <c r="BC1009" s="4" t="s">
        <v>233</v>
      </c>
      <c r="BD1009" s="8" t="s">
        <v>233</v>
      </c>
      <c r="BE1009" s="4" t="s">
        <v>233</v>
      </c>
      <c r="BF1009" s="8" t="s">
        <v>233</v>
      </c>
      <c r="BG1009" s="7" t="s">
        <v>233</v>
      </c>
      <c r="BH1009" s="7" t="s">
        <v>233</v>
      </c>
      <c r="BI1009" s="7"/>
      <c r="BJ1009" s="4">
        <v>28</v>
      </c>
      <c r="BK1009" s="8">
        <v>470.77</v>
      </c>
      <c r="BL1009" s="2" t="s">
        <v>5112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5113</v>
      </c>
      <c r="BV1009" s="2" t="s">
        <v>233</v>
      </c>
      <c r="BW1009" s="2" t="s">
        <v>233</v>
      </c>
      <c r="BX1009" s="2" t="s">
        <v>233</v>
      </c>
      <c r="BY1009" s="2" t="s">
        <v>280</v>
      </c>
      <c r="BZ1009" s="2" t="s">
        <v>245</v>
      </c>
      <c r="CA1009" s="2" t="s">
        <v>2739</v>
      </c>
      <c r="CB1009" s="2" t="s">
        <v>3892</v>
      </c>
      <c r="CC1009" s="2" t="s">
        <v>246</v>
      </c>
      <c r="CD1009" s="2" t="s">
        <v>233</v>
      </c>
      <c r="CE1009" s="4">
        <v>118</v>
      </c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</row>
    <row r="1010">
      <c r="A1010" s="2" t="s">
        <v>5114</v>
      </c>
      <c r="B1010" s="2" t="s">
        <v>333</v>
      </c>
      <c r="C1010" s="2" t="s">
        <v>530</v>
      </c>
      <c r="D1010" s="2" t="s">
        <v>335</v>
      </c>
      <c r="E1010" s="2" t="s">
        <v>336</v>
      </c>
      <c r="F1010" s="2" t="s">
        <v>5095</v>
      </c>
      <c r="G1010" s="2" t="s">
        <v>5095</v>
      </c>
      <c r="H1010" s="2" t="s">
        <v>5095</v>
      </c>
      <c r="I1010" s="2" t="s">
        <v>5096</v>
      </c>
      <c r="J1010" s="2" t="s">
        <v>290</v>
      </c>
      <c r="K1010" s="2" t="s">
        <v>5115</v>
      </c>
      <c r="L1010" s="3">
        <v>13.56</v>
      </c>
      <c r="M1010" s="3">
        <v>14.24</v>
      </c>
      <c r="N1010" s="3">
        <v>32.99</v>
      </c>
      <c r="O1010" s="2" t="s">
        <v>245</v>
      </c>
      <c r="P1010" s="2" t="s">
        <v>311</v>
      </c>
      <c r="Q1010" s="2" t="s">
        <v>239</v>
      </c>
      <c r="R1010" s="2" t="s">
        <v>233</v>
      </c>
      <c r="S1010" s="2" t="s">
        <v>5116</v>
      </c>
      <c r="T1010" s="2" t="s">
        <v>395</v>
      </c>
      <c r="U1010" s="2" t="s">
        <v>342</v>
      </c>
      <c r="V1010" s="2" t="s">
        <v>5099</v>
      </c>
      <c r="W1010" s="2" t="s">
        <v>275</v>
      </c>
      <c r="X1010" s="2" t="s">
        <v>233</v>
      </c>
      <c r="Y1010" s="2" t="s">
        <v>5100</v>
      </c>
      <c r="Z1010" s="4">
        <v>140</v>
      </c>
      <c r="AA1010" s="4">
        <f>=ROUNDDOWN(140,0)</f>
      </c>
      <c r="AB1010" s="5">
        <v>1</v>
      </c>
      <c r="AC1010" s="2" t="s">
        <v>233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233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233</v>
      </c>
      <c r="AW1010" s="8" t="s">
        <v>233</v>
      </c>
      <c r="AX1010" s="4" t="s">
        <v>233</v>
      </c>
      <c r="AY1010" s="8" t="s">
        <v>233</v>
      </c>
      <c r="AZ1010" s="7" t="s">
        <v>233</v>
      </c>
      <c r="BA1010" s="7" t="s">
        <v>233</v>
      </c>
      <c r="BB1010" s="7"/>
      <c r="BC1010" s="4" t="s">
        <v>233</v>
      </c>
      <c r="BD1010" s="8" t="s">
        <v>233</v>
      </c>
      <c r="BE1010" s="4" t="s">
        <v>233</v>
      </c>
      <c r="BF1010" s="8" t="s">
        <v>233</v>
      </c>
      <c r="BG1010" s="7" t="s">
        <v>233</v>
      </c>
      <c r="BH1010" s="7" t="s">
        <v>233</v>
      </c>
      <c r="BI1010" s="7"/>
      <c r="BJ1010" s="4">
        <v>4</v>
      </c>
      <c r="BK1010" s="8">
        <v>59.8</v>
      </c>
      <c r="BL1010" s="2" t="s">
        <v>584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5117</v>
      </c>
      <c r="BV1010" s="2" t="s">
        <v>233</v>
      </c>
      <c r="BW1010" s="2" t="s">
        <v>233</v>
      </c>
      <c r="BX1010" s="2" t="s">
        <v>233</v>
      </c>
      <c r="BY1010" s="2" t="s">
        <v>280</v>
      </c>
      <c r="BZ1010" s="2" t="s">
        <v>245</v>
      </c>
      <c r="CA1010" s="2" t="s">
        <v>2739</v>
      </c>
      <c r="CB1010" s="2" t="s">
        <v>5118</v>
      </c>
      <c r="CC1010" s="2" t="s">
        <v>246</v>
      </c>
      <c r="CD1010" s="2" t="s">
        <v>233</v>
      </c>
      <c r="CE1010" s="4">
        <v>140</v>
      </c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</row>
    <row r="1011">
      <c r="A1011" s="2" t="s">
        <v>5119</v>
      </c>
      <c r="B1011" s="2" t="s">
        <v>333</v>
      </c>
      <c r="C1011" s="2" t="s">
        <v>530</v>
      </c>
      <c r="D1011" s="2" t="s">
        <v>335</v>
      </c>
      <c r="E1011" s="2" t="s">
        <v>336</v>
      </c>
      <c r="F1011" s="2" t="s">
        <v>5095</v>
      </c>
      <c r="G1011" s="2" t="s">
        <v>5095</v>
      </c>
      <c r="H1011" s="2" t="s">
        <v>5095</v>
      </c>
      <c r="I1011" s="2" t="s">
        <v>5096</v>
      </c>
      <c r="J1011" s="2" t="s">
        <v>328</v>
      </c>
      <c r="K1011" s="2" t="s">
        <v>5115</v>
      </c>
      <c r="L1011" s="3">
        <v>17.58</v>
      </c>
      <c r="M1011" s="3">
        <v>18.46</v>
      </c>
      <c r="N1011" s="3">
        <v>39.99</v>
      </c>
      <c r="O1011" s="2" t="s">
        <v>245</v>
      </c>
      <c r="P1011" s="2" t="s">
        <v>311</v>
      </c>
      <c r="Q1011" s="2" t="s">
        <v>239</v>
      </c>
      <c r="R1011" s="2" t="s">
        <v>233</v>
      </c>
      <c r="S1011" s="2" t="s">
        <v>5116</v>
      </c>
      <c r="T1011" s="2" t="s">
        <v>395</v>
      </c>
      <c r="U1011" s="2" t="s">
        <v>342</v>
      </c>
      <c r="V1011" s="2" t="s">
        <v>5099</v>
      </c>
      <c r="W1011" s="2" t="s">
        <v>275</v>
      </c>
      <c r="X1011" s="2" t="s">
        <v>233</v>
      </c>
      <c r="Y1011" s="2" t="s">
        <v>5100</v>
      </c>
      <c r="Z1011" s="4">
        <v>90</v>
      </c>
      <c r="AA1011" s="4">
        <f>=ROUNDDOWN(30,0)</f>
      </c>
      <c r="AB1011" s="5">
        <v>3</v>
      </c>
      <c r="AC1011" s="2" t="s">
        <v>233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233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233</v>
      </c>
      <c r="AW1011" s="8" t="s">
        <v>233</v>
      </c>
      <c r="AX1011" s="4" t="s">
        <v>233</v>
      </c>
      <c r="AY1011" s="8" t="s">
        <v>233</v>
      </c>
      <c r="AZ1011" s="7" t="s">
        <v>233</v>
      </c>
      <c r="BA1011" s="7" t="s">
        <v>233</v>
      </c>
      <c r="BB1011" s="7"/>
      <c r="BC1011" s="4" t="s">
        <v>233</v>
      </c>
      <c r="BD1011" s="8" t="s">
        <v>233</v>
      </c>
      <c r="BE1011" s="4" t="s">
        <v>233</v>
      </c>
      <c r="BF1011" s="8" t="s">
        <v>233</v>
      </c>
      <c r="BG1011" s="7" t="s">
        <v>233</v>
      </c>
      <c r="BH1011" s="7" t="s">
        <v>233</v>
      </c>
      <c r="BI1011" s="7"/>
      <c r="BJ1011" s="4">
        <v>14</v>
      </c>
      <c r="BK1011" s="8">
        <v>271.32</v>
      </c>
      <c r="BL1011" s="2" t="s">
        <v>513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5120</v>
      </c>
      <c r="BV1011" s="2" t="s">
        <v>233</v>
      </c>
      <c r="BW1011" s="2" t="s">
        <v>233</v>
      </c>
      <c r="BX1011" s="2" t="s">
        <v>233</v>
      </c>
      <c r="BY1011" s="2" t="s">
        <v>280</v>
      </c>
      <c r="BZ1011" s="2" t="s">
        <v>245</v>
      </c>
      <c r="CA1011" s="2" t="s">
        <v>2739</v>
      </c>
      <c r="CB1011" s="2" t="s">
        <v>3382</v>
      </c>
      <c r="CC1011" s="2" t="s">
        <v>246</v>
      </c>
      <c r="CD1011" s="2" t="s">
        <v>233</v>
      </c>
      <c r="CE1011" s="4">
        <v>90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</row>
    <row r="1012">
      <c r="A1012" s="2" t="s">
        <v>5121</v>
      </c>
      <c r="B1012" s="2" t="s">
        <v>333</v>
      </c>
      <c r="C1012" s="2" t="s">
        <v>530</v>
      </c>
      <c r="D1012" s="2" t="s">
        <v>335</v>
      </c>
      <c r="E1012" s="2" t="s">
        <v>336</v>
      </c>
      <c r="F1012" s="2" t="s">
        <v>5095</v>
      </c>
      <c r="G1012" s="2" t="s">
        <v>5095</v>
      </c>
      <c r="H1012" s="2" t="s">
        <v>5095</v>
      </c>
      <c r="I1012" s="2" t="s">
        <v>5096</v>
      </c>
      <c r="J1012" s="2" t="s">
        <v>348</v>
      </c>
      <c r="K1012" s="2" t="s">
        <v>5122</v>
      </c>
      <c r="L1012" s="3">
        <v>14.92</v>
      </c>
      <c r="M1012" s="3">
        <v>15.67</v>
      </c>
      <c r="N1012" s="3">
        <v>34.99</v>
      </c>
      <c r="O1012" s="2" t="s">
        <v>245</v>
      </c>
      <c r="P1012" s="2" t="s">
        <v>311</v>
      </c>
      <c r="Q1012" s="2" t="s">
        <v>239</v>
      </c>
      <c r="R1012" s="2" t="s">
        <v>233</v>
      </c>
      <c r="S1012" s="2" t="s">
        <v>5123</v>
      </c>
      <c r="T1012" s="2" t="s">
        <v>395</v>
      </c>
      <c r="U1012" s="2" t="s">
        <v>342</v>
      </c>
      <c r="V1012" s="2" t="s">
        <v>5099</v>
      </c>
      <c r="W1012" s="2" t="s">
        <v>275</v>
      </c>
      <c r="X1012" s="2" t="s">
        <v>233</v>
      </c>
      <c r="Y1012" s="2" t="s">
        <v>5100</v>
      </c>
      <c r="Z1012" s="4">
        <v>248</v>
      </c>
      <c r="AA1012" s="4">
        <f>=ROUNDDOWN(82.6666666666667,0)</f>
      </c>
      <c r="AB1012" s="5">
        <v>3</v>
      </c>
      <c r="AC1012" s="2" t="s">
        <v>233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233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233</v>
      </c>
      <c r="AW1012" s="8" t="s">
        <v>233</v>
      </c>
      <c r="AX1012" s="4" t="s">
        <v>233</v>
      </c>
      <c r="AY1012" s="8" t="s">
        <v>233</v>
      </c>
      <c r="AZ1012" s="7" t="s">
        <v>233</v>
      </c>
      <c r="BA1012" s="7" t="s">
        <v>233</v>
      </c>
      <c r="BB1012" s="7"/>
      <c r="BC1012" s="4" t="s">
        <v>233</v>
      </c>
      <c r="BD1012" s="8" t="s">
        <v>233</v>
      </c>
      <c r="BE1012" s="4" t="s">
        <v>233</v>
      </c>
      <c r="BF1012" s="8" t="s">
        <v>233</v>
      </c>
      <c r="BG1012" s="7" t="s">
        <v>233</v>
      </c>
      <c r="BH1012" s="7" t="s">
        <v>233</v>
      </c>
      <c r="BI1012" s="7"/>
      <c r="BJ1012" s="4">
        <v>14</v>
      </c>
      <c r="BK1012" s="8">
        <v>233.84</v>
      </c>
      <c r="BL1012" s="2" t="s">
        <v>5124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5125</v>
      </c>
      <c r="BV1012" s="2" t="s">
        <v>233</v>
      </c>
      <c r="BW1012" s="2" t="s">
        <v>233</v>
      </c>
      <c r="BX1012" s="2" t="s">
        <v>233</v>
      </c>
      <c r="BY1012" s="2" t="s">
        <v>280</v>
      </c>
      <c r="BZ1012" s="2" t="s">
        <v>245</v>
      </c>
      <c r="CA1012" s="2" t="s">
        <v>2739</v>
      </c>
      <c r="CB1012" s="2" t="s">
        <v>1882</v>
      </c>
      <c r="CC1012" s="2" t="s">
        <v>246</v>
      </c>
      <c r="CD1012" s="2" t="s">
        <v>233</v>
      </c>
      <c r="CE1012" s="4">
        <v>248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</row>
    <row r="1013">
      <c r="A1013" s="2" t="s">
        <v>5126</v>
      </c>
      <c r="B1013" s="2" t="s">
        <v>333</v>
      </c>
      <c r="C1013" s="2" t="s">
        <v>530</v>
      </c>
      <c r="D1013" s="2" t="s">
        <v>335</v>
      </c>
      <c r="E1013" s="2" t="s">
        <v>336</v>
      </c>
      <c r="F1013" s="2" t="s">
        <v>5095</v>
      </c>
      <c r="G1013" s="2" t="s">
        <v>5095</v>
      </c>
      <c r="H1013" s="2" t="s">
        <v>5095</v>
      </c>
      <c r="I1013" s="2" t="s">
        <v>5096</v>
      </c>
      <c r="J1013" s="2" t="s">
        <v>328</v>
      </c>
      <c r="K1013" s="2" t="s">
        <v>5122</v>
      </c>
      <c r="L1013" s="3">
        <v>17.58</v>
      </c>
      <c r="M1013" s="3">
        <v>18.46</v>
      </c>
      <c r="N1013" s="3">
        <v>39.99</v>
      </c>
      <c r="O1013" s="2" t="s">
        <v>245</v>
      </c>
      <c r="P1013" s="2" t="s">
        <v>311</v>
      </c>
      <c r="Q1013" s="2" t="s">
        <v>239</v>
      </c>
      <c r="R1013" s="2" t="s">
        <v>233</v>
      </c>
      <c r="S1013" s="2" t="s">
        <v>5123</v>
      </c>
      <c r="T1013" s="2" t="s">
        <v>395</v>
      </c>
      <c r="U1013" s="2" t="s">
        <v>342</v>
      </c>
      <c r="V1013" s="2" t="s">
        <v>5099</v>
      </c>
      <c r="W1013" s="2" t="s">
        <v>275</v>
      </c>
      <c r="X1013" s="2" t="s">
        <v>233</v>
      </c>
      <c r="Y1013" s="2" t="s">
        <v>5100</v>
      </c>
      <c r="Z1013" s="4">
        <v>146</v>
      </c>
      <c r="AA1013" s="4">
        <f>=ROUNDDOWN(146,0)</f>
      </c>
      <c r="AB1013" s="5">
        <v>1</v>
      </c>
      <c r="AC1013" s="2" t="s">
        <v>233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233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233</v>
      </c>
      <c r="AW1013" s="8" t="s">
        <v>233</v>
      </c>
      <c r="AX1013" s="4" t="s">
        <v>233</v>
      </c>
      <c r="AY1013" s="8" t="s">
        <v>233</v>
      </c>
      <c r="AZ1013" s="7" t="s">
        <v>233</v>
      </c>
      <c r="BA1013" s="7" t="s">
        <v>233</v>
      </c>
      <c r="BB1013" s="7"/>
      <c r="BC1013" s="4" t="s">
        <v>233</v>
      </c>
      <c r="BD1013" s="8" t="s">
        <v>233</v>
      </c>
      <c r="BE1013" s="4" t="s">
        <v>233</v>
      </c>
      <c r="BF1013" s="8" t="s">
        <v>233</v>
      </c>
      <c r="BG1013" s="7" t="s">
        <v>233</v>
      </c>
      <c r="BH1013" s="7" t="s">
        <v>233</v>
      </c>
      <c r="BI1013" s="7"/>
      <c r="BJ1013" s="4">
        <v>3</v>
      </c>
      <c r="BK1013" s="8">
        <v>58.14</v>
      </c>
      <c r="BL1013" s="2" t="s">
        <v>5127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5128</v>
      </c>
      <c r="BV1013" s="2" t="s">
        <v>233</v>
      </c>
      <c r="BW1013" s="2" t="s">
        <v>233</v>
      </c>
      <c r="BX1013" s="2" t="s">
        <v>233</v>
      </c>
      <c r="BY1013" s="2" t="s">
        <v>280</v>
      </c>
      <c r="BZ1013" s="2" t="s">
        <v>245</v>
      </c>
      <c r="CA1013" s="2" t="s">
        <v>2739</v>
      </c>
      <c r="CB1013" s="2" t="s">
        <v>3382</v>
      </c>
      <c r="CC1013" s="2" t="s">
        <v>246</v>
      </c>
      <c r="CD1013" s="2" t="s">
        <v>233</v>
      </c>
      <c r="CE1013" s="4">
        <v>146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</row>
    <row r="1014">
      <c r="A1014" s="2" t="s">
        <v>5129</v>
      </c>
      <c r="B1014" s="2" t="s">
        <v>1174</v>
      </c>
      <c r="C1014" s="2" t="s">
        <v>530</v>
      </c>
      <c r="D1014" s="2" t="s">
        <v>1175</v>
      </c>
      <c r="E1014" s="2" t="s">
        <v>1448</v>
      </c>
      <c r="F1014" s="2" t="s">
        <v>5130</v>
      </c>
      <c r="G1014" s="2" t="s">
        <v>4831</v>
      </c>
      <c r="H1014" s="2" t="s">
        <v>5131</v>
      </c>
      <c r="I1014" s="2" t="s">
        <v>5132</v>
      </c>
      <c r="J1014" s="2" t="s">
        <v>1490</v>
      </c>
      <c r="K1014" s="2" t="s">
        <v>645</v>
      </c>
      <c r="L1014" s="3">
        <v>17.1</v>
      </c>
      <c r="M1014" s="3">
        <v>17.96</v>
      </c>
      <c r="N1014" s="3">
        <v>44.99</v>
      </c>
      <c r="O1014" s="2" t="s">
        <v>245</v>
      </c>
      <c r="P1014" s="2" t="s">
        <v>238</v>
      </c>
      <c r="Q1014" s="2" t="s">
        <v>239</v>
      </c>
      <c r="R1014" s="2" t="s">
        <v>233</v>
      </c>
      <c r="S1014" s="2" t="s">
        <v>5133</v>
      </c>
      <c r="T1014" s="2" t="s">
        <v>233</v>
      </c>
      <c r="U1014" s="2" t="s">
        <v>396</v>
      </c>
      <c r="V1014" s="2" t="s">
        <v>241</v>
      </c>
      <c r="W1014" s="2" t="s">
        <v>451</v>
      </c>
      <c r="X1014" s="2" t="s">
        <v>3129</v>
      </c>
      <c r="Y1014" s="2" t="s">
        <v>4851</v>
      </c>
      <c r="Z1014" s="4">
        <v>206</v>
      </c>
      <c r="AA1014" s="4">
        <f>=ROUNDDOWN(51.5,0)</f>
      </c>
      <c r="AB1014" s="5">
        <v>4</v>
      </c>
      <c r="AC1014" s="2" t="s">
        <v>233</v>
      </c>
      <c r="AD1014" s="4"/>
      <c r="AE1014" s="4"/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233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233</v>
      </c>
      <c r="AW1014" s="8" t="s">
        <v>233</v>
      </c>
      <c r="AX1014" s="4" t="s">
        <v>233</v>
      </c>
      <c r="AY1014" s="8" t="s">
        <v>233</v>
      </c>
      <c r="AZ1014" s="7" t="s">
        <v>233</v>
      </c>
      <c r="BA1014" s="7" t="s">
        <v>233</v>
      </c>
      <c r="BB1014" s="7"/>
      <c r="BC1014" s="4" t="s">
        <v>233</v>
      </c>
      <c r="BD1014" s="8" t="s">
        <v>233</v>
      </c>
      <c r="BE1014" s="4" t="s">
        <v>233</v>
      </c>
      <c r="BF1014" s="8" t="s">
        <v>233</v>
      </c>
      <c r="BG1014" s="7" t="s">
        <v>233</v>
      </c>
      <c r="BH1014" s="7" t="s">
        <v>233</v>
      </c>
      <c r="BI1014" s="7"/>
      <c r="BJ1014" s="4">
        <v>17</v>
      </c>
      <c r="BK1014" s="8">
        <v>329.58</v>
      </c>
      <c r="BL1014" s="2" t="s">
        <v>5134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5135</v>
      </c>
      <c r="BV1014" s="2" t="s">
        <v>233</v>
      </c>
      <c r="BW1014" s="2" t="s">
        <v>233</v>
      </c>
      <c r="BX1014" s="2" t="s">
        <v>5136</v>
      </c>
      <c r="BY1014" s="2" t="s">
        <v>280</v>
      </c>
      <c r="BZ1014" s="2" t="s">
        <v>245</v>
      </c>
      <c r="CA1014" s="2" t="s">
        <v>5137</v>
      </c>
      <c r="CB1014" s="2" t="s">
        <v>1187</v>
      </c>
      <c r="CC1014" s="2" t="s">
        <v>246</v>
      </c>
      <c r="CD1014" s="2" t="s">
        <v>233</v>
      </c>
      <c r="CE1014" s="4">
        <v>206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</row>
    <row r="1015">
      <c r="A1015" s="2" t="s">
        <v>5138</v>
      </c>
      <c r="B1015" s="2" t="s">
        <v>1174</v>
      </c>
      <c r="C1015" s="2" t="s">
        <v>530</v>
      </c>
      <c r="D1015" s="2" t="s">
        <v>1175</v>
      </c>
      <c r="E1015" s="2" t="s">
        <v>1448</v>
      </c>
      <c r="F1015" s="2" t="s">
        <v>5130</v>
      </c>
      <c r="G1015" s="2" t="s">
        <v>4831</v>
      </c>
      <c r="H1015" s="2" t="s">
        <v>5131</v>
      </c>
      <c r="I1015" s="2" t="s">
        <v>5132</v>
      </c>
      <c r="J1015" s="2" t="s">
        <v>1453</v>
      </c>
      <c r="K1015" s="2" t="s">
        <v>645</v>
      </c>
      <c r="L1015" s="3">
        <v>21</v>
      </c>
      <c r="M1015" s="3">
        <v>22.05</v>
      </c>
      <c r="N1015" s="3">
        <v>49.99</v>
      </c>
      <c r="O1015" s="2" t="s">
        <v>245</v>
      </c>
      <c r="P1015" s="2" t="s">
        <v>238</v>
      </c>
      <c r="Q1015" s="2" t="s">
        <v>239</v>
      </c>
      <c r="R1015" s="2" t="s">
        <v>233</v>
      </c>
      <c r="S1015" s="2" t="s">
        <v>5133</v>
      </c>
      <c r="T1015" s="2" t="s">
        <v>233</v>
      </c>
      <c r="U1015" s="2" t="s">
        <v>396</v>
      </c>
      <c r="V1015" s="2" t="s">
        <v>241</v>
      </c>
      <c r="W1015" s="2" t="s">
        <v>451</v>
      </c>
      <c r="X1015" s="2" t="s">
        <v>3129</v>
      </c>
      <c r="Y1015" s="2" t="s">
        <v>4851</v>
      </c>
      <c r="Z1015" s="4">
        <v>77</v>
      </c>
      <c r="AA1015" s="4">
        <f>=ROUNDDOWN(19.25,0)</f>
      </c>
      <c r="AB1015" s="5">
        <v>4</v>
      </c>
      <c r="AC1015" s="2" t="s">
        <v>233</v>
      </c>
      <c r="AD1015" s="4"/>
      <c r="AE1015" s="4"/>
      <c r="AF1015" s="6">
        <v>64</v>
      </c>
      <c r="AG1015" s="6"/>
      <c r="AH1015" s="7">
        <v>1</v>
      </c>
      <c r="AI1015" s="4"/>
      <c r="AJ1015" s="4">
        <f>=ROUNDDOWN({0},0)</f>
      </c>
      <c r="AK1015" s="5"/>
      <c r="AL1015" s="2" t="s">
        <v>233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233</v>
      </c>
      <c r="AW1015" s="8" t="s">
        <v>233</v>
      </c>
      <c r="AX1015" s="4" t="s">
        <v>233</v>
      </c>
      <c r="AY1015" s="8" t="s">
        <v>233</v>
      </c>
      <c r="AZ1015" s="7" t="s">
        <v>233</v>
      </c>
      <c r="BA1015" s="7" t="s">
        <v>233</v>
      </c>
      <c r="BB1015" s="7"/>
      <c r="BC1015" s="4" t="s">
        <v>233</v>
      </c>
      <c r="BD1015" s="8" t="s">
        <v>233</v>
      </c>
      <c r="BE1015" s="4" t="s">
        <v>233</v>
      </c>
      <c r="BF1015" s="8" t="s">
        <v>233</v>
      </c>
      <c r="BG1015" s="7" t="s">
        <v>233</v>
      </c>
      <c r="BH1015" s="7" t="s">
        <v>233</v>
      </c>
      <c r="BI1015" s="7"/>
      <c r="BJ1015" s="4">
        <v>25</v>
      </c>
      <c r="BK1015" s="8">
        <v>588.15</v>
      </c>
      <c r="BL1015" s="2" t="s">
        <v>3272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5139</v>
      </c>
      <c r="BV1015" s="2" t="s">
        <v>233</v>
      </c>
      <c r="BW1015" s="2" t="s">
        <v>233</v>
      </c>
      <c r="BX1015" s="2" t="s">
        <v>5136</v>
      </c>
      <c r="BY1015" s="2" t="s">
        <v>280</v>
      </c>
      <c r="BZ1015" s="2" t="s">
        <v>245</v>
      </c>
      <c r="CA1015" s="2" t="s">
        <v>5137</v>
      </c>
      <c r="CB1015" s="2" t="s">
        <v>233</v>
      </c>
      <c r="CC1015" s="2" t="s">
        <v>246</v>
      </c>
      <c r="CD1015" s="2" t="s">
        <v>233</v>
      </c>
      <c r="CE1015" s="4">
        <v>77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</row>
    <row r="1016">
      <c r="A1016" s="2" t="s">
        <v>5140</v>
      </c>
      <c r="B1016" s="2" t="s">
        <v>1174</v>
      </c>
      <c r="C1016" s="2" t="s">
        <v>530</v>
      </c>
      <c r="D1016" s="2" t="s">
        <v>1175</v>
      </c>
      <c r="E1016" s="2" t="s">
        <v>1448</v>
      </c>
      <c r="F1016" s="2" t="s">
        <v>5130</v>
      </c>
      <c r="G1016" s="2" t="s">
        <v>4831</v>
      </c>
      <c r="H1016" s="2" t="s">
        <v>5131</v>
      </c>
      <c r="I1016" s="2" t="s">
        <v>5141</v>
      </c>
      <c r="J1016" s="2" t="s">
        <v>5142</v>
      </c>
      <c r="K1016" s="2" t="s">
        <v>645</v>
      </c>
      <c r="L1016" s="3">
        <v>20.25</v>
      </c>
      <c r="M1016" s="3">
        <v>21.26</v>
      </c>
      <c r="N1016" s="3">
        <v>44.99</v>
      </c>
      <c r="O1016" s="2" t="s">
        <v>245</v>
      </c>
      <c r="P1016" s="2" t="s">
        <v>238</v>
      </c>
      <c r="Q1016" s="2" t="s">
        <v>239</v>
      </c>
      <c r="R1016" s="2" t="s">
        <v>233</v>
      </c>
      <c r="S1016" s="2" t="s">
        <v>5133</v>
      </c>
      <c r="T1016" s="2" t="s">
        <v>233</v>
      </c>
      <c r="U1016" s="2" t="s">
        <v>396</v>
      </c>
      <c r="V1016" s="2" t="s">
        <v>241</v>
      </c>
      <c r="W1016" s="2" t="s">
        <v>451</v>
      </c>
      <c r="X1016" s="2" t="s">
        <v>1457</v>
      </c>
      <c r="Y1016" s="2" t="s">
        <v>4851</v>
      </c>
      <c r="Z1016" s="4">
        <v>106</v>
      </c>
      <c r="AA1016" s="4">
        <f>=ROUNDDOWN(106,0)</f>
      </c>
      <c r="AB1016" s="5">
        <v>1</v>
      </c>
      <c r="AC1016" s="2" t="s">
        <v>233</v>
      </c>
      <c r="AD1016" s="4"/>
      <c r="AE1016" s="4"/>
      <c r="AF1016" s="6">
        <v>64</v>
      </c>
      <c r="AG1016" s="6"/>
      <c r="AH1016" s="7">
        <v>1</v>
      </c>
      <c r="AI1016" s="4"/>
      <c r="AJ1016" s="4">
        <f>=ROUNDDOWN({0},0)</f>
      </c>
      <c r="AK1016" s="5"/>
      <c r="AL1016" s="2" t="s">
        <v>233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233</v>
      </c>
      <c r="AW1016" s="8" t="s">
        <v>233</v>
      </c>
      <c r="AX1016" s="4" t="s">
        <v>233</v>
      </c>
      <c r="AY1016" s="8" t="s">
        <v>233</v>
      </c>
      <c r="AZ1016" s="7" t="s">
        <v>233</v>
      </c>
      <c r="BA1016" s="7" t="s">
        <v>233</v>
      </c>
      <c r="BB1016" s="7"/>
      <c r="BC1016" s="4" t="s">
        <v>233</v>
      </c>
      <c r="BD1016" s="8" t="s">
        <v>233</v>
      </c>
      <c r="BE1016" s="4" t="s">
        <v>233</v>
      </c>
      <c r="BF1016" s="8" t="s">
        <v>233</v>
      </c>
      <c r="BG1016" s="7" t="s">
        <v>233</v>
      </c>
      <c r="BH1016" s="7" t="s">
        <v>233</v>
      </c>
      <c r="BI1016" s="7"/>
      <c r="BJ1016" s="4">
        <v>18</v>
      </c>
      <c r="BK1016" s="8">
        <v>416.9</v>
      </c>
      <c r="BL1016" s="2" t="s">
        <v>3829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5143</v>
      </c>
      <c r="BV1016" s="2" t="s">
        <v>233</v>
      </c>
      <c r="BW1016" s="2" t="s">
        <v>233</v>
      </c>
      <c r="BX1016" s="2" t="s">
        <v>798</v>
      </c>
      <c r="BY1016" s="2" t="s">
        <v>280</v>
      </c>
      <c r="BZ1016" s="2" t="s">
        <v>245</v>
      </c>
      <c r="CA1016" s="2" t="s">
        <v>5137</v>
      </c>
      <c r="CB1016" s="2" t="s">
        <v>233</v>
      </c>
      <c r="CC1016" s="2" t="s">
        <v>246</v>
      </c>
      <c r="CD1016" s="2" t="s">
        <v>233</v>
      </c>
      <c r="CE1016" s="4">
        <v>106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</row>
    <row r="1017">
      <c r="A1017" s="2" t="s">
        <v>5144</v>
      </c>
      <c r="B1017" s="2" t="s">
        <v>1174</v>
      </c>
      <c r="C1017" s="2" t="s">
        <v>530</v>
      </c>
      <c r="D1017" s="2" t="s">
        <v>1175</v>
      </c>
      <c r="E1017" s="2" t="s">
        <v>1448</v>
      </c>
      <c r="F1017" s="2" t="s">
        <v>5130</v>
      </c>
      <c r="G1017" s="2" t="s">
        <v>4831</v>
      </c>
      <c r="H1017" s="2" t="s">
        <v>5131</v>
      </c>
      <c r="I1017" s="2" t="s">
        <v>5132</v>
      </c>
      <c r="J1017" s="2" t="s">
        <v>1453</v>
      </c>
      <c r="K1017" s="2" t="s">
        <v>552</v>
      </c>
      <c r="L1017" s="3">
        <v>21</v>
      </c>
      <c r="M1017" s="3">
        <v>22.05</v>
      </c>
      <c r="N1017" s="3">
        <v>49.99</v>
      </c>
      <c r="O1017" s="2" t="s">
        <v>245</v>
      </c>
      <c r="P1017" s="2" t="s">
        <v>272</v>
      </c>
      <c r="Q1017" s="2" t="s">
        <v>239</v>
      </c>
      <c r="R1017" s="2" t="s">
        <v>233</v>
      </c>
      <c r="S1017" s="2" t="s">
        <v>5145</v>
      </c>
      <c r="T1017" s="2" t="s">
        <v>233</v>
      </c>
      <c r="U1017" s="2" t="s">
        <v>396</v>
      </c>
      <c r="V1017" s="2" t="s">
        <v>241</v>
      </c>
      <c r="W1017" s="2" t="s">
        <v>451</v>
      </c>
      <c r="X1017" s="2" t="s">
        <v>3129</v>
      </c>
      <c r="Y1017" s="2" t="s">
        <v>5146</v>
      </c>
      <c r="Z1017" s="4">
        <v>161</v>
      </c>
      <c r="AA1017" s="4">
        <f>=ROUNDDOWN(17.8888888888889,0)</f>
      </c>
      <c r="AB1017" s="5">
        <v>9</v>
      </c>
      <c r="AC1017" s="2" t="s">
        <v>1514</v>
      </c>
      <c r="AD1017" s="4">
        <v>88</v>
      </c>
      <c r="AE1017" s="4">
        <v>88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233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233</v>
      </c>
      <c r="AW1017" s="8" t="s">
        <v>233</v>
      </c>
      <c r="AX1017" s="4" t="s">
        <v>233</v>
      </c>
      <c r="AY1017" s="8" t="s">
        <v>233</v>
      </c>
      <c r="AZ1017" s="7" t="s">
        <v>233</v>
      </c>
      <c r="BA1017" s="7" t="s">
        <v>233</v>
      </c>
      <c r="BB1017" s="7"/>
      <c r="BC1017" s="4" t="s">
        <v>233</v>
      </c>
      <c r="BD1017" s="8" t="s">
        <v>233</v>
      </c>
      <c r="BE1017" s="4" t="s">
        <v>233</v>
      </c>
      <c r="BF1017" s="8" t="s">
        <v>233</v>
      </c>
      <c r="BG1017" s="7" t="s">
        <v>233</v>
      </c>
      <c r="BH1017" s="7" t="s">
        <v>233</v>
      </c>
      <c r="BI1017" s="7"/>
      <c r="BJ1017" s="4">
        <v>39</v>
      </c>
      <c r="BK1017" s="8">
        <v>826.09</v>
      </c>
      <c r="BL1017" s="2" t="s">
        <v>5147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5148</v>
      </c>
      <c r="BV1017" s="2" t="s">
        <v>233</v>
      </c>
      <c r="BW1017" s="2" t="s">
        <v>233</v>
      </c>
      <c r="BX1017" s="2" t="s">
        <v>5136</v>
      </c>
      <c r="BY1017" s="2" t="s">
        <v>280</v>
      </c>
      <c r="BZ1017" s="2" t="s">
        <v>245</v>
      </c>
      <c r="CA1017" s="2" t="s">
        <v>2910</v>
      </c>
      <c r="CB1017" s="2" t="s">
        <v>5149</v>
      </c>
      <c r="CC1017" s="2" t="s">
        <v>246</v>
      </c>
      <c r="CD1017" s="2" t="s">
        <v>233</v>
      </c>
      <c r="CE1017" s="4">
        <v>161</v>
      </c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>
        <v>88</v>
      </c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</row>
    <row r="1018">
      <c r="A1018" s="2" t="s">
        <v>5150</v>
      </c>
      <c r="B1018" s="2" t="s">
        <v>1174</v>
      </c>
      <c r="C1018" s="2" t="s">
        <v>530</v>
      </c>
      <c r="D1018" s="2" t="s">
        <v>1175</v>
      </c>
      <c r="E1018" s="2" t="s">
        <v>1448</v>
      </c>
      <c r="F1018" s="2" t="s">
        <v>5130</v>
      </c>
      <c r="G1018" s="2" t="s">
        <v>4831</v>
      </c>
      <c r="H1018" s="2" t="s">
        <v>5131</v>
      </c>
      <c r="I1018" s="2" t="s">
        <v>5132</v>
      </c>
      <c r="J1018" s="2" t="s">
        <v>5151</v>
      </c>
      <c r="K1018" s="2" t="s">
        <v>552</v>
      </c>
      <c r="L1018" s="3">
        <v>23.1</v>
      </c>
      <c r="M1018" s="3">
        <v>24.26</v>
      </c>
      <c r="N1018" s="3">
        <v>54.99</v>
      </c>
      <c r="O1018" s="2" t="s">
        <v>245</v>
      </c>
      <c r="P1018" s="2" t="s">
        <v>272</v>
      </c>
      <c r="Q1018" s="2" t="s">
        <v>239</v>
      </c>
      <c r="R1018" s="2" t="s">
        <v>233</v>
      </c>
      <c r="S1018" s="2" t="s">
        <v>5145</v>
      </c>
      <c r="T1018" s="2" t="s">
        <v>233</v>
      </c>
      <c r="U1018" s="2" t="s">
        <v>396</v>
      </c>
      <c r="V1018" s="2" t="s">
        <v>241</v>
      </c>
      <c r="W1018" s="2" t="s">
        <v>451</v>
      </c>
      <c r="X1018" s="2" t="s">
        <v>3129</v>
      </c>
      <c r="Y1018" s="2" t="s">
        <v>5146</v>
      </c>
      <c r="Z1018" s="4">
        <v>29</v>
      </c>
      <c r="AA1018" s="4">
        <f>=ROUNDDOWN(5.8,0)</f>
      </c>
      <c r="AB1018" s="5">
        <v>5</v>
      </c>
      <c r="AC1018" s="2" t="s">
        <v>1514</v>
      </c>
      <c r="AD1018" s="4">
        <v>124</v>
      </c>
      <c r="AE1018" s="4">
        <v>124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233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233</v>
      </c>
      <c r="AW1018" s="8" t="s">
        <v>233</v>
      </c>
      <c r="AX1018" s="4" t="s">
        <v>233</v>
      </c>
      <c r="AY1018" s="8" t="s">
        <v>233</v>
      </c>
      <c r="AZ1018" s="7" t="s">
        <v>233</v>
      </c>
      <c r="BA1018" s="7" t="s">
        <v>233</v>
      </c>
      <c r="BB1018" s="7"/>
      <c r="BC1018" s="4" t="s">
        <v>233</v>
      </c>
      <c r="BD1018" s="8" t="s">
        <v>233</v>
      </c>
      <c r="BE1018" s="4" t="s">
        <v>233</v>
      </c>
      <c r="BF1018" s="8" t="s">
        <v>233</v>
      </c>
      <c r="BG1018" s="7" t="s">
        <v>233</v>
      </c>
      <c r="BH1018" s="7" t="s">
        <v>233</v>
      </c>
      <c r="BI1018" s="7"/>
      <c r="BJ1018" s="4">
        <v>19</v>
      </c>
      <c r="BK1018" s="8">
        <v>508.86</v>
      </c>
      <c r="BL1018" s="2" t="s">
        <v>5152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5153</v>
      </c>
      <c r="BV1018" s="2" t="s">
        <v>233</v>
      </c>
      <c r="BW1018" s="2" t="s">
        <v>233</v>
      </c>
      <c r="BX1018" s="2" t="s">
        <v>5136</v>
      </c>
      <c r="BY1018" s="2" t="s">
        <v>280</v>
      </c>
      <c r="BZ1018" s="2" t="s">
        <v>245</v>
      </c>
      <c r="CA1018" s="2" t="s">
        <v>710</v>
      </c>
      <c r="CB1018" s="2" t="s">
        <v>5154</v>
      </c>
      <c r="CC1018" s="2" t="s">
        <v>246</v>
      </c>
      <c r="CD1018" s="2" t="s">
        <v>233</v>
      </c>
      <c r="CE1018" s="4">
        <v>29</v>
      </c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>
        <v>124</v>
      </c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</row>
    <row r="1019">
      <c r="A1019" s="2" t="s">
        <v>5155</v>
      </c>
      <c r="B1019" s="2" t="s">
        <v>1174</v>
      </c>
      <c r="C1019" s="2" t="s">
        <v>530</v>
      </c>
      <c r="D1019" s="2" t="s">
        <v>3304</v>
      </c>
      <c r="E1019" s="2" t="s">
        <v>3305</v>
      </c>
      <c r="F1019" s="2" t="s">
        <v>5130</v>
      </c>
      <c r="G1019" s="2" t="s">
        <v>4831</v>
      </c>
      <c r="H1019" s="2" t="s">
        <v>5131</v>
      </c>
      <c r="I1019" s="2" t="s">
        <v>5156</v>
      </c>
      <c r="J1019" s="2" t="s">
        <v>5157</v>
      </c>
      <c r="K1019" s="2" t="s">
        <v>552</v>
      </c>
      <c r="L1019" s="3">
        <v>12.6</v>
      </c>
      <c r="M1019" s="3">
        <v>13.23</v>
      </c>
      <c r="N1019" s="3">
        <v>29.99</v>
      </c>
      <c r="O1019" s="2" t="s">
        <v>245</v>
      </c>
      <c r="P1019" s="2" t="s">
        <v>272</v>
      </c>
      <c r="Q1019" s="2" t="s">
        <v>239</v>
      </c>
      <c r="R1019" s="2" t="s">
        <v>233</v>
      </c>
      <c r="S1019" s="2" t="s">
        <v>5145</v>
      </c>
      <c r="T1019" s="2" t="s">
        <v>233</v>
      </c>
      <c r="U1019" s="2" t="s">
        <v>396</v>
      </c>
      <c r="V1019" s="2" t="s">
        <v>241</v>
      </c>
      <c r="W1019" s="2" t="s">
        <v>451</v>
      </c>
      <c r="X1019" s="2" t="s">
        <v>233</v>
      </c>
      <c r="Y1019" s="2" t="s">
        <v>5146</v>
      </c>
      <c r="Z1019" s="4">
        <v>125</v>
      </c>
      <c r="AA1019" s="4">
        <f>=ROUNDDOWN(17.8571428571429,0)</f>
      </c>
      <c r="AB1019" s="5">
        <v>7</v>
      </c>
      <c r="AC1019" s="2" t="s">
        <v>1514</v>
      </c>
      <c r="AD1019" s="4">
        <v>104</v>
      </c>
      <c r="AE1019" s="4">
        <v>104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233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233</v>
      </c>
      <c r="AW1019" s="8" t="s">
        <v>233</v>
      </c>
      <c r="AX1019" s="4" t="s">
        <v>233</v>
      </c>
      <c r="AY1019" s="8" t="s">
        <v>233</v>
      </c>
      <c r="AZ1019" s="7" t="s">
        <v>233</v>
      </c>
      <c r="BA1019" s="7" t="s">
        <v>233</v>
      </c>
      <c r="BB1019" s="7"/>
      <c r="BC1019" s="4" t="s">
        <v>233</v>
      </c>
      <c r="BD1019" s="8" t="s">
        <v>233</v>
      </c>
      <c r="BE1019" s="4" t="s">
        <v>233</v>
      </c>
      <c r="BF1019" s="8" t="s">
        <v>233</v>
      </c>
      <c r="BG1019" s="7" t="s">
        <v>233</v>
      </c>
      <c r="BH1019" s="7" t="s">
        <v>233</v>
      </c>
      <c r="BI1019" s="7"/>
      <c r="BJ1019" s="4">
        <v>40</v>
      </c>
      <c r="BK1019" s="8">
        <v>526</v>
      </c>
      <c r="BL1019" s="2" t="s">
        <v>5039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5158</v>
      </c>
      <c r="BV1019" s="2" t="s">
        <v>233</v>
      </c>
      <c r="BW1019" s="2" t="s">
        <v>233</v>
      </c>
      <c r="BX1019" s="2" t="s">
        <v>233</v>
      </c>
      <c r="BY1019" s="2" t="s">
        <v>280</v>
      </c>
      <c r="BZ1019" s="2" t="s">
        <v>245</v>
      </c>
      <c r="CA1019" s="2" t="s">
        <v>2906</v>
      </c>
      <c r="CB1019" s="2" t="s">
        <v>721</v>
      </c>
      <c r="CC1019" s="2" t="s">
        <v>246</v>
      </c>
      <c r="CD1019" s="2" t="s">
        <v>233</v>
      </c>
      <c r="CE1019" s="4">
        <v>125</v>
      </c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>
        <v>104</v>
      </c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</row>
    <row r="1020">
      <c r="A1020" s="2" t="s">
        <v>5159</v>
      </c>
      <c r="B1020" s="2" t="s">
        <v>1174</v>
      </c>
      <c r="C1020" s="2" t="s">
        <v>530</v>
      </c>
      <c r="D1020" s="2" t="s">
        <v>1175</v>
      </c>
      <c r="E1020" s="2" t="s">
        <v>1448</v>
      </c>
      <c r="F1020" s="2" t="s">
        <v>5130</v>
      </c>
      <c r="G1020" s="2" t="s">
        <v>4831</v>
      </c>
      <c r="H1020" s="2" t="s">
        <v>5131</v>
      </c>
      <c r="I1020" s="2" t="s">
        <v>5132</v>
      </c>
      <c r="J1020" s="2" t="s">
        <v>1524</v>
      </c>
      <c r="K1020" s="2" t="s">
        <v>5036</v>
      </c>
      <c r="L1020" s="3">
        <v>16</v>
      </c>
      <c r="M1020" s="3">
        <v>16.8</v>
      </c>
      <c r="N1020" s="3">
        <v>39.99</v>
      </c>
      <c r="O1020" s="2" t="s">
        <v>245</v>
      </c>
      <c r="P1020" s="2" t="s">
        <v>272</v>
      </c>
      <c r="Q1020" s="2" t="s">
        <v>239</v>
      </c>
      <c r="R1020" s="2" t="s">
        <v>233</v>
      </c>
      <c r="S1020" s="2" t="s">
        <v>5037</v>
      </c>
      <c r="T1020" s="2" t="s">
        <v>233</v>
      </c>
      <c r="U1020" s="2" t="s">
        <v>396</v>
      </c>
      <c r="V1020" s="2" t="s">
        <v>241</v>
      </c>
      <c r="W1020" s="2" t="s">
        <v>451</v>
      </c>
      <c r="X1020" s="2" t="s">
        <v>3129</v>
      </c>
      <c r="Y1020" s="2" t="s">
        <v>276</v>
      </c>
      <c r="Z1020" s="4">
        <v>536</v>
      </c>
      <c r="AA1020" s="4">
        <f>=ROUNDDOWN(24.3636363636364,0)</f>
      </c>
      <c r="AB1020" s="5">
        <v>22</v>
      </c>
      <c r="AC1020" s="2" t="s">
        <v>1492</v>
      </c>
      <c r="AD1020" s="4">
        <v>116</v>
      </c>
      <c r="AE1020" s="4">
        <v>432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233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233</v>
      </c>
      <c r="AW1020" s="8" t="s">
        <v>233</v>
      </c>
      <c r="AX1020" s="4" t="s">
        <v>233</v>
      </c>
      <c r="AY1020" s="8" t="s">
        <v>233</v>
      </c>
      <c r="AZ1020" s="7" t="s">
        <v>233</v>
      </c>
      <c r="BA1020" s="7" t="s">
        <v>233</v>
      </c>
      <c r="BB1020" s="7"/>
      <c r="BC1020" s="4" t="s">
        <v>233</v>
      </c>
      <c r="BD1020" s="8" t="s">
        <v>233</v>
      </c>
      <c r="BE1020" s="4" t="s">
        <v>233</v>
      </c>
      <c r="BF1020" s="8" t="s">
        <v>233</v>
      </c>
      <c r="BG1020" s="7" t="s">
        <v>233</v>
      </c>
      <c r="BH1020" s="7" t="s">
        <v>233</v>
      </c>
      <c r="BI1020" s="7"/>
      <c r="BJ1020" s="4">
        <v>99</v>
      </c>
      <c r="BK1020" s="8">
        <v>1458.27</v>
      </c>
      <c r="BL1020" s="2" t="s">
        <v>5160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5161</v>
      </c>
      <c r="BV1020" s="2" t="s">
        <v>233</v>
      </c>
      <c r="BW1020" s="2" t="s">
        <v>233</v>
      </c>
      <c r="BX1020" s="2" t="s">
        <v>5136</v>
      </c>
      <c r="BY1020" s="2" t="s">
        <v>280</v>
      </c>
      <c r="BZ1020" s="2" t="s">
        <v>245</v>
      </c>
      <c r="CA1020" s="2" t="s">
        <v>281</v>
      </c>
      <c r="CB1020" s="2" t="s">
        <v>670</v>
      </c>
      <c r="CC1020" s="2" t="s">
        <v>246</v>
      </c>
      <c r="CD1020" s="2" t="s">
        <v>233</v>
      </c>
      <c r="CE1020" s="4">
        <v>536</v>
      </c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>
        <v>116</v>
      </c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>
        <v>316</v>
      </c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</row>
    <row r="1021">
      <c r="A1021" s="2" t="s">
        <v>5162</v>
      </c>
      <c r="B1021" s="2" t="s">
        <v>1174</v>
      </c>
      <c r="C1021" s="2" t="s">
        <v>530</v>
      </c>
      <c r="D1021" s="2" t="s">
        <v>1175</v>
      </c>
      <c r="E1021" s="2" t="s">
        <v>1448</v>
      </c>
      <c r="F1021" s="2" t="s">
        <v>5130</v>
      </c>
      <c r="G1021" s="2" t="s">
        <v>4831</v>
      </c>
      <c r="H1021" s="2" t="s">
        <v>5131</v>
      </c>
      <c r="I1021" s="2" t="s">
        <v>5132</v>
      </c>
      <c r="J1021" s="2" t="s">
        <v>1453</v>
      </c>
      <c r="K1021" s="2" t="s">
        <v>5036</v>
      </c>
      <c r="L1021" s="3">
        <v>21</v>
      </c>
      <c r="M1021" s="3">
        <v>22.05</v>
      </c>
      <c r="N1021" s="3">
        <v>49.99</v>
      </c>
      <c r="O1021" s="2" t="s">
        <v>245</v>
      </c>
      <c r="P1021" s="2" t="s">
        <v>272</v>
      </c>
      <c r="Q1021" s="2" t="s">
        <v>239</v>
      </c>
      <c r="R1021" s="2" t="s">
        <v>233</v>
      </c>
      <c r="S1021" s="2" t="s">
        <v>5037</v>
      </c>
      <c r="T1021" s="2" t="s">
        <v>233</v>
      </c>
      <c r="U1021" s="2" t="s">
        <v>396</v>
      </c>
      <c r="V1021" s="2" t="s">
        <v>241</v>
      </c>
      <c r="W1021" s="2" t="s">
        <v>451</v>
      </c>
      <c r="X1021" s="2" t="s">
        <v>3129</v>
      </c>
      <c r="Y1021" s="2" t="s">
        <v>276</v>
      </c>
      <c r="Z1021" s="4">
        <v>188</v>
      </c>
      <c r="AA1021" s="4">
        <f>=ROUNDDOWN(31.3333333333333,0)</f>
      </c>
      <c r="AB1021" s="5">
        <v>6</v>
      </c>
      <c r="AC1021" s="2" t="s">
        <v>1492</v>
      </c>
      <c r="AD1021" s="4">
        <v>76</v>
      </c>
      <c r="AE1021" s="4">
        <v>76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233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233</v>
      </c>
      <c r="AW1021" s="8" t="s">
        <v>233</v>
      </c>
      <c r="AX1021" s="4" t="s">
        <v>233</v>
      </c>
      <c r="AY1021" s="8" t="s">
        <v>233</v>
      </c>
      <c r="AZ1021" s="7" t="s">
        <v>233</v>
      </c>
      <c r="BA1021" s="7" t="s">
        <v>233</v>
      </c>
      <c r="BB1021" s="7"/>
      <c r="BC1021" s="4" t="s">
        <v>233</v>
      </c>
      <c r="BD1021" s="8" t="s">
        <v>233</v>
      </c>
      <c r="BE1021" s="4" t="s">
        <v>233</v>
      </c>
      <c r="BF1021" s="8" t="s">
        <v>233</v>
      </c>
      <c r="BG1021" s="7" t="s">
        <v>233</v>
      </c>
      <c r="BH1021" s="7" t="s">
        <v>233</v>
      </c>
      <c r="BI1021" s="7"/>
      <c r="BJ1021" s="4">
        <v>24</v>
      </c>
      <c r="BK1021" s="8">
        <v>498.68</v>
      </c>
      <c r="BL1021" s="2" t="s">
        <v>5163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5164</v>
      </c>
      <c r="BV1021" s="2" t="s">
        <v>233</v>
      </c>
      <c r="BW1021" s="2" t="s">
        <v>233</v>
      </c>
      <c r="BX1021" s="2" t="s">
        <v>5136</v>
      </c>
      <c r="BY1021" s="2" t="s">
        <v>280</v>
      </c>
      <c r="BZ1021" s="2" t="s">
        <v>245</v>
      </c>
      <c r="CA1021" s="2" t="s">
        <v>281</v>
      </c>
      <c r="CB1021" s="2" t="s">
        <v>5165</v>
      </c>
      <c r="CC1021" s="2" t="s">
        <v>246</v>
      </c>
      <c r="CD1021" s="2" t="s">
        <v>233</v>
      </c>
      <c r="CE1021" s="4">
        <v>188</v>
      </c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>
        <v>76</v>
      </c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</row>
    <row r="1022">
      <c r="A1022" s="2" t="s">
        <v>5166</v>
      </c>
      <c r="B1022" s="2" t="s">
        <v>1174</v>
      </c>
      <c r="C1022" s="2" t="s">
        <v>530</v>
      </c>
      <c r="D1022" s="2" t="s">
        <v>1175</v>
      </c>
      <c r="E1022" s="2" t="s">
        <v>1448</v>
      </c>
      <c r="F1022" s="2" t="s">
        <v>5130</v>
      </c>
      <c r="G1022" s="2" t="s">
        <v>4831</v>
      </c>
      <c r="H1022" s="2" t="s">
        <v>5131</v>
      </c>
      <c r="I1022" s="2" t="s">
        <v>5132</v>
      </c>
      <c r="J1022" s="2" t="s">
        <v>5151</v>
      </c>
      <c r="K1022" s="2" t="s">
        <v>5036</v>
      </c>
      <c r="L1022" s="3">
        <v>23.1</v>
      </c>
      <c r="M1022" s="3">
        <v>24.26</v>
      </c>
      <c r="N1022" s="3">
        <v>54.99</v>
      </c>
      <c r="O1022" s="2" t="s">
        <v>245</v>
      </c>
      <c r="P1022" s="2" t="s">
        <v>272</v>
      </c>
      <c r="Q1022" s="2" t="s">
        <v>239</v>
      </c>
      <c r="R1022" s="2" t="s">
        <v>233</v>
      </c>
      <c r="S1022" s="2" t="s">
        <v>5037</v>
      </c>
      <c r="T1022" s="2" t="s">
        <v>233</v>
      </c>
      <c r="U1022" s="2" t="s">
        <v>396</v>
      </c>
      <c r="V1022" s="2" t="s">
        <v>241</v>
      </c>
      <c r="W1022" s="2" t="s">
        <v>451</v>
      </c>
      <c r="X1022" s="2" t="s">
        <v>3129</v>
      </c>
      <c r="Y1022" s="2" t="s">
        <v>276</v>
      </c>
      <c r="Z1022" s="4">
        <v>33</v>
      </c>
      <c r="AA1022" s="4">
        <f>=ROUNDDOWN(6.6,0)</f>
      </c>
      <c r="AB1022" s="5">
        <v>5</v>
      </c>
      <c r="AC1022" s="2" t="s">
        <v>1492</v>
      </c>
      <c r="AD1022" s="4">
        <v>72</v>
      </c>
      <c r="AE1022" s="4">
        <v>176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233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233</v>
      </c>
      <c r="AW1022" s="8" t="s">
        <v>233</v>
      </c>
      <c r="AX1022" s="4" t="s">
        <v>233</v>
      </c>
      <c r="AY1022" s="8" t="s">
        <v>233</v>
      </c>
      <c r="AZ1022" s="7" t="s">
        <v>233</v>
      </c>
      <c r="BA1022" s="7" t="s">
        <v>233</v>
      </c>
      <c r="BB1022" s="7"/>
      <c r="BC1022" s="4" t="s">
        <v>233</v>
      </c>
      <c r="BD1022" s="8" t="s">
        <v>233</v>
      </c>
      <c r="BE1022" s="4" t="s">
        <v>233</v>
      </c>
      <c r="BF1022" s="8" t="s">
        <v>233</v>
      </c>
      <c r="BG1022" s="7" t="s">
        <v>233</v>
      </c>
      <c r="BH1022" s="7" t="s">
        <v>233</v>
      </c>
      <c r="BI1022" s="7"/>
      <c r="BJ1022" s="4">
        <v>8</v>
      </c>
      <c r="BK1022" s="8">
        <v>240.7</v>
      </c>
      <c r="BL1022" s="2" t="s">
        <v>5167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5168</v>
      </c>
      <c r="BV1022" s="2" t="s">
        <v>233</v>
      </c>
      <c r="BW1022" s="2" t="s">
        <v>233</v>
      </c>
      <c r="BX1022" s="2" t="s">
        <v>5136</v>
      </c>
      <c r="BY1022" s="2" t="s">
        <v>280</v>
      </c>
      <c r="BZ1022" s="2" t="s">
        <v>245</v>
      </c>
      <c r="CA1022" s="2" t="s">
        <v>2632</v>
      </c>
      <c r="CB1022" s="2" t="s">
        <v>4728</v>
      </c>
      <c r="CC1022" s="2" t="s">
        <v>246</v>
      </c>
      <c r="CD1022" s="2" t="s">
        <v>233</v>
      </c>
      <c r="CE1022" s="4">
        <v>33</v>
      </c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>
        <v>72</v>
      </c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>
        <v>104</v>
      </c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</row>
    <row r="1023">
      <c r="A1023" s="2" t="s">
        <v>5169</v>
      </c>
      <c r="B1023" s="2" t="s">
        <v>1174</v>
      </c>
      <c r="C1023" s="2" t="s">
        <v>530</v>
      </c>
      <c r="D1023" s="2" t="s">
        <v>3304</v>
      </c>
      <c r="E1023" s="2" t="s">
        <v>3305</v>
      </c>
      <c r="F1023" s="2" t="s">
        <v>5130</v>
      </c>
      <c r="G1023" s="2" t="s">
        <v>4831</v>
      </c>
      <c r="H1023" s="2" t="s">
        <v>5131</v>
      </c>
      <c r="I1023" s="2" t="s">
        <v>5156</v>
      </c>
      <c r="J1023" s="2" t="s">
        <v>5157</v>
      </c>
      <c r="K1023" s="2" t="s">
        <v>5036</v>
      </c>
      <c r="L1023" s="3">
        <v>12.6</v>
      </c>
      <c r="M1023" s="3">
        <v>13.23</v>
      </c>
      <c r="N1023" s="3">
        <v>29.99</v>
      </c>
      <c r="O1023" s="2" t="s">
        <v>245</v>
      </c>
      <c r="P1023" s="2" t="s">
        <v>272</v>
      </c>
      <c r="Q1023" s="2" t="s">
        <v>239</v>
      </c>
      <c r="R1023" s="2" t="s">
        <v>233</v>
      </c>
      <c r="S1023" s="2" t="s">
        <v>5037</v>
      </c>
      <c r="T1023" s="2" t="s">
        <v>233</v>
      </c>
      <c r="U1023" s="2" t="s">
        <v>233</v>
      </c>
      <c r="V1023" s="2" t="s">
        <v>241</v>
      </c>
      <c r="W1023" s="2" t="s">
        <v>451</v>
      </c>
      <c r="X1023" s="2" t="s">
        <v>233</v>
      </c>
      <c r="Y1023" s="2" t="s">
        <v>5170</v>
      </c>
      <c r="Z1023" s="4">
        <v>368</v>
      </c>
      <c r="AA1023" s="4">
        <f>=ROUNDDOWN(28.3076923076923,0)</f>
      </c>
      <c r="AB1023" s="5">
        <v>13</v>
      </c>
      <c r="AC1023" s="2" t="s">
        <v>1492</v>
      </c>
      <c r="AD1023" s="4">
        <v>400</v>
      </c>
      <c r="AE1023" s="4">
        <v>400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233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233</v>
      </c>
      <c r="AW1023" s="8" t="s">
        <v>233</v>
      </c>
      <c r="AX1023" s="4" t="s">
        <v>233</v>
      </c>
      <c r="AY1023" s="8" t="s">
        <v>233</v>
      </c>
      <c r="AZ1023" s="7" t="s">
        <v>233</v>
      </c>
      <c r="BA1023" s="7" t="s">
        <v>233</v>
      </c>
      <c r="BB1023" s="7"/>
      <c r="BC1023" s="4" t="s">
        <v>233</v>
      </c>
      <c r="BD1023" s="8" t="s">
        <v>233</v>
      </c>
      <c r="BE1023" s="4" t="s">
        <v>233</v>
      </c>
      <c r="BF1023" s="8" t="s">
        <v>233</v>
      </c>
      <c r="BG1023" s="7" t="s">
        <v>233</v>
      </c>
      <c r="BH1023" s="7" t="s">
        <v>233</v>
      </c>
      <c r="BI1023" s="7"/>
      <c r="BJ1023" s="4">
        <v>25</v>
      </c>
      <c r="BK1023" s="8">
        <v>341.66</v>
      </c>
      <c r="BL1023" s="2" t="s">
        <v>3063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5171</v>
      </c>
      <c r="BV1023" s="2" t="s">
        <v>233</v>
      </c>
      <c r="BW1023" s="2" t="s">
        <v>233</v>
      </c>
      <c r="BX1023" s="2" t="s">
        <v>233</v>
      </c>
      <c r="BY1023" s="2" t="s">
        <v>280</v>
      </c>
      <c r="BZ1023" s="2" t="s">
        <v>245</v>
      </c>
      <c r="CA1023" s="2" t="s">
        <v>1474</v>
      </c>
      <c r="CB1023" s="2" t="s">
        <v>5172</v>
      </c>
      <c r="CC1023" s="2" t="s">
        <v>246</v>
      </c>
      <c r="CD1023" s="2" t="s">
        <v>233</v>
      </c>
      <c r="CE1023" s="4">
        <v>368</v>
      </c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>
        <v>400</v>
      </c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</row>
    <row r="1024">
      <c r="A1024" s="2" t="s">
        <v>5173</v>
      </c>
      <c r="B1024" s="2" t="s">
        <v>1174</v>
      </c>
      <c r="C1024" s="2" t="s">
        <v>530</v>
      </c>
      <c r="D1024" s="2" t="s">
        <v>1175</v>
      </c>
      <c r="E1024" s="2" t="s">
        <v>1448</v>
      </c>
      <c r="F1024" s="2" t="s">
        <v>5130</v>
      </c>
      <c r="G1024" s="2" t="s">
        <v>4831</v>
      </c>
      <c r="H1024" s="2" t="s">
        <v>5131</v>
      </c>
      <c r="I1024" s="2" t="s">
        <v>5132</v>
      </c>
      <c r="J1024" s="2" t="s">
        <v>5151</v>
      </c>
      <c r="K1024" s="2" t="s">
        <v>773</v>
      </c>
      <c r="L1024" s="3">
        <v>23.1</v>
      </c>
      <c r="M1024" s="3">
        <v>24.26</v>
      </c>
      <c r="N1024" s="3">
        <v>54.99</v>
      </c>
      <c r="O1024" s="2" t="s">
        <v>245</v>
      </c>
      <c r="P1024" s="2" t="s">
        <v>272</v>
      </c>
      <c r="Q1024" s="2" t="s">
        <v>239</v>
      </c>
      <c r="R1024" s="2" t="s">
        <v>233</v>
      </c>
      <c r="S1024" s="2" t="s">
        <v>5174</v>
      </c>
      <c r="T1024" s="2" t="s">
        <v>233</v>
      </c>
      <c r="U1024" s="2" t="s">
        <v>396</v>
      </c>
      <c r="V1024" s="2" t="s">
        <v>241</v>
      </c>
      <c r="W1024" s="2" t="s">
        <v>451</v>
      </c>
      <c r="X1024" s="2" t="s">
        <v>3129</v>
      </c>
      <c r="Y1024" s="2" t="s">
        <v>5175</v>
      </c>
      <c r="Z1024" s="4">
        <v>95</v>
      </c>
      <c r="AA1024" s="4">
        <f>=ROUNDDOWN(31.6666666666667,0)</f>
      </c>
      <c r="AB1024" s="5">
        <v>3</v>
      </c>
      <c r="AC1024" s="2" t="s">
        <v>1136</v>
      </c>
      <c r="AD1024" s="4">
        <v>48</v>
      </c>
      <c r="AE1024" s="4">
        <v>48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233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 t="s">
        <v>233</v>
      </c>
      <c r="BD1024" s="8" t="s">
        <v>233</v>
      </c>
      <c r="BE1024" s="4" t="s">
        <v>233</v>
      </c>
      <c r="BF1024" s="8" t="s">
        <v>233</v>
      </c>
      <c r="BG1024" s="7" t="s">
        <v>233</v>
      </c>
      <c r="BH1024" s="7" t="s">
        <v>233</v>
      </c>
      <c r="BI1024" s="7"/>
      <c r="BJ1024" s="4">
        <v>2</v>
      </c>
      <c r="BK1024" s="8">
        <v>37.98</v>
      </c>
      <c r="BL1024" s="2" t="s">
        <v>5176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5177</v>
      </c>
      <c r="BV1024" s="2" t="s">
        <v>233</v>
      </c>
      <c r="BW1024" s="2" t="s">
        <v>233</v>
      </c>
      <c r="BX1024" s="2" t="s">
        <v>5136</v>
      </c>
      <c r="BY1024" s="2" t="s">
        <v>280</v>
      </c>
      <c r="BZ1024" s="2" t="s">
        <v>245</v>
      </c>
      <c r="CA1024" s="2" t="s">
        <v>5178</v>
      </c>
      <c r="CB1024" s="2" t="s">
        <v>4759</v>
      </c>
      <c r="CC1024" s="2" t="s">
        <v>246</v>
      </c>
      <c r="CD1024" s="2" t="s">
        <v>233</v>
      </c>
      <c r="CE1024" s="4">
        <v>95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>
        <v>48</v>
      </c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</row>
    <row r="1025">
      <c r="A1025" s="2" t="s">
        <v>5179</v>
      </c>
      <c r="B1025" s="2" t="s">
        <v>1174</v>
      </c>
      <c r="C1025" s="2" t="s">
        <v>530</v>
      </c>
      <c r="D1025" s="2" t="s">
        <v>1175</v>
      </c>
      <c r="E1025" s="2" t="s">
        <v>1448</v>
      </c>
      <c r="F1025" s="2" t="s">
        <v>5130</v>
      </c>
      <c r="G1025" s="2" t="s">
        <v>4831</v>
      </c>
      <c r="H1025" s="2" t="s">
        <v>5131</v>
      </c>
      <c r="I1025" s="2" t="s">
        <v>5132</v>
      </c>
      <c r="J1025" s="2" t="s">
        <v>1490</v>
      </c>
      <c r="K1025" s="2" t="s">
        <v>5180</v>
      </c>
      <c r="L1025" s="3">
        <v>17.1</v>
      </c>
      <c r="M1025" s="3">
        <v>17.96</v>
      </c>
      <c r="N1025" s="3">
        <v>44.99</v>
      </c>
      <c r="O1025" s="2" t="s">
        <v>245</v>
      </c>
      <c r="P1025" s="2" t="s">
        <v>272</v>
      </c>
      <c r="Q1025" s="2" t="s">
        <v>239</v>
      </c>
      <c r="R1025" s="2" t="s">
        <v>233</v>
      </c>
      <c r="S1025" s="2" t="s">
        <v>5181</v>
      </c>
      <c r="T1025" s="2" t="s">
        <v>233</v>
      </c>
      <c r="U1025" s="2" t="s">
        <v>396</v>
      </c>
      <c r="V1025" s="2" t="s">
        <v>241</v>
      </c>
      <c r="W1025" s="2" t="s">
        <v>451</v>
      </c>
      <c r="X1025" s="2" t="s">
        <v>3129</v>
      </c>
      <c r="Y1025" s="2" t="s">
        <v>276</v>
      </c>
      <c r="Z1025" s="4">
        <v>200</v>
      </c>
      <c r="AA1025" s="4">
        <f>=ROUNDDOWN(25,0)</f>
      </c>
      <c r="AB1025" s="5">
        <v>8</v>
      </c>
      <c r="AC1025" s="2" t="s">
        <v>813</v>
      </c>
      <c r="AD1025" s="4">
        <v>272</v>
      </c>
      <c r="AE1025" s="4">
        <v>272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233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233</v>
      </c>
      <c r="AW1025" s="8" t="s">
        <v>233</v>
      </c>
      <c r="AX1025" s="4" t="s">
        <v>233</v>
      </c>
      <c r="AY1025" s="8" t="s">
        <v>233</v>
      </c>
      <c r="AZ1025" s="7" t="s">
        <v>233</v>
      </c>
      <c r="BA1025" s="7" t="s">
        <v>233</v>
      </c>
      <c r="BB1025" s="7"/>
      <c r="BC1025" s="4" t="s">
        <v>233</v>
      </c>
      <c r="BD1025" s="8" t="s">
        <v>233</v>
      </c>
      <c r="BE1025" s="4" t="s">
        <v>233</v>
      </c>
      <c r="BF1025" s="8" t="s">
        <v>233</v>
      </c>
      <c r="BG1025" s="7" t="s">
        <v>233</v>
      </c>
      <c r="BH1025" s="7" t="s">
        <v>233</v>
      </c>
      <c r="BI1025" s="7"/>
      <c r="BJ1025" s="4">
        <v>80</v>
      </c>
      <c r="BK1025" s="8">
        <v>1270.61</v>
      </c>
      <c r="BL1025" s="2" t="s">
        <v>5182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5183</v>
      </c>
      <c r="BV1025" s="2" t="s">
        <v>233</v>
      </c>
      <c r="BW1025" s="2" t="s">
        <v>233</v>
      </c>
      <c r="BX1025" s="2" t="s">
        <v>5136</v>
      </c>
      <c r="BY1025" s="2" t="s">
        <v>280</v>
      </c>
      <c r="BZ1025" s="2" t="s">
        <v>245</v>
      </c>
      <c r="CA1025" s="2" t="s">
        <v>281</v>
      </c>
      <c r="CB1025" s="2" t="s">
        <v>1848</v>
      </c>
      <c r="CC1025" s="2" t="s">
        <v>246</v>
      </c>
      <c r="CD1025" s="2" t="s">
        <v>233</v>
      </c>
      <c r="CE1025" s="4">
        <v>200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>
        <v>272</v>
      </c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</row>
    <row r="1026">
      <c r="A1026" s="2" t="s">
        <v>5184</v>
      </c>
      <c r="B1026" s="2" t="s">
        <v>1174</v>
      </c>
      <c r="C1026" s="2" t="s">
        <v>530</v>
      </c>
      <c r="D1026" s="2" t="s">
        <v>3304</v>
      </c>
      <c r="E1026" s="2" t="s">
        <v>3305</v>
      </c>
      <c r="F1026" s="2" t="s">
        <v>5130</v>
      </c>
      <c r="G1026" s="2" t="s">
        <v>4831</v>
      </c>
      <c r="H1026" s="2" t="s">
        <v>5131</v>
      </c>
      <c r="I1026" s="2" t="s">
        <v>5156</v>
      </c>
      <c r="J1026" s="2" t="s">
        <v>5157</v>
      </c>
      <c r="K1026" s="2" t="s">
        <v>5180</v>
      </c>
      <c r="L1026" s="3">
        <v>12.6</v>
      </c>
      <c r="M1026" s="3">
        <v>13.23</v>
      </c>
      <c r="N1026" s="3">
        <v>29.99</v>
      </c>
      <c r="O1026" s="2" t="s">
        <v>245</v>
      </c>
      <c r="P1026" s="2" t="s">
        <v>272</v>
      </c>
      <c r="Q1026" s="2" t="s">
        <v>239</v>
      </c>
      <c r="R1026" s="2" t="s">
        <v>233</v>
      </c>
      <c r="S1026" s="2" t="s">
        <v>5181</v>
      </c>
      <c r="T1026" s="2" t="s">
        <v>233</v>
      </c>
      <c r="U1026" s="2" t="s">
        <v>233</v>
      </c>
      <c r="V1026" s="2" t="s">
        <v>241</v>
      </c>
      <c r="W1026" s="2" t="s">
        <v>451</v>
      </c>
      <c r="X1026" s="2" t="s">
        <v>233</v>
      </c>
      <c r="Y1026" s="2" t="s">
        <v>5170</v>
      </c>
      <c r="Z1026" s="4">
        <v>58</v>
      </c>
      <c r="AA1026" s="4">
        <f>=ROUNDDOWN(6.44444444444444,0)</f>
      </c>
      <c r="AB1026" s="5">
        <v>9</v>
      </c>
      <c r="AC1026" s="2" t="s">
        <v>813</v>
      </c>
      <c r="AD1026" s="4">
        <v>176</v>
      </c>
      <c r="AE1026" s="4">
        <v>176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233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233</v>
      </c>
      <c r="AW1026" s="8" t="s">
        <v>233</v>
      </c>
      <c r="AX1026" s="4" t="s">
        <v>233</v>
      </c>
      <c r="AY1026" s="8" t="s">
        <v>233</v>
      </c>
      <c r="AZ1026" s="7" t="s">
        <v>233</v>
      </c>
      <c r="BA1026" s="7" t="s">
        <v>233</v>
      </c>
      <c r="BB1026" s="7"/>
      <c r="BC1026" s="4" t="s">
        <v>233</v>
      </c>
      <c r="BD1026" s="8" t="s">
        <v>233</v>
      </c>
      <c r="BE1026" s="4" t="s">
        <v>233</v>
      </c>
      <c r="BF1026" s="8" t="s">
        <v>233</v>
      </c>
      <c r="BG1026" s="7" t="s">
        <v>233</v>
      </c>
      <c r="BH1026" s="7" t="s">
        <v>233</v>
      </c>
      <c r="BI1026" s="7"/>
      <c r="BJ1026" s="4">
        <v>47</v>
      </c>
      <c r="BK1026" s="8">
        <v>630.18</v>
      </c>
      <c r="BL1026" s="2" t="s">
        <v>4665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5185</v>
      </c>
      <c r="BV1026" s="2" t="s">
        <v>233</v>
      </c>
      <c r="BW1026" s="2" t="s">
        <v>233</v>
      </c>
      <c r="BX1026" s="2" t="s">
        <v>233</v>
      </c>
      <c r="BY1026" s="2" t="s">
        <v>280</v>
      </c>
      <c r="BZ1026" s="2" t="s">
        <v>245</v>
      </c>
      <c r="CA1026" s="2" t="s">
        <v>1474</v>
      </c>
      <c r="CB1026" s="2" t="s">
        <v>5186</v>
      </c>
      <c r="CC1026" s="2" t="s">
        <v>246</v>
      </c>
      <c r="CD1026" s="2" t="s">
        <v>233</v>
      </c>
      <c r="CE1026" s="4">
        <v>58</v>
      </c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>
        <v>176</v>
      </c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</row>
    <row r="1027">
      <c r="A1027" s="2" t="s">
        <v>5187</v>
      </c>
      <c r="B1027" s="2" t="s">
        <v>1174</v>
      </c>
      <c r="C1027" s="2" t="s">
        <v>530</v>
      </c>
      <c r="D1027" s="2" t="s">
        <v>1175</v>
      </c>
      <c r="E1027" s="2" t="s">
        <v>1448</v>
      </c>
      <c r="F1027" s="2" t="s">
        <v>5130</v>
      </c>
      <c r="G1027" s="2" t="s">
        <v>4831</v>
      </c>
      <c r="H1027" s="2" t="s">
        <v>5131</v>
      </c>
      <c r="I1027" s="2" t="s">
        <v>5132</v>
      </c>
      <c r="J1027" s="2" t="s">
        <v>1490</v>
      </c>
      <c r="K1027" s="2" t="s">
        <v>449</v>
      </c>
      <c r="L1027" s="3">
        <v>17.1</v>
      </c>
      <c r="M1027" s="3">
        <v>17.96</v>
      </c>
      <c r="N1027" s="3">
        <v>44.99</v>
      </c>
      <c r="O1027" s="2" t="s">
        <v>245</v>
      </c>
      <c r="P1027" s="2" t="s">
        <v>238</v>
      </c>
      <c r="Q1027" s="2" t="s">
        <v>239</v>
      </c>
      <c r="R1027" s="2" t="s">
        <v>233</v>
      </c>
      <c r="S1027" s="2" t="s">
        <v>5188</v>
      </c>
      <c r="T1027" s="2" t="s">
        <v>233</v>
      </c>
      <c r="U1027" s="2" t="s">
        <v>396</v>
      </c>
      <c r="V1027" s="2" t="s">
        <v>241</v>
      </c>
      <c r="W1027" s="2" t="s">
        <v>451</v>
      </c>
      <c r="X1027" s="2" t="s">
        <v>3129</v>
      </c>
      <c r="Y1027" s="2" t="s">
        <v>4851</v>
      </c>
      <c r="Z1027" s="4">
        <v>81</v>
      </c>
      <c r="AA1027" s="4">
        <f>=ROUNDDOWN(20.25,0)</f>
      </c>
      <c r="AB1027" s="5">
        <v>4</v>
      </c>
      <c r="AC1027" s="2" t="s">
        <v>1341</v>
      </c>
      <c r="AD1027" s="4">
        <v>152</v>
      </c>
      <c r="AE1027" s="4">
        <v>152</v>
      </c>
      <c r="AF1027" s="6">
        <v>64</v>
      </c>
      <c r="AG1027" s="6"/>
      <c r="AH1027" s="7">
        <v>1</v>
      </c>
      <c r="AI1027" s="4"/>
      <c r="AJ1027" s="4">
        <f>=ROUNDDOWN({0},0)</f>
      </c>
      <c r="AK1027" s="5"/>
      <c r="AL1027" s="2" t="s">
        <v>233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233</v>
      </c>
      <c r="BD1027" s="8" t="s">
        <v>233</v>
      </c>
      <c r="BE1027" s="4" t="s">
        <v>233</v>
      </c>
      <c r="BF1027" s="8" t="s">
        <v>233</v>
      </c>
      <c r="BG1027" s="7" t="s">
        <v>233</v>
      </c>
      <c r="BH1027" s="7" t="s">
        <v>233</v>
      </c>
      <c r="BI1027" s="7"/>
      <c r="BJ1027" s="4">
        <v>18</v>
      </c>
      <c r="BK1027" s="8">
        <v>326.31</v>
      </c>
      <c r="BL1027" s="2" t="s">
        <v>3272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5189</v>
      </c>
      <c r="BV1027" s="2" t="s">
        <v>233</v>
      </c>
      <c r="BW1027" s="2" t="s">
        <v>233</v>
      </c>
      <c r="BX1027" s="2" t="s">
        <v>5136</v>
      </c>
      <c r="BY1027" s="2" t="s">
        <v>280</v>
      </c>
      <c r="BZ1027" s="2" t="s">
        <v>245</v>
      </c>
      <c r="CA1027" s="2" t="s">
        <v>5137</v>
      </c>
      <c r="CB1027" s="2" t="s">
        <v>233</v>
      </c>
      <c r="CC1027" s="2" t="s">
        <v>246</v>
      </c>
      <c r="CD1027" s="2" t="s">
        <v>233</v>
      </c>
      <c r="CE1027" s="4">
        <v>81</v>
      </c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>
        <v>152</v>
      </c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</row>
    <row r="1028">
      <c r="A1028" s="2" t="s">
        <v>5190</v>
      </c>
      <c r="B1028" s="2" t="s">
        <v>1174</v>
      </c>
      <c r="C1028" s="2" t="s">
        <v>530</v>
      </c>
      <c r="D1028" s="2" t="s">
        <v>1175</v>
      </c>
      <c r="E1028" s="2" t="s">
        <v>1448</v>
      </c>
      <c r="F1028" s="2" t="s">
        <v>5130</v>
      </c>
      <c r="G1028" s="2" t="s">
        <v>4831</v>
      </c>
      <c r="H1028" s="2" t="s">
        <v>5131</v>
      </c>
      <c r="I1028" s="2" t="s">
        <v>5132</v>
      </c>
      <c r="J1028" s="2" t="s">
        <v>1524</v>
      </c>
      <c r="K1028" s="2" t="s">
        <v>257</v>
      </c>
      <c r="L1028" s="3">
        <v>16</v>
      </c>
      <c r="M1028" s="3">
        <v>16.8</v>
      </c>
      <c r="N1028" s="3">
        <v>39.99</v>
      </c>
      <c r="O1028" s="2" t="s">
        <v>245</v>
      </c>
      <c r="P1028" s="2" t="s">
        <v>272</v>
      </c>
      <c r="Q1028" s="2" t="s">
        <v>239</v>
      </c>
      <c r="R1028" s="2" t="s">
        <v>233</v>
      </c>
      <c r="S1028" s="2" t="s">
        <v>5191</v>
      </c>
      <c r="T1028" s="2" t="s">
        <v>233</v>
      </c>
      <c r="U1028" s="2" t="s">
        <v>396</v>
      </c>
      <c r="V1028" s="2" t="s">
        <v>241</v>
      </c>
      <c r="W1028" s="2" t="s">
        <v>451</v>
      </c>
      <c r="X1028" s="2" t="s">
        <v>3129</v>
      </c>
      <c r="Y1028" s="2" t="s">
        <v>5146</v>
      </c>
      <c r="Z1028" s="4">
        <v>782</v>
      </c>
      <c r="AA1028" s="4">
        <f>=ROUNDDOWN(68.5964912280702,0)</f>
      </c>
      <c r="AB1028" s="5">
        <v>11.4</v>
      </c>
      <c r="AC1028" s="2" t="s">
        <v>813</v>
      </c>
      <c r="AD1028" s="4">
        <v>720</v>
      </c>
      <c r="AE1028" s="4">
        <v>720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233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233</v>
      </c>
      <c r="AW1028" s="8" t="s">
        <v>233</v>
      </c>
      <c r="AX1028" s="4" t="s">
        <v>233</v>
      </c>
      <c r="AY1028" s="8" t="s">
        <v>233</v>
      </c>
      <c r="AZ1028" s="7" t="s">
        <v>233</v>
      </c>
      <c r="BA1028" s="7" t="s">
        <v>233</v>
      </c>
      <c r="BB1028" s="7"/>
      <c r="BC1028" s="4" t="s">
        <v>233</v>
      </c>
      <c r="BD1028" s="8" t="s">
        <v>233</v>
      </c>
      <c r="BE1028" s="4" t="s">
        <v>233</v>
      </c>
      <c r="BF1028" s="8" t="s">
        <v>233</v>
      </c>
      <c r="BG1028" s="7" t="s">
        <v>233</v>
      </c>
      <c r="BH1028" s="7" t="s">
        <v>233</v>
      </c>
      <c r="BI1028" s="7"/>
      <c r="BJ1028" s="4">
        <v>46</v>
      </c>
      <c r="BK1028" s="8">
        <v>716.49</v>
      </c>
      <c r="BL1028" s="2" t="s">
        <v>5192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5193</v>
      </c>
      <c r="BV1028" s="2" t="s">
        <v>233</v>
      </c>
      <c r="BW1028" s="2" t="s">
        <v>233</v>
      </c>
      <c r="BX1028" s="2" t="s">
        <v>5136</v>
      </c>
      <c r="BY1028" s="2" t="s">
        <v>280</v>
      </c>
      <c r="BZ1028" s="2" t="s">
        <v>245</v>
      </c>
      <c r="CA1028" s="2" t="s">
        <v>5194</v>
      </c>
      <c r="CB1028" s="2" t="s">
        <v>5195</v>
      </c>
      <c r="CC1028" s="2" t="s">
        <v>246</v>
      </c>
      <c r="CD1028" s="2" t="s">
        <v>233</v>
      </c>
      <c r="CE1028" s="4">
        <v>782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>
        <v>720</v>
      </c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</row>
    <row r="1029">
      <c r="A1029" s="2" t="s">
        <v>5196</v>
      </c>
      <c r="B1029" s="2" t="s">
        <v>1174</v>
      </c>
      <c r="C1029" s="2" t="s">
        <v>530</v>
      </c>
      <c r="D1029" s="2" t="s">
        <v>1175</v>
      </c>
      <c r="E1029" s="2" t="s">
        <v>1448</v>
      </c>
      <c r="F1029" s="2" t="s">
        <v>5130</v>
      </c>
      <c r="G1029" s="2" t="s">
        <v>4831</v>
      </c>
      <c r="H1029" s="2" t="s">
        <v>5131</v>
      </c>
      <c r="I1029" s="2" t="s">
        <v>5132</v>
      </c>
      <c r="J1029" s="2" t="s">
        <v>5151</v>
      </c>
      <c r="K1029" s="2" t="s">
        <v>257</v>
      </c>
      <c r="L1029" s="3">
        <v>23.1</v>
      </c>
      <c r="M1029" s="3">
        <v>24.26</v>
      </c>
      <c r="N1029" s="3">
        <v>54.99</v>
      </c>
      <c r="O1029" s="2" t="s">
        <v>245</v>
      </c>
      <c r="P1029" s="2" t="s">
        <v>272</v>
      </c>
      <c r="Q1029" s="2" t="s">
        <v>239</v>
      </c>
      <c r="R1029" s="2" t="s">
        <v>233</v>
      </c>
      <c r="S1029" s="2" t="s">
        <v>5191</v>
      </c>
      <c r="T1029" s="2" t="s">
        <v>233</v>
      </c>
      <c r="U1029" s="2" t="s">
        <v>396</v>
      </c>
      <c r="V1029" s="2" t="s">
        <v>241</v>
      </c>
      <c r="W1029" s="2" t="s">
        <v>451</v>
      </c>
      <c r="X1029" s="2" t="s">
        <v>3129</v>
      </c>
      <c r="Y1029" s="2" t="s">
        <v>5146</v>
      </c>
      <c r="Z1029" s="4">
        <v>89</v>
      </c>
      <c r="AA1029" s="4">
        <f>=ROUNDDOWN(14.8333333333333,0)</f>
      </c>
      <c r="AB1029" s="5">
        <v>6</v>
      </c>
      <c r="AC1029" s="2" t="s">
        <v>813</v>
      </c>
      <c r="AD1029" s="4">
        <v>92</v>
      </c>
      <c r="AE1029" s="4">
        <v>92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233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233</v>
      </c>
      <c r="AW1029" s="8" t="s">
        <v>233</v>
      </c>
      <c r="AX1029" s="4" t="s">
        <v>233</v>
      </c>
      <c r="AY1029" s="8" t="s">
        <v>233</v>
      </c>
      <c r="AZ1029" s="7" t="s">
        <v>233</v>
      </c>
      <c r="BA1029" s="7" t="s">
        <v>233</v>
      </c>
      <c r="BB1029" s="7"/>
      <c r="BC1029" s="4" t="s">
        <v>233</v>
      </c>
      <c r="BD1029" s="8" t="s">
        <v>233</v>
      </c>
      <c r="BE1029" s="4" t="s">
        <v>233</v>
      </c>
      <c r="BF1029" s="8" t="s">
        <v>233</v>
      </c>
      <c r="BG1029" s="7" t="s">
        <v>233</v>
      </c>
      <c r="BH1029" s="7" t="s">
        <v>233</v>
      </c>
      <c r="BI1029" s="7"/>
      <c r="BJ1029" s="4">
        <v>4</v>
      </c>
      <c r="BK1029" s="8">
        <v>101.88</v>
      </c>
      <c r="BL1029" s="2" t="s">
        <v>1588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5197</v>
      </c>
      <c r="BV1029" s="2" t="s">
        <v>233</v>
      </c>
      <c r="BW1029" s="2" t="s">
        <v>233</v>
      </c>
      <c r="BX1029" s="2" t="s">
        <v>5136</v>
      </c>
      <c r="BY1029" s="2" t="s">
        <v>280</v>
      </c>
      <c r="BZ1029" s="2" t="s">
        <v>245</v>
      </c>
      <c r="CA1029" s="2" t="s">
        <v>5198</v>
      </c>
      <c r="CB1029" s="2" t="s">
        <v>5199</v>
      </c>
      <c r="CC1029" s="2" t="s">
        <v>246</v>
      </c>
      <c r="CD1029" s="2" t="s">
        <v>233</v>
      </c>
      <c r="CE1029" s="4">
        <v>89</v>
      </c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>
        <v>92</v>
      </c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</row>
    <row r="1030">
      <c r="A1030" s="2" t="s">
        <v>5200</v>
      </c>
      <c r="B1030" s="2" t="s">
        <v>1174</v>
      </c>
      <c r="C1030" s="2" t="s">
        <v>530</v>
      </c>
      <c r="D1030" s="2" t="s">
        <v>3304</v>
      </c>
      <c r="E1030" s="2" t="s">
        <v>3305</v>
      </c>
      <c r="F1030" s="2" t="s">
        <v>5130</v>
      </c>
      <c r="G1030" s="2" t="s">
        <v>4831</v>
      </c>
      <c r="H1030" s="2" t="s">
        <v>5131</v>
      </c>
      <c r="I1030" s="2" t="s">
        <v>5156</v>
      </c>
      <c r="J1030" s="2" t="s">
        <v>5157</v>
      </c>
      <c r="K1030" s="2" t="s">
        <v>5201</v>
      </c>
      <c r="L1030" s="3">
        <v>12.6</v>
      </c>
      <c r="M1030" s="3">
        <v>13.23</v>
      </c>
      <c r="N1030" s="3">
        <v>29.99</v>
      </c>
      <c r="O1030" s="2" t="s">
        <v>245</v>
      </c>
      <c r="P1030" s="2" t="s">
        <v>272</v>
      </c>
      <c r="Q1030" s="2" t="s">
        <v>239</v>
      </c>
      <c r="R1030" s="2" t="s">
        <v>233</v>
      </c>
      <c r="S1030" s="2" t="s">
        <v>5202</v>
      </c>
      <c r="T1030" s="2" t="s">
        <v>233</v>
      </c>
      <c r="U1030" s="2" t="s">
        <v>233</v>
      </c>
      <c r="V1030" s="2" t="s">
        <v>241</v>
      </c>
      <c r="W1030" s="2" t="s">
        <v>451</v>
      </c>
      <c r="X1030" s="2" t="s">
        <v>233</v>
      </c>
      <c r="Y1030" s="2" t="s">
        <v>5170</v>
      </c>
      <c r="Z1030" s="4">
        <v>359</v>
      </c>
      <c r="AA1030" s="4">
        <f>=ROUNDDOWN(31.7699115044248,0)</f>
      </c>
      <c r="AB1030" s="5">
        <v>11.3</v>
      </c>
      <c r="AC1030" s="2" t="s">
        <v>233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233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 t="s">
        <v>233</v>
      </c>
      <c r="BD1030" s="8" t="s">
        <v>233</v>
      </c>
      <c r="BE1030" s="4" t="s">
        <v>233</v>
      </c>
      <c r="BF1030" s="8" t="s">
        <v>233</v>
      </c>
      <c r="BG1030" s="7" t="s">
        <v>233</v>
      </c>
      <c r="BH1030" s="7" t="s">
        <v>233</v>
      </c>
      <c r="BI1030" s="7"/>
      <c r="BJ1030" s="4">
        <v>22</v>
      </c>
      <c r="BK1030" s="8">
        <v>331.68</v>
      </c>
      <c r="BL1030" s="2" t="s">
        <v>5203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5204</v>
      </c>
      <c r="BV1030" s="2" t="s">
        <v>233</v>
      </c>
      <c r="BW1030" s="2" t="s">
        <v>233</v>
      </c>
      <c r="BX1030" s="2" t="s">
        <v>233</v>
      </c>
      <c r="BY1030" s="2" t="s">
        <v>280</v>
      </c>
      <c r="BZ1030" s="2" t="s">
        <v>245</v>
      </c>
      <c r="CA1030" s="2" t="s">
        <v>1474</v>
      </c>
      <c r="CB1030" s="2" t="s">
        <v>4946</v>
      </c>
      <c r="CC1030" s="2" t="s">
        <v>246</v>
      </c>
      <c r="CD1030" s="2" t="s">
        <v>233</v>
      </c>
      <c r="CE1030" s="4">
        <v>359</v>
      </c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</row>
    <row r="1031">
      <c r="A1031" s="2" t="s">
        <v>5205</v>
      </c>
      <c r="B1031" s="2" t="s">
        <v>1174</v>
      </c>
      <c r="C1031" s="2" t="s">
        <v>530</v>
      </c>
      <c r="D1031" s="2" t="s">
        <v>1175</v>
      </c>
      <c r="E1031" s="2" t="s">
        <v>1448</v>
      </c>
      <c r="F1031" s="2" t="s">
        <v>5130</v>
      </c>
      <c r="G1031" s="2" t="s">
        <v>4831</v>
      </c>
      <c r="H1031" s="2" t="s">
        <v>5131</v>
      </c>
      <c r="I1031" s="2" t="s">
        <v>5132</v>
      </c>
      <c r="J1031" s="2" t="s">
        <v>1453</v>
      </c>
      <c r="K1031" s="2" t="s">
        <v>590</v>
      </c>
      <c r="L1031" s="3">
        <v>21</v>
      </c>
      <c r="M1031" s="3">
        <v>22.05</v>
      </c>
      <c r="N1031" s="3">
        <v>49.99</v>
      </c>
      <c r="O1031" s="2" t="s">
        <v>245</v>
      </c>
      <c r="P1031" s="2" t="s">
        <v>311</v>
      </c>
      <c r="Q1031" s="2" t="s">
        <v>239</v>
      </c>
      <c r="R1031" s="2" t="s">
        <v>233</v>
      </c>
      <c r="S1031" s="2" t="s">
        <v>5206</v>
      </c>
      <c r="T1031" s="2" t="s">
        <v>233</v>
      </c>
      <c r="U1031" s="2" t="s">
        <v>396</v>
      </c>
      <c r="V1031" s="2" t="s">
        <v>241</v>
      </c>
      <c r="W1031" s="2" t="s">
        <v>451</v>
      </c>
      <c r="X1031" s="2" t="s">
        <v>3129</v>
      </c>
      <c r="Y1031" s="2" t="s">
        <v>276</v>
      </c>
      <c r="Z1031" s="4">
        <v>206</v>
      </c>
      <c r="AA1031" s="4">
        <f>=ROUNDDOWN(43.8297872340426,0)</f>
      </c>
      <c r="AB1031" s="5">
        <v>4.7</v>
      </c>
      <c r="AC1031" s="2" t="s">
        <v>233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233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233</v>
      </c>
      <c r="AW1031" s="8" t="s">
        <v>233</v>
      </c>
      <c r="AX1031" s="4" t="s">
        <v>233</v>
      </c>
      <c r="AY1031" s="8" t="s">
        <v>233</v>
      </c>
      <c r="AZ1031" s="7" t="s">
        <v>233</v>
      </c>
      <c r="BA1031" s="7" t="s">
        <v>233</v>
      </c>
      <c r="BB1031" s="7"/>
      <c r="BC1031" s="4" t="s">
        <v>233</v>
      </c>
      <c r="BD1031" s="8" t="s">
        <v>233</v>
      </c>
      <c r="BE1031" s="4" t="s">
        <v>233</v>
      </c>
      <c r="BF1031" s="8" t="s">
        <v>233</v>
      </c>
      <c r="BG1031" s="7" t="s">
        <v>233</v>
      </c>
      <c r="BH1031" s="7" t="s">
        <v>233</v>
      </c>
      <c r="BI1031" s="7"/>
      <c r="BJ1031" s="4">
        <v>22</v>
      </c>
      <c r="BK1031" s="8">
        <v>432.2</v>
      </c>
      <c r="BL1031" s="2" t="s">
        <v>1948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5207</v>
      </c>
      <c r="BV1031" s="2" t="s">
        <v>233</v>
      </c>
      <c r="BW1031" s="2" t="s">
        <v>233</v>
      </c>
      <c r="BX1031" s="2" t="s">
        <v>595</v>
      </c>
      <c r="BY1031" s="2" t="s">
        <v>280</v>
      </c>
      <c r="BZ1031" s="2" t="s">
        <v>245</v>
      </c>
      <c r="CA1031" s="2" t="s">
        <v>2632</v>
      </c>
      <c r="CB1031" s="2" t="s">
        <v>4040</v>
      </c>
      <c r="CC1031" s="2" t="s">
        <v>246</v>
      </c>
      <c r="CD1031" s="2" t="s">
        <v>233</v>
      </c>
      <c r="CE1031" s="4">
        <v>206</v>
      </c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</row>
    <row r="1032">
      <c r="A1032" s="2" t="s">
        <v>5208</v>
      </c>
      <c r="B1032" s="2" t="s">
        <v>1174</v>
      </c>
      <c r="C1032" s="2" t="s">
        <v>530</v>
      </c>
      <c r="D1032" s="2" t="s">
        <v>1175</v>
      </c>
      <c r="E1032" s="2" t="s">
        <v>1448</v>
      </c>
      <c r="F1032" s="2" t="s">
        <v>5130</v>
      </c>
      <c r="G1032" s="2" t="s">
        <v>4831</v>
      </c>
      <c r="H1032" s="2" t="s">
        <v>5131</v>
      </c>
      <c r="I1032" s="2" t="s">
        <v>5132</v>
      </c>
      <c r="J1032" s="2" t="s">
        <v>5151</v>
      </c>
      <c r="K1032" s="2" t="s">
        <v>590</v>
      </c>
      <c r="L1032" s="3">
        <v>23.1</v>
      </c>
      <c r="M1032" s="3">
        <v>24.26</v>
      </c>
      <c r="N1032" s="3">
        <v>54.99</v>
      </c>
      <c r="O1032" s="2" t="s">
        <v>245</v>
      </c>
      <c r="P1032" s="2" t="s">
        <v>311</v>
      </c>
      <c r="Q1032" s="2" t="s">
        <v>239</v>
      </c>
      <c r="R1032" s="2" t="s">
        <v>233</v>
      </c>
      <c r="S1032" s="2" t="s">
        <v>5206</v>
      </c>
      <c r="T1032" s="2" t="s">
        <v>233</v>
      </c>
      <c r="U1032" s="2" t="s">
        <v>396</v>
      </c>
      <c r="V1032" s="2" t="s">
        <v>241</v>
      </c>
      <c r="W1032" s="2" t="s">
        <v>451</v>
      </c>
      <c r="X1032" s="2" t="s">
        <v>3129</v>
      </c>
      <c r="Y1032" s="2" t="s">
        <v>276</v>
      </c>
      <c r="Z1032" s="4">
        <v>96</v>
      </c>
      <c r="AA1032" s="4">
        <f>=ROUNDDOWN(80,0)</f>
      </c>
      <c r="AB1032" s="5">
        <v>1.2</v>
      </c>
      <c r="AC1032" s="2" t="s">
        <v>233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233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233</v>
      </c>
      <c r="AW1032" s="8" t="s">
        <v>233</v>
      </c>
      <c r="AX1032" s="4" t="s">
        <v>233</v>
      </c>
      <c r="AY1032" s="8" t="s">
        <v>233</v>
      </c>
      <c r="AZ1032" s="7" t="s">
        <v>233</v>
      </c>
      <c r="BA1032" s="7" t="s">
        <v>233</v>
      </c>
      <c r="BB1032" s="7"/>
      <c r="BC1032" s="4" t="s">
        <v>233</v>
      </c>
      <c r="BD1032" s="8" t="s">
        <v>233</v>
      </c>
      <c r="BE1032" s="4" t="s">
        <v>233</v>
      </c>
      <c r="BF1032" s="8" t="s">
        <v>233</v>
      </c>
      <c r="BG1032" s="7" t="s">
        <v>233</v>
      </c>
      <c r="BH1032" s="7" t="s">
        <v>233</v>
      </c>
      <c r="BI1032" s="7"/>
      <c r="BJ1032" s="4">
        <v>3</v>
      </c>
      <c r="BK1032" s="8">
        <v>79.15</v>
      </c>
      <c r="BL1032" s="2" t="s">
        <v>5209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5210</v>
      </c>
      <c r="BV1032" s="2" t="s">
        <v>233</v>
      </c>
      <c r="BW1032" s="2" t="s">
        <v>233</v>
      </c>
      <c r="BX1032" s="2" t="s">
        <v>595</v>
      </c>
      <c r="BY1032" s="2" t="s">
        <v>280</v>
      </c>
      <c r="BZ1032" s="2" t="s">
        <v>245</v>
      </c>
      <c r="CA1032" s="2" t="s">
        <v>2632</v>
      </c>
      <c r="CB1032" s="2" t="s">
        <v>5211</v>
      </c>
      <c r="CC1032" s="2" t="s">
        <v>246</v>
      </c>
      <c r="CD1032" s="2" t="s">
        <v>233</v>
      </c>
      <c r="CE1032" s="4">
        <v>96</v>
      </c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</row>
    <row r="1033">
      <c r="A1033" s="2" t="s">
        <v>5212</v>
      </c>
      <c r="B1033" s="2" t="s">
        <v>1174</v>
      </c>
      <c r="C1033" s="2" t="s">
        <v>530</v>
      </c>
      <c r="D1033" s="2" t="s">
        <v>3304</v>
      </c>
      <c r="E1033" s="2" t="s">
        <v>3305</v>
      </c>
      <c r="F1033" s="2" t="s">
        <v>5130</v>
      </c>
      <c r="G1033" s="2" t="s">
        <v>4831</v>
      </c>
      <c r="H1033" s="2" t="s">
        <v>5131</v>
      </c>
      <c r="I1033" s="2" t="s">
        <v>5156</v>
      </c>
      <c r="J1033" s="2" t="s">
        <v>5157</v>
      </c>
      <c r="K1033" s="2" t="s">
        <v>590</v>
      </c>
      <c r="L1033" s="3">
        <v>12.6</v>
      </c>
      <c r="M1033" s="3">
        <v>13.23</v>
      </c>
      <c r="N1033" s="3">
        <v>29.99</v>
      </c>
      <c r="O1033" s="2" t="s">
        <v>245</v>
      </c>
      <c r="P1033" s="2" t="s">
        <v>311</v>
      </c>
      <c r="Q1033" s="2" t="s">
        <v>239</v>
      </c>
      <c r="R1033" s="2" t="s">
        <v>233</v>
      </c>
      <c r="S1033" s="2" t="s">
        <v>5206</v>
      </c>
      <c r="T1033" s="2" t="s">
        <v>233</v>
      </c>
      <c r="U1033" s="2" t="s">
        <v>233</v>
      </c>
      <c r="V1033" s="2" t="s">
        <v>241</v>
      </c>
      <c r="W1033" s="2" t="s">
        <v>451</v>
      </c>
      <c r="X1033" s="2" t="s">
        <v>233</v>
      </c>
      <c r="Y1033" s="2" t="s">
        <v>5170</v>
      </c>
      <c r="Z1033" s="4">
        <v>63</v>
      </c>
      <c r="AA1033" s="4">
        <f>=ROUNDDOWN(10.8620689655172,0)</f>
      </c>
      <c r="AB1033" s="5">
        <v>5.8</v>
      </c>
      <c r="AC1033" s="2" t="s">
        <v>233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233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233</v>
      </c>
      <c r="AW1033" s="8" t="s">
        <v>233</v>
      </c>
      <c r="AX1033" s="4" t="s">
        <v>233</v>
      </c>
      <c r="AY1033" s="8" t="s">
        <v>233</v>
      </c>
      <c r="AZ1033" s="7" t="s">
        <v>233</v>
      </c>
      <c r="BA1033" s="7" t="s">
        <v>233</v>
      </c>
      <c r="BB1033" s="7"/>
      <c r="BC1033" s="4" t="s">
        <v>233</v>
      </c>
      <c r="BD1033" s="8" t="s">
        <v>233</v>
      </c>
      <c r="BE1033" s="4" t="s">
        <v>233</v>
      </c>
      <c r="BF1033" s="8" t="s">
        <v>233</v>
      </c>
      <c r="BG1033" s="7" t="s">
        <v>233</v>
      </c>
      <c r="BH1033" s="7" t="s">
        <v>233</v>
      </c>
      <c r="BI1033" s="7"/>
      <c r="BJ1033" s="4">
        <v>8</v>
      </c>
      <c r="BK1033" s="8">
        <v>106.29</v>
      </c>
      <c r="BL1033" s="2" t="s">
        <v>5213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5214</v>
      </c>
      <c r="BV1033" s="2" t="s">
        <v>233</v>
      </c>
      <c r="BW1033" s="2" t="s">
        <v>233</v>
      </c>
      <c r="BX1033" s="2" t="s">
        <v>233</v>
      </c>
      <c r="BY1033" s="2" t="s">
        <v>280</v>
      </c>
      <c r="BZ1033" s="2" t="s">
        <v>245</v>
      </c>
      <c r="CA1033" s="2" t="s">
        <v>1474</v>
      </c>
      <c r="CB1033" s="2" t="s">
        <v>5215</v>
      </c>
      <c r="CC1033" s="2" t="s">
        <v>246</v>
      </c>
      <c r="CD1033" s="2" t="s">
        <v>233</v>
      </c>
      <c r="CE1033" s="4">
        <v>63</v>
      </c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</row>
    <row r="1034">
      <c r="A1034" s="2" t="s">
        <v>5216</v>
      </c>
      <c r="B1034" s="2" t="s">
        <v>1174</v>
      </c>
      <c r="C1034" s="2" t="s">
        <v>530</v>
      </c>
      <c r="D1034" s="2" t="s">
        <v>1175</v>
      </c>
      <c r="E1034" s="2" t="s">
        <v>1448</v>
      </c>
      <c r="F1034" s="2" t="s">
        <v>5130</v>
      </c>
      <c r="G1034" s="2" t="s">
        <v>4831</v>
      </c>
      <c r="H1034" s="2" t="s">
        <v>5131</v>
      </c>
      <c r="I1034" s="2" t="s">
        <v>5132</v>
      </c>
      <c r="J1034" s="2" t="s">
        <v>5151</v>
      </c>
      <c r="K1034" s="2" t="s">
        <v>525</v>
      </c>
      <c r="L1034" s="3">
        <v>23.1</v>
      </c>
      <c r="M1034" s="3">
        <v>24.26</v>
      </c>
      <c r="N1034" s="3">
        <v>54.99</v>
      </c>
      <c r="O1034" s="2" t="s">
        <v>245</v>
      </c>
      <c r="P1034" s="2" t="s">
        <v>272</v>
      </c>
      <c r="Q1034" s="2" t="s">
        <v>239</v>
      </c>
      <c r="R1034" s="2" t="s">
        <v>233</v>
      </c>
      <c r="S1034" s="2" t="s">
        <v>5043</v>
      </c>
      <c r="T1034" s="2" t="s">
        <v>233</v>
      </c>
      <c r="U1034" s="2" t="s">
        <v>396</v>
      </c>
      <c r="V1034" s="2" t="s">
        <v>241</v>
      </c>
      <c r="W1034" s="2" t="s">
        <v>451</v>
      </c>
      <c r="X1034" s="2" t="s">
        <v>3129</v>
      </c>
      <c r="Y1034" s="2" t="s">
        <v>5146</v>
      </c>
      <c r="Z1034" s="4">
        <v>185</v>
      </c>
      <c r="AA1034" s="4">
        <f>=ROUNDDOWN(26.4285714285714,0)</f>
      </c>
      <c r="AB1034" s="5">
        <v>7</v>
      </c>
      <c r="AC1034" s="2" t="s">
        <v>1514</v>
      </c>
      <c r="AD1034" s="4">
        <v>52</v>
      </c>
      <c r="AE1034" s="4">
        <v>52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233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233</v>
      </c>
      <c r="BD1034" s="8" t="s">
        <v>233</v>
      </c>
      <c r="BE1034" s="4" t="s">
        <v>233</v>
      </c>
      <c r="BF1034" s="8" t="s">
        <v>233</v>
      </c>
      <c r="BG1034" s="7" t="s">
        <v>233</v>
      </c>
      <c r="BH1034" s="7" t="s">
        <v>233</v>
      </c>
      <c r="BI1034" s="7"/>
      <c r="BJ1034" s="4">
        <v>8</v>
      </c>
      <c r="BK1034" s="8">
        <v>225.96</v>
      </c>
      <c r="BL1034" s="2" t="s">
        <v>1023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5217</v>
      </c>
      <c r="BV1034" s="2" t="s">
        <v>233</v>
      </c>
      <c r="BW1034" s="2" t="s">
        <v>233</v>
      </c>
      <c r="BX1034" s="2" t="s">
        <v>5136</v>
      </c>
      <c r="BY1034" s="2" t="s">
        <v>280</v>
      </c>
      <c r="BZ1034" s="2" t="s">
        <v>245</v>
      </c>
      <c r="CA1034" s="2" t="s">
        <v>5194</v>
      </c>
      <c r="CB1034" s="2" t="s">
        <v>4296</v>
      </c>
      <c r="CC1034" s="2" t="s">
        <v>246</v>
      </c>
      <c r="CD1034" s="2" t="s">
        <v>233</v>
      </c>
      <c r="CE1034" s="4">
        <v>185</v>
      </c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>
        <v>52</v>
      </c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</row>
    <row r="1035">
      <c r="A1035" s="2" t="s">
        <v>5218</v>
      </c>
      <c r="B1035" s="2" t="s">
        <v>1174</v>
      </c>
      <c r="C1035" s="2" t="s">
        <v>530</v>
      </c>
      <c r="D1035" s="2" t="s">
        <v>1175</v>
      </c>
      <c r="E1035" s="2" t="s">
        <v>1448</v>
      </c>
      <c r="F1035" s="2" t="s">
        <v>5130</v>
      </c>
      <c r="G1035" s="2" t="s">
        <v>4831</v>
      </c>
      <c r="H1035" s="2" t="s">
        <v>5131</v>
      </c>
      <c r="I1035" s="2" t="s">
        <v>5132</v>
      </c>
      <c r="J1035" s="2" t="s">
        <v>1453</v>
      </c>
      <c r="K1035" s="2" t="s">
        <v>1117</v>
      </c>
      <c r="L1035" s="3">
        <v>21</v>
      </c>
      <c r="M1035" s="3">
        <v>22.05</v>
      </c>
      <c r="N1035" s="3">
        <v>49.99</v>
      </c>
      <c r="O1035" s="2" t="s">
        <v>245</v>
      </c>
      <c r="P1035" s="2" t="s">
        <v>311</v>
      </c>
      <c r="Q1035" s="2" t="s">
        <v>239</v>
      </c>
      <c r="R1035" s="2" t="s">
        <v>233</v>
      </c>
      <c r="S1035" s="2" t="s">
        <v>5219</v>
      </c>
      <c r="T1035" s="2" t="s">
        <v>233</v>
      </c>
      <c r="U1035" s="2" t="s">
        <v>396</v>
      </c>
      <c r="V1035" s="2" t="s">
        <v>241</v>
      </c>
      <c r="W1035" s="2" t="s">
        <v>451</v>
      </c>
      <c r="X1035" s="2" t="s">
        <v>233</v>
      </c>
      <c r="Y1035" s="2" t="s">
        <v>276</v>
      </c>
      <c r="Z1035" s="4">
        <v>110</v>
      </c>
      <c r="AA1035" s="4">
        <f>=ROUNDDOWN(52.3809523809524,0)</f>
      </c>
      <c r="AB1035" s="5">
        <v>2.1</v>
      </c>
      <c r="AC1035" s="2" t="s">
        <v>233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233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233</v>
      </c>
      <c r="BD1035" s="8" t="s">
        <v>233</v>
      </c>
      <c r="BE1035" s="4" t="s">
        <v>233</v>
      </c>
      <c r="BF1035" s="8" t="s">
        <v>233</v>
      </c>
      <c r="BG1035" s="7" t="s">
        <v>233</v>
      </c>
      <c r="BH1035" s="7" t="s">
        <v>233</v>
      </c>
      <c r="BI1035" s="7"/>
      <c r="BJ1035" s="4">
        <v>5</v>
      </c>
      <c r="BK1035" s="8">
        <v>107.23</v>
      </c>
      <c r="BL1035" s="2" t="s">
        <v>5220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5221</v>
      </c>
      <c r="BV1035" s="2" t="s">
        <v>233</v>
      </c>
      <c r="BW1035" s="2" t="s">
        <v>233</v>
      </c>
      <c r="BX1035" s="2" t="s">
        <v>595</v>
      </c>
      <c r="BY1035" s="2" t="s">
        <v>280</v>
      </c>
      <c r="BZ1035" s="2" t="s">
        <v>245</v>
      </c>
      <c r="CA1035" s="2" t="s">
        <v>281</v>
      </c>
      <c r="CB1035" s="2" t="s">
        <v>5222</v>
      </c>
      <c r="CC1035" s="2" t="s">
        <v>246</v>
      </c>
      <c r="CD1035" s="2" t="s">
        <v>233</v>
      </c>
      <c r="CE1035" s="4">
        <v>110</v>
      </c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</row>
    <row r="1036">
      <c r="A1036" s="2" t="s">
        <v>5223</v>
      </c>
      <c r="B1036" s="2" t="s">
        <v>1174</v>
      </c>
      <c r="C1036" s="2" t="s">
        <v>530</v>
      </c>
      <c r="D1036" s="2" t="s">
        <v>1175</v>
      </c>
      <c r="E1036" s="2" t="s">
        <v>1448</v>
      </c>
      <c r="F1036" s="2" t="s">
        <v>5130</v>
      </c>
      <c r="G1036" s="2" t="s">
        <v>4831</v>
      </c>
      <c r="H1036" s="2" t="s">
        <v>5131</v>
      </c>
      <c r="I1036" s="2" t="s">
        <v>5132</v>
      </c>
      <c r="J1036" s="2" t="s">
        <v>1490</v>
      </c>
      <c r="K1036" s="2" t="s">
        <v>620</v>
      </c>
      <c r="L1036" s="3">
        <v>17.1</v>
      </c>
      <c r="M1036" s="3">
        <v>17.96</v>
      </c>
      <c r="N1036" s="3">
        <v>44.99</v>
      </c>
      <c r="O1036" s="2" t="s">
        <v>245</v>
      </c>
      <c r="P1036" s="2" t="s">
        <v>311</v>
      </c>
      <c r="Q1036" s="2" t="s">
        <v>239</v>
      </c>
      <c r="R1036" s="2" t="s">
        <v>233</v>
      </c>
      <c r="S1036" s="2" t="s">
        <v>5224</v>
      </c>
      <c r="T1036" s="2" t="s">
        <v>233</v>
      </c>
      <c r="U1036" s="2" t="s">
        <v>396</v>
      </c>
      <c r="V1036" s="2" t="s">
        <v>241</v>
      </c>
      <c r="W1036" s="2" t="s">
        <v>451</v>
      </c>
      <c r="X1036" s="2" t="s">
        <v>233</v>
      </c>
      <c r="Y1036" s="2" t="s">
        <v>276</v>
      </c>
      <c r="Z1036" s="4"/>
      <c r="AA1036" s="4">
        <f>=ROUNDDOWN({0},0)</f>
      </c>
      <c r="AB1036" s="5">
        <v>7</v>
      </c>
      <c r="AC1036" s="2" t="s">
        <v>233</v>
      </c>
      <c r="AD1036" s="4"/>
      <c r="AE1036" s="4"/>
      <c r="AF1036" s="6">
        <v>65</v>
      </c>
      <c r="AG1036" s="6"/>
      <c r="AH1036" s="7">
        <v>0.2258</v>
      </c>
      <c r="AI1036" s="4"/>
      <c r="AJ1036" s="4">
        <f>=ROUNDDOWN({0},0)</f>
      </c>
      <c r="AK1036" s="5"/>
      <c r="AL1036" s="2" t="s">
        <v>233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233</v>
      </c>
      <c r="AW1036" s="8" t="s">
        <v>233</v>
      </c>
      <c r="AX1036" s="4" t="s">
        <v>233</v>
      </c>
      <c r="AY1036" s="8" t="s">
        <v>233</v>
      </c>
      <c r="AZ1036" s="7" t="s">
        <v>233</v>
      </c>
      <c r="BA1036" s="7" t="s">
        <v>233</v>
      </c>
      <c r="BB1036" s="7"/>
      <c r="BC1036" s="4" t="s">
        <v>233</v>
      </c>
      <c r="BD1036" s="8" t="s">
        <v>233</v>
      </c>
      <c r="BE1036" s="4" t="s">
        <v>233</v>
      </c>
      <c r="BF1036" s="8" t="s">
        <v>233</v>
      </c>
      <c r="BG1036" s="7" t="s">
        <v>233</v>
      </c>
      <c r="BH1036" s="7" t="s">
        <v>233</v>
      </c>
      <c r="BI1036" s="7"/>
      <c r="BJ1036" s="4">
        <v>4</v>
      </c>
      <c r="BK1036" s="8">
        <v>59.16</v>
      </c>
      <c r="BL1036" s="2" t="s">
        <v>5225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5226</v>
      </c>
      <c r="BV1036" s="2" t="s">
        <v>233</v>
      </c>
      <c r="BW1036" s="2" t="s">
        <v>233</v>
      </c>
      <c r="BX1036" s="2" t="s">
        <v>595</v>
      </c>
      <c r="BY1036" s="2" t="s">
        <v>280</v>
      </c>
      <c r="BZ1036" s="2" t="s">
        <v>245</v>
      </c>
      <c r="CA1036" s="2" t="s">
        <v>281</v>
      </c>
      <c r="CB1036" s="2" t="s">
        <v>610</v>
      </c>
      <c r="CC1036" s="2" t="s">
        <v>246</v>
      </c>
      <c r="CD1036" s="2" t="s">
        <v>233</v>
      </c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</row>
    <row r="1037">
      <c r="A1037" s="2" t="s">
        <v>5227</v>
      </c>
      <c r="B1037" s="2" t="s">
        <v>1174</v>
      </c>
      <c r="C1037" s="2" t="s">
        <v>530</v>
      </c>
      <c r="D1037" s="2" t="s">
        <v>1175</v>
      </c>
      <c r="E1037" s="2" t="s">
        <v>1448</v>
      </c>
      <c r="F1037" s="2" t="s">
        <v>5130</v>
      </c>
      <c r="G1037" s="2" t="s">
        <v>4831</v>
      </c>
      <c r="H1037" s="2" t="s">
        <v>5131</v>
      </c>
      <c r="I1037" s="2" t="s">
        <v>5132</v>
      </c>
      <c r="J1037" s="2" t="s">
        <v>1453</v>
      </c>
      <c r="K1037" s="2" t="s">
        <v>620</v>
      </c>
      <c r="L1037" s="3">
        <v>21</v>
      </c>
      <c r="M1037" s="3">
        <v>22.05</v>
      </c>
      <c r="N1037" s="3">
        <v>49.99</v>
      </c>
      <c r="O1037" s="2" t="s">
        <v>245</v>
      </c>
      <c r="P1037" s="2" t="s">
        <v>311</v>
      </c>
      <c r="Q1037" s="2" t="s">
        <v>239</v>
      </c>
      <c r="R1037" s="2" t="s">
        <v>233</v>
      </c>
      <c r="S1037" s="2" t="s">
        <v>5224</v>
      </c>
      <c r="T1037" s="2" t="s">
        <v>233</v>
      </c>
      <c r="U1037" s="2" t="s">
        <v>396</v>
      </c>
      <c r="V1037" s="2" t="s">
        <v>241</v>
      </c>
      <c r="W1037" s="2" t="s">
        <v>451</v>
      </c>
      <c r="X1037" s="2" t="s">
        <v>233</v>
      </c>
      <c r="Y1037" s="2" t="s">
        <v>276</v>
      </c>
      <c r="Z1037" s="4">
        <v>18</v>
      </c>
      <c r="AA1037" s="4">
        <f>=ROUNDDOWN(4.5,0)</f>
      </c>
      <c r="AB1037" s="5">
        <v>4</v>
      </c>
      <c r="AC1037" s="2" t="s">
        <v>233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233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233</v>
      </c>
      <c r="AW1037" s="8" t="s">
        <v>233</v>
      </c>
      <c r="AX1037" s="4" t="s">
        <v>233</v>
      </c>
      <c r="AY1037" s="8" t="s">
        <v>233</v>
      </c>
      <c r="AZ1037" s="7" t="s">
        <v>233</v>
      </c>
      <c r="BA1037" s="7" t="s">
        <v>233</v>
      </c>
      <c r="BB1037" s="7"/>
      <c r="BC1037" s="4" t="s">
        <v>233</v>
      </c>
      <c r="BD1037" s="8" t="s">
        <v>233</v>
      </c>
      <c r="BE1037" s="4" t="s">
        <v>233</v>
      </c>
      <c r="BF1037" s="8" t="s">
        <v>233</v>
      </c>
      <c r="BG1037" s="7" t="s">
        <v>233</v>
      </c>
      <c r="BH1037" s="7" t="s">
        <v>233</v>
      </c>
      <c r="BI1037" s="7"/>
      <c r="BJ1037" s="4">
        <v>17</v>
      </c>
      <c r="BK1037" s="8">
        <v>295.63</v>
      </c>
      <c r="BL1037" s="2" t="s">
        <v>5228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5229</v>
      </c>
      <c r="BV1037" s="2" t="s">
        <v>233</v>
      </c>
      <c r="BW1037" s="2" t="s">
        <v>233</v>
      </c>
      <c r="BX1037" s="2" t="s">
        <v>595</v>
      </c>
      <c r="BY1037" s="2" t="s">
        <v>280</v>
      </c>
      <c r="BZ1037" s="2" t="s">
        <v>245</v>
      </c>
      <c r="CA1037" s="2" t="s">
        <v>281</v>
      </c>
      <c r="CB1037" s="2" t="s">
        <v>5230</v>
      </c>
      <c r="CC1037" s="2" t="s">
        <v>246</v>
      </c>
      <c r="CD1037" s="2" t="s">
        <v>233</v>
      </c>
      <c r="CE1037" s="4">
        <v>18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</row>
    <row r="1038">
      <c r="A1038" s="2" t="s">
        <v>5231</v>
      </c>
      <c r="B1038" s="2" t="s">
        <v>1174</v>
      </c>
      <c r="C1038" s="2" t="s">
        <v>530</v>
      </c>
      <c r="D1038" s="2" t="s">
        <v>1175</v>
      </c>
      <c r="E1038" s="2" t="s">
        <v>1448</v>
      </c>
      <c r="F1038" s="2" t="s">
        <v>5130</v>
      </c>
      <c r="G1038" s="2" t="s">
        <v>4831</v>
      </c>
      <c r="H1038" s="2" t="s">
        <v>5131</v>
      </c>
      <c r="I1038" s="2" t="s">
        <v>5132</v>
      </c>
      <c r="J1038" s="2" t="s">
        <v>5151</v>
      </c>
      <c r="K1038" s="2" t="s">
        <v>297</v>
      </c>
      <c r="L1038" s="3">
        <v>23.1</v>
      </c>
      <c r="M1038" s="3">
        <v>24.26</v>
      </c>
      <c r="N1038" s="3">
        <v>54.99</v>
      </c>
      <c r="O1038" s="2" t="s">
        <v>245</v>
      </c>
      <c r="P1038" s="2" t="s">
        <v>741</v>
      </c>
      <c r="Q1038" s="2" t="s">
        <v>239</v>
      </c>
      <c r="R1038" s="2" t="s">
        <v>233</v>
      </c>
      <c r="S1038" s="2" t="s">
        <v>5232</v>
      </c>
      <c r="T1038" s="2" t="s">
        <v>233</v>
      </c>
      <c r="U1038" s="2" t="s">
        <v>396</v>
      </c>
      <c r="V1038" s="2" t="s">
        <v>241</v>
      </c>
      <c r="W1038" s="2" t="s">
        <v>451</v>
      </c>
      <c r="X1038" s="2" t="s">
        <v>3129</v>
      </c>
      <c r="Y1038" s="2" t="s">
        <v>276</v>
      </c>
      <c r="Z1038" s="4">
        <v>348</v>
      </c>
      <c r="AA1038" s="4">
        <f>=ROUNDDOWN(34.8,0)</f>
      </c>
      <c r="AB1038" s="5">
        <v>10</v>
      </c>
      <c r="AC1038" s="2" t="s">
        <v>1492</v>
      </c>
      <c r="AD1038" s="4">
        <v>96</v>
      </c>
      <c r="AE1038" s="4">
        <v>384</v>
      </c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233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 t="s">
        <v>233</v>
      </c>
      <c r="BD1038" s="8" t="s">
        <v>233</v>
      </c>
      <c r="BE1038" s="4" t="s">
        <v>233</v>
      </c>
      <c r="BF1038" s="8" t="s">
        <v>233</v>
      </c>
      <c r="BG1038" s="7" t="s">
        <v>233</v>
      </c>
      <c r="BH1038" s="7" t="s">
        <v>233</v>
      </c>
      <c r="BI1038" s="7"/>
      <c r="BJ1038" s="4">
        <v>32</v>
      </c>
      <c r="BK1038" s="8">
        <v>739.92</v>
      </c>
      <c r="BL1038" s="2" t="s">
        <v>5233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5234</v>
      </c>
      <c r="BV1038" s="2" t="s">
        <v>233</v>
      </c>
      <c r="BW1038" s="2" t="s">
        <v>233</v>
      </c>
      <c r="BX1038" s="2" t="s">
        <v>5136</v>
      </c>
      <c r="BY1038" s="2" t="s">
        <v>280</v>
      </c>
      <c r="BZ1038" s="2" t="s">
        <v>245</v>
      </c>
      <c r="CA1038" s="2" t="s">
        <v>2632</v>
      </c>
      <c r="CB1038" s="2" t="s">
        <v>4494</v>
      </c>
      <c r="CC1038" s="2" t="s">
        <v>246</v>
      </c>
      <c r="CD1038" s="2" t="s">
        <v>233</v>
      </c>
      <c r="CE1038" s="4">
        <v>348</v>
      </c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>
        <v>96</v>
      </c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>
        <v>84</v>
      </c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>
        <v>204</v>
      </c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</row>
    <row r="1039">
      <c r="A1039" s="2" t="s">
        <v>5235</v>
      </c>
      <c r="B1039" s="2" t="s">
        <v>228</v>
      </c>
      <c r="C1039" s="2" t="s">
        <v>1335</v>
      </c>
      <c r="D1039" s="2" t="s">
        <v>969</v>
      </c>
      <c r="E1039" s="2" t="s">
        <v>1078</v>
      </c>
      <c r="F1039" s="2" t="s">
        <v>5236</v>
      </c>
      <c r="G1039" s="2" t="s">
        <v>5236</v>
      </c>
      <c r="H1039" s="2" t="s">
        <v>5236</v>
      </c>
      <c r="I1039" s="2" t="s">
        <v>5237</v>
      </c>
      <c r="J1039" s="2" t="s">
        <v>981</v>
      </c>
      <c r="K1039" s="2" t="s">
        <v>1561</v>
      </c>
      <c r="L1039" s="3">
        <v>28.57</v>
      </c>
      <c r="M1039" s="3">
        <v>30</v>
      </c>
      <c r="N1039" s="3">
        <v>59.99</v>
      </c>
      <c r="O1039" s="2" t="s">
        <v>245</v>
      </c>
      <c r="P1039" s="2" t="s">
        <v>311</v>
      </c>
      <c r="Q1039" s="2" t="s">
        <v>239</v>
      </c>
      <c r="R1039" s="2" t="s">
        <v>233</v>
      </c>
      <c r="S1039" s="2" t="s">
        <v>233</v>
      </c>
      <c r="T1039" s="2" t="s">
        <v>5238</v>
      </c>
      <c r="U1039" s="2" t="s">
        <v>342</v>
      </c>
      <c r="V1039" s="2" t="s">
        <v>5239</v>
      </c>
      <c r="W1039" s="2" t="s">
        <v>5240</v>
      </c>
      <c r="X1039" s="2" t="s">
        <v>978</v>
      </c>
      <c r="Y1039" s="2" t="s">
        <v>997</v>
      </c>
      <c r="Z1039" s="4">
        <v>285</v>
      </c>
      <c r="AA1039" s="4">
        <f>=ROUNDDOWN(16.7647058823529,0)</f>
      </c>
      <c r="AB1039" s="5">
        <v>17</v>
      </c>
      <c r="AC1039" s="2" t="s">
        <v>233</v>
      </c>
      <c r="AD1039" s="4"/>
      <c r="AE1039" s="4"/>
      <c r="AF1039" s="6">
        <v>64</v>
      </c>
      <c r="AG1039" s="6"/>
      <c r="AH1039" s="7">
        <v>1</v>
      </c>
      <c r="AI1039" s="4"/>
      <c r="AJ1039" s="4">
        <f>=ROUNDDOWN({0},0)</f>
      </c>
      <c r="AK1039" s="5"/>
      <c r="AL1039" s="2" t="s">
        <v>233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>
        <v>7</v>
      </c>
      <c r="BK1039" s="8">
        <v>281.16</v>
      </c>
      <c r="BL1039" s="2" t="s">
        <v>5241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5242</v>
      </c>
      <c r="BV1039" s="2" t="s">
        <v>233</v>
      </c>
      <c r="BW1039" s="2" t="s">
        <v>233</v>
      </c>
      <c r="BX1039" s="2" t="s">
        <v>243</v>
      </c>
      <c r="BY1039" s="2" t="s">
        <v>280</v>
      </c>
      <c r="BZ1039" s="2" t="s">
        <v>245</v>
      </c>
      <c r="CA1039" s="2" t="s">
        <v>2795</v>
      </c>
      <c r="CB1039" s="2" t="s">
        <v>521</v>
      </c>
      <c r="CC1039" s="2" t="s">
        <v>246</v>
      </c>
      <c r="CD1039" s="2" t="s">
        <v>233</v>
      </c>
      <c r="CE1039" s="4">
        <v>285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</row>
    <row r="1040">
      <c r="A1040" s="2" t="s">
        <v>5243</v>
      </c>
      <c r="B1040" s="2" t="s">
        <v>928</v>
      </c>
      <c r="C1040" s="2" t="s">
        <v>530</v>
      </c>
      <c r="D1040" s="2" t="s">
        <v>929</v>
      </c>
      <c r="E1040" s="2" t="s">
        <v>939</v>
      </c>
      <c r="F1040" s="2" t="s">
        <v>5244</v>
      </c>
      <c r="G1040" s="2" t="s">
        <v>5244</v>
      </c>
      <c r="H1040" s="2" t="s">
        <v>5244</v>
      </c>
      <c r="I1040" s="2" t="s">
        <v>5245</v>
      </c>
      <c r="J1040" s="2" t="s">
        <v>892</v>
      </c>
      <c r="K1040" s="2" t="s">
        <v>5246</v>
      </c>
      <c r="L1040" s="3">
        <v>62.86</v>
      </c>
      <c r="M1040" s="3">
        <v>66</v>
      </c>
      <c r="N1040" s="3">
        <v>139.99</v>
      </c>
      <c r="O1040" s="2" t="s">
        <v>237</v>
      </c>
      <c r="P1040" s="2" t="s">
        <v>311</v>
      </c>
      <c r="Q1040" s="2" t="s">
        <v>239</v>
      </c>
      <c r="R1040" s="2" t="s">
        <v>233</v>
      </c>
      <c r="S1040" s="2" t="s">
        <v>233</v>
      </c>
      <c r="T1040" s="2" t="s">
        <v>233</v>
      </c>
      <c r="U1040" s="2" t="s">
        <v>396</v>
      </c>
      <c r="V1040" s="2" t="s">
        <v>952</v>
      </c>
      <c r="W1040" s="2" t="s">
        <v>451</v>
      </c>
      <c r="X1040" s="2" t="s">
        <v>1056</v>
      </c>
      <c r="Y1040" s="2" t="s">
        <v>1669</v>
      </c>
      <c r="Z1040" s="4">
        <v>45</v>
      </c>
      <c r="AA1040" s="4">
        <f>=ROUNDDOWN({0},0)</f>
      </c>
      <c r="AB1040" s="5"/>
      <c r="AC1040" s="2" t="s">
        <v>233</v>
      </c>
      <c r="AD1040" s="4"/>
      <c r="AE1040" s="4"/>
      <c r="AF1040" s="6">
        <v>63</v>
      </c>
      <c r="AG1040" s="6"/>
      <c r="AH1040" s="7">
        <v>1</v>
      </c>
      <c r="AI1040" s="4"/>
      <c r="AJ1040" s="4">
        <f>=ROUNDDOWN({0},0)</f>
      </c>
      <c r="AK1040" s="5"/>
      <c r="AL1040" s="2" t="s">
        <v>233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5247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5248</v>
      </c>
      <c r="BV1040" s="2" t="s">
        <v>233</v>
      </c>
      <c r="BW1040" s="2" t="s">
        <v>233</v>
      </c>
      <c r="BX1040" s="2" t="s">
        <v>233</v>
      </c>
      <c r="BY1040" s="2" t="s">
        <v>280</v>
      </c>
      <c r="BZ1040" s="2" t="s">
        <v>245</v>
      </c>
      <c r="CA1040" s="2" t="s">
        <v>1824</v>
      </c>
      <c r="CB1040" s="2" t="s">
        <v>233</v>
      </c>
      <c r="CC1040" s="2" t="s">
        <v>246</v>
      </c>
      <c r="CD1040" s="2" t="s">
        <v>233</v>
      </c>
      <c r="CE1040" s="4"/>
      <c r="CF1040" s="4">
        <v>45</v>
      </c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</row>
    <row r="1041">
      <c r="A1041" s="2" t="s">
        <v>5249</v>
      </c>
      <c r="B1041" s="2" t="s">
        <v>264</v>
      </c>
      <c r="C1041" s="2" t="s">
        <v>265</v>
      </c>
      <c r="D1041" s="2" t="s">
        <v>266</v>
      </c>
      <c r="E1041" s="2" t="s">
        <v>390</v>
      </c>
      <c r="F1041" s="2" t="s">
        <v>5250</v>
      </c>
      <c r="G1041" s="2" t="s">
        <v>5250</v>
      </c>
      <c r="H1041" s="2" t="s">
        <v>5250</v>
      </c>
      <c r="I1041" s="2" t="s">
        <v>5251</v>
      </c>
      <c r="J1041" s="2" t="s">
        <v>290</v>
      </c>
      <c r="K1041" s="2" t="s">
        <v>297</v>
      </c>
      <c r="L1041" s="3">
        <v>21.42</v>
      </c>
      <c r="M1041" s="3">
        <v>22.49</v>
      </c>
      <c r="N1041" s="3">
        <v>44.99</v>
      </c>
      <c r="O1041" s="2" t="s">
        <v>245</v>
      </c>
      <c r="P1041" s="2" t="s">
        <v>311</v>
      </c>
      <c r="Q1041" s="2" t="s">
        <v>239</v>
      </c>
      <c r="R1041" s="2" t="s">
        <v>233</v>
      </c>
      <c r="S1041" s="2" t="s">
        <v>5252</v>
      </c>
      <c r="T1041" s="2" t="s">
        <v>233</v>
      </c>
      <c r="U1041" s="2" t="s">
        <v>396</v>
      </c>
      <c r="V1041" s="2" t="s">
        <v>241</v>
      </c>
      <c r="W1041" s="2" t="s">
        <v>397</v>
      </c>
      <c r="X1041" s="2" t="s">
        <v>275</v>
      </c>
      <c r="Y1041" s="2" t="s">
        <v>5253</v>
      </c>
      <c r="Z1041" s="4">
        <v>233</v>
      </c>
      <c r="AA1041" s="4">
        <f>=ROUNDDOWN(46.6,0)</f>
      </c>
      <c r="AB1041" s="5">
        <v>5</v>
      </c>
      <c r="AC1041" s="2" t="s">
        <v>233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233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233</v>
      </c>
      <c r="AW1041" s="8" t="s">
        <v>233</v>
      </c>
      <c r="AX1041" s="4" t="s">
        <v>233</v>
      </c>
      <c r="AY1041" s="8" t="s">
        <v>233</v>
      </c>
      <c r="AZ1041" s="7" t="s">
        <v>233</v>
      </c>
      <c r="BA1041" s="7" t="s">
        <v>233</v>
      </c>
      <c r="BB1041" s="7"/>
      <c r="BC1041" s="4" t="s">
        <v>233</v>
      </c>
      <c r="BD1041" s="8" t="s">
        <v>233</v>
      </c>
      <c r="BE1041" s="4" t="s">
        <v>233</v>
      </c>
      <c r="BF1041" s="8" t="s">
        <v>233</v>
      </c>
      <c r="BG1041" s="7" t="s">
        <v>233</v>
      </c>
      <c r="BH1041" s="7" t="s">
        <v>233</v>
      </c>
      <c r="BI1041" s="7"/>
      <c r="BJ1041" s="4">
        <v>13</v>
      </c>
      <c r="BK1041" s="8">
        <v>338.43</v>
      </c>
      <c r="BL1041" s="2" t="s">
        <v>5254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5255</v>
      </c>
      <c r="BV1041" s="2" t="s">
        <v>233</v>
      </c>
      <c r="BW1041" s="2" t="s">
        <v>233</v>
      </c>
      <c r="BX1041" s="2" t="s">
        <v>233</v>
      </c>
      <c r="BY1041" s="2" t="s">
        <v>280</v>
      </c>
      <c r="BZ1041" s="2" t="s">
        <v>245</v>
      </c>
      <c r="CA1041" s="2" t="s">
        <v>3017</v>
      </c>
      <c r="CB1041" s="2" t="s">
        <v>5256</v>
      </c>
      <c r="CC1041" s="2" t="s">
        <v>246</v>
      </c>
      <c r="CD1041" s="2" t="s">
        <v>233</v>
      </c>
      <c r="CE1041" s="4">
        <v>233</v>
      </c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</row>
    <row r="1042">
      <c r="A1042" s="2" t="s">
        <v>5257</v>
      </c>
      <c r="B1042" s="2" t="s">
        <v>264</v>
      </c>
      <c r="C1042" s="2" t="s">
        <v>265</v>
      </c>
      <c r="D1042" s="2" t="s">
        <v>969</v>
      </c>
      <c r="E1042" s="2" t="s">
        <v>2383</v>
      </c>
      <c r="F1042" s="2" t="s">
        <v>5250</v>
      </c>
      <c r="G1042" s="2" t="s">
        <v>5250</v>
      </c>
      <c r="H1042" s="2" t="s">
        <v>5250</v>
      </c>
      <c r="I1042" s="2" t="s">
        <v>5258</v>
      </c>
      <c r="J1042" s="2" t="s">
        <v>981</v>
      </c>
      <c r="K1042" s="2" t="s">
        <v>297</v>
      </c>
      <c r="L1042" s="3">
        <v>33.33</v>
      </c>
      <c r="M1042" s="3">
        <v>35</v>
      </c>
      <c r="N1042" s="3">
        <v>69.99</v>
      </c>
      <c r="O1042" s="2" t="s">
        <v>245</v>
      </c>
      <c r="P1042" s="2" t="s">
        <v>272</v>
      </c>
      <c r="Q1042" s="2" t="s">
        <v>239</v>
      </c>
      <c r="R1042" s="2" t="s">
        <v>233</v>
      </c>
      <c r="S1042" s="2" t="s">
        <v>5259</v>
      </c>
      <c r="T1042" s="2" t="s">
        <v>233</v>
      </c>
      <c r="U1042" s="2" t="s">
        <v>396</v>
      </c>
      <c r="V1042" s="2" t="s">
        <v>241</v>
      </c>
      <c r="W1042" s="2" t="s">
        <v>397</v>
      </c>
      <c r="X1042" s="2" t="s">
        <v>233</v>
      </c>
      <c r="Y1042" s="2" t="s">
        <v>5253</v>
      </c>
      <c r="Z1042" s="4">
        <v>239</v>
      </c>
      <c r="AA1042" s="4">
        <f>=ROUNDDOWN(79.6666666666667,0)</f>
      </c>
      <c r="AB1042" s="5">
        <v>3</v>
      </c>
      <c r="AC1042" s="2" t="s">
        <v>233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233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233</v>
      </c>
      <c r="AW1042" s="8" t="s">
        <v>233</v>
      </c>
      <c r="AX1042" s="4" t="s">
        <v>233</v>
      </c>
      <c r="AY1042" s="8" t="s">
        <v>233</v>
      </c>
      <c r="AZ1042" s="7" t="s">
        <v>233</v>
      </c>
      <c r="BA1042" s="7" t="s">
        <v>233</v>
      </c>
      <c r="BB1042" s="7"/>
      <c r="BC1042" s="4" t="s">
        <v>233</v>
      </c>
      <c r="BD1042" s="8" t="s">
        <v>233</v>
      </c>
      <c r="BE1042" s="4" t="s">
        <v>233</v>
      </c>
      <c r="BF1042" s="8" t="s">
        <v>233</v>
      </c>
      <c r="BG1042" s="7" t="s">
        <v>233</v>
      </c>
      <c r="BH1042" s="7" t="s">
        <v>233</v>
      </c>
      <c r="BI1042" s="7"/>
      <c r="BJ1042" s="4">
        <v>15</v>
      </c>
      <c r="BK1042" s="8">
        <v>557.55</v>
      </c>
      <c r="BL1042" s="2" t="s">
        <v>5260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5261</v>
      </c>
      <c r="BV1042" s="2" t="s">
        <v>233</v>
      </c>
      <c r="BW1042" s="2" t="s">
        <v>233</v>
      </c>
      <c r="BX1042" s="2" t="s">
        <v>233</v>
      </c>
      <c r="BY1042" s="2" t="s">
        <v>280</v>
      </c>
      <c r="BZ1042" s="2" t="s">
        <v>245</v>
      </c>
      <c r="CA1042" s="2" t="s">
        <v>3017</v>
      </c>
      <c r="CB1042" s="2" t="s">
        <v>5262</v>
      </c>
      <c r="CC1042" s="2" t="s">
        <v>246</v>
      </c>
      <c r="CD1042" s="2" t="s">
        <v>233</v>
      </c>
      <c r="CE1042" s="4">
        <v>239</v>
      </c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</row>
    <row r="1043">
      <c r="A1043" s="2" t="s">
        <v>5263</v>
      </c>
      <c r="B1043" s="2" t="s">
        <v>264</v>
      </c>
      <c r="C1043" s="2" t="s">
        <v>265</v>
      </c>
      <c r="D1043" s="2" t="s">
        <v>969</v>
      </c>
      <c r="E1043" s="2" t="s">
        <v>2383</v>
      </c>
      <c r="F1043" s="2" t="s">
        <v>5250</v>
      </c>
      <c r="G1043" s="2" t="s">
        <v>5250</v>
      </c>
      <c r="H1043" s="2" t="s">
        <v>5250</v>
      </c>
      <c r="I1043" s="2" t="s">
        <v>5258</v>
      </c>
      <c r="J1043" s="2" t="s">
        <v>1142</v>
      </c>
      <c r="K1043" s="2" t="s">
        <v>297</v>
      </c>
      <c r="L1043" s="3">
        <v>38.09</v>
      </c>
      <c r="M1043" s="3">
        <v>39.99</v>
      </c>
      <c r="N1043" s="3">
        <v>79.99</v>
      </c>
      <c r="O1043" s="2" t="s">
        <v>245</v>
      </c>
      <c r="P1043" s="2" t="s">
        <v>272</v>
      </c>
      <c r="Q1043" s="2" t="s">
        <v>239</v>
      </c>
      <c r="R1043" s="2" t="s">
        <v>233</v>
      </c>
      <c r="S1043" s="2" t="s">
        <v>5259</v>
      </c>
      <c r="T1043" s="2" t="s">
        <v>233</v>
      </c>
      <c r="U1043" s="2" t="s">
        <v>396</v>
      </c>
      <c r="V1043" s="2" t="s">
        <v>241</v>
      </c>
      <c r="W1043" s="2" t="s">
        <v>397</v>
      </c>
      <c r="X1043" s="2" t="s">
        <v>233</v>
      </c>
      <c r="Y1043" s="2" t="s">
        <v>5253</v>
      </c>
      <c r="Z1043" s="4">
        <v>318</v>
      </c>
      <c r="AA1043" s="4">
        <f>=ROUNDDOWN(63.6,0)</f>
      </c>
      <c r="AB1043" s="5">
        <v>5</v>
      </c>
      <c r="AC1043" s="2" t="s">
        <v>233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233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233</v>
      </c>
      <c r="AW1043" s="8" t="s">
        <v>233</v>
      </c>
      <c r="AX1043" s="4" t="s">
        <v>233</v>
      </c>
      <c r="AY1043" s="8" t="s">
        <v>233</v>
      </c>
      <c r="AZ1043" s="7" t="s">
        <v>233</v>
      </c>
      <c r="BA1043" s="7" t="s">
        <v>233</v>
      </c>
      <c r="BB1043" s="7"/>
      <c r="BC1043" s="4" t="s">
        <v>233</v>
      </c>
      <c r="BD1043" s="8" t="s">
        <v>233</v>
      </c>
      <c r="BE1043" s="4" t="s">
        <v>233</v>
      </c>
      <c r="BF1043" s="8" t="s">
        <v>233</v>
      </c>
      <c r="BG1043" s="7" t="s">
        <v>233</v>
      </c>
      <c r="BH1043" s="7" t="s">
        <v>233</v>
      </c>
      <c r="BI1043" s="7"/>
      <c r="BJ1043" s="4">
        <v>13</v>
      </c>
      <c r="BK1043" s="8">
        <v>555.07</v>
      </c>
      <c r="BL1043" s="2" t="s">
        <v>1237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5264</v>
      </c>
      <c r="BV1043" s="2" t="s">
        <v>233</v>
      </c>
      <c r="BW1043" s="2" t="s">
        <v>233</v>
      </c>
      <c r="BX1043" s="2" t="s">
        <v>233</v>
      </c>
      <c r="BY1043" s="2" t="s">
        <v>280</v>
      </c>
      <c r="BZ1043" s="2" t="s">
        <v>245</v>
      </c>
      <c r="CA1043" s="2" t="s">
        <v>3017</v>
      </c>
      <c r="CB1043" s="2" t="s">
        <v>5265</v>
      </c>
      <c r="CC1043" s="2" t="s">
        <v>246</v>
      </c>
      <c r="CD1043" s="2" t="s">
        <v>233</v>
      </c>
      <c r="CE1043" s="4">
        <v>318</v>
      </c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</row>
    <row r="1044">
      <c r="A1044" s="2" t="s">
        <v>5266</v>
      </c>
      <c r="B1044" s="2" t="s">
        <v>1174</v>
      </c>
      <c r="C1044" s="2" t="s">
        <v>530</v>
      </c>
      <c r="D1044" s="2" t="s">
        <v>1175</v>
      </c>
      <c r="E1044" s="2" t="s">
        <v>1448</v>
      </c>
      <c r="F1044" s="2" t="s">
        <v>5267</v>
      </c>
      <c r="G1044" s="2" t="s">
        <v>5268</v>
      </c>
      <c r="H1044" s="2" t="s">
        <v>5269</v>
      </c>
      <c r="I1044" s="2" t="s">
        <v>5270</v>
      </c>
      <c r="J1044" s="2" t="s">
        <v>5014</v>
      </c>
      <c r="K1044" s="2" t="s">
        <v>1537</v>
      </c>
      <c r="L1044" s="3">
        <v>13.5</v>
      </c>
      <c r="M1044" s="3">
        <v>14.18</v>
      </c>
      <c r="N1044" s="3">
        <v>29.99</v>
      </c>
      <c r="O1044" s="2" t="s">
        <v>245</v>
      </c>
      <c r="P1044" s="2" t="s">
        <v>272</v>
      </c>
      <c r="Q1044" s="2" t="s">
        <v>239</v>
      </c>
      <c r="R1044" s="2" t="s">
        <v>233</v>
      </c>
      <c r="S1044" s="2" t="s">
        <v>5271</v>
      </c>
      <c r="T1044" s="2" t="s">
        <v>233</v>
      </c>
      <c r="U1044" s="2" t="s">
        <v>396</v>
      </c>
      <c r="V1044" s="2" t="s">
        <v>241</v>
      </c>
      <c r="W1044" s="2" t="s">
        <v>397</v>
      </c>
      <c r="X1044" s="2" t="s">
        <v>1526</v>
      </c>
      <c r="Y1044" s="2" t="s">
        <v>4527</v>
      </c>
      <c r="Z1044" s="4">
        <v>339</v>
      </c>
      <c r="AA1044" s="4">
        <f>=ROUNDDOWN(42.375,0)</f>
      </c>
      <c r="AB1044" s="5">
        <v>8</v>
      </c>
      <c r="AC1044" s="2" t="s">
        <v>233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233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233</v>
      </c>
      <c r="AW1044" s="8" t="s">
        <v>233</v>
      </c>
      <c r="AX1044" s="4" t="s">
        <v>233</v>
      </c>
      <c r="AY1044" s="8" t="s">
        <v>233</v>
      </c>
      <c r="AZ1044" s="7" t="s">
        <v>233</v>
      </c>
      <c r="BA1044" s="7" t="s">
        <v>233</v>
      </c>
      <c r="BB1044" s="7"/>
      <c r="BC1044" s="4" t="s">
        <v>233</v>
      </c>
      <c r="BD1044" s="8" t="s">
        <v>233</v>
      </c>
      <c r="BE1044" s="4" t="s">
        <v>233</v>
      </c>
      <c r="BF1044" s="8" t="s">
        <v>233</v>
      </c>
      <c r="BG1044" s="7" t="s">
        <v>233</v>
      </c>
      <c r="BH1044" s="7" t="s">
        <v>233</v>
      </c>
      <c r="BI1044" s="7"/>
      <c r="BJ1044" s="4">
        <v>13</v>
      </c>
      <c r="BK1044" s="8">
        <v>176.94</v>
      </c>
      <c r="BL1044" s="2" t="s">
        <v>369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5272</v>
      </c>
      <c r="BV1044" s="2" t="s">
        <v>233</v>
      </c>
      <c r="BW1044" s="2" t="s">
        <v>233</v>
      </c>
      <c r="BX1044" s="2" t="s">
        <v>233</v>
      </c>
      <c r="BY1044" s="2" t="s">
        <v>280</v>
      </c>
      <c r="BZ1044" s="2" t="s">
        <v>245</v>
      </c>
      <c r="CA1044" s="2" t="s">
        <v>5273</v>
      </c>
      <c r="CB1044" s="2" t="s">
        <v>1099</v>
      </c>
      <c r="CC1044" s="2" t="s">
        <v>246</v>
      </c>
      <c r="CD1044" s="2" t="s">
        <v>233</v>
      </c>
      <c r="CE1044" s="4">
        <v>339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</row>
    <row r="1045">
      <c r="A1045" s="2" t="s">
        <v>5274</v>
      </c>
      <c r="B1045" s="2" t="s">
        <v>1174</v>
      </c>
      <c r="C1045" s="2" t="s">
        <v>530</v>
      </c>
      <c r="D1045" s="2" t="s">
        <v>1175</v>
      </c>
      <c r="E1045" s="2" t="s">
        <v>1448</v>
      </c>
      <c r="F1045" s="2" t="s">
        <v>5267</v>
      </c>
      <c r="G1045" s="2" t="s">
        <v>5268</v>
      </c>
      <c r="H1045" s="2" t="s">
        <v>5269</v>
      </c>
      <c r="I1045" s="2" t="s">
        <v>5270</v>
      </c>
      <c r="J1045" s="2" t="s">
        <v>1490</v>
      </c>
      <c r="K1045" s="2" t="s">
        <v>1537</v>
      </c>
      <c r="L1045" s="3">
        <v>17.6</v>
      </c>
      <c r="M1045" s="3">
        <v>18.48</v>
      </c>
      <c r="N1045" s="3">
        <v>39.99</v>
      </c>
      <c r="O1045" s="2" t="s">
        <v>245</v>
      </c>
      <c r="P1045" s="2" t="s">
        <v>272</v>
      </c>
      <c r="Q1045" s="2" t="s">
        <v>239</v>
      </c>
      <c r="R1045" s="2" t="s">
        <v>233</v>
      </c>
      <c r="S1045" s="2" t="s">
        <v>5271</v>
      </c>
      <c r="T1045" s="2" t="s">
        <v>233</v>
      </c>
      <c r="U1045" s="2" t="s">
        <v>396</v>
      </c>
      <c r="V1045" s="2" t="s">
        <v>241</v>
      </c>
      <c r="W1045" s="2" t="s">
        <v>397</v>
      </c>
      <c r="X1045" s="2" t="s">
        <v>1526</v>
      </c>
      <c r="Y1045" s="2" t="s">
        <v>4527</v>
      </c>
      <c r="Z1045" s="4">
        <v>114</v>
      </c>
      <c r="AA1045" s="4">
        <f>=ROUNDDOWN(11.4,0)</f>
      </c>
      <c r="AB1045" s="5">
        <v>10</v>
      </c>
      <c r="AC1045" s="2" t="s">
        <v>873</v>
      </c>
      <c r="AD1045" s="4">
        <v>176</v>
      </c>
      <c r="AE1045" s="4">
        <v>176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233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233</v>
      </c>
      <c r="AW1045" s="8" t="s">
        <v>233</v>
      </c>
      <c r="AX1045" s="4" t="s">
        <v>233</v>
      </c>
      <c r="AY1045" s="8" t="s">
        <v>233</v>
      </c>
      <c r="AZ1045" s="7" t="s">
        <v>233</v>
      </c>
      <c r="BA1045" s="7" t="s">
        <v>233</v>
      </c>
      <c r="BB1045" s="7"/>
      <c r="BC1045" s="4" t="s">
        <v>233</v>
      </c>
      <c r="BD1045" s="8" t="s">
        <v>233</v>
      </c>
      <c r="BE1045" s="4" t="s">
        <v>233</v>
      </c>
      <c r="BF1045" s="8" t="s">
        <v>233</v>
      </c>
      <c r="BG1045" s="7" t="s">
        <v>233</v>
      </c>
      <c r="BH1045" s="7" t="s">
        <v>233</v>
      </c>
      <c r="BI1045" s="7"/>
      <c r="BJ1045" s="4">
        <v>58</v>
      </c>
      <c r="BK1045" s="8">
        <v>1119.74</v>
      </c>
      <c r="BL1045" s="2" t="s">
        <v>5275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5276</v>
      </c>
      <c r="BV1045" s="2" t="s">
        <v>233</v>
      </c>
      <c r="BW1045" s="2" t="s">
        <v>233</v>
      </c>
      <c r="BX1045" s="2" t="s">
        <v>233</v>
      </c>
      <c r="BY1045" s="2" t="s">
        <v>280</v>
      </c>
      <c r="BZ1045" s="2" t="s">
        <v>245</v>
      </c>
      <c r="CA1045" s="2" t="s">
        <v>5273</v>
      </c>
      <c r="CB1045" s="2" t="s">
        <v>5277</v>
      </c>
      <c r="CC1045" s="2" t="s">
        <v>246</v>
      </c>
      <c r="CD1045" s="2" t="s">
        <v>233</v>
      </c>
      <c r="CE1045" s="4">
        <v>114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>
        <v>176</v>
      </c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</row>
    <row r="1046">
      <c r="A1046" s="2" t="s">
        <v>5278</v>
      </c>
      <c r="B1046" s="2" t="s">
        <v>2691</v>
      </c>
      <c r="C1046" s="2" t="s">
        <v>5279</v>
      </c>
      <c r="D1046" s="2" t="s">
        <v>2692</v>
      </c>
      <c r="E1046" s="2" t="s">
        <v>2693</v>
      </c>
      <c r="F1046" s="2" t="s">
        <v>5280</v>
      </c>
      <c r="G1046" s="2" t="s">
        <v>5280</v>
      </c>
      <c r="H1046" s="2" t="s">
        <v>5280</v>
      </c>
      <c r="I1046" s="2" t="s">
        <v>2693</v>
      </c>
      <c r="J1046" s="2" t="s">
        <v>2695</v>
      </c>
      <c r="K1046" s="2" t="s">
        <v>5281</v>
      </c>
      <c r="L1046" s="3">
        <v>22.03</v>
      </c>
      <c r="M1046" s="3">
        <v>23.13</v>
      </c>
      <c r="N1046" s="3"/>
      <c r="O1046" s="2" t="s">
        <v>237</v>
      </c>
      <c r="P1046" s="2" t="s">
        <v>311</v>
      </c>
      <c r="Q1046" s="2" t="s">
        <v>239</v>
      </c>
      <c r="R1046" s="2" t="s">
        <v>233</v>
      </c>
      <c r="S1046" s="2" t="s">
        <v>233</v>
      </c>
      <c r="T1046" s="2" t="s">
        <v>233</v>
      </c>
      <c r="U1046" s="2" t="s">
        <v>396</v>
      </c>
      <c r="V1046" s="2" t="s">
        <v>893</v>
      </c>
      <c r="W1046" s="2" t="s">
        <v>233</v>
      </c>
      <c r="X1046" s="2" t="s">
        <v>233</v>
      </c>
      <c r="Y1046" s="2" t="s">
        <v>2697</v>
      </c>
      <c r="Z1046" s="4">
        <v>133</v>
      </c>
      <c r="AA1046" s="4">
        <f>=ROUNDDOWN(60.4545454545455,0)</f>
      </c>
      <c r="AB1046" s="5">
        <v>2.2</v>
      </c>
      <c r="AC1046" s="2" t="s">
        <v>233</v>
      </c>
      <c r="AD1046" s="4"/>
      <c r="AE1046" s="4"/>
      <c r="AF1046" s="6"/>
      <c r="AG1046" s="6"/>
      <c r="AH1046" s="7">
        <v>1</v>
      </c>
      <c r="AI1046" s="4"/>
      <c r="AJ1046" s="4">
        <f>=ROUNDDOWN({0},0)</f>
      </c>
      <c r="AK1046" s="5"/>
      <c r="AL1046" s="2" t="s">
        <v>233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233</v>
      </c>
      <c r="AW1046" s="8" t="s">
        <v>233</v>
      </c>
      <c r="AX1046" s="4" t="s">
        <v>233</v>
      </c>
      <c r="AY1046" s="8" t="s">
        <v>233</v>
      </c>
      <c r="AZ1046" s="7" t="s">
        <v>233</v>
      </c>
      <c r="BA1046" s="7" t="s">
        <v>233</v>
      </c>
      <c r="BB1046" s="7"/>
      <c r="BC1046" s="4" t="s">
        <v>233</v>
      </c>
      <c r="BD1046" s="8" t="s">
        <v>233</v>
      </c>
      <c r="BE1046" s="4" t="s">
        <v>233</v>
      </c>
      <c r="BF1046" s="8" t="s">
        <v>233</v>
      </c>
      <c r="BG1046" s="7" t="s">
        <v>233</v>
      </c>
      <c r="BH1046" s="7" t="s">
        <v>233</v>
      </c>
      <c r="BI1046" s="7"/>
      <c r="BJ1046" s="4">
        <v>2</v>
      </c>
      <c r="BK1046" s="8">
        <v>26.2</v>
      </c>
      <c r="BL1046" s="2" t="s">
        <v>2554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5282</v>
      </c>
      <c r="BV1046" s="2" t="s">
        <v>233</v>
      </c>
      <c r="BW1046" s="2" t="s">
        <v>233</v>
      </c>
      <c r="BX1046" s="2" t="s">
        <v>243</v>
      </c>
      <c r="BY1046" s="2" t="s">
        <v>280</v>
      </c>
      <c r="BZ1046" s="2" t="s">
        <v>245</v>
      </c>
      <c r="CA1046" s="2" t="s">
        <v>2699</v>
      </c>
      <c r="CB1046" s="2" t="s">
        <v>233</v>
      </c>
      <c r="CC1046" s="2" t="s">
        <v>246</v>
      </c>
      <c r="CD1046" s="2" t="s">
        <v>233</v>
      </c>
      <c r="CE1046" s="4"/>
      <c r="CF1046" s="4"/>
      <c r="CG1046" s="4"/>
      <c r="CH1046" s="4"/>
      <c r="CI1046" s="4">
        <v>133</v>
      </c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</row>
    <row r="1047">
      <c r="A1047" s="2" t="s">
        <v>5283</v>
      </c>
      <c r="B1047" s="2" t="s">
        <v>2691</v>
      </c>
      <c r="C1047" s="2" t="s">
        <v>5279</v>
      </c>
      <c r="D1047" s="2" t="s">
        <v>2692</v>
      </c>
      <c r="E1047" s="2" t="s">
        <v>2693</v>
      </c>
      <c r="F1047" s="2" t="s">
        <v>5280</v>
      </c>
      <c r="G1047" s="2" t="s">
        <v>5280</v>
      </c>
      <c r="H1047" s="2" t="s">
        <v>5280</v>
      </c>
      <c r="I1047" s="2" t="s">
        <v>2693</v>
      </c>
      <c r="J1047" s="2" t="s">
        <v>1282</v>
      </c>
      <c r="K1047" s="2" t="s">
        <v>5281</v>
      </c>
      <c r="L1047" s="3">
        <v>22.03</v>
      </c>
      <c r="M1047" s="3">
        <v>23.13</v>
      </c>
      <c r="N1047" s="3"/>
      <c r="O1047" s="2" t="s">
        <v>237</v>
      </c>
      <c r="P1047" s="2" t="s">
        <v>311</v>
      </c>
      <c r="Q1047" s="2" t="s">
        <v>239</v>
      </c>
      <c r="R1047" s="2" t="s">
        <v>233</v>
      </c>
      <c r="S1047" s="2" t="s">
        <v>233</v>
      </c>
      <c r="T1047" s="2" t="s">
        <v>233</v>
      </c>
      <c r="U1047" s="2" t="s">
        <v>396</v>
      </c>
      <c r="V1047" s="2" t="s">
        <v>893</v>
      </c>
      <c r="W1047" s="2" t="s">
        <v>233</v>
      </c>
      <c r="X1047" s="2" t="s">
        <v>233</v>
      </c>
      <c r="Y1047" s="2" t="s">
        <v>2697</v>
      </c>
      <c r="Z1047" s="4">
        <v>382</v>
      </c>
      <c r="AA1047" s="4">
        <f>=ROUNDDOWN(254.666666666667,0)</f>
      </c>
      <c r="AB1047" s="5">
        <v>1.5</v>
      </c>
      <c r="AC1047" s="2" t="s">
        <v>233</v>
      </c>
      <c r="AD1047" s="4"/>
      <c r="AE1047" s="4"/>
      <c r="AF1047" s="6"/>
      <c r="AG1047" s="6"/>
      <c r="AH1047" s="7">
        <v>1</v>
      </c>
      <c r="AI1047" s="4"/>
      <c r="AJ1047" s="4">
        <f>=ROUNDDOWN({0},0)</f>
      </c>
      <c r="AK1047" s="5"/>
      <c r="AL1047" s="2" t="s">
        <v>233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233</v>
      </c>
      <c r="AW1047" s="8" t="s">
        <v>233</v>
      </c>
      <c r="AX1047" s="4" t="s">
        <v>233</v>
      </c>
      <c r="AY1047" s="8" t="s">
        <v>233</v>
      </c>
      <c r="AZ1047" s="7" t="s">
        <v>233</v>
      </c>
      <c r="BA1047" s="7" t="s">
        <v>233</v>
      </c>
      <c r="BB1047" s="7"/>
      <c r="BC1047" s="4" t="s">
        <v>233</v>
      </c>
      <c r="BD1047" s="8" t="s">
        <v>233</v>
      </c>
      <c r="BE1047" s="4" t="s">
        <v>233</v>
      </c>
      <c r="BF1047" s="8" t="s">
        <v>233</v>
      </c>
      <c r="BG1047" s="7" t="s">
        <v>233</v>
      </c>
      <c r="BH1047" s="7" t="s">
        <v>233</v>
      </c>
      <c r="BI1047" s="7"/>
      <c r="BJ1047" s="4">
        <v>6</v>
      </c>
      <c r="BK1047" s="8">
        <v>95</v>
      </c>
      <c r="BL1047" s="2" t="s">
        <v>2554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5284</v>
      </c>
      <c r="BV1047" s="2" t="s">
        <v>233</v>
      </c>
      <c r="BW1047" s="2" t="s">
        <v>233</v>
      </c>
      <c r="BX1047" s="2" t="s">
        <v>243</v>
      </c>
      <c r="BY1047" s="2" t="s">
        <v>280</v>
      </c>
      <c r="BZ1047" s="2" t="s">
        <v>245</v>
      </c>
      <c r="CA1047" s="2" t="s">
        <v>2699</v>
      </c>
      <c r="CB1047" s="2" t="s">
        <v>233</v>
      </c>
      <c r="CC1047" s="2" t="s">
        <v>246</v>
      </c>
      <c r="CD1047" s="2" t="s">
        <v>233</v>
      </c>
      <c r="CE1047" s="4"/>
      <c r="CF1047" s="4"/>
      <c r="CG1047" s="4"/>
      <c r="CH1047" s="4"/>
      <c r="CI1047" s="4">
        <v>382</v>
      </c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</row>
    <row r="1048">
      <c r="A1048" s="2" t="s">
        <v>5285</v>
      </c>
      <c r="B1048" s="2" t="s">
        <v>2691</v>
      </c>
      <c r="C1048" s="2" t="s">
        <v>5279</v>
      </c>
      <c r="D1048" s="2" t="s">
        <v>2692</v>
      </c>
      <c r="E1048" s="2" t="s">
        <v>2693</v>
      </c>
      <c r="F1048" s="2" t="s">
        <v>5280</v>
      </c>
      <c r="G1048" s="2" t="s">
        <v>5280</v>
      </c>
      <c r="H1048" s="2" t="s">
        <v>5280</v>
      </c>
      <c r="I1048" s="2" t="s">
        <v>2693</v>
      </c>
      <c r="J1048" s="2" t="s">
        <v>1287</v>
      </c>
      <c r="K1048" s="2" t="s">
        <v>5281</v>
      </c>
      <c r="L1048" s="3">
        <v>22.03</v>
      </c>
      <c r="M1048" s="3">
        <v>23.13</v>
      </c>
      <c r="N1048" s="3"/>
      <c r="O1048" s="2" t="s">
        <v>237</v>
      </c>
      <c r="P1048" s="2" t="s">
        <v>311</v>
      </c>
      <c r="Q1048" s="2" t="s">
        <v>239</v>
      </c>
      <c r="R1048" s="2" t="s">
        <v>233</v>
      </c>
      <c r="S1048" s="2" t="s">
        <v>233</v>
      </c>
      <c r="T1048" s="2" t="s">
        <v>233</v>
      </c>
      <c r="U1048" s="2" t="s">
        <v>396</v>
      </c>
      <c r="V1048" s="2" t="s">
        <v>893</v>
      </c>
      <c r="W1048" s="2" t="s">
        <v>233</v>
      </c>
      <c r="X1048" s="2" t="s">
        <v>233</v>
      </c>
      <c r="Y1048" s="2" t="s">
        <v>2697</v>
      </c>
      <c r="Z1048" s="4">
        <v>426</v>
      </c>
      <c r="AA1048" s="4">
        <f>=ROUNDDOWN(355,0)</f>
      </c>
      <c r="AB1048" s="5">
        <v>1.2</v>
      </c>
      <c r="AC1048" s="2" t="s">
        <v>233</v>
      </c>
      <c r="AD1048" s="4"/>
      <c r="AE1048" s="4"/>
      <c r="AF1048" s="6"/>
      <c r="AG1048" s="6"/>
      <c r="AH1048" s="7">
        <v>1</v>
      </c>
      <c r="AI1048" s="4"/>
      <c r="AJ1048" s="4">
        <f>=ROUNDDOWN({0},0)</f>
      </c>
      <c r="AK1048" s="5"/>
      <c r="AL1048" s="2" t="s">
        <v>233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233</v>
      </c>
      <c r="AW1048" s="8" t="s">
        <v>233</v>
      </c>
      <c r="AX1048" s="4" t="s">
        <v>233</v>
      </c>
      <c r="AY1048" s="8" t="s">
        <v>233</v>
      </c>
      <c r="AZ1048" s="7" t="s">
        <v>233</v>
      </c>
      <c r="BA1048" s="7" t="s">
        <v>233</v>
      </c>
      <c r="BB1048" s="7"/>
      <c r="BC1048" s="4" t="s">
        <v>233</v>
      </c>
      <c r="BD1048" s="8" t="s">
        <v>233</v>
      </c>
      <c r="BE1048" s="4" t="s">
        <v>233</v>
      </c>
      <c r="BF1048" s="8" t="s">
        <v>233</v>
      </c>
      <c r="BG1048" s="7" t="s">
        <v>233</v>
      </c>
      <c r="BH1048" s="7" t="s">
        <v>233</v>
      </c>
      <c r="BI1048" s="7"/>
      <c r="BJ1048" s="4">
        <v>3</v>
      </c>
      <c r="BK1048" s="8">
        <v>45.86</v>
      </c>
      <c r="BL1048" s="2" t="s">
        <v>2554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5286</v>
      </c>
      <c r="BV1048" s="2" t="s">
        <v>233</v>
      </c>
      <c r="BW1048" s="2" t="s">
        <v>233</v>
      </c>
      <c r="BX1048" s="2" t="s">
        <v>243</v>
      </c>
      <c r="BY1048" s="2" t="s">
        <v>280</v>
      </c>
      <c r="BZ1048" s="2" t="s">
        <v>245</v>
      </c>
      <c r="CA1048" s="2" t="s">
        <v>2699</v>
      </c>
      <c r="CB1048" s="2" t="s">
        <v>233</v>
      </c>
      <c r="CC1048" s="2" t="s">
        <v>246</v>
      </c>
      <c r="CD1048" s="2" t="s">
        <v>233</v>
      </c>
      <c r="CE1048" s="4"/>
      <c r="CF1048" s="4"/>
      <c r="CG1048" s="4"/>
      <c r="CH1048" s="4"/>
      <c r="CI1048" s="4">
        <v>426</v>
      </c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</row>
    <row r="1049">
      <c r="A1049" s="2" t="s">
        <v>5287</v>
      </c>
      <c r="B1049" s="2" t="s">
        <v>2691</v>
      </c>
      <c r="C1049" s="2" t="s">
        <v>5279</v>
      </c>
      <c r="D1049" s="2" t="s">
        <v>2692</v>
      </c>
      <c r="E1049" s="2" t="s">
        <v>2693</v>
      </c>
      <c r="F1049" s="2" t="s">
        <v>5280</v>
      </c>
      <c r="G1049" s="2" t="s">
        <v>5280</v>
      </c>
      <c r="H1049" s="2" t="s">
        <v>5280</v>
      </c>
      <c r="I1049" s="2" t="s">
        <v>2693</v>
      </c>
      <c r="J1049" s="2" t="s">
        <v>1290</v>
      </c>
      <c r="K1049" s="2" t="s">
        <v>5281</v>
      </c>
      <c r="L1049" s="3">
        <v>22.03</v>
      </c>
      <c r="M1049" s="3">
        <v>23.13</v>
      </c>
      <c r="N1049" s="3"/>
      <c r="O1049" s="2" t="s">
        <v>237</v>
      </c>
      <c r="P1049" s="2" t="s">
        <v>311</v>
      </c>
      <c r="Q1049" s="2" t="s">
        <v>239</v>
      </c>
      <c r="R1049" s="2" t="s">
        <v>233</v>
      </c>
      <c r="S1049" s="2" t="s">
        <v>233</v>
      </c>
      <c r="T1049" s="2" t="s">
        <v>233</v>
      </c>
      <c r="U1049" s="2" t="s">
        <v>396</v>
      </c>
      <c r="V1049" s="2" t="s">
        <v>893</v>
      </c>
      <c r="W1049" s="2" t="s">
        <v>233</v>
      </c>
      <c r="X1049" s="2" t="s">
        <v>233</v>
      </c>
      <c r="Y1049" s="2" t="s">
        <v>2697</v>
      </c>
      <c r="Z1049" s="4">
        <v>137</v>
      </c>
      <c r="AA1049" s="4">
        <f>=ROUNDDOWN(62.2727272727273,0)</f>
      </c>
      <c r="AB1049" s="5">
        <v>2.2</v>
      </c>
      <c r="AC1049" s="2" t="s">
        <v>233</v>
      </c>
      <c r="AD1049" s="4"/>
      <c r="AE1049" s="4"/>
      <c r="AF1049" s="6"/>
      <c r="AG1049" s="6"/>
      <c r="AH1049" s="7">
        <v>1</v>
      </c>
      <c r="AI1049" s="4"/>
      <c r="AJ1049" s="4">
        <f>=ROUNDDOWN({0},0)</f>
      </c>
      <c r="AK1049" s="5"/>
      <c r="AL1049" s="2" t="s">
        <v>233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233</v>
      </c>
      <c r="AW1049" s="8" t="s">
        <v>233</v>
      </c>
      <c r="AX1049" s="4" t="s">
        <v>233</v>
      </c>
      <c r="AY1049" s="8" t="s">
        <v>233</v>
      </c>
      <c r="AZ1049" s="7" t="s">
        <v>233</v>
      </c>
      <c r="BA1049" s="7" t="s">
        <v>233</v>
      </c>
      <c r="BB1049" s="7"/>
      <c r="BC1049" s="4" t="s">
        <v>233</v>
      </c>
      <c r="BD1049" s="8" t="s">
        <v>233</v>
      </c>
      <c r="BE1049" s="4" t="s">
        <v>233</v>
      </c>
      <c r="BF1049" s="8" t="s">
        <v>233</v>
      </c>
      <c r="BG1049" s="7" t="s">
        <v>233</v>
      </c>
      <c r="BH1049" s="7" t="s">
        <v>233</v>
      </c>
      <c r="BI1049" s="7"/>
      <c r="BJ1049" s="4">
        <v>4</v>
      </c>
      <c r="BK1049" s="8">
        <v>58.96</v>
      </c>
      <c r="BL1049" s="2" t="s">
        <v>2554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5288</v>
      </c>
      <c r="BV1049" s="2" t="s">
        <v>233</v>
      </c>
      <c r="BW1049" s="2" t="s">
        <v>233</v>
      </c>
      <c r="BX1049" s="2" t="s">
        <v>243</v>
      </c>
      <c r="BY1049" s="2" t="s">
        <v>280</v>
      </c>
      <c r="BZ1049" s="2" t="s">
        <v>245</v>
      </c>
      <c r="CA1049" s="2" t="s">
        <v>2699</v>
      </c>
      <c r="CB1049" s="2" t="s">
        <v>233</v>
      </c>
      <c r="CC1049" s="2" t="s">
        <v>246</v>
      </c>
      <c r="CD1049" s="2" t="s">
        <v>233</v>
      </c>
      <c r="CE1049" s="4"/>
      <c r="CF1049" s="4"/>
      <c r="CG1049" s="4"/>
      <c r="CH1049" s="4"/>
      <c r="CI1049" s="4">
        <v>137</v>
      </c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</row>
    <row r="1050">
      <c r="A1050" s="2" t="s">
        <v>5289</v>
      </c>
      <c r="B1050" s="2" t="s">
        <v>2691</v>
      </c>
      <c r="C1050" s="2" t="s">
        <v>5279</v>
      </c>
      <c r="D1050" s="2" t="s">
        <v>2692</v>
      </c>
      <c r="E1050" s="2" t="s">
        <v>2693</v>
      </c>
      <c r="F1050" s="2" t="s">
        <v>5280</v>
      </c>
      <c r="G1050" s="2" t="s">
        <v>5280</v>
      </c>
      <c r="H1050" s="2" t="s">
        <v>5280</v>
      </c>
      <c r="I1050" s="2" t="s">
        <v>2693</v>
      </c>
      <c r="J1050" s="2" t="s">
        <v>2695</v>
      </c>
      <c r="K1050" s="2" t="s">
        <v>5290</v>
      </c>
      <c r="L1050" s="3">
        <v>22.03</v>
      </c>
      <c r="M1050" s="3">
        <v>23.13</v>
      </c>
      <c r="N1050" s="3"/>
      <c r="O1050" s="2" t="s">
        <v>237</v>
      </c>
      <c r="P1050" s="2" t="s">
        <v>311</v>
      </c>
      <c r="Q1050" s="2" t="s">
        <v>239</v>
      </c>
      <c r="R1050" s="2" t="s">
        <v>233</v>
      </c>
      <c r="S1050" s="2" t="s">
        <v>233</v>
      </c>
      <c r="T1050" s="2" t="s">
        <v>233</v>
      </c>
      <c r="U1050" s="2" t="s">
        <v>396</v>
      </c>
      <c r="V1050" s="2" t="s">
        <v>893</v>
      </c>
      <c r="W1050" s="2" t="s">
        <v>233</v>
      </c>
      <c r="X1050" s="2" t="s">
        <v>233</v>
      </c>
      <c r="Y1050" s="2" t="s">
        <v>2697</v>
      </c>
      <c r="Z1050" s="4">
        <v>207</v>
      </c>
      <c r="AA1050" s="4">
        <f>=ROUNDDOWN(414,0)</f>
      </c>
      <c r="AB1050" s="5">
        <v>0.5</v>
      </c>
      <c r="AC1050" s="2" t="s">
        <v>233</v>
      </c>
      <c r="AD1050" s="4"/>
      <c r="AE1050" s="4"/>
      <c r="AF1050" s="6"/>
      <c r="AG1050" s="6"/>
      <c r="AH1050" s="7">
        <v>1</v>
      </c>
      <c r="AI1050" s="4"/>
      <c r="AJ1050" s="4">
        <f>=ROUNDDOWN({0},0)</f>
      </c>
      <c r="AK1050" s="5"/>
      <c r="AL1050" s="2" t="s">
        <v>233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233</v>
      </c>
      <c r="AW1050" s="8" t="s">
        <v>233</v>
      </c>
      <c r="AX1050" s="4" t="s">
        <v>233</v>
      </c>
      <c r="AY1050" s="8" t="s">
        <v>233</v>
      </c>
      <c r="AZ1050" s="7" t="s">
        <v>233</v>
      </c>
      <c r="BA1050" s="7" t="s">
        <v>233</v>
      </c>
      <c r="BB1050" s="7"/>
      <c r="BC1050" s="4" t="s">
        <v>233</v>
      </c>
      <c r="BD1050" s="8" t="s">
        <v>233</v>
      </c>
      <c r="BE1050" s="4" t="s">
        <v>233</v>
      </c>
      <c r="BF1050" s="8" t="s">
        <v>233</v>
      </c>
      <c r="BG1050" s="7" t="s">
        <v>233</v>
      </c>
      <c r="BH1050" s="7" t="s">
        <v>233</v>
      </c>
      <c r="BI1050" s="7"/>
      <c r="BJ1050" s="4"/>
      <c r="BK1050" s="8"/>
      <c r="BL1050" s="2" t="s">
        <v>233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5291</v>
      </c>
      <c r="BV1050" s="2" t="s">
        <v>233</v>
      </c>
      <c r="BW1050" s="2" t="s">
        <v>233</v>
      </c>
      <c r="BX1050" s="2" t="s">
        <v>243</v>
      </c>
      <c r="BY1050" s="2" t="s">
        <v>280</v>
      </c>
      <c r="BZ1050" s="2" t="s">
        <v>245</v>
      </c>
      <c r="CA1050" s="2" t="s">
        <v>2699</v>
      </c>
      <c r="CB1050" s="2" t="s">
        <v>233</v>
      </c>
      <c r="CC1050" s="2" t="s">
        <v>246</v>
      </c>
      <c r="CD1050" s="2" t="s">
        <v>233</v>
      </c>
      <c r="CE1050" s="4"/>
      <c r="CF1050" s="4"/>
      <c r="CG1050" s="4"/>
      <c r="CH1050" s="4"/>
      <c r="CI1050" s="4">
        <v>207</v>
      </c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</row>
    <row r="1051">
      <c r="A1051" s="2" t="s">
        <v>5292</v>
      </c>
      <c r="B1051" s="2" t="s">
        <v>2691</v>
      </c>
      <c r="C1051" s="2" t="s">
        <v>5279</v>
      </c>
      <c r="D1051" s="2" t="s">
        <v>2692</v>
      </c>
      <c r="E1051" s="2" t="s">
        <v>2693</v>
      </c>
      <c r="F1051" s="2" t="s">
        <v>5280</v>
      </c>
      <c r="G1051" s="2" t="s">
        <v>5280</v>
      </c>
      <c r="H1051" s="2" t="s">
        <v>5280</v>
      </c>
      <c r="I1051" s="2" t="s">
        <v>2693</v>
      </c>
      <c r="J1051" s="2" t="s">
        <v>1282</v>
      </c>
      <c r="K1051" s="2" t="s">
        <v>5290</v>
      </c>
      <c r="L1051" s="3">
        <v>22.03</v>
      </c>
      <c r="M1051" s="3">
        <v>23.13</v>
      </c>
      <c r="N1051" s="3"/>
      <c r="O1051" s="2" t="s">
        <v>237</v>
      </c>
      <c r="P1051" s="2" t="s">
        <v>311</v>
      </c>
      <c r="Q1051" s="2" t="s">
        <v>239</v>
      </c>
      <c r="R1051" s="2" t="s">
        <v>233</v>
      </c>
      <c r="S1051" s="2" t="s">
        <v>233</v>
      </c>
      <c r="T1051" s="2" t="s">
        <v>233</v>
      </c>
      <c r="U1051" s="2" t="s">
        <v>396</v>
      </c>
      <c r="V1051" s="2" t="s">
        <v>893</v>
      </c>
      <c r="W1051" s="2" t="s">
        <v>233</v>
      </c>
      <c r="X1051" s="2" t="s">
        <v>233</v>
      </c>
      <c r="Y1051" s="2" t="s">
        <v>2697</v>
      </c>
      <c r="Z1051" s="4">
        <v>438</v>
      </c>
      <c r="AA1051" s="4">
        <f>=ROUNDDOWN(2190,0)</f>
      </c>
      <c r="AB1051" s="5">
        <v>0.2</v>
      </c>
      <c r="AC1051" s="2" t="s">
        <v>233</v>
      </c>
      <c r="AD1051" s="4"/>
      <c r="AE1051" s="4"/>
      <c r="AF1051" s="6"/>
      <c r="AG1051" s="6"/>
      <c r="AH1051" s="7">
        <v>1</v>
      </c>
      <c r="AI1051" s="4"/>
      <c r="AJ1051" s="4">
        <f>=ROUNDDOWN({0},0)</f>
      </c>
      <c r="AK1051" s="5"/>
      <c r="AL1051" s="2" t="s">
        <v>233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233</v>
      </c>
      <c r="AW1051" s="8" t="s">
        <v>233</v>
      </c>
      <c r="AX1051" s="4" t="s">
        <v>233</v>
      </c>
      <c r="AY1051" s="8" t="s">
        <v>233</v>
      </c>
      <c r="AZ1051" s="7" t="s">
        <v>233</v>
      </c>
      <c r="BA1051" s="7" t="s">
        <v>233</v>
      </c>
      <c r="BB1051" s="7"/>
      <c r="BC1051" s="4" t="s">
        <v>233</v>
      </c>
      <c r="BD1051" s="8" t="s">
        <v>233</v>
      </c>
      <c r="BE1051" s="4" t="s">
        <v>233</v>
      </c>
      <c r="BF1051" s="8" t="s">
        <v>233</v>
      </c>
      <c r="BG1051" s="7" t="s">
        <v>233</v>
      </c>
      <c r="BH1051" s="7" t="s">
        <v>233</v>
      </c>
      <c r="BI1051" s="7"/>
      <c r="BJ1051" s="4">
        <v>1</v>
      </c>
      <c r="BK1051" s="8">
        <v>16.38</v>
      </c>
      <c r="BL1051" s="2" t="s">
        <v>2554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5293</v>
      </c>
      <c r="BV1051" s="2" t="s">
        <v>233</v>
      </c>
      <c r="BW1051" s="2" t="s">
        <v>233</v>
      </c>
      <c r="BX1051" s="2" t="s">
        <v>243</v>
      </c>
      <c r="BY1051" s="2" t="s">
        <v>280</v>
      </c>
      <c r="BZ1051" s="2" t="s">
        <v>245</v>
      </c>
      <c r="CA1051" s="2" t="s">
        <v>2699</v>
      </c>
      <c r="CB1051" s="2" t="s">
        <v>233</v>
      </c>
      <c r="CC1051" s="2" t="s">
        <v>246</v>
      </c>
      <c r="CD1051" s="2" t="s">
        <v>233</v>
      </c>
      <c r="CE1051" s="4"/>
      <c r="CF1051" s="4"/>
      <c r="CG1051" s="4"/>
      <c r="CH1051" s="4"/>
      <c r="CI1051" s="4">
        <v>438</v>
      </c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</row>
    <row r="1052">
      <c r="A1052" s="2" t="s">
        <v>5294</v>
      </c>
      <c r="B1052" s="2" t="s">
        <v>2691</v>
      </c>
      <c r="C1052" s="2" t="s">
        <v>5279</v>
      </c>
      <c r="D1052" s="2" t="s">
        <v>2692</v>
      </c>
      <c r="E1052" s="2" t="s">
        <v>2693</v>
      </c>
      <c r="F1052" s="2" t="s">
        <v>5280</v>
      </c>
      <c r="G1052" s="2" t="s">
        <v>5280</v>
      </c>
      <c r="H1052" s="2" t="s">
        <v>5280</v>
      </c>
      <c r="I1052" s="2" t="s">
        <v>2693</v>
      </c>
      <c r="J1052" s="2" t="s">
        <v>1287</v>
      </c>
      <c r="K1052" s="2" t="s">
        <v>5290</v>
      </c>
      <c r="L1052" s="3">
        <v>22.03</v>
      </c>
      <c r="M1052" s="3">
        <v>23.13</v>
      </c>
      <c r="N1052" s="3"/>
      <c r="O1052" s="2" t="s">
        <v>237</v>
      </c>
      <c r="P1052" s="2" t="s">
        <v>311</v>
      </c>
      <c r="Q1052" s="2" t="s">
        <v>239</v>
      </c>
      <c r="R1052" s="2" t="s">
        <v>233</v>
      </c>
      <c r="S1052" s="2" t="s">
        <v>233</v>
      </c>
      <c r="T1052" s="2" t="s">
        <v>233</v>
      </c>
      <c r="U1052" s="2" t="s">
        <v>396</v>
      </c>
      <c r="V1052" s="2" t="s">
        <v>893</v>
      </c>
      <c r="W1052" s="2" t="s">
        <v>233</v>
      </c>
      <c r="X1052" s="2" t="s">
        <v>233</v>
      </c>
      <c r="Y1052" s="2" t="s">
        <v>2697</v>
      </c>
      <c r="Z1052" s="4">
        <v>425</v>
      </c>
      <c r="AA1052" s="4">
        <f>=ROUNDDOWN(531.25,0)</f>
      </c>
      <c r="AB1052" s="5">
        <v>0.8</v>
      </c>
      <c r="AC1052" s="2" t="s">
        <v>233</v>
      </c>
      <c r="AD1052" s="4"/>
      <c r="AE1052" s="4"/>
      <c r="AF1052" s="6"/>
      <c r="AG1052" s="6"/>
      <c r="AH1052" s="7">
        <v>1</v>
      </c>
      <c r="AI1052" s="4"/>
      <c r="AJ1052" s="4">
        <f>=ROUNDDOWN({0},0)</f>
      </c>
      <c r="AK1052" s="5"/>
      <c r="AL1052" s="2" t="s">
        <v>233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233</v>
      </c>
      <c r="AW1052" s="8" t="s">
        <v>233</v>
      </c>
      <c r="AX1052" s="4" t="s">
        <v>233</v>
      </c>
      <c r="AY1052" s="8" t="s">
        <v>233</v>
      </c>
      <c r="AZ1052" s="7" t="s">
        <v>233</v>
      </c>
      <c r="BA1052" s="7" t="s">
        <v>233</v>
      </c>
      <c r="BB1052" s="7"/>
      <c r="BC1052" s="4" t="s">
        <v>233</v>
      </c>
      <c r="BD1052" s="8" t="s">
        <v>233</v>
      </c>
      <c r="BE1052" s="4" t="s">
        <v>233</v>
      </c>
      <c r="BF1052" s="8" t="s">
        <v>233</v>
      </c>
      <c r="BG1052" s="7" t="s">
        <v>233</v>
      </c>
      <c r="BH1052" s="7" t="s">
        <v>233</v>
      </c>
      <c r="BI1052" s="7"/>
      <c r="BJ1052" s="4">
        <v>1</v>
      </c>
      <c r="BK1052" s="8">
        <v>16.38</v>
      </c>
      <c r="BL1052" s="2" t="s">
        <v>2554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5295</v>
      </c>
      <c r="BV1052" s="2" t="s">
        <v>233</v>
      </c>
      <c r="BW1052" s="2" t="s">
        <v>233</v>
      </c>
      <c r="BX1052" s="2" t="s">
        <v>243</v>
      </c>
      <c r="BY1052" s="2" t="s">
        <v>280</v>
      </c>
      <c r="BZ1052" s="2" t="s">
        <v>245</v>
      </c>
      <c r="CA1052" s="2" t="s">
        <v>2699</v>
      </c>
      <c r="CB1052" s="2" t="s">
        <v>233</v>
      </c>
      <c r="CC1052" s="2" t="s">
        <v>246</v>
      </c>
      <c r="CD1052" s="2" t="s">
        <v>233</v>
      </c>
      <c r="CE1052" s="4"/>
      <c r="CF1052" s="4"/>
      <c r="CG1052" s="4"/>
      <c r="CH1052" s="4"/>
      <c r="CI1052" s="4">
        <v>425</v>
      </c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</row>
    <row r="1053">
      <c r="A1053" s="2" t="s">
        <v>5296</v>
      </c>
      <c r="B1053" s="2" t="s">
        <v>2691</v>
      </c>
      <c r="C1053" s="2" t="s">
        <v>5279</v>
      </c>
      <c r="D1053" s="2" t="s">
        <v>2692</v>
      </c>
      <c r="E1053" s="2" t="s">
        <v>2693</v>
      </c>
      <c r="F1053" s="2" t="s">
        <v>5280</v>
      </c>
      <c r="G1053" s="2" t="s">
        <v>5280</v>
      </c>
      <c r="H1053" s="2" t="s">
        <v>5280</v>
      </c>
      <c r="I1053" s="2" t="s">
        <v>2693</v>
      </c>
      <c r="J1053" s="2" t="s">
        <v>1290</v>
      </c>
      <c r="K1053" s="2" t="s">
        <v>5290</v>
      </c>
      <c r="L1053" s="3">
        <v>22.03</v>
      </c>
      <c r="M1053" s="3">
        <v>23.13</v>
      </c>
      <c r="N1053" s="3"/>
      <c r="O1053" s="2" t="s">
        <v>237</v>
      </c>
      <c r="P1053" s="2" t="s">
        <v>311</v>
      </c>
      <c r="Q1053" s="2" t="s">
        <v>239</v>
      </c>
      <c r="R1053" s="2" t="s">
        <v>233</v>
      </c>
      <c r="S1053" s="2" t="s">
        <v>233</v>
      </c>
      <c r="T1053" s="2" t="s">
        <v>233</v>
      </c>
      <c r="U1053" s="2" t="s">
        <v>396</v>
      </c>
      <c r="V1053" s="2" t="s">
        <v>893</v>
      </c>
      <c r="W1053" s="2" t="s">
        <v>233</v>
      </c>
      <c r="X1053" s="2" t="s">
        <v>233</v>
      </c>
      <c r="Y1053" s="2" t="s">
        <v>2697</v>
      </c>
      <c r="Z1053" s="4">
        <v>174</v>
      </c>
      <c r="AA1053" s="4">
        <f>=ROUNDDOWN(348,0)</f>
      </c>
      <c r="AB1053" s="5">
        <v>0.5</v>
      </c>
      <c r="AC1053" s="2" t="s">
        <v>233</v>
      </c>
      <c r="AD1053" s="4"/>
      <c r="AE1053" s="4"/>
      <c r="AF1053" s="6"/>
      <c r="AG1053" s="6"/>
      <c r="AH1053" s="7">
        <v>1</v>
      </c>
      <c r="AI1053" s="4"/>
      <c r="AJ1053" s="4">
        <f>=ROUNDDOWN({0},0)</f>
      </c>
      <c r="AK1053" s="5"/>
      <c r="AL1053" s="2" t="s">
        <v>233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233</v>
      </c>
      <c r="AW1053" s="8" t="s">
        <v>233</v>
      </c>
      <c r="AX1053" s="4" t="s">
        <v>233</v>
      </c>
      <c r="AY1053" s="8" t="s">
        <v>233</v>
      </c>
      <c r="AZ1053" s="7" t="s">
        <v>233</v>
      </c>
      <c r="BA1053" s="7" t="s">
        <v>233</v>
      </c>
      <c r="BB1053" s="7"/>
      <c r="BC1053" s="4" t="s">
        <v>233</v>
      </c>
      <c r="BD1053" s="8" t="s">
        <v>233</v>
      </c>
      <c r="BE1053" s="4" t="s">
        <v>233</v>
      </c>
      <c r="BF1053" s="8" t="s">
        <v>233</v>
      </c>
      <c r="BG1053" s="7" t="s">
        <v>233</v>
      </c>
      <c r="BH1053" s="7" t="s">
        <v>233</v>
      </c>
      <c r="BI1053" s="7"/>
      <c r="BJ1053" s="4">
        <v>1</v>
      </c>
      <c r="BK1053" s="8">
        <v>16.38</v>
      </c>
      <c r="BL1053" s="2" t="s">
        <v>2554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5297</v>
      </c>
      <c r="BV1053" s="2" t="s">
        <v>233</v>
      </c>
      <c r="BW1053" s="2" t="s">
        <v>233</v>
      </c>
      <c r="BX1053" s="2" t="s">
        <v>243</v>
      </c>
      <c r="BY1053" s="2" t="s">
        <v>280</v>
      </c>
      <c r="BZ1053" s="2" t="s">
        <v>245</v>
      </c>
      <c r="CA1053" s="2" t="s">
        <v>2699</v>
      </c>
      <c r="CB1053" s="2" t="s">
        <v>233</v>
      </c>
      <c r="CC1053" s="2" t="s">
        <v>246</v>
      </c>
      <c r="CD1053" s="2" t="s">
        <v>233</v>
      </c>
      <c r="CE1053" s="4"/>
      <c r="CF1053" s="4"/>
      <c r="CG1053" s="4"/>
      <c r="CH1053" s="4"/>
      <c r="CI1053" s="4">
        <v>174</v>
      </c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</row>
    <row r="1054">
      <c r="A1054" s="2" t="s">
        <v>5298</v>
      </c>
      <c r="B1054" s="2" t="s">
        <v>1066</v>
      </c>
      <c r="C1054" s="2" t="s">
        <v>530</v>
      </c>
      <c r="D1054" s="2" t="s">
        <v>1067</v>
      </c>
      <c r="E1054" s="2" t="s">
        <v>1068</v>
      </c>
      <c r="F1054" s="2" t="s">
        <v>5299</v>
      </c>
      <c r="G1054" s="2" t="s">
        <v>5300</v>
      </c>
      <c r="H1054" s="2" t="s">
        <v>5301</v>
      </c>
      <c r="I1054" s="2" t="s">
        <v>2650</v>
      </c>
      <c r="J1054" s="2" t="s">
        <v>892</v>
      </c>
      <c r="K1054" s="2" t="s">
        <v>1191</v>
      </c>
      <c r="L1054" s="3">
        <v>230</v>
      </c>
      <c r="M1054" s="3">
        <v>241.5</v>
      </c>
      <c r="N1054" s="3">
        <v>479</v>
      </c>
      <c r="O1054" s="2" t="s">
        <v>237</v>
      </c>
      <c r="P1054" s="2" t="s">
        <v>311</v>
      </c>
      <c r="Q1054" s="2" t="s">
        <v>239</v>
      </c>
      <c r="R1054" s="2" t="s">
        <v>233</v>
      </c>
      <c r="S1054" s="2" t="s">
        <v>233</v>
      </c>
      <c r="T1054" s="2" t="s">
        <v>233</v>
      </c>
      <c r="U1054" s="2" t="s">
        <v>396</v>
      </c>
      <c r="V1054" s="2" t="s">
        <v>241</v>
      </c>
      <c r="W1054" s="2" t="s">
        <v>451</v>
      </c>
      <c r="X1054" s="2" t="s">
        <v>233</v>
      </c>
      <c r="Y1054" s="2" t="s">
        <v>5302</v>
      </c>
      <c r="Z1054" s="4">
        <v>88</v>
      </c>
      <c r="AA1054" s="4">
        <f>=ROUNDDOWN({0},0)</f>
      </c>
      <c r="AB1054" s="5"/>
      <c r="AC1054" s="2" t="s">
        <v>233</v>
      </c>
      <c r="AD1054" s="4"/>
      <c r="AE1054" s="4"/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233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1028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5303</v>
      </c>
      <c r="BV1054" s="2" t="s">
        <v>233</v>
      </c>
      <c r="BW1054" s="2" t="s">
        <v>233</v>
      </c>
      <c r="BX1054" s="2" t="s">
        <v>233</v>
      </c>
      <c r="BY1054" s="2" t="s">
        <v>280</v>
      </c>
      <c r="BZ1054" s="2" t="s">
        <v>245</v>
      </c>
      <c r="CA1054" s="2" t="s">
        <v>5304</v>
      </c>
      <c r="CB1054" s="2" t="s">
        <v>711</v>
      </c>
      <c r="CC1054" s="2" t="s">
        <v>246</v>
      </c>
      <c r="CD1054" s="2" t="s">
        <v>233</v>
      </c>
      <c r="CE1054" s="4"/>
      <c r="CF1054" s="4">
        <v>88</v>
      </c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</row>
    <row r="1055">
      <c r="A1055" s="2" t="s">
        <v>5305</v>
      </c>
      <c r="B1055" s="2" t="s">
        <v>1242</v>
      </c>
      <c r="C1055" s="2" t="s">
        <v>1321</v>
      </c>
      <c r="D1055" s="2" t="s">
        <v>969</v>
      </c>
      <c r="E1055" s="2" t="s">
        <v>1078</v>
      </c>
      <c r="F1055" s="2" t="s">
        <v>5306</v>
      </c>
      <c r="G1055" s="2" t="s">
        <v>5306</v>
      </c>
      <c r="H1055" s="2" t="s">
        <v>5306</v>
      </c>
      <c r="I1055" s="2" t="s">
        <v>5307</v>
      </c>
      <c r="J1055" s="2" t="s">
        <v>348</v>
      </c>
      <c r="K1055" s="2" t="s">
        <v>271</v>
      </c>
      <c r="L1055" s="3">
        <v>165</v>
      </c>
      <c r="M1055" s="3">
        <v>173.24</v>
      </c>
      <c r="N1055" s="3">
        <v>329.99</v>
      </c>
      <c r="O1055" s="2" t="s">
        <v>245</v>
      </c>
      <c r="P1055" s="2" t="s">
        <v>238</v>
      </c>
      <c r="Q1055" s="2" t="s">
        <v>239</v>
      </c>
      <c r="R1055" s="2" t="s">
        <v>233</v>
      </c>
      <c r="S1055" s="2" t="s">
        <v>5308</v>
      </c>
      <c r="T1055" s="2" t="s">
        <v>341</v>
      </c>
      <c r="U1055" s="2" t="s">
        <v>5309</v>
      </c>
      <c r="V1055" s="2" t="s">
        <v>359</v>
      </c>
      <c r="W1055" s="2" t="s">
        <v>977</v>
      </c>
      <c r="X1055" s="2" t="s">
        <v>275</v>
      </c>
      <c r="Y1055" s="2" t="s">
        <v>233</v>
      </c>
      <c r="Z1055" s="4"/>
      <c r="AA1055" s="4">
        <f>=ROUNDDOWN({0},0)</f>
      </c>
      <c r="AB1055" s="5"/>
      <c r="AC1055" s="2" t="s">
        <v>825</v>
      </c>
      <c r="AD1055" s="4">
        <v>200</v>
      </c>
      <c r="AE1055" s="4">
        <v>360</v>
      </c>
      <c r="AF1055" s="6">
        <v>67</v>
      </c>
      <c r="AG1055" s="6"/>
      <c r="AH1055" s="7">
        <v>0</v>
      </c>
      <c r="AI1055" s="4"/>
      <c r="AJ1055" s="4">
        <f>=ROUNDDOWN({0},0)</f>
      </c>
      <c r="AK1055" s="5"/>
      <c r="AL1055" s="2" t="s">
        <v>233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233</v>
      </c>
      <c r="AW1055" s="8" t="s">
        <v>233</v>
      </c>
      <c r="AX1055" s="4" t="s">
        <v>233</v>
      </c>
      <c r="AY1055" s="8" t="s">
        <v>233</v>
      </c>
      <c r="AZ1055" s="7" t="s">
        <v>233</v>
      </c>
      <c r="BA1055" s="7" t="s">
        <v>233</v>
      </c>
      <c r="BB1055" s="7"/>
      <c r="BC1055" s="4" t="s">
        <v>233</v>
      </c>
      <c r="BD1055" s="8" t="s">
        <v>233</v>
      </c>
      <c r="BE1055" s="4" t="s">
        <v>233</v>
      </c>
      <c r="BF1055" s="8" t="s">
        <v>233</v>
      </c>
      <c r="BG1055" s="7" t="s">
        <v>233</v>
      </c>
      <c r="BH1055" s="7" t="s">
        <v>233</v>
      </c>
      <c r="BI1055" s="7"/>
      <c r="BJ1055" s="4"/>
      <c r="BK1055" s="8"/>
      <c r="BL1055" s="2" t="s">
        <v>233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243</v>
      </c>
      <c r="BV1055" s="2" t="s">
        <v>233</v>
      </c>
      <c r="BW1055" s="2" t="s">
        <v>233</v>
      </c>
      <c r="BX1055" s="2" t="s">
        <v>243</v>
      </c>
      <c r="BY1055" s="2" t="s">
        <v>244</v>
      </c>
      <c r="BZ1055" s="2" t="s">
        <v>245</v>
      </c>
      <c r="CA1055" s="2" t="s">
        <v>233</v>
      </c>
      <c r="CB1055" s="2" t="s">
        <v>233</v>
      </c>
      <c r="CC1055" s="2" t="s">
        <v>246</v>
      </c>
      <c r="CD1055" s="2" t="s">
        <v>233</v>
      </c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>
        <v>200</v>
      </c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>
        <v>160</v>
      </c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</row>
    <row r="1056">
      <c r="A1056" s="2" t="s">
        <v>5310</v>
      </c>
      <c r="B1056" s="2" t="s">
        <v>1242</v>
      </c>
      <c r="C1056" s="2" t="s">
        <v>1321</v>
      </c>
      <c r="D1056" s="2" t="s">
        <v>969</v>
      </c>
      <c r="E1056" s="2" t="s">
        <v>1078</v>
      </c>
      <c r="F1056" s="2" t="s">
        <v>5306</v>
      </c>
      <c r="G1056" s="2" t="s">
        <v>5306</v>
      </c>
      <c r="H1056" s="2" t="s">
        <v>5306</v>
      </c>
      <c r="I1056" s="2" t="s">
        <v>5307</v>
      </c>
      <c r="J1056" s="2" t="s">
        <v>328</v>
      </c>
      <c r="K1056" s="2" t="s">
        <v>271</v>
      </c>
      <c r="L1056" s="3">
        <v>190</v>
      </c>
      <c r="M1056" s="3">
        <v>199.49</v>
      </c>
      <c r="N1056" s="3">
        <v>379.99</v>
      </c>
      <c r="O1056" s="2" t="s">
        <v>245</v>
      </c>
      <c r="P1056" s="2" t="s">
        <v>238</v>
      </c>
      <c r="Q1056" s="2" t="s">
        <v>239</v>
      </c>
      <c r="R1056" s="2" t="s">
        <v>233</v>
      </c>
      <c r="S1056" s="2" t="s">
        <v>5308</v>
      </c>
      <c r="T1056" s="2" t="s">
        <v>341</v>
      </c>
      <c r="U1056" s="2" t="s">
        <v>3165</v>
      </c>
      <c r="V1056" s="2" t="s">
        <v>359</v>
      </c>
      <c r="W1056" s="2" t="s">
        <v>977</v>
      </c>
      <c r="X1056" s="2" t="s">
        <v>275</v>
      </c>
      <c r="Y1056" s="2" t="s">
        <v>233</v>
      </c>
      <c r="Z1056" s="4"/>
      <c r="AA1056" s="4">
        <f>=ROUNDDOWN({0},0)</f>
      </c>
      <c r="AB1056" s="5"/>
      <c r="AC1056" s="2" t="s">
        <v>825</v>
      </c>
      <c r="AD1056" s="4">
        <v>300</v>
      </c>
      <c r="AE1056" s="4">
        <v>540</v>
      </c>
      <c r="AF1056" s="6">
        <v>67</v>
      </c>
      <c r="AG1056" s="6"/>
      <c r="AH1056" s="7">
        <v>0</v>
      </c>
      <c r="AI1056" s="4"/>
      <c r="AJ1056" s="4">
        <f>=ROUNDDOWN({0},0)</f>
      </c>
      <c r="AK1056" s="5"/>
      <c r="AL1056" s="2" t="s">
        <v>233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233</v>
      </c>
      <c r="AW1056" s="8" t="s">
        <v>233</v>
      </c>
      <c r="AX1056" s="4" t="s">
        <v>233</v>
      </c>
      <c r="AY1056" s="8" t="s">
        <v>233</v>
      </c>
      <c r="AZ1056" s="7" t="s">
        <v>233</v>
      </c>
      <c r="BA1056" s="7" t="s">
        <v>233</v>
      </c>
      <c r="BB1056" s="7"/>
      <c r="BC1056" s="4" t="s">
        <v>233</v>
      </c>
      <c r="BD1056" s="8" t="s">
        <v>233</v>
      </c>
      <c r="BE1056" s="4" t="s">
        <v>233</v>
      </c>
      <c r="BF1056" s="8" t="s">
        <v>233</v>
      </c>
      <c r="BG1056" s="7" t="s">
        <v>233</v>
      </c>
      <c r="BH1056" s="7" t="s">
        <v>233</v>
      </c>
      <c r="BI1056" s="7"/>
      <c r="BJ1056" s="4"/>
      <c r="BK1056" s="8"/>
      <c r="BL1056" s="2" t="s">
        <v>233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243</v>
      </c>
      <c r="BV1056" s="2" t="s">
        <v>233</v>
      </c>
      <c r="BW1056" s="2" t="s">
        <v>233</v>
      </c>
      <c r="BX1056" s="2" t="s">
        <v>243</v>
      </c>
      <c r="BY1056" s="2" t="s">
        <v>244</v>
      </c>
      <c r="BZ1056" s="2" t="s">
        <v>245</v>
      </c>
      <c r="CA1056" s="2" t="s">
        <v>233</v>
      </c>
      <c r="CB1056" s="2" t="s">
        <v>233</v>
      </c>
      <c r="CC1056" s="2" t="s">
        <v>246</v>
      </c>
      <c r="CD1056" s="2" t="s">
        <v>233</v>
      </c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>
        <v>300</v>
      </c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>
        <v>240</v>
      </c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</row>
    <row r="1057">
      <c r="A1057" s="2" t="s">
        <v>5311</v>
      </c>
      <c r="B1057" s="2" t="s">
        <v>928</v>
      </c>
      <c r="C1057" s="2" t="s">
        <v>530</v>
      </c>
      <c r="D1057" s="2" t="s">
        <v>961</v>
      </c>
      <c r="E1057" s="2" t="s">
        <v>939</v>
      </c>
      <c r="F1057" s="2" t="s">
        <v>5312</v>
      </c>
      <c r="G1057" s="2" t="s">
        <v>233</v>
      </c>
      <c r="H1057" s="2" t="s">
        <v>233</v>
      </c>
      <c r="I1057" s="2" t="s">
        <v>5313</v>
      </c>
      <c r="J1057" s="2" t="s">
        <v>892</v>
      </c>
      <c r="K1057" s="2" t="s">
        <v>271</v>
      </c>
      <c r="L1057" s="3">
        <v>48.43</v>
      </c>
      <c r="M1057" s="3">
        <v>50.85</v>
      </c>
      <c r="N1057" s="3">
        <v>98.59</v>
      </c>
      <c r="O1057" s="2" t="s">
        <v>245</v>
      </c>
      <c r="P1057" s="2" t="s">
        <v>272</v>
      </c>
      <c r="Q1057" s="2" t="s">
        <v>239</v>
      </c>
      <c r="R1057" s="2" t="s">
        <v>233</v>
      </c>
      <c r="S1057" s="2" t="s">
        <v>5314</v>
      </c>
      <c r="T1057" s="2" t="s">
        <v>233</v>
      </c>
      <c r="U1057" s="2" t="s">
        <v>491</v>
      </c>
      <c r="V1057" s="2" t="s">
        <v>921</v>
      </c>
      <c r="W1057" s="2" t="s">
        <v>397</v>
      </c>
      <c r="X1057" s="2" t="s">
        <v>233</v>
      </c>
      <c r="Y1057" s="2" t="s">
        <v>5315</v>
      </c>
      <c r="Z1057" s="4">
        <v>109</v>
      </c>
      <c r="AA1057" s="4">
        <f>=ROUNDDOWN(27.9487179487179,0)</f>
      </c>
      <c r="AB1057" s="5">
        <v>3.9</v>
      </c>
      <c r="AC1057" s="2" t="s">
        <v>233</v>
      </c>
      <c r="AD1057" s="4"/>
      <c r="AE1057" s="4"/>
      <c r="AF1057" s="6">
        <v>63</v>
      </c>
      <c r="AG1057" s="6"/>
      <c r="AH1057" s="7">
        <v>1</v>
      </c>
      <c r="AI1057" s="4"/>
      <c r="AJ1057" s="4">
        <f>=ROUNDDOWN({0},0)</f>
      </c>
      <c r="AK1057" s="5"/>
      <c r="AL1057" s="2" t="s">
        <v>233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>
        <v>16</v>
      </c>
      <c r="BK1057" s="8">
        <v>825.28</v>
      </c>
      <c r="BL1057" s="2" t="s">
        <v>5316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5317</v>
      </c>
      <c r="BV1057" s="2" t="s">
        <v>233</v>
      </c>
      <c r="BW1057" s="2" t="s">
        <v>233</v>
      </c>
      <c r="BX1057" s="2" t="s">
        <v>233</v>
      </c>
      <c r="BY1057" s="2" t="s">
        <v>280</v>
      </c>
      <c r="BZ1057" s="2" t="s">
        <v>245</v>
      </c>
      <c r="CA1057" s="2" t="s">
        <v>4084</v>
      </c>
      <c r="CB1057" s="2" t="s">
        <v>1392</v>
      </c>
      <c r="CC1057" s="2" t="s">
        <v>246</v>
      </c>
      <c r="CD1057" s="2" t="s">
        <v>233</v>
      </c>
      <c r="CE1057" s="4"/>
      <c r="CF1057" s="4">
        <v>109</v>
      </c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</row>
    <row r="1058">
      <c r="A1058" s="2" t="s">
        <v>5318</v>
      </c>
      <c r="B1058" s="2" t="s">
        <v>886</v>
      </c>
      <c r="C1058" s="2" t="s">
        <v>901</v>
      </c>
      <c r="D1058" s="2" t="s">
        <v>1167</v>
      </c>
      <c r="E1058" s="2" t="s">
        <v>1168</v>
      </c>
      <c r="F1058" s="2" t="s">
        <v>5319</v>
      </c>
      <c r="G1058" s="2" t="s">
        <v>5319</v>
      </c>
      <c r="H1058" s="2" t="s">
        <v>5319</v>
      </c>
      <c r="I1058" s="2" t="s">
        <v>5320</v>
      </c>
      <c r="J1058" s="2" t="s">
        <v>892</v>
      </c>
      <c r="K1058" s="2" t="s">
        <v>297</v>
      </c>
      <c r="L1058" s="3">
        <v>44</v>
      </c>
      <c r="M1058" s="3">
        <v>46.2</v>
      </c>
      <c r="N1058" s="3">
        <v>89.99</v>
      </c>
      <c r="O1058" s="2" t="s">
        <v>245</v>
      </c>
      <c r="P1058" s="2" t="s">
        <v>238</v>
      </c>
      <c r="Q1058" s="2" t="s">
        <v>239</v>
      </c>
      <c r="R1058" s="2" t="s">
        <v>233</v>
      </c>
      <c r="S1058" s="2" t="s">
        <v>233</v>
      </c>
      <c r="T1058" s="2" t="s">
        <v>233</v>
      </c>
      <c r="U1058" s="2" t="s">
        <v>396</v>
      </c>
      <c r="V1058" s="2" t="s">
        <v>893</v>
      </c>
      <c r="W1058" s="2" t="s">
        <v>1700</v>
      </c>
      <c r="X1058" s="2" t="s">
        <v>397</v>
      </c>
      <c r="Y1058" s="2" t="s">
        <v>233</v>
      </c>
      <c r="Z1058" s="4"/>
      <c r="AA1058" s="4">
        <f>=ROUNDDOWN({0},0)</f>
      </c>
      <c r="AB1058" s="5"/>
      <c r="AC1058" s="2" t="s">
        <v>1701</v>
      </c>
      <c r="AD1058" s="4">
        <v>100</v>
      </c>
      <c r="AE1058" s="4">
        <v>100</v>
      </c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233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/>
      <c r="BK1058" s="8"/>
      <c r="BL1058" s="2" t="s">
        <v>233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243</v>
      </c>
      <c r="BV1058" s="2" t="s">
        <v>233</v>
      </c>
      <c r="BW1058" s="2" t="s">
        <v>233</v>
      </c>
      <c r="BX1058" s="2" t="s">
        <v>243</v>
      </c>
      <c r="BY1058" s="2" t="s">
        <v>244</v>
      </c>
      <c r="BZ1058" s="2" t="s">
        <v>245</v>
      </c>
      <c r="CA1058" s="2" t="s">
        <v>233</v>
      </c>
      <c r="CB1058" s="2" t="s">
        <v>233</v>
      </c>
      <c r="CC1058" s="2" t="s">
        <v>246</v>
      </c>
      <c r="CD1058" s="2" t="s">
        <v>233</v>
      </c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>
        <v>100</v>
      </c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</row>
    <row r="1059">
      <c r="A1059" s="2" t="s">
        <v>5321</v>
      </c>
      <c r="B1059" s="2" t="s">
        <v>1066</v>
      </c>
      <c r="C1059" s="2" t="s">
        <v>947</v>
      </c>
      <c r="D1059" s="2" t="s">
        <v>1713</v>
      </c>
      <c r="E1059" s="2" t="s">
        <v>1913</v>
      </c>
      <c r="F1059" s="2" t="s">
        <v>1432</v>
      </c>
      <c r="G1059" s="2" t="s">
        <v>1432</v>
      </c>
      <c r="H1059" s="2" t="s">
        <v>1432</v>
      </c>
      <c r="I1059" s="2" t="s">
        <v>1714</v>
      </c>
      <c r="J1059" s="2" t="s">
        <v>892</v>
      </c>
      <c r="K1059" s="2" t="s">
        <v>569</v>
      </c>
      <c r="L1059" s="3">
        <v>110</v>
      </c>
      <c r="M1059" s="3">
        <v>115.5</v>
      </c>
      <c r="N1059" s="3">
        <v>229</v>
      </c>
      <c r="O1059" s="2" t="s">
        <v>237</v>
      </c>
      <c r="P1059" s="2" t="s">
        <v>311</v>
      </c>
      <c r="Q1059" s="2" t="s">
        <v>239</v>
      </c>
      <c r="R1059" s="2" t="s">
        <v>233</v>
      </c>
      <c r="S1059" s="2" t="s">
        <v>233</v>
      </c>
      <c r="T1059" s="2" t="s">
        <v>233</v>
      </c>
      <c r="U1059" s="2" t="s">
        <v>396</v>
      </c>
      <c r="V1059" s="2" t="s">
        <v>893</v>
      </c>
      <c r="W1059" s="2" t="s">
        <v>397</v>
      </c>
      <c r="X1059" s="2" t="s">
        <v>1664</v>
      </c>
      <c r="Y1059" s="2" t="s">
        <v>5322</v>
      </c>
      <c r="Z1059" s="4">
        <v>162</v>
      </c>
      <c r="AA1059" s="4">
        <f>=ROUNDDOWN({0},0)</f>
      </c>
      <c r="AB1059" s="5"/>
      <c r="AC1059" s="2" t="s">
        <v>233</v>
      </c>
      <c r="AD1059" s="4"/>
      <c r="AE1059" s="4"/>
      <c r="AF1059" s="6">
        <v>66</v>
      </c>
      <c r="AG1059" s="6"/>
      <c r="AH1059" s="7">
        <v>1</v>
      </c>
      <c r="AI1059" s="4"/>
      <c r="AJ1059" s="4">
        <f>=ROUNDDOWN({0},0)</f>
      </c>
      <c r="AK1059" s="5"/>
      <c r="AL1059" s="2" t="s">
        <v>233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/>
      <c r="BK1059" s="8"/>
      <c r="BL1059" s="2" t="s">
        <v>744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5323</v>
      </c>
      <c r="BV1059" s="2" t="s">
        <v>233</v>
      </c>
      <c r="BW1059" s="2" t="s">
        <v>233</v>
      </c>
      <c r="BX1059" s="2" t="s">
        <v>233</v>
      </c>
      <c r="BY1059" s="2" t="s">
        <v>280</v>
      </c>
      <c r="BZ1059" s="2" t="s">
        <v>245</v>
      </c>
      <c r="CA1059" s="2" t="s">
        <v>1710</v>
      </c>
      <c r="CB1059" s="2" t="s">
        <v>5324</v>
      </c>
      <c r="CC1059" s="2" t="s">
        <v>246</v>
      </c>
      <c r="CD1059" s="2" t="s">
        <v>233</v>
      </c>
      <c r="CE1059" s="4"/>
      <c r="CF1059" s="4">
        <v>162</v>
      </c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</row>
    <row r="1060">
      <c r="A1060" s="2" t="s">
        <v>5325</v>
      </c>
      <c r="B1060" s="2" t="s">
        <v>1242</v>
      </c>
      <c r="C1060" s="2" t="s">
        <v>530</v>
      </c>
      <c r="D1060" s="2" t="s">
        <v>969</v>
      </c>
      <c r="E1060" s="2" t="s">
        <v>970</v>
      </c>
      <c r="F1060" s="2" t="s">
        <v>5326</v>
      </c>
      <c r="G1060" s="2" t="s">
        <v>5327</v>
      </c>
      <c r="H1060" s="2" t="s">
        <v>5328</v>
      </c>
      <c r="I1060" s="2" t="s">
        <v>5329</v>
      </c>
      <c r="J1060" s="2" t="s">
        <v>981</v>
      </c>
      <c r="K1060" s="2" t="s">
        <v>255</v>
      </c>
      <c r="L1060" s="3">
        <v>45.71</v>
      </c>
      <c r="M1060" s="3">
        <v>48</v>
      </c>
      <c r="N1060" s="3">
        <v>99.99</v>
      </c>
      <c r="O1060" s="2" t="s">
        <v>245</v>
      </c>
      <c r="P1060" s="2" t="s">
        <v>238</v>
      </c>
      <c r="Q1060" s="2" t="s">
        <v>239</v>
      </c>
      <c r="R1060" s="2" t="s">
        <v>233</v>
      </c>
      <c r="S1060" s="2" t="s">
        <v>5330</v>
      </c>
      <c r="T1060" s="2" t="s">
        <v>395</v>
      </c>
      <c r="U1060" s="2" t="s">
        <v>475</v>
      </c>
      <c r="V1060" s="2" t="s">
        <v>241</v>
      </c>
      <c r="W1060" s="2" t="s">
        <v>2882</v>
      </c>
      <c r="X1060" s="2" t="s">
        <v>1056</v>
      </c>
      <c r="Y1060" s="2" t="s">
        <v>5331</v>
      </c>
      <c r="Z1060" s="4">
        <v>250</v>
      </c>
      <c r="AA1060" s="4">
        <f>=ROUNDDOWN({0},0)</f>
      </c>
      <c r="AB1060" s="5"/>
      <c r="AC1060" s="2" t="s">
        <v>5332</v>
      </c>
      <c r="AD1060" s="4">
        <v>250</v>
      </c>
      <c r="AE1060" s="4">
        <v>250</v>
      </c>
      <c r="AF1060" s="6">
        <v>64</v>
      </c>
      <c r="AG1060" s="6"/>
      <c r="AH1060" s="7">
        <v>1</v>
      </c>
      <c r="AI1060" s="4"/>
      <c r="AJ1060" s="4">
        <f>=ROUNDDOWN({0},0)</f>
      </c>
      <c r="AK1060" s="5"/>
      <c r="AL1060" s="2" t="s">
        <v>233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233</v>
      </c>
      <c r="AW1060" s="8" t="s">
        <v>233</v>
      </c>
      <c r="AX1060" s="4" t="s">
        <v>233</v>
      </c>
      <c r="AY1060" s="8" t="s">
        <v>233</v>
      </c>
      <c r="AZ1060" s="7" t="s">
        <v>233</v>
      </c>
      <c r="BA1060" s="7" t="s">
        <v>233</v>
      </c>
      <c r="BB1060" s="7"/>
      <c r="BC1060" s="4" t="s">
        <v>233</v>
      </c>
      <c r="BD1060" s="8" t="s">
        <v>233</v>
      </c>
      <c r="BE1060" s="4" t="s">
        <v>233</v>
      </c>
      <c r="BF1060" s="8" t="s">
        <v>233</v>
      </c>
      <c r="BG1060" s="7" t="s">
        <v>233</v>
      </c>
      <c r="BH1060" s="7" t="s">
        <v>233</v>
      </c>
      <c r="BI1060" s="7"/>
      <c r="BJ1060" s="4"/>
      <c r="BK1060" s="8"/>
      <c r="BL1060" s="2" t="s">
        <v>233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5333</v>
      </c>
      <c r="BV1060" s="2" t="s">
        <v>233</v>
      </c>
      <c r="BW1060" s="2" t="s">
        <v>233</v>
      </c>
      <c r="BX1060" s="2" t="s">
        <v>243</v>
      </c>
      <c r="BY1060" s="2" t="s">
        <v>280</v>
      </c>
      <c r="BZ1060" s="2" t="s">
        <v>245</v>
      </c>
      <c r="CA1060" s="2" t="s">
        <v>350</v>
      </c>
      <c r="CB1060" s="2" t="s">
        <v>233</v>
      </c>
      <c r="CC1060" s="2" t="s">
        <v>246</v>
      </c>
      <c r="CD1060" s="2" t="s">
        <v>233</v>
      </c>
      <c r="CE1060" s="4">
        <v>250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>
        <v>250</v>
      </c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</row>
    <row r="1061">
      <c r="A1061" s="2" t="s">
        <v>5334</v>
      </c>
      <c r="B1061" s="2" t="s">
        <v>1242</v>
      </c>
      <c r="C1061" s="2" t="s">
        <v>530</v>
      </c>
      <c r="D1061" s="2" t="s">
        <v>969</v>
      </c>
      <c r="E1061" s="2" t="s">
        <v>970</v>
      </c>
      <c r="F1061" s="2" t="s">
        <v>5326</v>
      </c>
      <c r="G1061" s="2" t="s">
        <v>5327</v>
      </c>
      <c r="H1061" s="2" t="s">
        <v>5328</v>
      </c>
      <c r="I1061" s="2" t="s">
        <v>5329</v>
      </c>
      <c r="J1061" s="2" t="s">
        <v>1142</v>
      </c>
      <c r="K1061" s="2" t="s">
        <v>255</v>
      </c>
      <c r="L1061" s="3">
        <v>50.28</v>
      </c>
      <c r="M1061" s="3">
        <v>52.79</v>
      </c>
      <c r="N1061" s="3">
        <v>109.99</v>
      </c>
      <c r="O1061" s="2" t="s">
        <v>245</v>
      </c>
      <c r="P1061" s="2" t="s">
        <v>238</v>
      </c>
      <c r="Q1061" s="2" t="s">
        <v>239</v>
      </c>
      <c r="R1061" s="2" t="s">
        <v>233</v>
      </c>
      <c r="S1061" s="2" t="s">
        <v>5330</v>
      </c>
      <c r="T1061" s="2" t="s">
        <v>395</v>
      </c>
      <c r="U1061" s="2" t="s">
        <v>475</v>
      </c>
      <c r="V1061" s="2" t="s">
        <v>241</v>
      </c>
      <c r="W1061" s="2" t="s">
        <v>2882</v>
      </c>
      <c r="X1061" s="2" t="s">
        <v>1056</v>
      </c>
      <c r="Y1061" s="2" t="s">
        <v>5331</v>
      </c>
      <c r="Z1061" s="4">
        <v>149</v>
      </c>
      <c r="AA1061" s="4">
        <f>=ROUNDDOWN(82.7777777777778,0)</f>
      </c>
      <c r="AB1061" s="5">
        <v>1.8</v>
      </c>
      <c r="AC1061" s="2" t="s">
        <v>5332</v>
      </c>
      <c r="AD1061" s="4">
        <v>150</v>
      </c>
      <c r="AE1061" s="4">
        <v>150</v>
      </c>
      <c r="AF1061" s="6">
        <v>64</v>
      </c>
      <c r="AG1061" s="6"/>
      <c r="AH1061" s="7">
        <v>1</v>
      </c>
      <c r="AI1061" s="4"/>
      <c r="AJ1061" s="4">
        <f>=ROUNDDOWN({0},0)</f>
      </c>
      <c r="AK1061" s="5"/>
      <c r="AL1061" s="2" t="s">
        <v>233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233</v>
      </c>
      <c r="AW1061" s="8" t="s">
        <v>233</v>
      </c>
      <c r="AX1061" s="4" t="s">
        <v>233</v>
      </c>
      <c r="AY1061" s="8" t="s">
        <v>233</v>
      </c>
      <c r="AZ1061" s="7" t="s">
        <v>233</v>
      </c>
      <c r="BA1061" s="7" t="s">
        <v>233</v>
      </c>
      <c r="BB1061" s="7"/>
      <c r="BC1061" s="4" t="s">
        <v>233</v>
      </c>
      <c r="BD1061" s="8" t="s">
        <v>233</v>
      </c>
      <c r="BE1061" s="4" t="s">
        <v>233</v>
      </c>
      <c r="BF1061" s="8" t="s">
        <v>233</v>
      </c>
      <c r="BG1061" s="7" t="s">
        <v>233</v>
      </c>
      <c r="BH1061" s="7" t="s">
        <v>233</v>
      </c>
      <c r="BI1061" s="7"/>
      <c r="BJ1061" s="4"/>
      <c r="BK1061" s="8"/>
      <c r="BL1061" s="2" t="s">
        <v>233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5335</v>
      </c>
      <c r="BV1061" s="2" t="s">
        <v>233</v>
      </c>
      <c r="BW1061" s="2" t="s">
        <v>233</v>
      </c>
      <c r="BX1061" s="2" t="s">
        <v>243</v>
      </c>
      <c r="BY1061" s="2" t="s">
        <v>280</v>
      </c>
      <c r="BZ1061" s="2" t="s">
        <v>245</v>
      </c>
      <c r="CA1061" s="2" t="s">
        <v>350</v>
      </c>
      <c r="CB1061" s="2" t="s">
        <v>233</v>
      </c>
      <c r="CC1061" s="2" t="s">
        <v>246</v>
      </c>
      <c r="CD1061" s="2" t="s">
        <v>233</v>
      </c>
      <c r="CE1061" s="4">
        <v>149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>
        <v>150</v>
      </c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</row>
    <row r="1062">
      <c r="A1062" s="2" t="s">
        <v>5336</v>
      </c>
      <c r="B1062" s="2" t="s">
        <v>1242</v>
      </c>
      <c r="C1062" s="2" t="s">
        <v>530</v>
      </c>
      <c r="D1062" s="2" t="s">
        <v>969</v>
      </c>
      <c r="E1062" s="2" t="s">
        <v>970</v>
      </c>
      <c r="F1062" s="2" t="s">
        <v>5326</v>
      </c>
      <c r="G1062" s="2" t="s">
        <v>5327</v>
      </c>
      <c r="H1062" s="2" t="s">
        <v>5328</v>
      </c>
      <c r="I1062" s="2" t="s">
        <v>5329</v>
      </c>
      <c r="J1062" s="2" t="s">
        <v>981</v>
      </c>
      <c r="K1062" s="2" t="s">
        <v>297</v>
      </c>
      <c r="L1062" s="3">
        <v>45.71</v>
      </c>
      <c r="M1062" s="3">
        <v>48</v>
      </c>
      <c r="N1062" s="3">
        <v>99.99</v>
      </c>
      <c r="O1062" s="2" t="s">
        <v>245</v>
      </c>
      <c r="P1062" s="2" t="s">
        <v>238</v>
      </c>
      <c r="Q1062" s="2" t="s">
        <v>239</v>
      </c>
      <c r="R1062" s="2" t="s">
        <v>233</v>
      </c>
      <c r="S1062" s="2" t="s">
        <v>5337</v>
      </c>
      <c r="T1062" s="2" t="s">
        <v>395</v>
      </c>
      <c r="U1062" s="2" t="s">
        <v>475</v>
      </c>
      <c r="V1062" s="2" t="s">
        <v>241</v>
      </c>
      <c r="W1062" s="2" t="s">
        <v>2882</v>
      </c>
      <c r="X1062" s="2" t="s">
        <v>1056</v>
      </c>
      <c r="Y1062" s="2" t="s">
        <v>5331</v>
      </c>
      <c r="Z1062" s="4">
        <v>248</v>
      </c>
      <c r="AA1062" s="4">
        <f>=ROUNDDOWN(70.8571428571428,0)</f>
      </c>
      <c r="AB1062" s="5">
        <v>3.5</v>
      </c>
      <c r="AC1062" s="2" t="s">
        <v>5332</v>
      </c>
      <c r="AD1062" s="4">
        <v>250</v>
      </c>
      <c r="AE1062" s="4">
        <v>250</v>
      </c>
      <c r="AF1062" s="6">
        <v>64</v>
      </c>
      <c r="AG1062" s="6"/>
      <c r="AH1062" s="7">
        <v>1</v>
      </c>
      <c r="AI1062" s="4"/>
      <c r="AJ1062" s="4">
        <f>=ROUNDDOWN({0},0)</f>
      </c>
      <c r="AK1062" s="5"/>
      <c r="AL1062" s="2" t="s">
        <v>233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233</v>
      </c>
      <c r="AW1062" s="8" t="s">
        <v>233</v>
      </c>
      <c r="AX1062" s="4" t="s">
        <v>233</v>
      </c>
      <c r="AY1062" s="8" t="s">
        <v>233</v>
      </c>
      <c r="AZ1062" s="7" t="s">
        <v>233</v>
      </c>
      <c r="BA1062" s="7" t="s">
        <v>233</v>
      </c>
      <c r="BB1062" s="7"/>
      <c r="BC1062" s="4" t="s">
        <v>233</v>
      </c>
      <c r="BD1062" s="8" t="s">
        <v>233</v>
      </c>
      <c r="BE1062" s="4" t="s">
        <v>233</v>
      </c>
      <c r="BF1062" s="8" t="s">
        <v>233</v>
      </c>
      <c r="BG1062" s="7" t="s">
        <v>233</v>
      </c>
      <c r="BH1062" s="7" t="s">
        <v>233</v>
      </c>
      <c r="BI1062" s="7"/>
      <c r="BJ1062" s="4"/>
      <c r="BK1062" s="8"/>
      <c r="BL1062" s="2" t="s">
        <v>233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5338</v>
      </c>
      <c r="BV1062" s="2" t="s">
        <v>233</v>
      </c>
      <c r="BW1062" s="2" t="s">
        <v>233</v>
      </c>
      <c r="BX1062" s="2" t="s">
        <v>243</v>
      </c>
      <c r="BY1062" s="2" t="s">
        <v>280</v>
      </c>
      <c r="BZ1062" s="2" t="s">
        <v>245</v>
      </c>
      <c r="CA1062" s="2" t="s">
        <v>350</v>
      </c>
      <c r="CB1062" s="2" t="s">
        <v>233</v>
      </c>
      <c r="CC1062" s="2" t="s">
        <v>246</v>
      </c>
      <c r="CD1062" s="2" t="s">
        <v>233</v>
      </c>
      <c r="CE1062" s="4">
        <v>248</v>
      </c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>
        <v>250</v>
      </c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</row>
    <row r="1063">
      <c r="A1063" s="2" t="s">
        <v>5339</v>
      </c>
      <c r="B1063" s="2" t="s">
        <v>1242</v>
      </c>
      <c r="C1063" s="2" t="s">
        <v>530</v>
      </c>
      <c r="D1063" s="2" t="s">
        <v>969</v>
      </c>
      <c r="E1063" s="2" t="s">
        <v>970</v>
      </c>
      <c r="F1063" s="2" t="s">
        <v>5326</v>
      </c>
      <c r="G1063" s="2" t="s">
        <v>5327</v>
      </c>
      <c r="H1063" s="2" t="s">
        <v>5328</v>
      </c>
      <c r="I1063" s="2" t="s">
        <v>5329</v>
      </c>
      <c r="J1063" s="2" t="s">
        <v>1142</v>
      </c>
      <c r="K1063" s="2" t="s">
        <v>297</v>
      </c>
      <c r="L1063" s="3">
        <v>50.28</v>
      </c>
      <c r="M1063" s="3">
        <v>52.79</v>
      </c>
      <c r="N1063" s="3">
        <v>109.99</v>
      </c>
      <c r="O1063" s="2" t="s">
        <v>245</v>
      </c>
      <c r="P1063" s="2" t="s">
        <v>238</v>
      </c>
      <c r="Q1063" s="2" t="s">
        <v>239</v>
      </c>
      <c r="R1063" s="2" t="s">
        <v>233</v>
      </c>
      <c r="S1063" s="2" t="s">
        <v>5337</v>
      </c>
      <c r="T1063" s="2" t="s">
        <v>395</v>
      </c>
      <c r="U1063" s="2" t="s">
        <v>475</v>
      </c>
      <c r="V1063" s="2" t="s">
        <v>241</v>
      </c>
      <c r="W1063" s="2" t="s">
        <v>2882</v>
      </c>
      <c r="X1063" s="2" t="s">
        <v>1056</v>
      </c>
      <c r="Y1063" s="2" t="s">
        <v>5331</v>
      </c>
      <c r="Z1063" s="4">
        <v>150</v>
      </c>
      <c r="AA1063" s="4">
        <f>=ROUNDDOWN({0},0)</f>
      </c>
      <c r="AB1063" s="5"/>
      <c r="AC1063" s="2" t="s">
        <v>5332</v>
      </c>
      <c r="AD1063" s="4">
        <v>150</v>
      </c>
      <c r="AE1063" s="4">
        <v>150</v>
      </c>
      <c r="AF1063" s="6">
        <v>64</v>
      </c>
      <c r="AG1063" s="6"/>
      <c r="AH1063" s="7">
        <v>1</v>
      </c>
      <c r="AI1063" s="4"/>
      <c r="AJ1063" s="4">
        <f>=ROUNDDOWN({0},0)</f>
      </c>
      <c r="AK1063" s="5"/>
      <c r="AL1063" s="2" t="s">
        <v>233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233</v>
      </c>
      <c r="AW1063" s="8" t="s">
        <v>233</v>
      </c>
      <c r="AX1063" s="4" t="s">
        <v>233</v>
      </c>
      <c r="AY1063" s="8" t="s">
        <v>233</v>
      </c>
      <c r="AZ1063" s="7" t="s">
        <v>233</v>
      </c>
      <c r="BA1063" s="7" t="s">
        <v>233</v>
      </c>
      <c r="BB1063" s="7"/>
      <c r="BC1063" s="4" t="s">
        <v>233</v>
      </c>
      <c r="BD1063" s="8" t="s">
        <v>233</v>
      </c>
      <c r="BE1063" s="4" t="s">
        <v>233</v>
      </c>
      <c r="BF1063" s="8" t="s">
        <v>233</v>
      </c>
      <c r="BG1063" s="7" t="s">
        <v>233</v>
      </c>
      <c r="BH1063" s="7" t="s">
        <v>233</v>
      </c>
      <c r="BI1063" s="7"/>
      <c r="BJ1063" s="4"/>
      <c r="BK1063" s="8"/>
      <c r="BL1063" s="2" t="s">
        <v>233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5340</v>
      </c>
      <c r="BV1063" s="2" t="s">
        <v>233</v>
      </c>
      <c r="BW1063" s="2" t="s">
        <v>233</v>
      </c>
      <c r="BX1063" s="2" t="s">
        <v>243</v>
      </c>
      <c r="BY1063" s="2" t="s">
        <v>280</v>
      </c>
      <c r="BZ1063" s="2" t="s">
        <v>245</v>
      </c>
      <c r="CA1063" s="2" t="s">
        <v>350</v>
      </c>
      <c r="CB1063" s="2" t="s">
        <v>233</v>
      </c>
      <c r="CC1063" s="2" t="s">
        <v>246</v>
      </c>
      <c r="CD1063" s="2" t="s">
        <v>233</v>
      </c>
      <c r="CE1063" s="4">
        <v>150</v>
      </c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>
        <v>150</v>
      </c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</row>
    <row r="1064">
      <c r="A1064" s="2" t="s">
        <v>5341</v>
      </c>
      <c r="B1064" s="2" t="s">
        <v>1066</v>
      </c>
      <c r="C1064" s="2" t="s">
        <v>1157</v>
      </c>
      <c r="D1064" s="2" t="s">
        <v>1923</v>
      </c>
      <c r="E1064" s="2" t="s">
        <v>1924</v>
      </c>
      <c r="F1064" s="2" t="s">
        <v>5342</v>
      </c>
      <c r="G1064" s="2" t="s">
        <v>5342</v>
      </c>
      <c r="H1064" s="2" t="s">
        <v>5342</v>
      </c>
      <c r="I1064" s="2" t="s">
        <v>5343</v>
      </c>
      <c r="J1064" s="2" t="s">
        <v>892</v>
      </c>
      <c r="K1064" s="2" t="s">
        <v>255</v>
      </c>
      <c r="L1064" s="3">
        <v>102.6</v>
      </c>
      <c r="M1064" s="3">
        <v>107.73</v>
      </c>
      <c r="N1064" s="3">
        <v>219</v>
      </c>
      <c r="O1064" s="2" t="s">
        <v>245</v>
      </c>
      <c r="P1064" s="2" t="s">
        <v>238</v>
      </c>
      <c r="Q1064" s="2" t="s">
        <v>239</v>
      </c>
      <c r="R1064" s="2" t="s">
        <v>233</v>
      </c>
      <c r="S1064" s="2" t="s">
        <v>233</v>
      </c>
      <c r="T1064" s="2" t="s">
        <v>233</v>
      </c>
      <c r="U1064" s="2" t="s">
        <v>491</v>
      </c>
      <c r="V1064" s="2" t="s">
        <v>893</v>
      </c>
      <c r="W1064" s="2" t="s">
        <v>451</v>
      </c>
      <c r="X1064" s="2" t="s">
        <v>397</v>
      </c>
      <c r="Y1064" s="2" t="s">
        <v>3780</v>
      </c>
      <c r="Z1064" s="4">
        <v>57</v>
      </c>
      <c r="AA1064" s="4">
        <f>=ROUNDDOWN(11.4,0)</f>
      </c>
      <c r="AB1064" s="5">
        <v>5</v>
      </c>
      <c r="AC1064" s="2" t="s">
        <v>233</v>
      </c>
      <c r="AD1064" s="4"/>
      <c r="AE1064" s="4"/>
      <c r="AF1064" s="6">
        <v>76</v>
      </c>
      <c r="AG1064" s="6"/>
      <c r="AH1064" s="7">
        <v>1</v>
      </c>
      <c r="AI1064" s="4"/>
      <c r="AJ1064" s="4">
        <f>=ROUNDDOWN({0},0)</f>
      </c>
      <c r="AK1064" s="5"/>
      <c r="AL1064" s="2" t="s">
        <v>233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 t="s">
        <v>233</v>
      </c>
      <c r="BD1064" s="8" t="s">
        <v>233</v>
      </c>
      <c r="BE1064" s="4" t="s">
        <v>233</v>
      </c>
      <c r="BF1064" s="8" t="s">
        <v>233</v>
      </c>
      <c r="BG1064" s="7" t="s">
        <v>233</v>
      </c>
      <c r="BH1064" s="7" t="s">
        <v>233</v>
      </c>
      <c r="BI1064" s="7"/>
      <c r="BJ1064" s="4">
        <v>11</v>
      </c>
      <c r="BK1064" s="8">
        <v>1270.81</v>
      </c>
      <c r="BL1064" s="2" t="s">
        <v>5344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5345</v>
      </c>
      <c r="BV1064" s="2" t="s">
        <v>233</v>
      </c>
      <c r="BW1064" s="2" t="s">
        <v>233</v>
      </c>
      <c r="BX1064" s="2" t="s">
        <v>243</v>
      </c>
      <c r="BY1064" s="2" t="s">
        <v>280</v>
      </c>
      <c r="BZ1064" s="2" t="s">
        <v>245</v>
      </c>
      <c r="CA1064" s="2" t="s">
        <v>3780</v>
      </c>
      <c r="CB1064" s="2" t="s">
        <v>1009</v>
      </c>
      <c r="CC1064" s="2" t="s">
        <v>246</v>
      </c>
      <c r="CD1064" s="2" t="s">
        <v>233</v>
      </c>
      <c r="CE1064" s="4"/>
      <c r="CF1064" s="4">
        <v>57</v>
      </c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</row>
    <row r="1065">
      <c r="A1065" s="2" t="s">
        <v>5346</v>
      </c>
      <c r="B1065" s="2" t="s">
        <v>1242</v>
      </c>
      <c r="C1065" s="2" t="s">
        <v>530</v>
      </c>
      <c r="D1065" s="2" t="s">
        <v>912</v>
      </c>
      <c r="E1065" s="2" t="s">
        <v>1139</v>
      </c>
      <c r="F1065" s="2" t="s">
        <v>5342</v>
      </c>
      <c r="G1065" s="2" t="s">
        <v>5347</v>
      </c>
      <c r="H1065" s="2" t="s">
        <v>5348</v>
      </c>
      <c r="I1065" s="2" t="s">
        <v>5349</v>
      </c>
      <c r="J1065" s="2" t="s">
        <v>981</v>
      </c>
      <c r="K1065" s="2" t="s">
        <v>2817</v>
      </c>
      <c r="L1065" s="3">
        <v>27.42</v>
      </c>
      <c r="M1065" s="3">
        <v>28.79</v>
      </c>
      <c r="N1065" s="3">
        <v>59.99</v>
      </c>
      <c r="O1065" s="2" t="s">
        <v>245</v>
      </c>
      <c r="P1065" s="2" t="s">
        <v>238</v>
      </c>
      <c r="Q1065" s="2" t="s">
        <v>239</v>
      </c>
      <c r="R1065" s="2" t="s">
        <v>233</v>
      </c>
      <c r="S1065" s="2" t="s">
        <v>5350</v>
      </c>
      <c r="T1065" s="2" t="s">
        <v>1481</v>
      </c>
      <c r="U1065" s="2" t="s">
        <v>475</v>
      </c>
      <c r="V1065" s="2" t="s">
        <v>1762</v>
      </c>
      <c r="W1065" s="2" t="s">
        <v>2882</v>
      </c>
      <c r="X1065" s="2" t="s">
        <v>977</v>
      </c>
      <c r="Y1065" s="2" t="s">
        <v>1026</v>
      </c>
      <c r="Z1065" s="4">
        <v>103</v>
      </c>
      <c r="AA1065" s="4">
        <f>=ROUNDDOWN(206,0)</f>
      </c>
      <c r="AB1065" s="5">
        <v>0.5</v>
      </c>
      <c r="AC1065" s="2" t="s">
        <v>233</v>
      </c>
      <c r="AD1065" s="4"/>
      <c r="AE1065" s="4"/>
      <c r="AF1065" s="6">
        <v>64</v>
      </c>
      <c r="AG1065" s="6"/>
      <c r="AH1065" s="7">
        <v>1</v>
      </c>
      <c r="AI1065" s="4"/>
      <c r="AJ1065" s="4">
        <f>=ROUNDDOWN({0},0)</f>
      </c>
      <c r="AK1065" s="5"/>
      <c r="AL1065" s="2" t="s">
        <v>233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233</v>
      </c>
      <c r="AW1065" s="8" t="s">
        <v>233</v>
      </c>
      <c r="AX1065" s="4" t="s">
        <v>233</v>
      </c>
      <c r="AY1065" s="8" t="s">
        <v>233</v>
      </c>
      <c r="AZ1065" s="7" t="s">
        <v>233</v>
      </c>
      <c r="BA1065" s="7" t="s">
        <v>233</v>
      </c>
      <c r="BB1065" s="7"/>
      <c r="BC1065" s="4" t="s">
        <v>233</v>
      </c>
      <c r="BD1065" s="8" t="s">
        <v>233</v>
      </c>
      <c r="BE1065" s="4" t="s">
        <v>233</v>
      </c>
      <c r="BF1065" s="8" t="s">
        <v>233</v>
      </c>
      <c r="BG1065" s="7" t="s">
        <v>233</v>
      </c>
      <c r="BH1065" s="7" t="s">
        <v>233</v>
      </c>
      <c r="BI1065" s="7"/>
      <c r="BJ1065" s="4">
        <v>2</v>
      </c>
      <c r="BK1065" s="8">
        <v>62.18</v>
      </c>
      <c r="BL1065" s="2" t="s">
        <v>2404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5351</v>
      </c>
      <c r="BV1065" s="2" t="s">
        <v>233</v>
      </c>
      <c r="BW1065" s="2" t="s">
        <v>233</v>
      </c>
      <c r="BX1065" s="2" t="s">
        <v>243</v>
      </c>
      <c r="BY1065" s="2" t="s">
        <v>280</v>
      </c>
      <c r="BZ1065" s="2" t="s">
        <v>245</v>
      </c>
      <c r="CA1065" s="2" t="s">
        <v>1106</v>
      </c>
      <c r="CB1065" s="2" t="s">
        <v>5352</v>
      </c>
      <c r="CC1065" s="2" t="s">
        <v>246</v>
      </c>
      <c r="CD1065" s="2" t="s">
        <v>233</v>
      </c>
      <c r="CE1065" s="4">
        <v>103</v>
      </c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</row>
    <row r="1066">
      <c r="A1066" s="2" t="s">
        <v>5353</v>
      </c>
      <c r="B1066" s="2" t="s">
        <v>1242</v>
      </c>
      <c r="C1066" s="2" t="s">
        <v>530</v>
      </c>
      <c r="D1066" s="2" t="s">
        <v>969</v>
      </c>
      <c r="E1066" s="2" t="s">
        <v>970</v>
      </c>
      <c r="F1066" s="2" t="s">
        <v>5342</v>
      </c>
      <c r="G1066" s="2" t="s">
        <v>5347</v>
      </c>
      <c r="H1066" s="2" t="s">
        <v>5348</v>
      </c>
      <c r="I1066" s="2" t="s">
        <v>5354</v>
      </c>
      <c r="J1066" s="2" t="s">
        <v>1142</v>
      </c>
      <c r="K1066" s="2" t="s">
        <v>2817</v>
      </c>
      <c r="L1066" s="3">
        <v>41.14</v>
      </c>
      <c r="M1066" s="3">
        <v>43.2</v>
      </c>
      <c r="N1066" s="3">
        <v>89.99</v>
      </c>
      <c r="O1066" s="2" t="s">
        <v>245</v>
      </c>
      <c r="P1066" s="2" t="s">
        <v>238</v>
      </c>
      <c r="Q1066" s="2" t="s">
        <v>239</v>
      </c>
      <c r="R1066" s="2" t="s">
        <v>233</v>
      </c>
      <c r="S1066" s="2" t="s">
        <v>5350</v>
      </c>
      <c r="T1066" s="2" t="s">
        <v>1481</v>
      </c>
      <c r="U1066" s="2" t="s">
        <v>475</v>
      </c>
      <c r="V1066" s="2" t="s">
        <v>1762</v>
      </c>
      <c r="W1066" s="2" t="s">
        <v>2882</v>
      </c>
      <c r="X1066" s="2" t="s">
        <v>977</v>
      </c>
      <c r="Y1066" s="2" t="s">
        <v>1009</v>
      </c>
      <c r="Z1066" s="4">
        <v>319</v>
      </c>
      <c r="AA1066" s="4">
        <f>=ROUNDDOWN(31.9,0)</f>
      </c>
      <c r="AB1066" s="5">
        <v>10</v>
      </c>
      <c r="AC1066" s="2" t="s">
        <v>233</v>
      </c>
      <c r="AD1066" s="4"/>
      <c r="AE1066" s="4"/>
      <c r="AF1066" s="6">
        <v>64</v>
      </c>
      <c r="AG1066" s="6"/>
      <c r="AH1066" s="7">
        <v>1</v>
      </c>
      <c r="AI1066" s="4"/>
      <c r="AJ1066" s="4">
        <f>=ROUNDDOWN({0},0)</f>
      </c>
      <c r="AK1066" s="5"/>
      <c r="AL1066" s="2" t="s">
        <v>233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233</v>
      </c>
      <c r="AW1066" s="8" t="s">
        <v>233</v>
      </c>
      <c r="AX1066" s="4" t="s">
        <v>233</v>
      </c>
      <c r="AY1066" s="8" t="s">
        <v>233</v>
      </c>
      <c r="AZ1066" s="7" t="s">
        <v>233</v>
      </c>
      <c r="BA1066" s="7" t="s">
        <v>233</v>
      </c>
      <c r="BB1066" s="7"/>
      <c r="BC1066" s="4" t="s">
        <v>233</v>
      </c>
      <c r="BD1066" s="8" t="s">
        <v>233</v>
      </c>
      <c r="BE1066" s="4" t="s">
        <v>233</v>
      </c>
      <c r="BF1066" s="8" t="s">
        <v>233</v>
      </c>
      <c r="BG1066" s="7" t="s">
        <v>233</v>
      </c>
      <c r="BH1066" s="7" t="s">
        <v>233</v>
      </c>
      <c r="BI1066" s="7"/>
      <c r="BJ1066" s="4">
        <v>18</v>
      </c>
      <c r="BK1066" s="8">
        <v>808.2</v>
      </c>
      <c r="BL1066" s="2" t="s">
        <v>3599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5355</v>
      </c>
      <c r="BV1066" s="2" t="s">
        <v>233</v>
      </c>
      <c r="BW1066" s="2" t="s">
        <v>233</v>
      </c>
      <c r="BX1066" s="2" t="s">
        <v>243</v>
      </c>
      <c r="BY1066" s="2" t="s">
        <v>280</v>
      </c>
      <c r="BZ1066" s="2" t="s">
        <v>245</v>
      </c>
      <c r="CA1066" s="2" t="s">
        <v>1106</v>
      </c>
      <c r="CB1066" s="2" t="s">
        <v>5356</v>
      </c>
      <c r="CC1066" s="2" t="s">
        <v>246</v>
      </c>
      <c r="CD1066" s="2" t="s">
        <v>233</v>
      </c>
      <c r="CE1066" s="4">
        <v>319</v>
      </c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</row>
    <row r="1067">
      <c r="A1067" s="2" t="s">
        <v>5357</v>
      </c>
      <c r="B1067" s="2" t="s">
        <v>1066</v>
      </c>
      <c r="C1067" s="2" t="s">
        <v>1157</v>
      </c>
      <c r="D1067" s="2" t="s">
        <v>1923</v>
      </c>
      <c r="E1067" s="2" t="s">
        <v>1924</v>
      </c>
      <c r="F1067" s="2" t="s">
        <v>5342</v>
      </c>
      <c r="G1067" s="2" t="s">
        <v>5342</v>
      </c>
      <c r="H1067" s="2" t="s">
        <v>5342</v>
      </c>
      <c r="I1067" s="2" t="s">
        <v>5343</v>
      </c>
      <c r="J1067" s="2" t="s">
        <v>892</v>
      </c>
      <c r="K1067" s="2" t="s">
        <v>853</v>
      </c>
      <c r="L1067" s="3">
        <v>102.6</v>
      </c>
      <c r="M1067" s="3">
        <v>107.73</v>
      </c>
      <c r="N1067" s="3">
        <v>219</v>
      </c>
      <c r="O1067" s="2" t="s">
        <v>245</v>
      </c>
      <c r="P1067" s="2" t="s">
        <v>238</v>
      </c>
      <c r="Q1067" s="2" t="s">
        <v>239</v>
      </c>
      <c r="R1067" s="2" t="s">
        <v>233</v>
      </c>
      <c r="S1067" s="2" t="s">
        <v>233</v>
      </c>
      <c r="T1067" s="2" t="s">
        <v>1481</v>
      </c>
      <c r="U1067" s="2" t="s">
        <v>491</v>
      </c>
      <c r="V1067" s="2" t="s">
        <v>893</v>
      </c>
      <c r="W1067" s="2" t="s">
        <v>451</v>
      </c>
      <c r="X1067" s="2" t="s">
        <v>397</v>
      </c>
      <c r="Y1067" s="2" t="s">
        <v>233</v>
      </c>
      <c r="Z1067" s="4"/>
      <c r="AA1067" s="4">
        <f>=ROUNDDOWN({0},0)</f>
      </c>
      <c r="AB1067" s="5">
        <v>5</v>
      </c>
      <c r="AC1067" s="2" t="s">
        <v>5358</v>
      </c>
      <c r="AD1067" s="4">
        <v>100</v>
      </c>
      <c r="AE1067" s="4">
        <v>100</v>
      </c>
      <c r="AF1067" s="6">
        <v>76</v>
      </c>
      <c r="AG1067" s="6"/>
      <c r="AH1067" s="7">
        <v>0</v>
      </c>
      <c r="AI1067" s="4"/>
      <c r="AJ1067" s="4">
        <f>=ROUNDDOWN({0},0)</f>
      </c>
      <c r="AK1067" s="5"/>
      <c r="AL1067" s="2" t="s">
        <v>233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 t="s">
        <v>233</v>
      </c>
      <c r="BD1067" s="8" t="s">
        <v>233</v>
      </c>
      <c r="BE1067" s="4" t="s">
        <v>233</v>
      </c>
      <c r="BF1067" s="8" t="s">
        <v>233</v>
      </c>
      <c r="BG1067" s="7" t="s">
        <v>233</v>
      </c>
      <c r="BH1067" s="7" t="s">
        <v>233</v>
      </c>
      <c r="BI1067" s="7"/>
      <c r="BJ1067" s="4"/>
      <c r="BK1067" s="8"/>
      <c r="BL1067" s="2" t="s">
        <v>233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243</v>
      </c>
      <c r="BV1067" s="2" t="s">
        <v>233</v>
      </c>
      <c r="BW1067" s="2" t="s">
        <v>233</v>
      </c>
      <c r="BX1067" s="2" t="s">
        <v>243</v>
      </c>
      <c r="BY1067" s="2" t="s">
        <v>244</v>
      </c>
      <c r="BZ1067" s="2" t="s">
        <v>245</v>
      </c>
      <c r="CA1067" s="2" t="s">
        <v>233</v>
      </c>
      <c r="CB1067" s="2" t="s">
        <v>233</v>
      </c>
      <c r="CC1067" s="2" t="s">
        <v>246</v>
      </c>
      <c r="CD1067" s="2" t="s">
        <v>233</v>
      </c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>
        <v>100</v>
      </c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</row>
    <row r="1068">
      <c r="A1068" s="2" t="s">
        <v>5359</v>
      </c>
      <c r="B1068" s="2" t="s">
        <v>1066</v>
      </c>
      <c r="C1068" s="2" t="s">
        <v>1157</v>
      </c>
      <c r="D1068" s="2" t="s">
        <v>1923</v>
      </c>
      <c r="E1068" s="2" t="s">
        <v>1924</v>
      </c>
      <c r="F1068" s="2" t="s">
        <v>5342</v>
      </c>
      <c r="G1068" s="2" t="s">
        <v>5342</v>
      </c>
      <c r="H1068" s="2" t="s">
        <v>5342</v>
      </c>
      <c r="I1068" s="2" t="s">
        <v>5343</v>
      </c>
      <c r="J1068" s="2" t="s">
        <v>892</v>
      </c>
      <c r="K1068" s="2" t="s">
        <v>2518</v>
      </c>
      <c r="L1068" s="3">
        <v>102.6</v>
      </c>
      <c r="M1068" s="3">
        <v>107.73</v>
      </c>
      <c r="N1068" s="3">
        <v>219</v>
      </c>
      <c r="O1068" s="2" t="s">
        <v>245</v>
      </c>
      <c r="P1068" s="2" t="s">
        <v>238</v>
      </c>
      <c r="Q1068" s="2" t="s">
        <v>239</v>
      </c>
      <c r="R1068" s="2" t="s">
        <v>233</v>
      </c>
      <c r="S1068" s="2" t="s">
        <v>233</v>
      </c>
      <c r="T1068" s="2" t="s">
        <v>233</v>
      </c>
      <c r="U1068" s="2" t="s">
        <v>491</v>
      </c>
      <c r="V1068" s="2" t="s">
        <v>893</v>
      </c>
      <c r="W1068" s="2" t="s">
        <v>451</v>
      </c>
      <c r="X1068" s="2" t="s">
        <v>397</v>
      </c>
      <c r="Y1068" s="2" t="s">
        <v>233</v>
      </c>
      <c r="Z1068" s="4"/>
      <c r="AA1068" s="4">
        <f>=ROUNDDOWN({0},0)</f>
      </c>
      <c r="AB1068" s="5">
        <v>6</v>
      </c>
      <c r="AC1068" s="2" t="s">
        <v>5360</v>
      </c>
      <c r="AD1068" s="4">
        <v>84</v>
      </c>
      <c r="AE1068" s="4">
        <v>184</v>
      </c>
      <c r="AF1068" s="6">
        <v>76</v>
      </c>
      <c r="AG1068" s="6"/>
      <c r="AH1068" s="7">
        <v>0</v>
      </c>
      <c r="AI1068" s="4"/>
      <c r="AJ1068" s="4">
        <f>=ROUNDDOWN({0},0)</f>
      </c>
      <c r="AK1068" s="5"/>
      <c r="AL1068" s="2" t="s">
        <v>233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233</v>
      </c>
      <c r="BD1068" s="8" t="s">
        <v>233</v>
      </c>
      <c r="BE1068" s="4" t="s">
        <v>233</v>
      </c>
      <c r="BF1068" s="8" t="s">
        <v>233</v>
      </c>
      <c r="BG1068" s="7" t="s">
        <v>233</v>
      </c>
      <c r="BH1068" s="7" t="s">
        <v>233</v>
      </c>
      <c r="BI1068" s="7"/>
      <c r="BJ1068" s="4"/>
      <c r="BK1068" s="8"/>
      <c r="BL1068" s="2" t="s">
        <v>233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243</v>
      </c>
      <c r="BV1068" s="2" t="s">
        <v>233</v>
      </c>
      <c r="BW1068" s="2" t="s">
        <v>233</v>
      </c>
      <c r="BX1068" s="2" t="s">
        <v>243</v>
      </c>
      <c r="BY1068" s="2" t="s">
        <v>244</v>
      </c>
      <c r="BZ1068" s="2" t="s">
        <v>245</v>
      </c>
      <c r="CA1068" s="2" t="s">
        <v>233</v>
      </c>
      <c r="CB1068" s="2" t="s">
        <v>233</v>
      </c>
      <c r="CC1068" s="2" t="s">
        <v>246</v>
      </c>
      <c r="CD1068" s="2" t="s">
        <v>233</v>
      </c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>
        <v>84</v>
      </c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>
        <v>100</v>
      </c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</row>
    <row r="1069">
      <c r="A1069" s="2" t="s">
        <v>5361</v>
      </c>
      <c r="B1069" s="2" t="s">
        <v>886</v>
      </c>
      <c r="C1069" s="2" t="s">
        <v>901</v>
      </c>
      <c r="D1069" s="2" t="s">
        <v>1167</v>
      </c>
      <c r="E1069" s="2" t="s">
        <v>1168</v>
      </c>
      <c r="F1069" s="2" t="s">
        <v>5342</v>
      </c>
      <c r="G1069" s="2" t="s">
        <v>5342</v>
      </c>
      <c r="H1069" s="2" t="s">
        <v>5342</v>
      </c>
      <c r="I1069" s="2" t="s">
        <v>5362</v>
      </c>
      <c r="J1069" s="2" t="s">
        <v>892</v>
      </c>
      <c r="K1069" s="2" t="s">
        <v>297</v>
      </c>
      <c r="L1069" s="3">
        <v>39.5</v>
      </c>
      <c r="M1069" s="3">
        <v>41.48</v>
      </c>
      <c r="N1069" s="3">
        <v>89.99</v>
      </c>
      <c r="O1069" s="2" t="s">
        <v>245</v>
      </c>
      <c r="P1069" s="2" t="s">
        <v>272</v>
      </c>
      <c r="Q1069" s="2" t="s">
        <v>239</v>
      </c>
      <c r="R1069" s="2" t="s">
        <v>233</v>
      </c>
      <c r="S1069" s="2" t="s">
        <v>233</v>
      </c>
      <c r="T1069" s="2" t="s">
        <v>233</v>
      </c>
      <c r="U1069" s="2" t="s">
        <v>396</v>
      </c>
      <c r="V1069" s="2" t="s">
        <v>893</v>
      </c>
      <c r="W1069" s="2" t="s">
        <v>397</v>
      </c>
      <c r="X1069" s="2" t="s">
        <v>233</v>
      </c>
      <c r="Y1069" s="2" t="s">
        <v>2205</v>
      </c>
      <c r="Z1069" s="4">
        <v>90</v>
      </c>
      <c r="AA1069" s="4">
        <f>=ROUNDDOWN(22.5,0)</f>
      </c>
      <c r="AB1069" s="5">
        <v>4</v>
      </c>
      <c r="AC1069" s="2" t="s">
        <v>2183</v>
      </c>
      <c r="AD1069" s="4">
        <v>100</v>
      </c>
      <c r="AE1069" s="4">
        <v>100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233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233</v>
      </c>
      <c r="BD1069" s="8" t="s">
        <v>233</v>
      </c>
      <c r="BE1069" s="4" t="s">
        <v>233</v>
      </c>
      <c r="BF1069" s="8" t="s">
        <v>233</v>
      </c>
      <c r="BG1069" s="7" t="s">
        <v>233</v>
      </c>
      <c r="BH1069" s="7" t="s">
        <v>233</v>
      </c>
      <c r="BI1069" s="7"/>
      <c r="BJ1069" s="4">
        <v>5</v>
      </c>
      <c r="BK1069" s="8">
        <v>249.61</v>
      </c>
      <c r="BL1069" s="2" t="s">
        <v>1023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5363</v>
      </c>
      <c r="BV1069" s="2" t="s">
        <v>233</v>
      </c>
      <c r="BW1069" s="2" t="s">
        <v>233</v>
      </c>
      <c r="BX1069" s="2" t="s">
        <v>233</v>
      </c>
      <c r="BY1069" s="2" t="s">
        <v>280</v>
      </c>
      <c r="BZ1069" s="2" t="s">
        <v>245</v>
      </c>
      <c r="CA1069" s="2" t="s">
        <v>2208</v>
      </c>
      <c r="CB1069" s="2" t="s">
        <v>5364</v>
      </c>
      <c r="CC1069" s="2" t="s">
        <v>246</v>
      </c>
      <c r="CD1069" s="2" t="s">
        <v>233</v>
      </c>
      <c r="CE1069" s="4"/>
      <c r="CF1069" s="4">
        <v>90</v>
      </c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>
        <v>100</v>
      </c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</row>
    <row r="1070">
      <c r="A1070" s="2" t="s">
        <v>5365</v>
      </c>
      <c r="B1070" s="2" t="s">
        <v>333</v>
      </c>
      <c r="C1070" s="2" t="s">
        <v>911</v>
      </c>
      <c r="D1070" s="2" t="s">
        <v>3474</v>
      </c>
      <c r="E1070" s="2" t="s">
        <v>5366</v>
      </c>
      <c r="F1070" s="2" t="s">
        <v>5367</v>
      </c>
      <c r="G1070" s="2" t="s">
        <v>5367</v>
      </c>
      <c r="H1070" s="2" t="s">
        <v>5367</v>
      </c>
      <c r="I1070" s="2" t="s">
        <v>5368</v>
      </c>
      <c r="J1070" s="2" t="s">
        <v>284</v>
      </c>
      <c r="K1070" s="2" t="s">
        <v>257</v>
      </c>
      <c r="L1070" s="3">
        <v>12.42</v>
      </c>
      <c r="M1070" s="3">
        <v>13.04</v>
      </c>
      <c r="N1070" s="3">
        <v>26.99</v>
      </c>
      <c r="O1070" s="2" t="s">
        <v>252</v>
      </c>
      <c r="P1070" s="2" t="s">
        <v>311</v>
      </c>
      <c r="Q1070" s="2" t="s">
        <v>239</v>
      </c>
      <c r="R1070" s="2" t="s">
        <v>233</v>
      </c>
      <c r="S1070" s="2" t="s">
        <v>5369</v>
      </c>
      <c r="T1070" s="2" t="s">
        <v>395</v>
      </c>
      <c r="U1070" s="2" t="s">
        <v>233</v>
      </c>
      <c r="V1070" s="2" t="s">
        <v>241</v>
      </c>
      <c r="W1070" s="2" t="s">
        <v>275</v>
      </c>
      <c r="X1070" s="2" t="s">
        <v>233</v>
      </c>
      <c r="Y1070" s="2" t="s">
        <v>5370</v>
      </c>
      <c r="Z1070" s="4">
        <v>177</v>
      </c>
      <c r="AA1070" s="4">
        <f>=ROUNDDOWN(118,0)</f>
      </c>
      <c r="AB1070" s="5">
        <v>1.5</v>
      </c>
      <c r="AC1070" s="2" t="s">
        <v>233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233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 t="s">
        <v>233</v>
      </c>
      <c r="BD1070" s="8" t="s">
        <v>233</v>
      </c>
      <c r="BE1070" s="4" t="s">
        <v>233</v>
      </c>
      <c r="BF1070" s="8" t="s">
        <v>233</v>
      </c>
      <c r="BG1070" s="7" t="s">
        <v>233</v>
      </c>
      <c r="BH1070" s="7" t="s">
        <v>233</v>
      </c>
      <c r="BI1070" s="7"/>
      <c r="BJ1070" s="4">
        <v>2</v>
      </c>
      <c r="BK1070" s="8">
        <v>17.62</v>
      </c>
      <c r="BL1070" s="2" t="s">
        <v>3094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5371</v>
      </c>
      <c r="BV1070" s="2" t="s">
        <v>233</v>
      </c>
      <c r="BW1070" s="2" t="s">
        <v>233</v>
      </c>
      <c r="BX1070" s="2" t="s">
        <v>233</v>
      </c>
      <c r="BY1070" s="2" t="s">
        <v>280</v>
      </c>
      <c r="BZ1070" s="2" t="s">
        <v>245</v>
      </c>
      <c r="CA1070" s="2" t="s">
        <v>5372</v>
      </c>
      <c r="CB1070" s="2" t="s">
        <v>5373</v>
      </c>
      <c r="CC1070" s="2" t="s">
        <v>246</v>
      </c>
      <c r="CD1070" s="2" t="s">
        <v>233</v>
      </c>
      <c r="CE1070" s="4">
        <v>177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</row>
    <row r="1071">
      <c r="A1071" s="2" t="s">
        <v>5374</v>
      </c>
      <c r="B1071" s="2" t="s">
        <v>333</v>
      </c>
      <c r="C1071" s="2" t="s">
        <v>911</v>
      </c>
      <c r="D1071" s="2" t="s">
        <v>3474</v>
      </c>
      <c r="E1071" s="2" t="s">
        <v>5366</v>
      </c>
      <c r="F1071" s="2" t="s">
        <v>5367</v>
      </c>
      <c r="G1071" s="2" t="s">
        <v>5367</v>
      </c>
      <c r="H1071" s="2" t="s">
        <v>5367</v>
      </c>
      <c r="I1071" s="2" t="s">
        <v>5368</v>
      </c>
      <c r="J1071" s="2" t="s">
        <v>284</v>
      </c>
      <c r="K1071" s="2" t="s">
        <v>297</v>
      </c>
      <c r="L1071" s="3">
        <v>12.42</v>
      </c>
      <c r="M1071" s="3">
        <v>13.04</v>
      </c>
      <c r="N1071" s="3">
        <v>26.99</v>
      </c>
      <c r="O1071" s="2" t="s">
        <v>252</v>
      </c>
      <c r="P1071" s="2" t="s">
        <v>311</v>
      </c>
      <c r="Q1071" s="2" t="s">
        <v>239</v>
      </c>
      <c r="R1071" s="2" t="s">
        <v>233</v>
      </c>
      <c r="S1071" s="2" t="s">
        <v>5375</v>
      </c>
      <c r="T1071" s="2" t="s">
        <v>395</v>
      </c>
      <c r="U1071" s="2" t="s">
        <v>233</v>
      </c>
      <c r="V1071" s="2" t="s">
        <v>241</v>
      </c>
      <c r="W1071" s="2" t="s">
        <v>275</v>
      </c>
      <c r="X1071" s="2" t="s">
        <v>233</v>
      </c>
      <c r="Y1071" s="2" t="s">
        <v>5370</v>
      </c>
      <c r="Z1071" s="4">
        <v>94</v>
      </c>
      <c r="AA1071" s="4">
        <f>=ROUNDDOWN(44.7619047619048,0)</f>
      </c>
      <c r="AB1071" s="5">
        <v>2.1</v>
      </c>
      <c r="AC1071" s="2" t="s">
        <v>233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233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 t="s">
        <v>233</v>
      </c>
      <c r="BD1071" s="8" t="s">
        <v>233</v>
      </c>
      <c r="BE1071" s="4" t="s">
        <v>233</v>
      </c>
      <c r="BF1071" s="8" t="s">
        <v>233</v>
      </c>
      <c r="BG1071" s="7" t="s">
        <v>233</v>
      </c>
      <c r="BH1071" s="7" t="s">
        <v>233</v>
      </c>
      <c r="BI1071" s="7"/>
      <c r="BJ1071" s="4">
        <v>5</v>
      </c>
      <c r="BK1071" s="8">
        <v>83.62</v>
      </c>
      <c r="BL1071" s="2" t="s">
        <v>3380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5376</v>
      </c>
      <c r="BV1071" s="2" t="s">
        <v>233</v>
      </c>
      <c r="BW1071" s="2" t="s">
        <v>233</v>
      </c>
      <c r="BX1071" s="2" t="s">
        <v>233</v>
      </c>
      <c r="BY1071" s="2" t="s">
        <v>280</v>
      </c>
      <c r="BZ1071" s="2" t="s">
        <v>245</v>
      </c>
      <c r="CA1071" s="2" t="s">
        <v>5372</v>
      </c>
      <c r="CB1071" s="2" t="s">
        <v>5377</v>
      </c>
      <c r="CC1071" s="2" t="s">
        <v>246</v>
      </c>
      <c r="CD1071" s="2" t="s">
        <v>233</v>
      </c>
      <c r="CE1071" s="4">
        <v>94</v>
      </c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</row>
    <row r="1072">
      <c r="A1072" s="2" t="s">
        <v>5378</v>
      </c>
      <c r="B1072" s="2" t="s">
        <v>928</v>
      </c>
      <c r="C1072" s="2" t="s">
        <v>530</v>
      </c>
      <c r="D1072" s="2" t="s">
        <v>1757</v>
      </c>
      <c r="E1072" s="2" t="s">
        <v>930</v>
      </c>
      <c r="F1072" s="2" t="s">
        <v>5379</v>
      </c>
      <c r="G1072" s="2" t="s">
        <v>5379</v>
      </c>
      <c r="H1072" s="2" t="s">
        <v>5379</v>
      </c>
      <c r="I1072" s="2" t="s">
        <v>5380</v>
      </c>
      <c r="J1072" s="2" t="s">
        <v>892</v>
      </c>
      <c r="K1072" s="2" t="s">
        <v>1760</v>
      </c>
      <c r="L1072" s="3">
        <v>31.08</v>
      </c>
      <c r="M1072" s="3">
        <v>32.63</v>
      </c>
      <c r="N1072" s="3">
        <v>65.44</v>
      </c>
      <c r="O1072" s="2" t="s">
        <v>245</v>
      </c>
      <c r="P1072" s="2" t="s">
        <v>311</v>
      </c>
      <c r="Q1072" s="2" t="s">
        <v>239</v>
      </c>
      <c r="R1072" s="2" t="s">
        <v>233</v>
      </c>
      <c r="S1072" s="2" t="s">
        <v>5381</v>
      </c>
      <c r="T1072" s="2" t="s">
        <v>233</v>
      </c>
      <c r="U1072" s="2" t="s">
        <v>396</v>
      </c>
      <c r="V1072" s="2" t="s">
        <v>1085</v>
      </c>
      <c r="W1072" s="2" t="s">
        <v>397</v>
      </c>
      <c r="X1072" s="2" t="s">
        <v>275</v>
      </c>
      <c r="Y1072" s="2" t="s">
        <v>5382</v>
      </c>
      <c r="Z1072" s="4">
        <v>100</v>
      </c>
      <c r="AA1072" s="4">
        <f>=ROUNDDOWN(30.3030303030303,0)</f>
      </c>
      <c r="AB1072" s="5">
        <v>3.3</v>
      </c>
      <c r="AC1072" s="2" t="s">
        <v>233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233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>
        <v>14</v>
      </c>
      <c r="BK1072" s="8">
        <v>561.44</v>
      </c>
      <c r="BL1072" s="2" t="s">
        <v>5383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5384</v>
      </c>
      <c r="BV1072" s="2" t="s">
        <v>233</v>
      </c>
      <c r="BW1072" s="2" t="s">
        <v>233</v>
      </c>
      <c r="BX1072" s="2" t="s">
        <v>233</v>
      </c>
      <c r="BY1072" s="2" t="s">
        <v>280</v>
      </c>
      <c r="BZ1072" s="2" t="s">
        <v>245</v>
      </c>
      <c r="CA1072" s="2" t="s">
        <v>4215</v>
      </c>
      <c r="CB1072" s="2" t="s">
        <v>2026</v>
      </c>
      <c r="CC1072" s="2" t="s">
        <v>246</v>
      </c>
      <c r="CD1072" s="2" t="s">
        <v>233</v>
      </c>
      <c r="CE1072" s="4"/>
      <c r="CF1072" s="4">
        <v>100</v>
      </c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</row>
    <row r="1073">
      <c r="A1073" s="2" t="s">
        <v>5385</v>
      </c>
      <c r="B1073" s="2" t="s">
        <v>886</v>
      </c>
      <c r="C1073" s="2" t="s">
        <v>887</v>
      </c>
      <c r="D1073" s="2" t="s">
        <v>888</v>
      </c>
      <c r="E1073" s="2" t="s">
        <v>889</v>
      </c>
      <c r="F1073" s="2" t="s">
        <v>5386</v>
      </c>
      <c r="G1073" s="2" t="s">
        <v>5386</v>
      </c>
      <c r="H1073" s="2" t="s">
        <v>5386</v>
      </c>
      <c r="I1073" s="2" t="s">
        <v>5387</v>
      </c>
      <c r="J1073" s="2" t="s">
        <v>892</v>
      </c>
      <c r="K1073" s="2" t="s">
        <v>5388</v>
      </c>
      <c r="L1073" s="3">
        <v>166.06</v>
      </c>
      <c r="M1073" s="3">
        <v>174.36</v>
      </c>
      <c r="N1073" s="3">
        <v>379.99</v>
      </c>
      <c r="O1073" s="2" t="s">
        <v>245</v>
      </c>
      <c r="P1073" s="2" t="s">
        <v>311</v>
      </c>
      <c r="Q1073" s="2" t="s">
        <v>239</v>
      </c>
      <c r="R1073" s="2" t="s">
        <v>233</v>
      </c>
      <c r="S1073" s="2" t="s">
        <v>233</v>
      </c>
      <c r="T1073" s="2" t="s">
        <v>233</v>
      </c>
      <c r="U1073" s="2" t="s">
        <v>396</v>
      </c>
      <c r="V1073" s="2" t="s">
        <v>893</v>
      </c>
      <c r="W1073" s="2" t="s">
        <v>776</v>
      </c>
      <c r="X1073" s="2" t="s">
        <v>977</v>
      </c>
      <c r="Y1073" s="2" t="s">
        <v>905</v>
      </c>
      <c r="Z1073" s="4">
        <v>98</v>
      </c>
      <c r="AA1073" s="4">
        <f>=ROUNDDOWN(98,0)</f>
      </c>
      <c r="AB1073" s="5">
        <v>1</v>
      </c>
      <c r="AC1073" s="2" t="s">
        <v>233</v>
      </c>
      <c r="AD1073" s="4"/>
      <c r="AE1073" s="4"/>
      <c r="AF1073" s="6">
        <v>63</v>
      </c>
      <c r="AG1073" s="6"/>
      <c r="AH1073" s="7">
        <v>1</v>
      </c>
      <c r="AI1073" s="4"/>
      <c r="AJ1073" s="4">
        <f>=ROUNDDOWN({0},0)</f>
      </c>
      <c r="AK1073" s="5"/>
      <c r="AL1073" s="2" t="s">
        <v>233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233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5389</v>
      </c>
      <c r="BV1073" s="2" t="s">
        <v>233</v>
      </c>
      <c r="BW1073" s="2" t="s">
        <v>233</v>
      </c>
      <c r="BX1073" s="2" t="s">
        <v>233</v>
      </c>
      <c r="BY1073" s="2" t="s">
        <v>280</v>
      </c>
      <c r="BZ1073" s="2" t="s">
        <v>245</v>
      </c>
      <c r="CA1073" s="2" t="s">
        <v>907</v>
      </c>
      <c r="CB1073" s="2" t="s">
        <v>5390</v>
      </c>
      <c r="CC1073" s="2" t="s">
        <v>246</v>
      </c>
      <c r="CD1073" s="2" t="s">
        <v>233</v>
      </c>
      <c r="CE1073" s="4"/>
      <c r="CF1073" s="4">
        <v>98</v>
      </c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</row>
    <row r="1074">
      <c r="A1074" s="2" t="s">
        <v>5391</v>
      </c>
      <c r="B1074" s="2" t="s">
        <v>1414</v>
      </c>
      <c r="C1074" s="2" t="s">
        <v>530</v>
      </c>
      <c r="D1074" s="2" t="s">
        <v>1414</v>
      </c>
      <c r="E1074" s="2" t="s">
        <v>1414</v>
      </c>
      <c r="F1074" s="2" t="s">
        <v>5392</v>
      </c>
      <c r="G1074" s="2" t="s">
        <v>5393</v>
      </c>
      <c r="H1074" s="2" t="s">
        <v>5394</v>
      </c>
      <c r="I1074" s="2" t="s">
        <v>5395</v>
      </c>
      <c r="J1074" s="2" t="s">
        <v>1793</v>
      </c>
      <c r="K1074" s="2" t="s">
        <v>5396</v>
      </c>
      <c r="L1074" s="3">
        <v>37</v>
      </c>
      <c r="M1074" s="3">
        <v>38.85</v>
      </c>
      <c r="N1074" s="3">
        <v>79.99</v>
      </c>
      <c r="O1074" s="2" t="s">
        <v>245</v>
      </c>
      <c r="P1074" s="2" t="s">
        <v>311</v>
      </c>
      <c r="Q1074" s="2" t="s">
        <v>239</v>
      </c>
      <c r="R1074" s="2" t="s">
        <v>233</v>
      </c>
      <c r="S1074" s="2" t="s">
        <v>5397</v>
      </c>
      <c r="T1074" s="2" t="s">
        <v>233</v>
      </c>
      <c r="U1074" s="2" t="s">
        <v>396</v>
      </c>
      <c r="V1074" s="2" t="s">
        <v>1869</v>
      </c>
      <c r="W1074" s="2" t="s">
        <v>1763</v>
      </c>
      <c r="X1074" s="2" t="s">
        <v>233</v>
      </c>
      <c r="Y1074" s="2" t="s">
        <v>5398</v>
      </c>
      <c r="Z1074" s="4">
        <v>28</v>
      </c>
      <c r="AA1074" s="4">
        <f>=ROUNDDOWN(56,0)</f>
      </c>
      <c r="AB1074" s="5">
        <v>0.5</v>
      </c>
      <c r="AC1074" s="2" t="s">
        <v>233</v>
      </c>
      <c r="AD1074" s="4"/>
      <c r="AE1074" s="4"/>
      <c r="AF1074" s="6">
        <v>63</v>
      </c>
      <c r="AG1074" s="6"/>
      <c r="AH1074" s="7">
        <v>1</v>
      </c>
      <c r="AI1074" s="4"/>
      <c r="AJ1074" s="4">
        <f>=ROUNDDOWN({0},0)</f>
      </c>
      <c r="AK1074" s="5"/>
      <c r="AL1074" s="2" t="s">
        <v>233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233</v>
      </c>
      <c r="AW1074" s="8" t="s">
        <v>233</v>
      </c>
      <c r="AX1074" s="4" t="s">
        <v>233</v>
      </c>
      <c r="AY1074" s="8" t="s">
        <v>233</v>
      </c>
      <c r="AZ1074" s="7" t="s">
        <v>233</v>
      </c>
      <c r="BA1074" s="7" t="s">
        <v>233</v>
      </c>
      <c r="BB1074" s="7"/>
      <c r="BC1074" s="4" t="s">
        <v>233</v>
      </c>
      <c r="BD1074" s="8" t="s">
        <v>233</v>
      </c>
      <c r="BE1074" s="4" t="s">
        <v>233</v>
      </c>
      <c r="BF1074" s="8" t="s">
        <v>233</v>
      </c>
      <c r="BG1074" s="7" t="s">
        <v>233</v>
      </c>
      <c r="BH1074" s="7" t="s">
        <v>233</v>
      </c>
      <c r="BI1074" s="7"/>
      <c r="BJ1074" s="4">
        <v>3</v>
      </c>
      <c r="BK1074" s="8">
        <v>118.49</v>
      </c>
      <c r="BL1074" s="2" t="s">
        <v>5399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5400</v>
      </c>
      <c r="BV1074" s="2" t="s">
        <v>233</v>
      </c>
      <c r="BW1074" s="2" t="s">
        <v>233</v>
      </c>
      <c r="BX1074" s="2" t="s">
        <v>233</v>
      </c>
      <c r="BY1074" s="2" t="s">
        <v>280</v>
      </c>
      <c r="BZ1074" s="2" t="s">
        <v>245</v>
      </c>
      <c r="CA1074" s="2" t="s">
        <v>3247</v>
      </c>
      <c r="CB1074" s="2" t="s">
        <v>478</v>
      </c>
      <c r="CC1074" s="2" t="s">
        <v>246</v>
      </c>
      <c r="CD1074" s="2" t="s">
        <v>233</v>
      </c>
      <c r="CE1074" s="4"/>
      <c r="CF1074" s="4">
        <v>28</v>
      </c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</row>
    <row r="1075">
      <c r="A1075" s="2" t="s">
        <v>5401</v>
      </c>
      <c r="B1075" s="2" t="s">
        <v>1414</v>
      </c>
      <c r="C1075" s="2" t="s">
        <v>530</v>
      </c>
      <c r="D1075" s="2" t="s">
        <v>1414</v>
      </c>
      <c r="E1075" s="2" t="s">
        <v>1414</v>
      </c>
      <c r="F1075" s="2" t="s">
        <v>5392</v>
      </c>
      <c r="G1075" s="2" t="s">
        <v>5393</v>
      </c>
      <c r="H1075" s="2" t="s">
        <v>5394</v>
      </c>
      <c r="I1075" s="2" t="s">
        <v>5395</v>
      </c>
      <c r="J1075" s="2" t="s">
        <v>2054</v>
      </c>
      <c r="K1075" s="2" t="s">
        <v>5396</v>
      </c>
      <c r="L1075" s="3">
        <v>25.5</v>
      </c>
      <c r="M1075" s="3">
        <v>26.78</v>
      </c>
      <c r="N1075" s="3">
        <v>59.99</v>
      </c>
      <c r="O1075" s="2" t="s">
        <v>245</v>
      </c>
      <c r="P1075" s="2" t="s">
        <v>311</v>
      </c>
      <c r="Q1075" s="2" t="s">
        <v>239</v>
      </c>
      <c r="R1075" s="2" t="s">
        <v>233</v>
      </c>
      <c r="S1075" s="2" t="s">
        <v>5397</v>
      </c>
      <c r="T1075" s="2" t="s">
        <v>233</v>
      </c>
      <c r="U1075" s="2" t="s">
        <v>396</v>
      </c>
      <c r="V1075" s="2" t="s">
        <v>1869</v>
      </c>
      <c r="W1075" s="2" t="s">
        <v>1763</v>
      </c>
      <c r="X1075" s="2" t="s">
        <v>233</v>
      </c>
      <c r="Y1075" s="2" t="s">
        <v>5398</v>
      </c>
      <c r="Z1075" s="4">
        <v>10</v>
      </c>
      <c r="AA1075" s="4">
        <f>=ROUNDDOWN(25,0)</f>
      </c>
      <c r="AB1075" s="5">
        <v>0.4</v>
      </c>
      <c r="AC1075" s="2" t="s">
        <v>233</v>
      </c>
      <c r="AD1075" s="4"/>
      <c r="AE1075" s="4"/>
      <c r="AF1075" s="6">
        <v>63</v>
      </c>
      <c r="AG1075" s="6"/>
      <c r="AH1075" s="7">
        <v>1</v>
      </c>
      <c r="AI1075" s="4"/>
      <c r="AJ1075" s="4">
        <f>=ROUNDDOWN({0},0)</f>
      </c>
      <c r="AK1075" s="5"/>
      <c r="AL1075" s="2" t="s">
        <v>233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233</v>
      </c>
      <c r="AW1075" s="8" t="s">
        <v>233</v>
      </c>
      <c r="AX1075" s="4" t="s">
        <v>233</v>
      </c>
      <c r="AY1075" s="8" t="s">
        <v>233</v>
      </c>
      <c r="AZ1075" s="7" t="s">
        <v>233</v>
      </c>
      <c r="BA1075" s="7" t="s">
        <v>233</v>
      </c>
      <c r="BB1075" s="7"/>
      <c r="BC1075" s="4" t="s">
        <v>233</v>
      </c>
      <c r="BD1075" s="8" t="s">
        <v>233</v>
      </c>
      <c r="BE1075" s="4" t="s">
        <v>233</v>
      </c>
      <c r="BF1075" s="8" t="s">
        <v>233</v>
      </c>
      <c r="BG1075" s="7" t="s">
        <v>233</v>
      </c>
      <c r="BH1075" s="7" t="s">
        <v>233</v>
      </c>
      <c r="BI1075" s="7"/>
      <c r="BJ1075" s="4">
        <v>2</v>
      </c>
      <c r="BK1075" s="8">
        <v>58.9</v>
      </c>
      <c r="BL1075" s="2" t="s">
        <v>5402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5403</v>
      </c>
      <c r="BV1075" s="2" t="s">
        <v>233</v>
      </c>
      <c r="BW1075" s="2" t="s">
        <v>233</v>
      </c>
      <c r="BX1075" s="2" t="s">
        <v>233</v>
      </c>
      <c r="BY1075" s="2" t="s">
        <v>280</v>
      </c>
      <c r="BZ1075" s="2" t="s">
        <v>245</v>
      </c>
      <c r="CA1075" s="2" t="s">
        <v>3247</v>
      </c>
      <c r="CB1075" s="2" t="s">
        <v>2423</v>
      </c>
      <c r="CC1075" s="2" t="s">
        <v>246</v>
      </c>
      <c r="CD1075" s="2" t="s">
        <v>233</v>
      </c>
      <c r="CE1075" s="4"/>
      <c r="CF1075" s="4">
        <v>10</v>
      </c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</row>
    <row r="1076">
      <c r="A1076" s="2" t="s">
        <v>5404</v>
      </c>
      <c r="B1076" s="2" t="s">
        <v>1414</v>
      </c>
      <c r="C1076" s="2" t="s">
        <v>530</v>
      </c>
      <c r="D1076" s="2" t="s">
        <v>1414</v>
      </c>
      <c r="E1076" s="2" t="s">
        <v>1414</v>
      </c>
      <c r="F1076" s="2" t="s">
        <v>5392</v>
      </c>
      <c r="G1076" s="2" t="s">
        <v>5393</v>
      </c>
      <c r="H1076" s="2" t="s">
        <v>5394</v>
      </c>
      <c r="I1076" s="2" t="s">
        <v>5395</v>
      </c>
      <c r="J1076" s="2" t="s">
        <v>1418</v>
      </c>
      <c r="K1076" s="2" t="s">
        <v>5396</v>
      </c>
      <c r="L1076" s="3">
        <v>70</v>
      </c>
      <c r="M1076" s="3">
        <v>73.5</v>
      </c>
      <c r="N1076" s="3">
        <v>159.99</v>
      </c>
      <c r="O1076" s="2" t="s">
        <v>245</v>
      </c>
      <c r="P1076" s="2" t="s">
        <v>311</v>
      </c>
      <c r="Q1076" s="2" t="s">
        <v>239</v>
      </c>
      <c r="R1076" s="2" t="s">
        <v>233</v>
      </c>
      <c r="S1076" s="2" t="s">
        <v>5397</v>
      </c>
      <c r="T1076" s="2" t="s">
        <v>233</v>
      </c>
      <c r="U1076" s="2" t="s">
        <v>396</v>
      </c>
      <c r="V1076" s="2" t="s">
        <v>1869</v>
      </c>
      <c r="W1076" s="2" t="s">
        <v>1763</v>
      </c>
      <c r="X1076" s="2" t="s">
        <v>233</v>
      </c>
      <c r="Y1076" s="2" t="s">
        <v>5398</v>
      </c>
      <c r="Z1076" s="4">
        <v>24</v>
      </c>
      <c r="AA1076" s="4">
        <f>=ROUNDDOWN(80,0)</f>
      </c>
      <c r="AB1076" s="5">
        <v>0.3</v>
      </c>
      <c r="AC1076" s="2" t="s">
        <v>233</v>
      </c>
      <c r="AD1076" s="4"/>
      <c r="AE1076" s="4"/>
      <c r="AF1076" s="6">
        <v>63</v>
      </c>
      <c r="AG1076" s="6"/>
      <c r="AH1076" s="7">
        <v>1</v>
      </c>
      <c r="AI1076" s="4"/>
      <c r="AJ1076" s="4">
        <f>=ROUNDDOWN({0},0)</f>
      </c>
      <c r="AK1076" s="5"/>
      <c r="AL1076" s="2" t="s">
        <v>233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233</v>
      </c>
      <c r="AW1076" s="8" t="s">
        <v>233</v>
      </c>
      <c r="AX1076" s="4" t="s">
        <v>233</v>
      </c>
      <c r="AY1076" s="8" t="s">
        <v>233</v>
      </c>
      <c r="AZ1076" s="7" t="s">
        <v>233</v>
      </c>
      <c r="BA1076" s="7" t="s">
        <v>233</v>
      </c>
      <c r="BB1076" s="7"/>
      <c r="BC1076" s="4" t="s">
        <v>233</v>
      </c>
      <c r="BD1076" s="8" t="s">
        <v>233</v>
      </c>
      <c r="BE1076" s="4" t="s">
        <v>233</v>
      </c>
      <c r="BF1076" s="8" t="s">
        <v>233</v>
      </c>
      <c r="BG1076" s="7" t="s">
        <v>233</v>
      </c>
      <c r="BH1076" s="7" t="s">
        <v>233</v>
      </c>
      <c r="BI1076" s="7"/>
      <c r="BJ1076" s="4"/>
      <c r="BK1076" s="8"/>
      <c r="BL1076" s="2" t="s">
        <v>233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5405</v>
      </c>
      <c r="BV1076" s="2" t="s">
        <v>233</v>
      </c>
      <c r="BW1076" s="2" t="s">
        <v>233</v>
      </c>
      <c r="BX1076" s="2" t="s">
        <v>233</v>
      </c>
      <c r="BY1076" s="2" t="s">
        <v>280</v>
      </c>
      <c r="BZ1076" s="2" t="s">
        <v>245</v>
      </c>
      <c r="CA1076" s="2" t="s">
        <v>3247</v>
      </c>
      <c r="CB1076" s="2" t="s">
        <v>5406</v>
      </c>
      <c r="CC1076" s="2" t="s">
        <v>246</v>
      </c>
      <c r="CD1076" s="2" t="s">
        <v>233</v>
      </c>
      <c r="CE1076" s="4"/>
      <c r="CF1076" s="4">
        <v>24</v>
      </c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</row>
    <row r="1077">
      <c r="A1077" s="2" t="s">
        <v>5407</v>
      </c>
      <c r="B1077" s="2" t="s">
        <v>1414</v>
      </c>
      <c r="C1077" s="2" t="s">
        <v>530</v>
      </c>
      <c r="D1077" s="2" t="s">
        <v>1414</v>
      </c>
      <c r="E1077" s="2" t="s">
        <v>1414</v>
      </c>
      <c r="F1077" s="2" t="s">
        <v>5392</v>
      </c>
      <c r="G1077" s="2" t="s">
        <v>5393</v>
      </c>
      <c r="H1077" s="2" t="s">
        <v>5394</v>
      </c>
      <c r="I1077" s="2" t="s">
        <v>5395</v>
      </c>
      <c r="J1077" s="2" t="s">
        <v>1808</v>
      </c>
      <c r="K1077" s="2" t="s">
        <v>5396</v>
      </c>
      <c r="L1077" s="3">
        <v>150</v>
      </c>
      <c r="M1077" s="3">
        <v>157.5</v>
      </c>
      <c r="N1077" s="3">
        <v>319.98</v>
      </c>
      <c r="O1077" s="2" t="s">
        <v>245</v>
      </c>
      <c r="P1077" s="2" t="s">
        <v>311</v>
      </c>
      <c r="Q1077" s="2" t="s">
        <v>239</v>
      </c>
      <c r="R1077" s="2" t="s">
        <v>233</v>
      </c>
      <c r="S1077" s="2" t="s">
        <v>5397</v>
      </c>
      <c r="T1077" s="2" t="s">
        <v>233</v>
      </c>
      <c r="U1077" s="2" t="s">
        <v>396</v>
      </c>
      <c r="V1077" s="2" t="s">
        <v>1869</v>
      </c>
      <c r="W1077" s="2" t="s">
        <v>1763</v>
      </c>
      <c r="X1077" s="2" t="s">
        <v>233</v>
      </c>
      <c r="Y1077" s="2" t="s">
        <v>5398</v>
      </c>
      <c r="Z1077" s="4">
        <v>63</v>
      </c>
      <c r="AA1077" s="4">
        <f>=ROUNDDOWN(57.2727272727273,0)</f>
      </c>
      <c r="AB1077" s="5">
        <v>1.1</v>
      </c>
      <c r="AC1077" s="2" t="s">
        <v>233</v>
      </c>
      <c r="AD1077" s="4"/>
      <c r="AE1077" s="4"/>
      <c r="AF1077" s="6">
        <v>63</v>
      </c>
      <c r="AG1077" s="6"/>
      <c r="AH1077" s="7">
        <v>1</v>
      </c>
      <c r="AI1077" s="4"/>
      <c r="AJ1077" s="4">
        <f>=ROUNDDOWN({0},0)</f>
      </c>
      <c r="AK1077" s="5"/>
      <c r="AL1077" s="2" t="s">
        <v>233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233</v>
      </c>
      <c r="AW1077" s="8" t="s">
        <v>233</v>
      </c>
      <c r="AX1077" s="4" t="s">
        <v>233</v>
      </c>
      <c r="AY1077" s="8" t="s">
        <v>233</v>
      </c>
      <c r="AZ1077" s="7" t="s">
        <v>233</v>
      </c>
      <c r="BA1077" s="7" t="s">
        <v>233</v>
      </c>
      <c r="BB1077" s="7"/>
      <c r="BC1077" s="4" t="s">
        <v>233</v>
      </c>
      <c r="BD1077" s="8" t="s">
        <v>233</v>
      </c>
      <c r="BE1077" s="4" t="s">
        <v>233</v>
      </c>
      <c r="BF1077" s="8" t="s">
        <v>233</v>
      </c>
      <c r="BG1077" s="7" t="s">
        <v>233</v>
      </c>
      <c r="BH1077" s="7" t="s">
        <v>233</v>
      </c>
      <c r="BI1077" s="7"/>
      <c r="BJ1077" s="4">
        <v>2</v>
      </c>
      <c r="BK1077" s="8">
        <v>330.75</v>
      </c>
      <c r="BL1077" s="2" t="s">
        <v>5408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5409</v>
      </c>
      <c r="BV1077" s="2" t="s">
        <v>233</v>
      </c>
      <c r="BW1077" s="2" t="s">
        <v>233</v>
      </c>
      <c r="BX1077" s="2" t="s">
        <v>233</v>
      </c>
      <c r="BY1077" s="2" t="s">
        <v>280</v>
      </c>
      <c r="BZ1077" s="2" t="s">
        <v>245</v>
      </c>
      <c r="CA1077" s="2" t="s">
        <v>3247</v>
      </c>
      <c r="CB1077" s="2" t="s">
        <v>233</v>
      </c>
      <c r="CC1077" s="2" t="s">
        <v>246</v>
      </c>
      <c r="CD1077" s="2" t="s">
        <v>233</v>
      </c>
      <c r="CE1077" s="4"/>
      <c r="CF1077" s="4">
        <v>63</v>
      </c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</row>
    <row r="1078">
      <c r="A1078" s="2" t="s">
        <v>5410</v>
      </c>
      <c r="B1078" s="2" t="s">
        <v>1066</v>
      </c>
      <c r="C1078" s="2" t="s">
        <v>530</v>
      </c>
      <c r="D1078" s="2" t="s">
        <v>1067</v>
      </c>
      <c r="E1078" s="2" t="s">
        <v>1068</v>
      </c>
      <c r="F1078" s="2" t="s">
        <v>5411</v>
      </c>
      <c r="G1078" s="2" t="s">
        <v>5412</v>
      </c>
      <c r="H1078" s="2" t="s">
        <v>5413</v>
      </c>
      <c r="I1078" s="2" t="s">
        <v>2650</v>
      </c>
      <c r="J1078" s="2" t="s">
        <v>892</v>
      </c>
      <c r="K1078" s="2" t="s">
        <v>5414</v>
      </c>
      <c r="L1078" s="3">
        <v>125</v>
      </c>
      <c r="M1078" s="3">
        <v>131.25</v>
      </c>
      <c r="N1078" s="3">
        <v>259</v>
      </c>
      <c r="O1078" s="2" t="s">
        <v>237</v>
      </c>
      <c r="P1078" s="2" t="s">
        <v>311</v>
      </c>
      <c r="Q1078" s="2" t="s">
        <v>239</v>
      </c>
      <c r="R1078" s="2" t="s">
        <v>233</v>
      </c>
      <c r="S1078" s="2" t="s">
        <v>233</v>
      </c>
      <c r="T1078" s="2" t="s">
        <v>233</v>
      </c>
      <c r="U1078" s="2" t="s">
        <v>396</v>
      </c>
      <c r="V1078" s="2" t="s">
        <v>241</v>
      </c>
      <c r="W1078" s="2" t="s">
        <v>397</v>
      </c>
      <c r="X1078" s="2" t="s">
        <v>894</v>
      </c>
      <c r="Y1078" s="2" t="s">
        <v>1461</v>
      </c>
      <c r="Z1078" s="4">
        <v>129</v>
      </c>
      <c r="AA1078" s="4">
        <f>=ROUNDDOWN(184.285714285714,0)</f>
      </c>
      <c r="AB1078" s="5">
        <v>0.7</v>
      </c>
      <c r="AC1078" s="2" t="s">
        <v>233</v>
      </c>
      <c r="AD1078" s="4"/>
      <c r="AE1078" s="4"/>
      <c r="AF1078" s="6">
        <v>66</v>
      </c>
      <c r="AG1078" s="6"/>
      <c r="AH1078" s="7">
        <v>1</v>
      </c>
      <c r="AI1078" s="4"/>
      <c r="AJ1078" s="4">
        <f>=ROUNDDOWN({0},0)</f>
      </c>
      <c r="AK1078" s="5"/>
      <c r="AL1078" s="2" t="s">
        <v>233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>
        <v>2</v>
      </c>
      <c r="BK1078" s="8">
        <v>212.3</v>
      </c>
      <c r="BL1078" s="2" t="s">
        <v>5415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5416</v>
      </c>
      <c r="BV1078" s="2" t="s">
        <v>233</v>
      </c>
      <c r="BW1078" s="2" t="s">
        <v>233</v>
      </c>
      <c r="BX1078" s="2" t="s">
        <v>233</v>
      </c>
      <c r="BY1078" s="2" t="s">
        <v>280</v>
      </c>
      <c r="BZ1078" s="2" t="s">
        <v>245</v>
      </c>
      <c r="CA1078" s="2" t="s">
        <v>1458</v>
      </c>
      <c r="CB1078" s="2" t="s">
        <v>2336</v>
      </c>
      <c r="CC1078" s="2" t="s">
        <v>246</v>
      </c>
      <c r="CD1078" s="2" t="s">
        <v>233</v>
      </c>
      <c r="CE1078" s="4"/>
      <c r="CF1078" s="4">
        <v>128</v>
      </c>
      <c r="CG1078" s="4"/>
      <c r="CH1078" s="4"/>
      <c r="CI1078" s="4">
        <v>1</v>
      </c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</row>
    <row r="1079">
      <c r="A1079" s="2" t="s">
        <v>5417</v>
      </c>
      <c r="B1079" s="2" t="s">
        <v>910</v>
      </c>
      <c r="C1079" s="2" t="s">
        <v>911</v>
      </c>
      <c r="D1079" s="2" t="s">
        <v>912</v>
      </c>
      <c r="E1079" s="2" t="s">
        <v>913</v>
      </c>
      <c r="F1079" s="2" t="s">
        <v>5418</v>
      </c>
      <c r="G1079" s="2" t="s">
        <v>3323</v>
      </c>
      <c r="H1079" s="2" t="s">
        <v>5419</v>
      </c>
      <c r="I1079" s="2" t="s">
        <v>5420</v>
      </c>
      <c r="J1079" s="2" t="s">
        <v>918</v>
      </c>
      <c r="K1079" s="2" t="s">
        <v>645</v>
      </c>
      <c r="L1079" s="3">
        <v>27.6</v>
      </c>
      <c r="M1079" s="3">
        <v>28.98</v>
      </c>
      <c r="N1079" s="3">
        <v>59.99</v>
      </c>
      <c r="O1079" s="2" t="s">
        <v>245</v>
      </c>
      <c r="P1079" s="2" t="s">
        <v>272</v>
      </c>
      <c r="Q1079" s="2" t="s">
        <v>239</v>
      </c>
      <c r="R1079" s="2" t="s">
        <v>233</v>
      </c>
      <c r="S1079" s="2" t="s">
        <v>5421</v>
      </c>
      <c r="T1079" s="2" t="s">
        <v>3570</v>
      </c>
      <c r="U1079" s="2" t="s">
        <v>475</v>
      </c>
      <c r="V1079" s="2" t="s">
        <v>241</v>
      </c>
      <c r="W1079" s="2" t="s">
        <v>705</v>
      </c>
      <c r="X1079" s="2" t="s">
        <v>2082</v>
      </c>
      <c r="Y1079" s="2" t="s">
        <v>806</v>
      </c>
      <c r="Z1079" s="4">
        <v>3</v>
      </c>
      <c r="AA1079" s="4">
        <f>=ROUNDDOWN(0.333333333333333,0)</f>
      </c>
      <c r="AB1079" s="5">
        <v>9</v>
      </c>
      <c r="AC1079" s="2" t="s">
        <v>1514</v>
      </c>
      <c r="AD1079" s="4">
        <v>30</v>
      </c>
      <c r="AE1079" s="4">
        <v>160</v>
      </c>
      <c r="AF1079" s="6">
        <v>64</v>
      </c>
      <c r="AG1079" s="6"/>
      <c r="AH1079" s="7">
        <v>1</v>
      </c>
      <c r="AI1079" s="4"/>
      <c r="AJ1079" s="4">
        <f>=ROUNDDOWN({0},0)</f>
      </c>
      <c r="AK1079" s="5"/>
      <c r="AL1079" s="2" t="s">
        <v>233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 t="s">
        <v>233</v>
      </c>
      <c r="BD1079" s="8" t="s">
        <v>233</v>
      </c>
      <c r="BE1079" s="4" t="s">
        <v>233</v>
      </c>
      <c r="BF1079" s="8" t="s">
        <v>233</v>
      </c>
      <c r="BG1079" s="7" t="s">
        <v>233</v>
      </c>
      <c r="BH1079" s="7" t="s">
        <v>233</v>
      </c>
      <c r="BI1079" s="7"/>
      <c r="BJ1079" s="4">
        <v>34</v>
      </c>
      <c r="BK1079" s="8">
        <v>999.75</v>
      </c>
      <c r="BL1079" s="2" t="s">
        <v>5422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5423</v>
      </c>
      <c r="BV1079" s="2" t="s">
        <v>233</v>
      </c>
      <c r="BW1079" s="2" t="s">
        <v>233</v>
      </c>
      <c r="BX1079" s="2" t="s">
        <v>243</v>
      </c>
      <c r="BY1079" s="2" t="s">
        <v>280</v>
      </c>
      <c r="BZ1079" s="2" t="s">
        <v>245</v>
      </c>
      <c r="CA1079" s="2" t="s">
        <v>806</v>
      </c>
      <c r="CB1079" s="2" t="s">
        <v>5424</v>
      </c>
      <c r="CC1079" s="2" t="s">
        <v>246</v>
      </c>
      <c r="CD1079" s="2" t="s">
        <v>233</v>
      </c>
      <c r="CE1079" s="4">
        <v>3</v>
      </c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>
        <v>30</v>
      </c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>
        <v>70</v>
      </c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>
        <v>60</v>
      </c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</row>
    <row r="1080">
      <c r="A1080" s="2" t="s">
        <v>5425</v>
      </c>
      <c r="B1080" s="2" t="s">
        <v>910</v>
      </c>
      <c r="C1080" s="2" t="s">
        <v>911</v>
      </c>
      <c r="D1080" s="2" t="s">
        <v>912</v>
      </c>
      <c r="E1080" s="2" t="s">
        <v>913</v>
      </c>
      <c r="F1080" s="2" t="s">
        <v>5418</v>
      </c>
      <c r="G1080" s="2" t="s">
        <v>3323</v>
      </c>
      <c r="H1080" s="2" t="s">
        <v>5419</v>
      </c>
      <c r="I1080" s="2" t="s">
        <v>5420</v>
      </c>
      <c r="J1080" s="2" t="s">
        <v>918</v>
      </c>
      <c r="K1080" s="2" t="s">
        <v>271</v>
      </c>
      <c r="L1080" s="3">
        <v>27.6</v>
      </c>
      <c r="M1080" s="3">
        <v>28.98</v>
      </c>
      <c r="N1080" s="3">
        <v>59.99</v>
      </c>
      <c r="O1080" s="2" t="s">
        <v>245</v>
      </c>
      <c r="P1080" s="2" t="s">
        <v>272</v>
      </c>
      <c r="Q1080" s="2" t="s">
        <v>239</v>
      </c>
      <c r="R1080" s="2" t="s">
        <v>233</v>
      </c>
      <c r="S1080" s="2" t="s">
        <v>5426</v>
      </c>
      <c r="T1080" s="2" t="s">
        <v>3570</v>
      </c>
      <c r="U1080" s="2" t="s">
        <v>475</v>
      </c>
      <c r="V1080" s="2" t="s">
        <v>241</v>
      </c>
      <c r="W1080" s="2" t="s">
        <v>705</v>
      </c>
      <c r="X1080" s="2" t="s">
        <v>2082</v>
      </c>
      <c r="Y1080" s="2" t="s">
        <v>997</v>
      </c>
      <c r="Z1080" s="4">
        <v>131</v>
      </c>
      <c r="AA1080" s="4">
        <f>=ROUNDDOWN(43.6666666666667,0)</f>
      </c>
      <c r="AB1080" s="5">
        <v>3</v>
      </c>
      <c r="AC1080" s="2" t="s">
        <v>233</v>
      </c>
      <c r="AD1080" s="4"/>
      <c r="AE1080" s="4"/>
      <c r="AF1080" s="6">
        <v>64</v>
      </c>
      <c r="AG1080" s="6"/>
      <c r="AH1080" s="7">
        <v>1</v>
      </c>
      <c r="AI1080" s="4"/>
      <c r="AJ1080" s="4">
        <f>=ROUNDDOWN({0},0)</f>
      </c>
      <c r="AK1080" s="5"/>
      <c r="AL1080" s="2" t="s">
        <v>233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 t="s">
        <v>233</v>
      </c>
      <c r="BD1080" s="8" t="s">
        <v>233</v>
      </c>
      <c r="BE1080" s="4" t="s">
        <v>233</v>
      </c>
      <c r="BF1080" s="8" t="s">
        <v>233</v>
      </c>
      <c r="BG1080" s="7" t="s">
        <v>233</v>
      </c>
      <c r="BH1080" s="7" t="s">
        <v>233</v>
      </c>
      <c r="BI1080" s="7"/>
      <c r="BJ1080" s="4">
        <v>1</v>
      </c>
      <c r="BK1080" s="8">
        <v>31.74</v>
      </c>
      <c r="BL1080" s="2" t="s">
        <v>5427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5428</v>
      </c>
      <c r="BV1080" s="2" t="s">
        <v>233</v>
      </c>
      <c r="BW1080" s="2" t="s">
        <v>233</v>
      </c>
      <c r="BX1080" s="2" t="s">
        <v>243</v>
      </c>
      <c r="BY1080" s="2" t="s">
        <v>280</v>
      </c>
      <c r="BZ1080" s="2" t="s">
        <v>245</v>
      </c>
      <c r="CA1080" s="2" t="s">
        <v>5429</v>
      </c>
      <c r="CB1080" s="2" t="s">
        <v>3375</v>
      </c>
      <c r="CC1080" s="2" t="s">
        <v>246</v>
      </c>
      <c r="CD1080" s="2" t="s">
        <v>233</v>
      </c>
      <c r="CE1080" s="4">
        <v>131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</row>
    <row r="1081">
      <c r="A1081" s="2" t="s">
        <v>5430</v>
      </c>
      <c r="B1081" s="2" t="s">
        <v>910</v>
      </c>
      <c r="C1081" s="2" t="s">
        <v>911</v>
      </c>
      <c r="D1081" s="2" t="s">
        <v>912</v>
      </c>
      <c r="E1081" s="2" t="s">
        <v>913</v>
      </c>
      <c r="F1081" s="2" t="s">
        <v>5418</v>
      </c>
      <c r="G1081" s="2" t="s">
        <v>3323</v>
      </c>
      <c r="H1081" s="2" t="s">
        <v>5419</v>
      </c>
      <c r="I1081" s="2" t="s">
        <v>5420</v>
      </c>
      <c r="J1081" s="2" t="s">
        <v>918</v>
      </c>
      <c r="K1081" s="2" t="s">
        <v>552</v>
      </c>
      <c r="L1081" s="3">
        <v>27.6</v>
      </c>
      <c r="M1081" s="3">
        <v>28.98</v>
      </c>
      <c r="N1081" s="3">
        <v>59.99</v>
      </c>
      <c r="O1081" s="2" t="s">
        <v>245</v>
      </c>
      <c r="P1081" s="2" t="s">
        <v>763</v>
      </c>
      <c r="Q1081" s="2" t="s">
        <v>239</v>
      </c>
      <c r="R1081" s="2" t="s">
        <v>233</v>
      </c>
      <c r="S1081" s="2" t="s">
        <v>5431</v>
      </c>
      <c r="T1081" s="2" t="s">
        <v>3570</v>
      </c>
      <c r="U1081" s="2" t="s">
        <v>475</v>
      </c>
      <c r="V1081" s="2" t="s">
        <v>241</v>
      </c>
      <c r="W1081" s="2" t="s">
        <v>705</v>
      </c>
      <c r="X1081" s="2" t="s">
        <v>2082</v>
      </c>
      <c r="Y1081" s="2" t="s">
        <v>5432</v>
      </c>
      <c r="Z1081" s="4">
        <v>114</v>
      </c>
      <c r="AA1081" s="4">
        <f>=ROUNDDOWN(8.20143884892086,0)</f>
      </c>
      <c r="AB1081" s="5">
        <v>13.9</v>
      </c>
      <c r="AC1081" s="2" t="s">
        <v>4953</v>
      </c>
      <c r="AD1081" s="4">
        <v>60</v>
      </c>
      <c r="AE1081" s="4">
        <v>310</v>
      </c>
      <c r="AF1081" s="6">
        <v>64</v>
      </c>
      <c r="AG1081" s="6">
        <v>47</v>
      </c>
      <c r="AH1081" s="7">
        <v>1</v>
      </c>
      <c r="AI1081" s="4"/>
      <c r="AJ1081" s="4">
        <f>=ROUNDDOWN({0},0)</f>
      </c>
      <c r="AK1081" s="5"/>
      <c r="AL1081" s="2" t="s">
        <v>233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 t="s">
        <v>233</v>
      </c>
      <c r="BD1081" s="8" t="s">
        <v>233</v>
      </c>
      <c r="BE1081" s="4" t="s">
        <v>233</v>
      </c>
      <c r="BF1081" s="8" t="s">
        <v>233</v>
      </c>
      <c r="BG1081" s="7" t="s">
        <v>233</v>
      </c>
      <c r="BH1081" s="7" t="s">
        <v>233</v>
      </c>
      <c r="BI1081" s="7"/>
      <c r="BJ1081" s="4">
        <v>54</v>
      </c>
      <c r="BK1081" s="8">
        <v>1616.97</v>
      </c>
      <c r="BL1081" s="2" t="s">
        <v>5433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5434</v>
      </c>
      <c r="BV1081" s="2" t="s">
        <v>233</v>
      </c>
      <c r="BW1081" s="2" t="s">
        <v>233</v>
      </c>
      <c r="BX1081" s="2" t="s">
        <v>233</v>
      </c>
      <c r="BY1081" s="2" t="s">
        <v>280</v>
      </c>
      <c r="BZ1081" s="2" t="s">
        <v>245</v>
      </c>
      <c r="CA1081" s="2" t="s">
        <v>5435</v>
      </c>
      <c r="CB1081" s="2" t="s">
        <v>5436</v>
      </c>
      <c r="CC1081" s="2" t="s">
        <v>246</v>
      </c>
      <c r="CD1081" s="2" t="s">
        <v>233</v>
      </c>
      <c r="CE1081" s="4">
        <v>61</v>
      </c>
      <c r="CF1081" s="4"/>
      <c r="CG1081" s="4"/>
      <c r="CH1081" s="4"/>
      <c r="CI1081" s="4">
        <v>53</v>
      </c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>
        <v>60</v>
      </c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>
        <v>100</v>
      </c>
      <c r="FU1081" s="4">
        <v>100</v>
      </c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>
        <v>50</v>
      </c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</row>
    <row r="1082">
      <c r="A1082" s="2" t="s">
        <v>5437</v>
      </c>
      <c r="B1082" s="2" t="s">
        <v>910</v>
      </c>
      <c r="C1082" s="2" t="s">
        <v>911</v>
      </c>
      <c r="D1082" s="2" t="s">
        <v>969</v>
      </c>
      <c r="E1082" s="2" t="s">
        <v>1078</v>
      </c>
      <c r="F1082" s="2" t="s">
        <v>5418</v>
      </c>
      <c r="G1082" s="2" t="s">
        <v>3323</v>
      </c>
      <c r="H1082" s="2" t="s">
        <v>5419</v>
      </c>
      <c r="I1082" s="2" t="s">
        <v>5438</v>
      </c>
      <c r="J1082" s="2" t="s">
        <v>918</v>
      </c>
      <c r="K1082" s="2" t="s">
        <v>1454</v>
      </c>
      <c r="L1082" s="3">
        <v>31.05</v>
      </c>
      <c r="M1082" s="3">
        <v>32.6</v>
      </c>
      <c r="N1082" s="3">
        <v>59.99</v>
      </c>
      <c r="O1082" s="2" t="s">
        <v>245</v>
      </c>
      <c r="P1082" s="2" t="s">
        <v>272</v>
      </c>
      <c r="Q1082" s="2" t="s">
        <v>239</v>
      </c>
      <c r="R1082" s="2" t="s">
        <v>233</v>
      </c>
      <c r="S1082" s="2" t="s">
        <v>5439</v>
      </c>
      <c r="T1082" s="2" t="s">
        <v>3570</v>
      </c>
      <c r="U1082" s="2" t="s">
        <v>475</v>
      </c>
      <c r="V1082" s="2" t="s">
        <v>241</v>
      </c>
      <c r="W1082" s="2" t="s">
        <v>705</v>
      </c>
      <c r="X1082" s="2" t="s">
        <v>2082</v>
      </c>
      <c r="Y1082" s="2" t="s">
        <v>233</v>
      </c>
      <c r="Z1082" s="4"/>
      <c r="AA1082" s="4">
        <f>=ROUNDDOWN({0},0)</f>
      </c>
      <c r="AB1082" s="5"/>
      <c r="AC1082" s="2" t="s">
        <v>5332</v>
      </c>
      <c r="AD1082" s="4">
        <v>80</v>
      </c>
      <c r="AE1082" s="4">
        <v>160</v>
      </c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233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233</v>
      </c>
      <c r="AW1082" s="8" t="s">
        <v>233</v>
      </c>
      <c r="AX1082" s="4" t="s">
        <v>233</v>
      </c>
      <c r="AY1082" s="8" t="s">
        <v>233</v>
      </c>
      <c r="AZ1082" s="7" t="s">
        <v>233</v>
      </c>
      <c r="BA1082" s="7" t="s">
        <v>233</v>
      </c>
      <c r="BB1082" s="7" t="s">
        <v>233</v>
      </c>
      <c r="BC1082" s="4" t="s">
        <v>233</v>
      </c>
      <c r="BD1082" s="8" t="s">
        <v>233</v>
      </c>
      <c r="BE1082" s="4" t="s">
        <v>233</v>
      </c>
      <c r="BF1082" s="8" t="s">
        <v>233</v>
      </c>
      <c r="BG1082" s="7" t="s">
        <v>233</v>
      </c>
      <c r="BH1082" s="7" t="s">
        <v>233</v>
      </c>
      <c r="BI1082" s="7"/>
      <c r="BJ1082" s="4"/>
      <c r="BK1082" s="8"/>
      <c r="BL1082" s="2" t="s">
        <v>233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243</v>
      </c>
      <c r="BV1082" s="2" t="s">
        <v>233</v>
      </c>
      <c r="BW1082" s="2" t="s">
        <v>233</v>
      </c>
      <c r="BX1082" s="2" t="s">
        <v>798</v>
      </c>
      <c r="BY1082" s="2" t="s">
        <v>244</v>
      </c>
      <c r="BZ1082" s="2" t="s">
        <v>245</v>
      </c>
      <c r="CA1082" s="2" t="s">
        <v>233</v>
      </c>
      <c r="CB1082" s="2" t="s">
        <v>233</v>
      </c>
      <c r="CC1082" s="2" t="s">
        <v>246</v>
      </c>
      <c r="CD1082" s="2" t="s">
        <v>233</v>
      </c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>
        <v>80</v>
      </c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>
        <v>80</v>
      </c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</row>
    <row r="1083">
      <c r="A1083" s="2" t="s">
        <v>5440</v>
      </c>
      <c r="B1083" s="2" t="s">
        <v>910</v>
      </c>
      <c r="C1083" s="2" t="s">
        <v>911</v>
      </c>
      <c r="D1083" s="2" t="s">
        <v>912</v>
      </c>
      <c r="E1083" s="2" t="s">
        <v>913</v>
      </c>
      <c r="F1083" s="2" t="s">
        <v>5418</v>
      </c>
      <c r="G1083" s="2" t="s">
        <v>3323</v>
      </c>
      <c r="H1083" s="2" t="s">
        <v>5419</v>
      </c>
      <c r="I1083" s="2" t="s">
        <v>5420</v>
      </c>
      <c r="J1083" s="2" t="s">
        <v>918</v>
      </c>
      <c r="K1083" s="2" t="s">
        <v>1454</v>
      </c>
      <c r="L1083" s="3">
        <v>27.6</v>
      </c>
      <c r="M1083" s="3">
        <v>28.98</v>
      </c>
      <c r="N1083" s="3">
        <v>59.99</v>
      </c>
      <c r="O1083" s="2" t="s">
        <v>245</v>
      </c>
      <c r="P1083" s="2" t="s">
        <v>238</v>
      </c>
      <c r="Q1083" s="2" t="s">
        <v>239</v>
      </c>
      <c r="R1083" s="2" t="s">
        <v>233</v>
      </c>
      <c r="S1083" s="2" t="s">
        <v>5439</v>
      </c>
      <c r="T1083" s="2" t="s">
        <v>3570</v>
      </c>
      <c r="U1083" s="2" t="s">
        <v>475</v>
      </c>
      <c r="V1083" s="2" t="s">
        <v>241</v>
      </c>
      <c r="W1083" s="2" t="s">
        <v>705</v>
      </c>
      <c r="X1083" s="2" t="s">
        <v>2082</v>
      </c>
      <c r="Y1083" s="2" t="s">
        <v>233</v>
      </c>
      <c r="Z1083" s="4"/>
      <c r="AA1083" s="4">
        <f>=ROUNDDOWN({0},0)</f>
      </c>
      <c r="AB1083" s="5"/>
      <c r="AC1083" s="2" t="s">
        <v>5332</v>
      </c>
      <c r="AD1083" s="4">
        <v>25</v>
      </c>
      <c r="AE1083" s="4">
        <v>50</v>
      </c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233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233</v>
      </c>
      <c r="AW1083" s="8" t="s">
        <v>233</v>
      </c>
      <c r="AX1083" s="4" t="s">
        <v>233</v>
      </c>
      <c r="AY1083" s="8" t="s">
        <v>233</v>
      </c>
      <c r="AZ1083" s="7" t="s">
        <v>233</v>
      </c>
      <c r="BA1083" s="7" t="s">
        <v>233</v>
      </c>
      <c r="BB1083" s="7" t="s">
        <v>233</v>
      </c>
      <c r="BC1083" s="4" t="s">
        <v>233</v>
      </c>
      <c r="BD1083" s="8" t="s">
        <v>233</v>
      </c>
      <c r="BE1083" s="4" t="s">
        <v>233</v>
      </c>
      <c r="BF1083" s="8" t="s">
        <v>233</v>
      </c>
      <c r="BG1083" s="7" t="s">
        <v>233</v>
      </c>
      <c r="BH1083" s="7" t="s">
        <v>233</v>
      </c>
      <c r="BI1083" s="7"/>
      <c r="BJ1083" s="4"/>
      <c r="BK1083" s="8"/>
      <c r="BL1083" s="2" t="s">
        <v>233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243</v>
      </c>
      <c r="BV1083" s="2" t="s">
        <v>233</v>
      </c>
      <c r="BW1083" s="2" t="s">
        <v>233</v>
      </c>
      <c r="BX1083" s="2" t="s">
        <v>243</v>
      </c>
      <c r="BY1083" s="2" t="s">
        <v>244</v>
      </c>
      <c r="BZ1083" s="2" t="s">
        <v>245</v>
      </c>
      <c r="CA1083" s="2" t="s">
        <v>233</v>
      </c>
      <c r="CB1083" s="2" t="s">
        <v>233</v>
      </c>
      <c r="CC1083" s="2" t="s">
        <v>246</v>
      </c>
      <c r="CD1083" s="2" t="s">
        <v>233</v>
      </c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>
        <v>25</v>
      </c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>
        <v>25</v>
      </c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</row>
    <row r="1084">
      <c r="A1084" s="2" t="s">
        <v>5441</v>
      </c>
      <c r="B1084" s="2" t="s">
        <v>910</v>
      </c>
      <c r="C1084" s="2" t="s">
        <v>911</v>
      </c>
      <c r="D1084" s="2" t="s">
        <v>969</v>
      </c>
      <c r="E1084" s="2" t="s">
        <v>1078</v>
      </c>
      <c r="F1084" s="2" t="s">
        <v>5418</v>
      </c>
      <c r="G1084" s="2" t="s">
        <v>3323</v>
      </c>
      <c r="H1084" s="2" t="s">
        <v>5419</v>
      </c>
      <c r="I1084" s="2" t="s">
        <v>5438</v>
      </c>
      <c r="J1084" s="2" t="s">
        <v>981</v>
      </c>
      <c r="K1084" s="2" t="s">
        <v>1454</v>
      </c>
      <c r="L1084" s="3">
        <v>36.72</v>
      </c>
      <c r="M1084" s="3">
        <v>38.56</v>
      </c>
      <c r="N1084" s="3">
        <v>69.99</v>
      </c>
      <c r="O1084" s="2" t="s">
        <v>245</v>
      </c>
      <c r="P1084" s="2" t="s">
        <v>272</v>
      </c>
      <c r="Q1084" s="2" t="s">
        <v>239</v>
      </c>
      <c r="R1084" s="2" t="s">
        <v>233</v>
      </c>
      <c r="S1084" s="2" t="s">
        <v>5439</v>
      </c>
      <c r="T1084" s="2" t="s">
        <v>3570</v>
      </c>
      <c r="U1084" s="2" t="s">
        <v>342</v>
      </c>
      <c r="V1084" s="2" t="s">
        <v>241</v>
      </c>
      <c r="W1084" s="2" t="s">
        <v>705</v>
      </c>
      <c r="X1084" s="2" t="s">
        <v>2082</v>
      </c>
      <c r="Y1084" s="2" t="s">
        <v>233</v>
      </c>
      <c r="Z1084" s="4"/>
      <c r="AA1084" s="4">
        <f>=ROUNDDOWN({0},0)</f>
      </c>
      <c r="AB1084" s="5"/>
      <c r="AC1084" s="2" t="s">
        <v>5332</v>
      </c>
      <c r="AD1084" s="4">
        <v>235</v>
      </c>
      <c r="AE1084" s="4">
        <v>470</v>
      </c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233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233</v>
      </c>
      <c r="AW1084" s="8" t="s">
        <v>233</v>
      </c>
      <c r="AX1084" s="4" t="s">
        <v>233</v>
      </c>
      <c r="AY1084" s="8" t="s">
        <v>233</v>
      </c>
      <c r="AZ1084" s="7" t="s">
        <v>233</v>
      </c>
      <c r="BA1084" s="7" t="s">
        <v>233</v>
      </c>
      <c r="BB1084" s="7" t="s">
        <v>233</v>
      </c>
      <c r="BC1084" s="4" t="s">
        <v>233</v>
      </c>
      <c r="BD1084" s="8" t="s">
        <v>233</v>
      </c>
      <c r="BE1084" s="4" t="s">
        <v>233</v>
      </c>
      <c r="BF1084" s="8" t="s">
        <v>233</v>
      </c>
      <c r="BG1084" s="7" t="s">
        <v>233</v>
      </c>
      <c r="BH1084" s="7" t="s">
        <v>233</v>
      </c>
      <c r="BI1084" s="7"/>
      <c r="BJ1084" s="4"/>
      <c r="BK1084" s="8"/>
      <c r="BL1084" s="2" t="s">
        <v>233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243</v>
      </c>
      <c r="BV1084" s="2" t="s">
        <v>233</v>
      </c>
      <c r="BW1084" s="2" t="s">
        <v>233</v>
      </c>
      <c r="BX1084" s="2" t="s">
        <v>798</v>
      </c>
      <c r="BY1084" s="2" t="s">
        <v>244</v>
      </c>
      <c r="BZ1084" s="2" t="s">
        <v>245</v>
      </c>
      <c r="CA1084" s="2" t="s">
        <v>233</v>
      </c>
      <c r="CB1084" s="2" t="s">
        <v>233</v>
      </c>
      <c r="CC1084" s="2" t="s">
        <v>246</v>
      </c>
      <c r="CD1084" s="2" t="s">
        <v>233</v>
      </c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>
        <v>235</v>
      </c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>
        <v>235</v>
      </c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</row>
    <row r="1085">
      <c r="A1085" s="2" t="s">
        <v>5442</v>
      </c>
      <c r="B1085" s="2" t="s">
        <v>910</v>
      </c>
      <c r="C1085" s="2" t="s">
        <v>911</v>
      </c>
      <c r="D1085" s="2" t="s">
        <v>912</v>
      </c>
      <c r="E1085" s="2" t="s">
        <v>913</v>
      </c>
      <c r="F1085" s="2" t="s">
        <v>5418</v>
      </c>
      <c r="G1085" s="2" t="s">
        <v>3323</v>
      </c>
      <c r="H1085" s="2" t="s">
        <v>5419</v>
      </c>
      <c r="I1085" s="2" t="s">
        <v>5420</v>
      </c>
      <c r="J1085" s="2" t="s">
        <v>981</v>
      </c>
      <c r="K1085" s="2" t="s">
        <v>1454</v>
      </c>
      <c r="L1085" s="3">
        <v>33.6</v>
      </c>
      <c r="M1085" s="3">
        <v>35.28</v>
      </c>
      <c r="N1085" s="3">
        <v>69.99</v>
      </c>
      <c r="O1085" s="2" t="s">
        <v>245</v>
      </c>
      <c r="P1085" s="2" t="s">
        <v>238</v>
      </c>
      <c r="Q1085" s="2" t="s">
        <v>239</v>
      </c>
      <c r="R1085" s="2" t="s">
        <v>233</v>
      </c>
      <c r="S1085" s="2" t="s">
        <v>5439</v>
      </c>
      <c r="T1085" s="2" t="s">
        <v>3570</v>
      </c>
      <c r="U1085" s="2" t="s">
        <v>342</v>
      </c>
      <c r="V1085" s="2" t="s">
        <v>241</v>
      </c>
      <c r="W1085" s="2" t="s">
        <v>705</v>
      </c>
      <c r="X1085" s="2" t="s">
        <v>2082</v>
      </c>
      <c r="Y1085" s="2" t="s">
        <v>233</v>
      </c>
      <c r="Z1085" s="4"/>
      <c r="AA1085" s="4">
        <f>=ROUNDDOWN({0},0)</f>
      </c>
      <c r="AB1085" s="5"/>
      <c r="AC1085" s="2" t="s">
        <v>5332</v>
      </c>
      <c r="AD1085" s="4">
        <v>75</v>
      </c>
      <c r="AE1085" s="4">
        <v>150</v>
      </c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233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233</v>
      </c>
      <c r="AW1085" s="8" t="s">
        <v>233</v>
      </c>
      <c r="AX1085" s="4" t="s">
        <v>233</v>
      </c>
      <c r="AY1085" s="8" t="s">
        <v>233</v>
      </c>
      <c r="AZ1085" s="7" t="s">
        <v>233</v>
      </c>
      <c r="BA1085" s="7" t="s">
        <v>233</v>
      </c>
      <c r="BB1085" s="7" t="s">
        <v>233</v>
      </c>
      <c r="BC1085" s="4" t="s">
        <v>233</v>
      </c>
      <c r="BD1085" s="8" t="s">
        <v>233</v>
      </c>
      <c r="BE1085" s="4" t="s">
        <v>233</v>
      </c>
      <c r="BF1085" s="8" t="s">
        <v>233</v>
      </c>
      <c r="BG1085" s="7" t="s">
        <v>233</v>
      </c>
      <c r="BH1085" s="7" t="s">
        <v>233</v>
      </c>
      <c r="BI1085" s="7"/>
      <c r="BJ1085" s="4"/>
      <c r="BK1085" s="8"/>
      <c r="BL1085" s="2" t="s">
        <v>233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243</v>
      </c>
      <c r="BV1085" s="2" t="s">
        <v>233</v>
      </c>
      <c r="BW1085" s="2" t="s">
        <v>233</v>
      </c>
      <c r="BX1085" s="2" t="s">
        <v>243</v>
      </c>
      <c r="BY1085" s="2" t="s">
        <v>244</v>
      </c>
      <c r="BZ1085" s="2" t="s">
        <v>245</v>
      </c>
      <c r="CA1085" s="2" t="s">
        <v>233</v>
      </c>
      <c r="CB1085" s="2" t="s">
        <v>233</v>
      </c>
      <c r="CC1085" s="2" t="s">
        <v>246</v>
      </c>
      <c r="CD1085" s="2" t="s">
        <v>233</v>
      </c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>
        <v>75</v>
      </c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>
        <v>75</v>
      </c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</row>
    <row r="1086">
      <c r="A1086" s="2" t="s">
        <v>5443</v>
      </c>
      <c r="B1086" s="2" t="s">
        <v>910</v>
      </c>
      <c r="C1086" s="2" t="s">
        <v>911</v>
      </c>
      <c r="D1086" s="2" t="s">
        <v>969</v>
      </c>
      <c r="E1086" s="2" t="s">
        <v>1078</v>
      </c>
      <c r="F1086" s="2" t="s">
        <v>5418</v>
      </c>
      <c r="G1086" s="2" t="s">
        <v>3323</v>
      </c>
      <c r="H1086" s="2" t="s">
        <v>5419</v>
      </c>
      <c r="I1086" s="2" t="s">
        <v>5438</v>
      </c>
      <c r="J1086" s="2" t="s">
        <v>1142</v>
      </c>
      <c r="K1086" s="2" t="s">
        <v>1454</v>
      </c>
      <c r="L1086" s="3">
        <v>40.5</v>
      </c>
      <c r="M1086" s="3">
        <v>42.52</v>
      </c>
      <c r="N1086" s="3">
        <v>79.99</v>
      </c>
      <c r="O1086" s="2" t="s">
        <v>245</v>
      </c>
      <c r="P1086" s="2" t="s">
        <v>272</v>
      </c>
      <c r="Q1086" s="2" t="s">
        <v>239</v>
      </c>
      <c r="R1086" s="2" t="s">
        <v>233</v>
      </c>
      <c r="S1086" s="2" t="s">
        <v>5439</v>
      </c>
      <c r="T1086" s="2" t="s">
        <v>3570</v>
      </c>
      <c r="U1086" s="2" t="s">
        <v>342</v>
      </c>
      <c r="V1086" s="2" t="s">
        <v>241</v>
      </c>
      <c r="W1086" s="2" t="s">
        <v>705</v>
      </c>
      <c r="X1086" s="2" t="s">
        <v>2082</v>
      </c>
      <c r="Y1086" s="2" t="s">
        <v>233</v>
      </c>
      <c r="Z1086" s="4"/>
      <c r="AA1086" s="4">
        <f>=ROUNDDOWN({0},0)</f>
      </c>
      <c r="AB1086" s="5"/>
      <c r="AC1086" s="2" t="s">
        <v>5332</v>
      </c>
      <c r="AD1086" s="4">
        <v>160</v>
      </c>
      <c r="AE1086" s="4">
        <v>320</v>
      </c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233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233</v>
      </c>
      <c r="AW1086" s="8" t="s">
        <v>233</v>
      </c>
      <c r="AX1086" s="4" t="s">
        <v>233</v>
      </c>
      <c r="AY1086" s="8" t="s">
        <v>233</v>
      </c>
      <c r="AZ1086" s="7" t="s">
        <v>233</v>
      </c>
      <c r="BA1086" s="7" t="s">
        <v>233</v>
      </c>
      <c r="BB1086" s="7" t="s">
        <v>233</v>
      </c>
      <c r="BC1086" s="4" t="s">
        <v>233</v>
      </c>
      <c r="BD1086" s="8" t="s">
        <v>233</v>
      </c>
      <c r="BE1086" s="4" t="s">
        <v>233</v>
      </c>
      <c r="BF1086" s="8" t="s">
        <v>233</v>
      </c>
      <c r="BG1086" s="7" t="s">
        <v>233</v>
      </c>
      <c r="BH1086" s="7" t="s">
        <v>233</v>
      </c>
      <c r="BI1086" s="7"/>
      <c r="BJ1086" s="4"/>
      <c r="BK1086" s="8"/>
      <c r="BL1086" s="2" t="s">
        <v>233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243</v>
      </c>
      <c r="BV1086" s="2" t="s">
        <v>233</v>
      </c>
      <c r="BW1086" s="2" t="s">
        <v>233</v>
      </c>
      <c r="BX1086" s="2" t="s">
        <v>798</v>
      </c>
      <c r="BY1086" s="2" t="s">
        <v>244</v>
      </c>
      <c r="BZ1086" s="2" t="s">
        <v>245</v>
      </c>
      <c r="CA1086" s="2" t="s">
        <v>233</v>
      </c>
      <c r="CB1086" s="2" t="s">
        <v>233</v>
      </c>
      <c r="CC1086" s="2" t="s">
        <v>246</v>
      </c>
      <c r="CD1086" s="2" t="s">
        <v>233</v>
      </c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>
        <v>160</v>
      </c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>
        <v>160</v>
      </c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</row>
    <row r="1087">
      <c r="A1087" s="2" t="s">
        <v>5444</v>
      </c>
      <c r="B1087" s="2" t="s">
        <v>910</v>
      </c>
      <c r="C1087" s="2" t="s">
        <v>911</v>
      </c>
      <c r="D1087" s="2" t="s">
        <v>912</v>
      </c>
      <c r="E1087" s="2" t="s">
        <v>913</v>
      </c>
      <c r="F1087" s="2" t="s">
        <v>5418</v>
      </c>
      <c r="G1087" s="2" t="s">
        <v>3323</v>
      </c>
      <c r="H1087" s="2" t="s">
        <v>5419</v>
      </c>
      <c r="I1087" s="2" t="s">
        <v>5420</v>
      </c>
      <c r="J1087" s="2" t="s">
        <v>1142</v>
      </c>
      <c r="K1087" s="2" t="s">
        <v>1454</v>
      </c>
      <c r="L1087" s="3">
        <v>36.75</v>
      </c>
      <c r="M1087" s="3">
        <v>38.59</v>
      </c>
      <c r="N1087" s="3">
        <v>74.99</v>
      </c>
      <c r="O1087" s="2" t="s">
        <v>245</v>
      </c>
      <c r="P1087" s="2" t="s">
        <v>238</v>
      </c>
      <c r="Q1087" s="2" t="s">
        <v>239</v>
      </c>
      <c r="R1087" s="2" t="s">
        <v>233</v>
      </c>
      <c r="S1087" s="2" t="s">
        <v>5439</v>
      </c>
      <c r="T1087" s="2" t="s">
        <v>3570</v>
      </c>
      <c r="U1087" s="2" t="s">
        <v>342</v>
      </c>
      <c r="V1087" s="2" t="s">
        <v>241</v>
      </c>
      <c r="W1087" s="2" t="s">
        <v>705</v>
      </c>
      <c r="X1087" s="2" t="s">
        <v>2082</v>
      </c>
      <c r="Y1087" s="2" t="s">
        <v>233</v>
      </c>
      <c r="Z1087" s="4"/>
      <c r="AA1087" s="4">
        <f>=ROUNDDOWN({0},0)</f>
      </c>
      <c r="AB1087" s="5"/>
      <c r="AC1087" s="2" t="s">
        <v>5332</v>
      </c>
      <c r="AD1087" s="4">
        <v>40</v>
      </c>
      <c r="AE1087" s="4">
        <v>40</v>
      </c>
      <c r="AF1087" s="6">
        <v>65</v>
      </c>
      <c r="AG1087" s="6"/>
      <c r="AH1087" s="7">
        <v>0</v>
      </c>
      <c r="AI1087" s="4"/>
      <c r="AJ1087" s="4">
        <f>=ROUNDDOWN({0},0)</f>
      </c>
      <c r="AK1087" s="5"/>
      <c r="AL1087" s="2" t="s">
        <v>233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233</v>
      </c>
      <c r="AW1087" s="8" t="s">
        <v>233</v>
      </c>
      <c r="AX1087" s="4" t="s">
        <v>233</v>
      </c>
      <c r="AY1087" s="8" t="s">
        <v>233</v>
      </c>
      <c r="AZ1087" s="7" t="s">
        <v>233</v>
      </c>
      <c r="BA1087" s="7" t="s">
        <v>233</v>
      </c>
      <c r="BB1087" s="7" t="s">
        <v>233</v>
      </c>
      <c r="BC1087" s="4" t="s">
        <v>233</v>
      </c>
      <c r="BD1087" s="8" t="s">
        <v>233</v>
      </c>
      <c r="BE1087" s="4" t="s">
        <v>233</v>
      </c>
      <c r="BF1087" s="8" t="s">
        <v>233</v>
      </c>
      <c r="BG1087" s="7" t="s">
        <v>233</v>
      </c>
      <c r="BH1087" s="7" t="s">
        <v>233</v>
      </c>
      <c r="BI1087" s="7"/>
      <c r="BJ1087" s="4"/>
      <c r="BK1087" s="8"/>
      <c r="BL1087" s="2" t="s">
        <v>233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243</v>
      </c>
      <c r="BV1087" s="2" t="s">
        <v>233</v>
      </c>
      <c r="BW1087" s="2" t="s">
        <v>233</v>
      </c>
      <c r="BX1087" s="2" t="s">
        <v>243</v>
      </c>
      <c r="BY1087" s="2" t="s">
        <v>244</v>
      </c>
      <c r="BZ1087" s="2" t="s">
        <v>245</v>
      </c>
      <c r="CA1087" s="2" t="s">
        <v>233</v>
      </c>
      <c r="CB1087" s="2" t="s">
        <v>233</v>
      </c>
      <c r="CC1087" s="2" t="s">
        <v>246</v>
      </c>
      <c r="CD1087" s="2" t="s">
        <v>233</v>
      </c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>
        <v>40</v>
      </c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</row>
    <row r="1088">
      <c r="A1088" s="2" t="s">
        <v>5445</v>
      </c>
      <c r="B1088" s="2" t="s">
        <v>910</v>
      </c>
      <c r="C1088" s="2" t="s">
        <v>911</v>
      </c>
      <c r="D1088" s="2" t="s">
        <v>969</v>
      </c>
      <c r="E1088" s="2" t="s">
        <v>1078</v>
      </c>
      <c r="F1088" s="2" t="s">
        <v>5418</v>
      </c>
      <c r="G1088" s="2" t="s">
        <v>3323</v>
      </c>
      <c r="H1088" s="2" t="s">
        <v>5419</v>
      </c>
      <c r="I1088" s="2" t="s">
        <v>5438</v>
      </c>
      <c r="J1088" s="2" t="s">
        <v>918</v>
      </c>
      <c r="K1088" s="2" t="s">
        <v>449</v>
      </c>
      <c r="L1088" s="3">
        <v>31.05</v>
      </c>
      <c r="M1088" s="3">
        <v>32.6</v>
      </c>
      <c r="N1088" s="3">
        <v>59.99</v>
      </c>
      <c r="O1088" s="2" t="s">
        <v>245</v>
      </c>
      <c r="P1088" s="2" t="s">
        <v>272</v>
      </c>
      <c r="Q1088" s="2" t="s">
        <v>239</v>
      </c>
      <c r="R1088" s="2" t="s">
        <v>233</v>
      </c>
      <c r="S1088" s="2" t="s">
        <v>5446</v>
      </c>
      <c r="T1088" s="2" t="s">
        <v>3570</v>
      </c>
      <c r="U1088" s="2" t="s">
        <v>475</v>
      </c>
      <c r="V1088" s="2" t="s">
        <v>241</v>
      </c>
      <c r="W1088" s="2" t="s">
        <v>705</v>
      </c>
      <c r="X1088" s="2" t="s">
        <v>2082</v>
      </c>
      <c r="Y1088" s="2" t="s">
        <v>233</v>
      </c>
      <c r="Z1088" s="4"/>
      <c r="AA1088" s="4">
        <f>=ROUNDDOWN({0},0)</f>
      </c>
      <c r="AB1088" s="5"/>
      <c r="AC1088" s="2" t="s">
        <v>5332</v>
      </c>
      <c r="AD1088" s="4">
        <v>75</v>
      </c>
      <c r="AE1088" s="4">
        <v>150</v>
      </c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233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233</v>
      </c>
      <c r="AW1088" s="8" t="s">
        <v>233</v>
      </c>
      <c r="AX1088" s="4" t="s">
        <v>233</v>
      </c>
      <c r="AY1088" s="8" t="s">
        <v>233</v>
      </c>
      <c r="AZ1088" s="7" t="s">
        <v>233</v>
      </c>
      <c r="BA1088" s="7" t="s">
        <v>233</v>
      </c>
      <c r="BB1088" s="7" t="s">
        <v>233</v>
      </c>
      <c r="BC1088" s="4" t="s">
        <v>233</v>
      </c>
      <c r="BD1088" s="8" t="s">
        <v>233</v>
      </c>
      <c r="BE1088" s="4" t="s">
        <v>233</v>
      </c>
      <c r="BF1088" s="8" t="s">
        <v>233</v>
      </c>
      <c r="BG1088" s="7" t="s">
        <v>233</v>
      </c>
      <c r="BH1088" s="7" t="s">
        <v>233</v>
      </c>
      <c r="BI1088" s="7"/>
      <c r="BJ1088" s="4"/>
      <c r="BK1088" s="8"/>
      <c r="BL1088" s="2" t="s">
        <v>233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243</v>
      </c>
      <c r="BV1088" s="2" t="s">
        <v>233</v>
      </c>
      <c r="BW1088" s="2" t="s">
        <v>233</v>
      </c>
      <c r="BX1088" s="2" t="s">
        <v>798</v>
      </c>
      <c r="BY1088" s="2" t="s">
        <v>244</v>
      </c>
      <c r="BZ1088" s="2" t="s">
        <v>245</v>
      </c>
      <c r="CA1088" s="2" t="s">
        <v>233</v>
      </c>
      <c r="CB1088" s="2" t="s">
        <v>233</v>
      </c>
      <c r="CC1088" s="2" t="s">
        <v>246</v>
      </c>
      <c r="CD1088" s="2" t="s">
        <v>233</v>
      </c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>
        <v>75</v>
      </c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>
        <v>75</v>
      </c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</row>
    <row r="1089">
      <c r="A1089" s="2" t="s">
        <v>5447</v>
      </c>
      <c r="B1089" s="2" t="s">
        <v>910</v>
      </c>
      <c r="C1089" s="2" t="s">
        <v>911</v>
      </c>
      <c r="D1089" s="2" t="s">
        <v>912</v>
      </c>
      <c r="E1089" s="2" t="s">
        <v>913</v>
      </c>
      <c r="F1089" s="2" t="s">
        <v>5418</v>
      </c>
      <c r="G1089" s="2" t="s">
        <v>3323</v>
      </c>
      <c r="H1089" s="2" t="s">
        <v>5419</v>
      </c>
      <c r="I1089" s="2" t="s">
        <v>5420</v>
      </c>
      <c r="J1089" s="2" t="s">
        <v>918</v>
      </c>
      <c r="K1089" s="2" t="s">
        <v>449</v>
      </c>
      <c r="L1089" s="3">
        <v>27.6</v>
      </c>
      <c r="M1089" s="3">
        <v>28.98</v>
      </c>
      <c r="N1089" s="3">
        <v>59.99</v>
      </c>
      <c r="O1089" s="2" t="s">
        <v>245</v>
      </c>
      <c r="P1089" s="2" t="s">
        <v>238</v>
      </c>
      <c r="Q1089" s="2" t="s">
        <v>239</v>
      </c>
      <c r="R1089" s="2" t="s">
        <v>233</v>
      </c>
      <c r="S1089" s="2" t="s">
        <v>5446</v>
      </c>
      <c r="T1089" s="2" t="s">
        <v>3570</v>
      </c>
      <c r="U1089" s="2" t="s">
        <v>475</v>
      </c>
      <c r="V1089" s="2" t="s">
        <v>241</v>
      </c>
      <c r="W1089" s="2" t="s">
        <v>705</v>
      </c>
      <c r="X1089" s="2" t="s">
        <v>2082</v>
      </c>
      <c r="Y1089" s="2" t="s">
        <v>233</v>
      </c>
      <c r="Z1089" s="4"/>
      <c r="AA1089" s="4">
        <f>=ROUNDDOWN({0},0)</f>
      </c>
      <c r="AB1089" s="5"/>
      <c r="AC1089" s="2" t="s">
        <v>5332</v>
      </c>
      <c r="AD1089" s="4">
        <v>40</v>
      </c>
      <c r="AE1089" s="4">
        <v>40</v>
      </c>
      <c r="AF1089" s="6">
        <v>65</v>
      </c>
      <c r="AG1089" s="6"/>
      <c r="AH1089" s="7">
        <v>0</v>
      </c>
      <c r="AI1089" s="4"/>
      <c r="AJ1089" s="4">
        <f>=ROUNDDOWN({0},0)</f>
      </c>
      <c r="AK1089" s="5"/>
      <c r="AL1089" s="2" t="s">
        <v>233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233</v>
      </c>
      <c r="AW1089" s="8" t="s">
        <v>233</v>
      </c>
      <c r="AX1089" s="4" t="s">
        <v>233</v>
      </c>
      <c r="AY1089" s="8" t="s">
        <v>233</v>
      </c>
      <c r="AZ1089" s="7" t="s">
        <v>233</v>
      </c>
      <c r="BA1089" s="7" t="s">
        <v>233</v>
      </c>
      <c r="BB1089" s="7" t="s">
        <v>233</v>
      </c>
      <c r="BC1089" s="4" t="s">
        <v>233</v>
      </c>
      <c r="BD1089" s="8" t="s">
        <v>233</v>
      </c>
      <c r="BE1089" s="4" t="s">
        <v>233</v>
      </c>
      <c r="BF1089" s="8" t="s">
        <v>233</v>
      </c>
      <c r="BG1089" s="7" t="s">
        <v>233</v>
      </c>
      <c r="BH1089" s="7" t="s">
        <v>233</v>
      </c>
      <c r="BI1089" s="7"/>
      <c r="BJ1089" s="4"/>
      <c r="BK1089" s="8"/>
      <c r="BL1089" s="2" t="s">
        <v>233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243</v>
      </c>
      <c r="BV1089" s="2" t="s">
        <v>233</v>
      </c>
      <c r="BW1089" s="2" t="s">
        <v>233</v>
      </c>
      <c r="BX1089" s="2" t="s">
        <v>243</v>
      </c>
      <c r="BY1089" s="2" t="s">
        <v>244</v>
      </c>
      <c r="BZ1089" s="2" t="s">
        <v>245</v>
      </c>
      <c r="CA1089" s="2" t="s">
        <v>233</v>
      </c>
      <c r="CB1089" s="2" t="s">
        <v>233</v>
      </c>
      <c r="CC1089" s="2" t="s">
        <v>246</v>
      </c>
      <c r="CD1089" s="2" t="s">
        <v>233</v>
      </c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>
        <v>40</v>
      </c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</row>
    <row r="1090">
      <c r="A1090" s="2" t="s">
        <v>5448</v>
      </c>
      <c r="B1090" s="2" t="s">
        <v>910</v>
      </c>
      <c r="C1090" s="2" t="s">
        <v>911</v>
      </c>
      <c r="D1090" s="2" t="s">
        <v>969</v>
      </c>
      <c r="E1090" s="2" t="s">
        <v>1078</v>
      </c>
      <c r="F1090" s="2" t="s">
        <v>5418</v>
      </c>
      <c r="G1090" s="2" t="s">
        <v>3323</v>
      </c>
      <c r="H1090" s="2" t="s">
        <v>5419</v>
      </c>
      <c r="I1090" s="2" t="s">
        <v>5438</v>
      </c>
      <c r="J1090" s="2" t="s">
        <v>981</v>
      </c>
      <c r="K1090" s="2" t="s">
        <v>449</v>
      </c>
      <c r="L1090" s="3">
        <v>36.72</v>
      </c>
      <c r="M1090" s="3">
        <v>38.56</v>
      </c>
      <c r="N1090" s="3">
        <v>69.99</v>
      </c>
      <c r="O1090" s="2" t="s">
        <v>245</v>
      </c>
      <c r="P1090" s="2" t="s">
        <v>272</v>
      </c>
      <c r="Q1090" s="2" t="s">
        <v>239</v>
      </c>
      <c r="R1090" s="2" t="s">
        <v>233</v>
      </c>
      <c r="S1090" s="2" t="s">
        <v>5446</v>
      </c>
      <c r="T1090" s="2" t="s">
        <v>3570</v>
      </c>
      <c r="U1090" s="2" t="s">
        <v>342</v>
      </c>
      <c r="V1090" s="2" t="s">
        <v>241</v>
      </c>
      <c r="W1090" s="2" t="s">
        <v>705</v>
      </c>
      <c r="X1090" s="2" t="s">
        <v>2082</v>
      </c>
      <c r="Y1090" s="2" t="s">
        <v>233</v>
      </c>
      <c r="Z1090" s="4"/>
      <c r="AA1090" s="4">
        <f>=ROUNDDOWN({0},0)</f>
      </c>
      <c r="AB1090" s="5"/>
      <c r="AC1090" s="2" t="s">
        <v>5332</v>
      </c>
      <c r="AD1090" s="4">
        <v>170</v>
      </c>
      <c r="AE1090" s="4">
        <v>340</v>
      </c>
      <c r="AF1090" s="6">
        <v>65</v>
      </c>
      <c r="AG1090" s="6"/>
      <c r="AH1090" s="7">
        <v>0</v>
      </c>
      <c r="AI1090" s="4"/>
      <c r="AJ1090" s="4">
        <f>=ROUNDDOWN({0},0)</f>
      </c>
      <c r="AK1090" s="5"/>
      <c r="AL1090" s="2" t="s">
        <v>233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233</v>
      </c>
      <c r="AW1090" s="8" t="s">
        <v>233</v>
      </c>
      <c r="AX1090" s="4" t="s">
        <v>233</v>
      </c>
      <c r="AY1090" s="8" t="s">
        <v>233</v>
      </c>
      <c r="AZ1090" s="7" t="s">
        <v>233</v>
      </c>
      <c r="BA1090" s="7" t="s">
        <v>233</v>
      </c>
      <c r="BB1090" s="7" t="s">
        <v>233</v>
      </c>
      <c r="BC1090" s="4" t="s">
        <v>233</v>
      </c>
      <c r="BD1090" s="8" t="s">
        <v>233</v>
      </c>
      <c r="BE1090" s="4" t="s">
        <v>233</v>
      </c>
      <c r="BF1090" s="8" t="s">
        <v>233</v>
      </c>
      <c r="BG1090" s="7" t="s">
        <v>233</v>
      </c>
      <c r="BH1090" s="7" t="s">
        <v>233</v>
      </c>
      <c r="BI1090" s="7"/>
      <c r="BJ1090" s="4"/>
      <c r="BK1090" s="8"/>
      <c r="BL1090" s="2" t="s">
        <v>233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243</v>
      </c>
      <c r="BV1090" s="2" t="s">
        <v>233</v>
      </c>
      <c r="BW1090" s="2" t="s">
        <v>233</v>
      </c>
      <c r="BX1090" s="2" t="s">
        <v>798</v>
      </c>
      <c r="BY1090" s="2" t="s">
        <v>244</v>
      </c>
      <c r="BZ1090" s="2" t="s">
        <v>245</v>
      </c>
      <c r="CA1090" s="2" t="s">
        <v>233</v>
      </c>
      <c r="CB1090" s="2" t="s">
        <v>233</v>
      </c>
      <c r="CC1090" s="2" t="s">
        <v>246</v>
      </c>
      <c r="CD1090" s="2" t="s">
        <v>233</v>
      </c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>
        <v>170</v>
      </c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>
        <v>170</v>
      </c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</row>
    <row r="1091">
      <c r="A1091" s="2" t="s">
        <v>5449</v>
      </c>
      <c r="B1091" s="2" t="s">
        <v>910</v>
      </c>
      <c r="C1091" s="2" t="s">
        <v>911</v>
      </c>
      <c r="D1091" s="2" t="s">
        <v>912</v>
      </c>
      <c r="E1091" s="2" t="s">
        <v>913</v>
      </c>
      <c r="F1091" s="2" t="s">
        <v>5418</v>
      </c>
      <c r="G1091" s="2" t="s">
        <v>3323</v>
      </c>
      <c r="H1091" s="2" t="s">
        <v>5419</v>
      </c>
      <c r="I1091" s="2" t="s">
        <v>5420</v>
      </c>
      <c r="J1091" s="2" t="s">
        <v>981</v>
      </c>
      <c r="K1091" s="2" t="s">
        <v>449</v>
      </c>
      <c r="L1091" s="3">
        <v>33.6</v>
      </c>
      <c r="M1091" s="3">
        <v>35.28</v>
      </c>
      <c r="N1091" s="3">
        <v>69.99</v>
      </c>
      <c r="O1091" s="2" t="s">
        <v>245</v>
      </c>
      <c r="P1091" s="2" t="s">
        <v>238</v>
      </c>
      <c r="Q1091" s="2" t="s">
        <v>239</v>
      </c>
      <c r="R1091" s="2" t="s">
        <v>233</v>
      </c>
      <c r="S1091" s="2" t="s">
        <v>5446</v>
      </c>
      <c r="T1091" s="2" t="s">
        <v>3570</v>
      </c>
      <c r="U1091" s="2" t="s">
        <v>342</v>
      </c>
      <c r="V1091" s="2" t="s">
        <v>241</v>
      </c>
      <c r="W1091" s="2" t="s">
        <v>705</v>
      </c>
      <c r="X1091" s="2" t="s">
        <v>2082</v>
      </c>
      <c r="Y1091" s="2" t="s">
        <v>233</v>
      </c>
      <c r="Z1091" s="4"/>
      <c r="AA1091" s="4">
        <f>=ROUNDDOWN({0},0)</f>
      </c>
      <c r="AB1091" s="5"/>
      <c r="AC1091" s="2" t="s">
        <v>5332</v>
      </c>
      <c r="AD1091" s="4">
        <v>50</v>
      </c>
      <c r="AE1091" s="4">
        <v>50</v>
      </c>
      <c r="AF1091" s="6">
        <v>65</v>
      </c>
      <c r="AG1091" s="6"/>
      <c r="AH1091" s="7">
        <v>0</v>
      </c>
      <c r="AI1091" s="4"/>
      <c r="AJ1091" s="4">
        <f>=ROUNDDOWN({0},0)</f>
      </c>
      <c r="AK1091" s="5"/>
      <c r="AL1091" s="2" t="s">
        <v>233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233</v>
      </c>
      <c r="AW1091" s="8" t="s">
        <v>233</v>
      </c>
      <c r="AX1091" s="4" t="s">
        <v>233</v>
      </c>
      <c r="AY1091" s="8" t="s">
        <v>233</v>
      </c>
      <c r="AZ1091" s="7" t="s">
        <v>233</v>
      </c>
      <c r="BA1091" s="7" t="s">
        <v>233</v>
      </c>
      <c r="BB1091" s="7" t="s">
        <v>233</v>
      </c>
      <c r="BC1091" s="4" t="s">
        <v>233</v>
      </c>
      <c r="BD1091" s="8" t="s">
        <v>233</v>
      </c>
      <c r="BE1091" s="4" t="s">
        <v>233</v>
      </c>
      <c r="BF1091" s="8" t="s">
        <v>233</v>
      </c>
      <c r="BG1091" s="7" t="s">
        <v>233</v>
      </c>
      <c r="BH1091" s="7" t="s">
        <v>233</v>
      </c>
      <c r="BI1091" s="7"/>
      <c r="BJ1091" s="4"/>
      <c r="BK1091" s="8"/>
      <c r="BL1091" s="2" t="s">
        <v>233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243</v>
      </c>
      <c r="BV1091" s="2" t="s">
        <v>233</v>
      </c>
      <c r="BW1091" s="2" t="s">
        <v>233</v>
      </c>
      <c r="BX1091" s="2" t="s">
        <v>243</v>
      </c>
      <c r="BY1091" s="2" t="s">
        <v>244</v>
      </c>
      <c r="BZ1091" s="2" t="s">
        <v>245</v>
      </c>
      <c r="CA1091" s="2" t="s">
        <v>233</v>
      </c>
      <c r="CB1091" s="2" t="s">
        <v>233</v>
      </c>
      <c r="CC1091" s="2" t="s">
        <v>246</v>
      </c>
      <c r="CD1091" s="2" t="s">
        <v>233</v>
      </c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>
        <v>50</v>
      </c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</row>
    <row r="1092">
      <c r="A1092" s="2" t="s">
        <v>5450</v>
      </c>
      <c r="B1092" s="2" t="s">
        <v>910</v>
      </c>
      <c r="C1092" s="2" t="s">
        <v>911</v>
      </c>
      <c r="D1092" s="2" t="s">
        <v>969</v>
      </c>
      <c r="E1092" s="2" t="s">
        <v>1078</v>
      </c>
      <c r="F1092" s="2" t="s">
        <v>5418</v>
      </c>
      <c r="G1092" s="2" t="s">
        <v>3323</v>
      </c>
      <c r="H1092" s="2" t="s">
        <v>5419</v>
      </c>
      <c r="I1092" s="2" t="s">
        <v>5438</v>
      </c>
      <c r="J1092" s="2" t="s">
        <v>1142</v>
      </c>
      <c r="K1092" s="2" t="s">
        <v>449</v>
      </c>
      <c r="L1092" s="3">
        <v>40.5</v>
      </c>
      <c r="M1092" s="3">
        <v>42.52</v>
      </c>
      <c r="N1092" s="3">
        <v>79.99</v>
      </c>
      <c r="O1092" s="2" t="s">
        <v>245</v>
      </c>
      <c r="P1092" s="2" t="s">
        <v>272</v>
      </c>
      <c r="Q1092" s="2" t="s">
        <v>239</v>
      </c>
      <c r="R1092" s="2" t="s">
        <v>233</v>
      </c>
      <c r="S1092" s="2" t="s">
        <v>5446</v>
      </c>
      <c r="T1092" s="2" t="s">
        <v>3570</v>
      </c>
      <c r="U1092" s="2" t="s">
        <v>342</v>
      </c>
      <c r="V1092" s="2" t="s">
        <v>241</v>
      </c>
      <c r="W1092" s="2" t="s">
        <v>705</v>
      </c>
      <c r="X1092" s="2" t="s">
        <v>2082</v>
      </c>
      <c r="Y1092" s="2" t="s">
        <v>233</v>
      </c>
      <c r="Z1092" s="4"/>
      <c r="AA1092" s="4">
        <f>=ROUNDDOWN({0},0)</f>
      </c>
      <c r="AB1092" s="5"/>
      <c r="AC1092" s="2" t="s">
        <v>5332</v>
      </c>
      <c r="AD1092" s="4">
        <v>135</v>
      </c>
      <c r="AE1092" s="4">
        <v>270</v>
      </c>
      <c r="AF1092" s="6">
        <v>65</v>
      </c>
      <c r="AG1092" s="6"/>
      <c r="AH1092" s="7">
        <v>0</v>
      </c>
      <c r="AI1092" s="4"/>
      <c r="AJ1092" s="4">
        <f>=ROUNDDOWN({0},0)</f>
      </c>
      <c r="AK1092" s="5"/>
      <c r="AL1092" s="2" t="s">
        <v>233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233</v>
      </c>
      <c r="AW1092" s="8" t="s">
        <v>233</v>
      </c>
      <c r="AX1092" s="4" t="s">
        <v>233</v>
      </c>
      <c r="AY1092" s="8" t="s">
        <v>233</v>
      </c>
      <c r="AZ1092" s="7" t="s">
        <v>233</v>
      </c>
      <c r="BA1092" s="7" t="s">
        <v>233</v>
      </c>
      <c r="BB1092" s="7" t="s">
        <v>233</v>
      </c>
      <c r="BC1092" s="4" t="s">
        <v>233</v>
      </c>
      <c r="BD1092" s="8" t="s">
        <v>233</v>
      </c>
      <c r="BE1092" s="4" t="s">
        <v>233</v>
      </c>
      <c r="BF1092" s="8" t="s">
        <v>233</v>
      </c>
      <c r="BG1092" s="7" t="s">
        <v>233</v>
      </c>
      <c r="BH1092" s="7" t="s">
        <v>233</v>
      </c>
      <c r="BI1092" s="7"/>
      <c r="BJ1092" s="4"/>
      <c r="BK1092" s="8"/>
      <c r="BL1092" s="2" t="s">
        <v>233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243</v>
      </c>
      <c r="BV1092" s="2" t="s">
        <v>233</v>
      </c>
      <c r="BW1092" s="2" t="s">
        <v>233</v>
      </c>
      <c r="BX1092" s="2" t="s">
        <v>798</v>
      </c>
      <c r="BY1092" s="2" t="s">
        <v>244</v>
      </c>
      <c r="BZ1092" s="2" t="s">
        <v>245</v>
      </c>
      <c r="CA1092" s="2" t="s">
        <v>233</v>
      </c>
      <c r="CB1092" s="2" t="s">
        <v>233</v>
      </c>
      <c r="CC1092" s="2" t="s">
        <v>246</v>
      </c>
      <c r="CD1092" s="2" t="s">
        <v>233</v>
      </c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>
        <v>135</v>
      </c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>
        <v>135</v>
      </c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</row>
    <row r="1093">
      <c r="A1093" s="2" t="s">
        <v>5451</v>
      </c>
      <c r="B1093" s="2" t="s">
        <v>910</v>
      </c>
      <c r="C1093" s="2" t="s">
        <v>911</v>
      </c>
      <c r="D1093" s="2" t="s">
        <v>912</v>
      </c>
      <c r="E1093" s="2" t="s">
        <v>913</v>
      </c>
      <c r="F1093" s="2" t="s">
        <v>5418</v>
      </c>
      <c r="G1093" s="2" t="s">
        <v>3323</v>
      </c>
      <c r="H1093" s="2" t="s">
        <v>5419</v>
      </c>
      <c r="I1093" s="2" t="s">
        <v>5420</v>
      </c>
      <c r="J1093" s="2" t="s">
        <v>1142</v>
      </c>
      <c r="K1093" s="2" t="s">
        <v>449</v>
      </c>
      <c r="L1093" s="3">
        <v>36.75</v>
      </c>
      <c r="M1093" s="3">
        <v>38.59</v>
      </c>
      <c r="N1093" s="3">
        <v>74.99</v>
      </c>
      <c r="O1093" s="2" t="s">
        <v>245</v>
      </c>
      <c r="P1093" s="2" t="s">
        <v>238</v>
      </c>
      <c r="Q1093" s="2" t="s">
        <v>239</v>
      </c>
      <c r="R1093" s="2" t="s">
        <v>233</v>
      </c>
      <c r="S1093" s="2" t="s">
        <v>5446</v>
      </c>
      <c r="T1093" s="2" t="s">
        <v>3570</v>
      </c>
      <c r="U1093" s="2" t="s">
        <v>342</v>
      </c>
      <c r="V1093" s="2" t="s">
        <v>241</v>
      </c>
      <c r="W1093" s="2" t="s">
        <v>705</v>
      </c>
      <c r="X1093" s="2" t="s">
        <v>2082</v>
      </c>
      <c r="Y1093" s="2" t="s">
        <v>233</v>
      </c>
      <c r="Z1093" s="4"/>
      <c r="AA1093" s="4">
        <f>=ROUNDDOWN({0},0)</f>
      </c>
      <c r="AB1093" s="5"/>
      <c r="AC1093" s="2" t="s">
        <v>5332</v>
      </c>
      <c r="AD1093" s="4">
        <v>25</v>
      </c>
      <c r="AE1093" s="4">
        <v>50</v>
      </c>
      <c r="AF1093" s="6">
        <v>65</v>
      </c>
      <c r="AG1093" s="6"/>
      <c r="AH1093" s="7">
        <v>0</v>
      </c>
      <c r="AI1093" s="4"/>
      <c r="AJ1093" s="4">
        <f>=ROUNDDOWN({0},0)</f>
      </c>
      <c r="AK1093" s="5"/>
      <c r="AL1093" s="2" t="s">
        <v>233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233</v>
      </c>
      <c r="AW1093" s="8" t="s">
        <v>233</v>
      </c>
      <c r="AX1093" s="4" t="s">
        <v>233</v>
      </c>
      <c r="AY1093" s="8" t="s">
        <v>233</v>
      </c>
      <c r="AZ1093" s="7" t="s">
        <v>233</v>
      </c>
      <c r="BA1093" s="7" t="s">
        <v>233</v>
      </c>
      <c r="BB1093" s="7" t="s">
        <v>233</v>
      </c>
      <c r="BC1093" s="4" t="s">
        <v>233</v>
      </c>
      <c r="BD1093" s="8" t="s">
        <v>233</v>
      </c>
      <c r="BE1093" s="4" t="s">
        <v>233</v>
      </c>
      <c r="BF1093" s="8" t="s">
        <v>233</v>
      </c>
      <c r="BG1093" s="7" t="s">
        <v>233</v>
      </c>
      <c r="BH1093" s="7" t="s">
        <v>233</v>
      </c>
      <c r="BI1093" s="7"/>
      <c r="BJ1093" s="4"/>
      <c r="BK1093" s="8"/>
      <c r="BL1093" s="2" t="s">
        <v>233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243</v>
      </c>
      <c r="BV1093" s="2" t="s">
        <v>233</v>
      </c>
      <c r="BW1093" s="2" t="s">
        <v>233</v>
      </c>
      <c r="BX1093" s="2" t="s">
        <v>243</v>
      </c>
      <c r="BY1093" s="2" t="s">
        <v>244</v>
      </c>
      <c r="BZ1093" s="2" t="s">
        <v>245</v>
      </c>
      <c r="CA1093" s="2" t="s">
        <v>233</v>
      </c>
      <c r="CB1093" s="2" t="s">
        <v>233</v>
      </c>
      <c r="CC1093" s="2" t="s">
        <v>246</v>
      </c>
      <c r="CD1093" s="2" t="s">
        <v>233</v>
      </c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>
        <v>25</v>
      </c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>
        <v>25</v>
      </c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</row>
    <row r="1094">
      <c r="A1094" s="2" t="s">
        <v>5452</v>
      </c>
      <c r="B1094" s="2" t="s">
        <v>910</v>
      </c>
      <c r="C1094" s="2" t="s">
        <v>911</v>
      </c>
      <c r="D1094" s="2" t="s">
        <v>1862</v>
      </c>
      <c r="E1094" s="2" t="s">
        <v>1863</v>
      </c>
      <c r="F1094" s="2" t="s">
        <v>5418</v>
      </c>
      <c r="G1094" s="2" t="s">
        <v>3323</v>
      </c>
      <c r="H1094" s="2" t="s">
        <v>5419</v>
      </c>
      <c r="I1094" s="2" t="s">
        <v>5453</v>
      </c>
      <c r="J1094" s="2" t="s">
        <v>918</v>
      </c>
      <c r="K1094" s="2" t="s">
        <v>255</v>
      </c>
      <c r="L1094" s="3">
        <v>26.19</v>
      </c>
      <c r="M1094" s="3">
        <v>27.5</v>
      </c>
      <c r="N1094" s="3">
        <v>54.99</v>
      </c>
      <c r="O1094" s="2" t="s">
        <v>237</v>
      </c>
      <c r="P1094" s="2" t="s">
        <v>311</v>
      </c>
      <c r="Q1094" s="2" t="s">
        <v>239</v>
      </c>
      <c r="R1094" s="2" t="s">
        <v>233</v>
      </c>
      <c r="S1094" s="2" t="s">
        <v>5454</v>
      </c>
      <c r="T1094" s="2" t="s">
        <v>3570</v>
      </c>
      <c r="U1094" s="2" t="s">
        <v>491</v>
      </c>
      <c r="V1094" s="2" t="s">
        <v>241</v>
      </c>
      <c r="W1094" s="2" t="s">
        <v>705</v>
      </c>
      <c r="X1094" s="2" t="s">
        <v>2082</v>
      </c>
      <c r="Y1094" s="2" t="s">
        <v>5455</v>
      </c>
      <c r="Z1094" s="4">
        <v>105</v>
      </c>
      <c r="AA1094" s="4">
        <f>=ROUNDDOWN(131.25,0)</f>
      </c>
      <c r="AB1094" s="5">
        <v>0.8</v>
      </c>
      <c r="AC1094" s="2" t="s">
        <v>233</v>
      </c>
      <c r="AD1094" s="4"/>
      <c r="AE1094" s="4"/>
      <c r="AF1094" s="6">
        <v>64</v>
      </c>
      <c r="AG1094" s="6"/>
      <c r="AH1094" s="7">
        <v>1</v>
      </c>
      <c r="AI1094" s="4"/>
      <c r="AJ1094" s="4">
        <f>=ROUNDDOWN({0},0)</f>
      </c>
      <c r="AK1094" s="5"/>
      <c r="AL1094" s="2" t="s">
        <v>233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233</v>
      </c>
      <c r="AW1094" s="8" t="s">
        <v>233</v>
      </c>
      <c r="AX1094" s="4" t="s">
        <v>233</v>
      </c>
      <c r="AY1094" s="8" t="s">
        <v>233</v>
      </c>
      <c r="AZ1094" s="7" t="s">
        <v>233</v>
      </c>
      <c r="BA1094" s="7" t="s">
        <v>233</v>
      </c>
      <c r="BB1094" s="7" t="s">
        <v>233</v>
      </c>
      <c r="BC1094" s="4" t="s">
        <v>233</v>
      </c>
      <c r="BD1094" s="8" t="s">
        <v>233</v>
      </c>
      <c r="BE1094" s="4" t="s">
        <v>233</v>
      </c>
      <c r="BF1094" s="8" t="s">
        <v>233</v>
      </c>
      <c r="BG1094" s="7" t="s">
        <v>233</v>
      </c>
      <c r="BH1094" s="7" t="s">
        <v>233</v>
      </c>
      <c r="BI1094" s="7"/>
      <c r="BJ1094" s="4">
        <v>3</v>
      </c>
      <c r="BK1094" s="8">
        <v>49.5</v>
      </c>
      <c r="BL1094" s="2" t="s">
        <v>5456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5457</v>
      </c>
      <c r="BV1094" s="2" t="s">
        <v>233</v>
      </c>
      <c r="BW1094" s="2" t="s">
        <v>233</v>
      </c>
      <c r="BX1094" s="2" t="s">
        <v>233</v>
      </c>
      <c r="BY1094" s="2" t="s">
        <v>280</v>
      </c>
      <c r="BZ1094" s="2" t="s">
        <v>245</v>
      </c>
      <c r="CA1094" s="2" t="s">
        <v>5458</v>
      </c>
      <c r="CB1094" s="2" t="s">
        <v>2423</v>
      </c>
      <c r="CC1094" s="2" t="s">
        <v>246</v>
      </c>
      <c r="CD1094" s="2" t="s">
        <v>233</v>
      </c>
      <c r="CE1094" s="4">
        <v>105</v>
      </c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</row>
    <row r="1095">
      <c r="A1095" s="2" t="s">
        <v>5459</v>
      </c>
      <c r="B1095" s="2" t="s">
        <v>910</v>
      </c>
      <c r="C1095" s="2" t="s">
        <v>911</v>
      </c>
      <c r="D1095" s="2" t="s">
        <v>912</v>
      </c>
      <c r="E1095" s="2" t="s">
        <v>913</v>
      </c>
      <c r="F1095" s="2" t="s">
        <v>5418</v>
      </c>
      <c r="G1095" s="2" t="s">
        <v>3323</v>
      </c>
      <c r="H1095" s="2" t="s">
        <v>5419</v>
      </c>
      <c r="I1095" s="2" t="s">
        <v>5420</v>
      </c>
      <c r="J1095" s="2" t="s">
        <v>918</v>
      </c>
      <c r="K1095" s="2" t="s">
        <v>255</v>
      </c>
      <c r="L1095" s="3">
        <v>27.6</v>
      </c>
      <c r="M1095" s="3">
        <v>28.98</v>
      </c>
      <c r="N1095" s="3">
        <v>59.99</v>
      </c>
      <c r="O1095" s="2" t="s">
        <v>245</v>
      </c>
      <c r="P1095" s="2" t="s">
        <v>272</v>
      </c>
      <c r="Q1095" s="2" t="s">
        <v>239</v>
      </c>
      <c r="R1095" s="2" t="s">
        <v>233</v>
      </c>
      <c r="S1095" s="2" t="s">
        <v>5454</v>
      </c>
      <c r="T1095" s="2" t="s">
        <v>3570</v>
      </c>
      <c r="U1095" s="2" t="s">
        <v>475</v>
      </c>
      <c r="V1095" s="2" t="s">
        <v>241</v>
      </c>
      <c r="W1095" s="2" t="s">
        <v>705</v>
      </c>
      <c r="X1095" s="2" t="s">
        <v>2082</v>
      </c>
      <c r="Y1095" s="2" t="s">
        <v>4517</v>
      </c>
      <c r="Z1095" s="4">
        <v>125</v>
      </c>
      <c r="AA1095" s="4">
        <f>=ROUNDDOWN(25,0)</f>
      </c>
      <c r="AB1095" s="5">
        <v>5</v>
      </c>
      <c r="AC1095" s="2" t="s">
        <v>1947</v>
      </c>
      <c r="AD1095" s="4">
        <v>30</v>
      </c>
      <c r="AE1095" s="4">
        <v>30</v>
      </c>
      <c r="AF1095" s="6">
        <v>64</v>
      </c>
      <c r="AG1095" s="6"/>
      <c r="AH1095" s="7">
        <v>1</v>
      </c>
      <c r="AI1095" s="4"/>
      <c r="AJ1095" s="4">
        <f>=ROUNDDOWN({0},0)</f>
      </c>
      <c r="AK1095" s="5"/>
      <c r="AL1095" s="2" t="s">
        <v>233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233</v>
      </c>
      <c r="AW1095" s="8" t="s">
        <v>233</v>
      </c>
      <c r="AX1095" s="4" t="s">
        <v>233</v>
      </c>
      <c r="AY1095" s="8" t="s">
        <v>233</v>
      </c>
      <c r="AZ1095" s="7" t="s">
        <v>233</v>
      </c>
      <c r="BA1095" s="7" t="s">
        <v>233</v>
      </c>
      <c r="BB1095" s="7" t="s">
        <v>233</v>
      </c>
      <c r="BC1095" s="4" t="s">
        <v>233</v>
      </c>
      <c r="BD1095" s="8" t="s">
        <v>233</v>
      </c>
      <c r="BE1095" s="4" t="s">
        <v>233</v>
      </c>
      <c r="BF1095" s="8" t="s">
        <v>233</v>
      </c>
      <c r="BG1095" s="7" t="s">
        <v>233</v>
      </c>
      <c r="BH1095" s="7" t="s">
        <v>233</v>
      </c>
      <c r="BI1095" s="7"/>
      <c r="BJ1095" s="4">
        <v>9</v>
      </c>
      <c r="BK1095" s="8">
        <v>271.32</v>
      </c>
      <c r="BL1095" s="2" t="s">
        <v>5460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5461</v>
      </c>
      <c r="BV1095" s="2" t="s">
        <v>233</v>
      </c>
      <c r="BW1095" s="2" t="s">
        <v>233</v>
      </c>
      <c r="BX1095" s="2" t="s">
        <v>233</v>
      </c>
      <c r="BY1095" s="2" t="s">
        <v>280</v>
      </c>
      <c r="BZ1095" s="2" t="s">
        <v>245</v>
      </c>
      <c r="CA1095" s="2" t="s">
        <v>5462</v>
      </c>
      <c r="CB1095" s="2" t="s">
        <v>1349</v>
      </c>
      <c r="CC1095" s="2" t="s">
        <v>246</v>
      </c>
      <c r="CD1095" s="2" t="s">
        <v>233</v>
      </c>
      <c r="CE1095" s="4">
        <v>125</v>
      </c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>
        <v>30</v>
      </c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</row>
    <row r="1096">
      <c r="A1096" s="2" t="s">
        <v>5463</v>
      </c>
      <c r="B1096" s="2" t="s">
        <v>910</v>
      </c>
      <c r="C1096" s="2" t="s">
        <v>911</v>
      </c>
      <c r="D1096" s="2" t="s">
        <v>969</v>
      </c>
      <c r="E1096" s="2" t="s">
        <v>1078</v>
      </c>
      <c r="F1096" s="2" t="s">
        <v>5418</v>
      </c>
      <c r="G1096" s="2" t="s">
        <v>3323</v>
      </c>
      <c r="H1096" s="2" t="s">
        <v>5419</v>
      </c>
      <c r="I1096" s="2" t="s">
        <v>5438</v>
      </c>
      <c r="J1096" s="2" t="s">
        <v>918</v>
      </c>
      <c r="K1096" s="2" t="s">
        <v>2951</v>
      </c>
      <c r="L1096" s="3">
        <v>31.05</v>
      </c>
      <c r="M1096" s="3">
        <v>32.6</v>
      </c>
      <c r="N1096" s="3">
        <v>59.99</v>
      </c>
      <c r="O1096" s="2" t="s">
        <v>245</v>
      </c>
      <c r="P1096" s="2" t="s">
        <v>272</v>
      </c>
      <c r="Q1096" s="2" t="s">
        <v>239</v>
      </c>
      <c r="R1096" s="2" t="s">
        <v>233</v>
      </c>
      <c r="S1096" s="2" t="s">
        <v>5464</v>
      </c>
      <c r="T1096" s="2" t="s">
        <v>3570</v>
      </c>
      <c r="U1096" s="2" t="s">
        <v>475</v>
      </c>
      <c r="V1096" s="2" t="s">
        <v>241</v>
      </c>
      <c r="W1096" s="2" t="s">
        <v>705</v>
      </c>
      <c r="X1096" s="2" t="s">
        <v>2082</v>
      </c>
      <c r="Y1096" s="2" t="s">
        <v>233</v>
      </c>
      <c r="Z1096" s="4"/>
      <c r="AA1096" s="4">
        <f>=ROUNDDOWN({0},0)</f>
      </c>
      <c r="AB1096" s="5"/>
      <c r="AC1096" s="2" t="s">
        <v>5332</v>
      </c>
      <c r="AD1096" s="4">
        <v>80</v>
      </c>
      <c r="AE1096" s="4">
        <v>160</v>
      </c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233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233</v>
      </c>
      <c r="AW1096" s="8" t="s">
        <v>233</v>
      </c>
      <c r="AX1096" s="4" t="s">
        <v>233</v>
      </c>
      <c r="AY1096" s="8" t="s">
        <v>233</v>
      </c>
      <c r="AZ1096" s="7" t="s">
        <v>233</v>
      </c>
      <c r="BA1096" s="7" t="s">
        <v>233</v>
      </c>
      <c r="BB1096" s="7" t="s">
        <v>233</v>
      </c>
      <c r="BC1096" s="4" t="s">
        <v>233</v>
      </c>
      <c r="BD1096" s="8" t="s">
        <v>233</v>
      </c>
      <c r="BE1096" s="4" t="s">
        <v>233</v>
      </c>
      <c r="BF1096" s="8" t="s">
        <v>233</v>
      </c>
      <c r="BG1096" s="7" t="s">
        <v>233</v>
      </c>
      <c r="BH1096" s="7" t="s">
        <v>233</v>
      </c>
      <c r="BI1096" s="7"/>
      <c r="BJ1096" s="4"/>
      <c r="BK1096" s="8"/>
      <c r="BL1096" s="2" t="s">
        <v>233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243</v>
      </c>
      <c r="BV1096" s="2" t="s">
        <v>233</v>
      </c>
      <c r="BW1096" s="2" t="s">
        <v>233</v>
      </c>
      <c r="BX1096" s="2" t="s">
        <v>798</v>
      </c>
      <c r="BY1096" s="2" t="s">
        <v>244</v>
      </c>
      <c r="BZ1096" s="2" t="s">
        <v>245</v>
      </c>
      <c r="CA1096" s="2" t="s">
        <v>233</v>
      </c>
      <c r="CB1096" s="2" t="s">
        <v>233</v>
      </c>
      <c r="CC1096" s="2" t="s">
        <v>246</v>
      </c>
      <c r="CD1096" s="2" t="s">
        <v>233</v>
      </c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>
        <v>80</v>
      </c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>
        <v>80</v>
      </c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</row>
    <row r="1097">
      <c r="A1097" s="2" t="s">
        <v>5465</v>
      </c>
      <c r="B1097" s="2" t="s">
        <v>910</v>
      </c>
      <c r="C1097" s="2" t="s">
        <v>911</v>
      </c>
      <c r="D1097" s="2" t="s">
        <v>912</v>
      </c>
      <c r="E1097" s="2" t="s">
        <v>913</v>
      </c>
      <c r="F1097" s="2" t="s">
        <v>5418</v>
      </c>
      <c r="G1097" s="2" t="s">
        <v>3323</v>
      </c>
      <c r="H1097" s="2" t="s">
        <v>5419</v>
      </c>
      <c r="I1097" s="2" t="s">
        <v>5420</v>
      </c>
      <c r="J1097" s="2" t="s">
        <v>918</v>
      </c>
      <c r="K1097" s="2" t="s">
        <v>2951</v>
      </c>
      <c r="L1097" s="3">
        <v>27.6</v>
      </c>
      <c r="M1097" s="3">
        <v>28.98</v>
      </c>
      <c r="N1097" s="3">
        <v>59.99</v>
      </c>
      <c r="O1097" s="2" t="s">
        <v>245</v>
      </c>
      <c r="P1097" s="2" t="s">
        <v>238</v>
      </c>
      <c r="Q1097" s="2" t="s">
        <v>239</v>
      </c>
      <c r="R1097" s="2" t="s">
        <v>233</v>
      </c>
      <c r="S1097" s="2" t="s">
        <v>5464</v>
      </c>
      <c r="T1097" s="2" t="s">
        <v>3570</v>
      </c>
      <c r="U1097" s="2" t="s">
        <v>475</v>
      </c>
      <c r="V1097" s="2" t="s">
        <v>241</v>
      </c>
      <c r="W1097" s="2" t="s">
        <v>705</v>
      </c>
      <c r="X1097" s="2" t="s">
        <v>2082</v>
      </c>
      <c r="Y1097" s="2" t="s">
        <v>233</v>
      </c>
      <c r="Z1097" s="4"/>
      <c r="AA1097" s="4">
        <f>=ROUNDDOWN({0},0)</f>
      </c>
      <c r="AB1097" s="5"/>
      <c r="AC1097" s="2" t="s">
        <v>5332</v>
      </c>
      <c r="AD1097" s="4">
        <v>20</v>
      </c>
      <c r="AE1097" s="4">
        <v>40</v>
      </c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233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233</v>
      </c>
      <c r="AW1097" s="8" t="s">
        <v>233</v>
      </c>
      <c r="AX1097" s="4" t="s">
        <v>233</v>
      </c>
      <c r="AY1097" s="8" t="s">
        <v>233</v>
      </c>
      <c r="AZ1097" s="7" t="s">
        <v>233</v>
      </c>
      <c r="BA1097" s="7" t="s">
        <v>233</v>
      </c>
      <c r="BB1097" s="7" t="s">
        <v>233</v>
      </c>
      <c r="BC1097" s="4" t="s">
        <v>233</v>
      </c>
      <c r="BD1097" s="8" t="s">
        <v>233</v>
      </c>
      <c r="BE1097" s="4" t="s">
        <v>233</v>
      </c>
      <c r="BF1097" s="8" t="s">
        <v>233</v>
      </c>
      <c r="BG1097" s="7" t="s">
        <v>233</v>
      </c>
      <c r="BH1097" s="7" t="s">
        <v>233</v>
      </c>
      <c r="BI1097" s="7"/>
      <c r="BJ1097" s="4"/>
      <c r="BK1097" s="8"/>
      <c r="BL1097" s="2" t="s">
        <v>233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243</v>
      </c>
      <c r="BV1097" s="2" t="s">
        <v>233</v>
      </c>
      <c r="BW1097" s="2" t="s">
        <v>233</v>
      </c>
      <c r="BX1097" s="2" t="s">
        <v>243</v>
      </c>
      <c r="BY1097" s="2" t="s">
        <v>244</v>
      </c>
      <c r="BZ1097" s="2" t="s">
        <v>245</v>
      </c>
      <c r="CA1097" s="2" t="s">
        <v>233</v>
      </c>
      <c r="CB1097" s="2" t="s">
        <v>233</v>
      </c>
      <c r="CC1097" s="2" t="s">
        <v>246</v>
      </c>
      <c r="CD1097" s="2" t="s">
        <v>233</v>
      </c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>
        <v>20</v>
      </c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>
        <v>20</v>
      </c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</row>
    <row r="1098">
      <c r="A1098" s="2" t="s">
        <v>5466</v>
      </c>
      <c r="B1098" s="2" t="s">
        <v>910</v>
      </c>
      <c r="C1098" s="2" t="s">
        <v>911</v>
      </c>
      <c r="D1098" s="2" t="s">
        <v>969</v>
      </c>
      <c r="E1098" s="2" t="s">
        <v>1078</v>
      </c>
      <c r="F1098" s="2" t="s">
        <v>5418</v>
      </c>
      <c r="G1098" s="2" t="s">
        <v>3323</v>
      </c>
      <c r="H1098" s="2" t="s">
        <v>5419</v>
      </c>
      <c r="I1098" s="2" t="s">
        <v>5438</v>
      </c>
      <c r="J1098" s="2" t="s">
        <v>981</v>
      </c>
      <c r="K1098" s="2" t="s">
        <v>2951</v>
      </c>
      <c r="L1098" s="3">
        <v>36.72</v>
      </c>
      <c r="M1098" s="3">
        <v>38.56</v>
      </c>
      <c r="N1098" s="3">
        <v>69.99</v>
      </c>
      <c r="O1098" s="2" t="s">
        <v>245</v>
      </c>
      <c r="P1098" s="2" t="s">
        <v>272</v>
      </c>
      <c r="Q1098" s="2" t="s">
        <v>239</v>
      </c>
      <c r="R1098" s="2" t="s">
        <v>233</v>
      </c>
      <c r="S1098" s="2" t="s">
        <v>5464</v>
      </c>
      <c r="T1098" s="2" t="s">
        <v>3570</v>
      </c>
      <c r="U1098" s="2" t="s">
        <v>342</v>
      </c>
      <c r="V1098" s="2" t="s">
        <v>241</v>
      </c>
      <c r="W1098" s="2" t="s">
        <v>705</v>
      </c>
      <c r="X1098" s="2" t="s">
        <v>2082</v>
      </c>
      <c r="Y1098" s="2" t="s">
        <v>233</v>
      </c>
      <c r="Z1098" s="4"/>
      <c r="AA1098" s="4">
        <f>=ROUNDDOWN({0},0)</f>
      </c>
      <c r="AB1098" s="5"/>
      <c r="AC1098" s="2" t="s">
        <v>5332</v>
      </c>
      <c r="AD1098" s="4">
        <v>175</v>
      </c>
      <c r="AE1098" s="4">
        <v>350</v>
      </c>
      <c r="AF1098" s="6">
        <v>65</v>
      </c>
      <c r="AG1098" s="6"/>
      <c r="AH1098" s="7">
        <v>0</v>
      </c>
      <c r="AI1098" s="4"/>
      <c r="AJ1098" s="4">
        <f>=ROUNDDOWN({0},0)</f>
      </c>
      <c r="AK1098" s="5"/>
      <c r="AL1098" s="2" t="s">
        <v>233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233</v>
      </c>
      <c r="AW1098" s="8" t="s">
        <v>233</v>
      </c>
      <c r="AX1098" s="4" t="s">
        <v>233</v>
      </c>
      <c r="AY1098" s="8" t="s">
        <v>233</v>
      </c>
      <c r="AZ1098" s="7" t="s">
        <v>233</v>
      </c>
      <c r="BA1098" s="7" t="s">
        <v>233</v>
      </c>
      <c r="BB1098" s="7" t="s">
        <v>233</v>
      </c>
      <c r="BC1098" s="4" t="s">
        <v>233</v>
      </c>
      <c r="BD1098" s="8" t="s">
        <v>233</v>
      </c>
      <c r="BE1098" s="4" t="s">
        <v>233</v>
      </c>
      <c r="BF1098" s="8" t="s">
        <v>233</v>
      </c>
      <c r="BG1098" s="7" t="s">
        <v>233</v>
      </c>
      <c r="BH1098" s="7" t="s">
        <v>233</v>
      </c>
      <c r="BI1098" s="7"/>
      <c r="BJ1098" s="4"/>
      <c r="BK1098" s="8"/>
      <c r="BL1098" s="2" t="s">
        <v>233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243</v>
      </c>
      <c r="BV1098" s="2" t="s">
        <v>233</v>
      </c>
      <c r="BW1098" s="2" t="s">
        <v>233</v>
      </c>
      <c r="BX1098" s="2" t="s">
        <v>798</v>
      </c>
      <c r="BY1098" s="2" t="s">
        <v>244</v>
      </c>
      <c r="BZ1098" s="2" t="s">
        <v>245</v>
      </c>
      <c r="CA1098" s="2" t="s">
        <v>233</v>
      </c>
      <c r="CB1098" s="2" t="s">
        <v>233</v>
      </c>
      <c r="CC1098" s="2" t="s">
        <v>246</v>
      </c>
      <c r="CD1098" s="2" t="s">
        <v>233</v>
      </c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>
        <v>175</v>
      </c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>
        <v>175</v>
      </c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</row>
    <row r="1099">
      <c r="A1099" s="2" t="s">
        <v>5467</v>
      </c>
      <c r="B1099" s="2" t="s">
        <v>910</v>
      </c>
      <c r="C1099" s="2" t="s">
        <v>911</v>
      </c>
      <c r="D1099" s="2" t="s">
        <v>912</v>
      </c>
      <c r="E1099" s="2" t="s">
        <v>913</v>
      </c>
      <c r="F1099" s="2" t="s">
        <v>5418</v>
      </c>
      <c r="G1099" s="2" t="s">
        <v>3323</v>
      </c>
      <c r="H1099" s="2" t="s">
        <v>5419</v>
      </c>
      <c r="I1099" s="2" t="s">
        <v>5420</v>
      </c>
      <c r="J1099" s="2" t="s">
        <v>981</v>
      </c>
      <c r="K1099" s="2" t="s">
        <v>2951</v>
      </c>
      <c r="L1099" s="3">
        <v>33.6</v>
      </c>
      <c r="M1099" s="3">
        <v>35.28</v>
      </c>
      <c r="N1099" s="3">
        <v>69.99</v>
      </c>
      <c r="O1099" s="2" t="s">
        <v>245</v>
      </c>
      <c r="P1099" s="2" t="s">
        <v>238</v>
      </c>
      <c r="Q1099" s="2" t="s">
        <v>239</v>
      </c>
      <c r="R1099" s="2" t="s">
        <v>233</v>
      </c>
      <c r="S1099" s="2" t="s">
        <v>5464</v>
      </c>
      <c r="T1099" s="2" t="s">
        <v>3570</v>
      </c>
      <c r="U1099" s="2" t="s">
        <v>342</v>
      </c>
      <c r="V1099" s="2" t="s">
        <v>241</v>
      </c>
      <c r="W1099" s="2" t="s">
        <v>705</v>
      </c>
      <c r="X1099" s="2" t="s">
        <v>2082</v>
      </c>
      <c r="Y1099" s="2" t="s">
        <v>233</v>
      </c>
      <c r="Z1099" s="4"/>
      <c r="AA1099" s="4">
        <f>=ROUNDDOWN({0},0)</f>
      </c>
      <c r="AB1099" s="5"/>
      <c r="AC1099" s="2" t="s">
        <v>5332</v>
      </c>
      <c r="AD1099" s="4">
        <v>60</v>
      </c>
      <c r="AE1099" s="4">
        <v>120</v>
      </c>
      <c r="AF1099" s="6">
        <v>65</v>
      </c>
      <c r="AG1099" s="6"/>
      <c r="AH1099" s="7">
        <v>0</v>
      </c>
      <c r="AI1099" s="4"/>
      <c r="AJ1099" s="4">
        <f>=ROUNDDOWN({0},0)</f>
      </c>
      <c r="AK1099" s="5"/>
      <c r="AL1099" s="2" t="s">
        <v>233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233</v>
      </c>
      <c r="AW1099" s="8" t="s">
        <v>233</v>
      </c>
      <c r="AX1099" s="4" t="s">
        <v>233</v>
      </c>
      <c r="AY1099" s="8" t="s">
        <v>233</v>
      </c>
      <c r="AZ1099" s="7" t="s">
        <v>233</v>
      </c>
      <c r="BA1099" s="7" t="s">
        <v>233</v>
      </c>
      <c r="BB1099" s="7" t="s">
        <v>233</v>
      </c>
      <c r="BC1099" s="4" t="s">
        <v>233</v>
      </c>
      <c r="BD1099" s="8" t="s">
        <v>233</v>
      </c>
      <c r="BE1099" s="4" t="s">
        <v>233</v>
      </c>
      <c r="BF1099" s="8" t="s">
        <v>233</v>
      </c>
      <c r="BG1099" s="7" t="s">
        <v>233</v>
      </c>
      <c r="BH1099" s="7" t="s">
        <v>233</v>
      </c>
      <c r="BI1099" s="7"/>
      <c r="BJ1099" s="4"/>
      <c r="BK1099" s="8"/>
      <c r="BL1099" s="2" t="s">
        <v>233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243</v>
      </c>
      <c r="BV1099" s="2" t="s">
        <v>233</v>
      </c>
      <c r="BW1099" s="2" t="s">
        <v>233</v>
      </c>
      <c r="BX1099" s="2" t="s">
        <v>243</v>
      </c>
      <c r="BY1099" s="2" t="s">
        <v>244</v>
      </c>
      <c r="BZ1099" s="2" t="s">
        <v>245</v>
      </c>
      <c r="CA1099" s="2" t="s">
        <v>233</v>
      </c>
      <c r="CB1099" s="2" t="s">
        <v>233</v>
      </c>
      <c r="CC1099" s="2" t="s">
        <v>246</v>
      </c>
      <c r="CD1099" s="2" t="s">
        <v>233</v>
      </c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>
        <v>60</v>
      </c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>
        <v>60</v>
      </c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</row>
    <row r="1100">
      <c r="A1100" s="2" t="s">
        <v>5468</v>
      </c>
      <c r="B1100" s="2" t="s">
        <v>910</v>
      </c>
      <c r="C1100" s="2" t="s">
        <v>911</v>
      </c>
      <c r="D1100" s="2" t="s">
        <v>969</v>
      </c>
      <c r="E1100" s="2" t="s">
        <v>1078</v>
      </c>
      <c r="F1100" s="2" t="s">
        <v>5418</v>
      </c>
      <c r="G1100" s="2" t="s">
        <v>3323</v>
      </c>
      <c r="H1100" s="2" t="s">
        <v>5419</v>
      </c>
      <c r="I1100" s="2" t="s">
        <v>5438</v>
      </c>
      <c r="J1100" s="2" t="s">
        <v>1142</v>
      </c>
      <c r="K1100" s="2" t="s">
        <v>2951</v>
      </c>
      <c r="L1100" s="3">
        <v>40.5</v>
      </c>
      <c r="M1100" s="3">
        <v>42.52</v>
      </c>
      <c r="N1100" s="3">
        <v>79.99</v>
      </c>
      <c r="O1100" s="2" t="s">
        <v>245</v>
      </c>
      <c r="P1100" s="2" t="s">
        <v>272</v>
      </c>
      <c r="Q1100" s="2" t="s">
        <v>239</v>
      </c>
      <c r="R1100" s="2" t="s">
        <v>233</v>
      </c>
      <c r="S1100" s="2" t="s">
        <v>5464</v>
      </c>
      <c r="T1100" s="2" t="s">
        <v>3570</v>
      </c>
      <c r="U1100" s="2" t="s">
        <v>342</v>
      </c>
      <c r="V1100" s="2" t="s">
        <v>241</v>
      </c>
      <c r="W1100" s="2" t="s">
        <v>705</v>
      </c>
      <c r="X1100" s="2" t="s">
        <v>2082</v>
      </c>
      <c r="Y1100" s="2" t="s">
        <v>233</v>
      </c>
      <c r="Z1100" s="4"/>
      <c r="AA1100" s="4">
        <f>=ROUNDDOWN({0},0)</f>
      </c>
      <c r="AB1100" s="5"/>
      <c r="AC1100" s="2" t="s">
        <v>5332</v>
      </c>
      <c r="AD1100" s="4">
        <v>100</v>
      </c>
      <c r="AE1100" s="4">
        <v>200</v>
      </c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233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233</v>
      </c>
      <c r="AW1100" s="8" t="s">
        <v>233</v>
      </c>
      <c r="AX1100" s="4" t="s">
        <v>233</v>
      </c>
      <c r="AY1100" s="8" t="s">
        <v>233</v>
      </c>
      <c r="AZ1100" s="7" t="s">
        <v>233</v>
      </c>
      <c r="BA1100" s="7" t="s">
        <v>233</v>
      </c>
      <c r="BB1100" s="7" t="s">
        <v>233</v>
      </c>
      <c r="BC1100" s="4" t="s">
        <v>233</v>
      </c>
      <c r="BD1100" s="8" t="s">
        <v>233</v>
      </c>
      <c r="BE1100" s="4" t="s">
        <v>233</v>
      </c>
      <c r="BF1100" s="8" t="s">
        <v>233</v>
      </c>
      <c r="BG1100" s="7" t="s">
        <v>233</v>
      </c>
      <c r="BH1100" s="7" t="s">
        <v>233</v>
      </c>
      <c r="BI1100" s="7"/>
      <c r="BJ1100" s="4"/>
      <c r="BK1100" s="8"/>
      <c r="BL1100" s="2" t="s">
        <v>233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243</v>
      </c>
      <c r="BV1100" s="2" t="s">
        <v>233</v>
      </c>
      <c r="BW1100" s="2" t="s">
        <v>233</v>
      </c>
      <c r="BX1100" s="2" t="s">
        <v>798</v>
      </c>
      <c r="BY1100" s="2" t="s">
        <v>244</v>
      </c>
      <c r="BZ1100" s="2" t="s">
        <v>245</v>
      </c>
      <c r="CA1100" s="2" t="s">
        <v>233</v>
      </c>
      <c r="CB1100" s="2" t="s">
        <v>233</v>
      </c>
      <c r="CC1100" s="2" t="s">
        <v>246</v>
      </c>
      <c r="CD1100" s="2" t="s">
        <v>233</v>
      </c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>
        <v>100</v>
      </c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>
        <v>100</v>
      </c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</row>
    <row r="1101">
      <c r="A1101" s="2" t="s">
        <v>5469</v>
      </c>
      <c r="B1101" s="2" t="s">
        <v>910</v>
      </c>
      <c r="C1101" s="2" t="s">
        <v>911</v>
      </c>
      <c r="D1101" s="2" t="s">
        <v>912</v>
      </c>
      <c r="E1101" s="2" t="s">
        <v>913</v>
      </c>
      <c r="F1101" s="2" t="s">
        <v>5418</v>
      </c>
      <c r="G1101" s="2" t="s">
        <v>3323</v>
      </c>
      <c r="H1101" s="2" t="s">
        <v>5419</v>
      </c>
      <c r="I1101" s="2" t="s">
        <v>5420</v>
      </c>
      <c r="J1101" s="2" t="s">
        <v>1142</v>
      </c>
      <c r="K1101" s="2" t="s">
        <v>2951</v>
      </c>
      <c r="L1101" s="3">
        <v>36.75</v>
      </c>
      <c r="M1101" s="3">
        <v>38.59</v>
      </c>
      <c r="N1101" s="3">
        <v>74.99</v>
      </c>
      <c r="O1101" s="2" t="s">
        <v>245</v>
      </c>
      <c r="P1101" s="2" t="s">
        <v>238</v>
      </c>
      <c r="Q1101" s="2" t="s">
        <v>239</v>
      </c>
      <c r="R1101" s="2" t="s">
        <v>233</v>
      </c>
      <c r="S1101" s="2" t="s">
        <v>5464</v>
      </c>
      <c r="T1101" s="2" t="s">
        <v>3570</v>
      </c>
      <c r="U1101" s="2" t="s">
        <v>342</v>
      </c>
      <c r="V1101" s="2" t="s">
        <v>241</v>
      </c>
      <c r="W1101" s="2" t="s">
        <v>705</v>
      </c>
      <c r="X1101" s="2" t="s">
        <v>2082</v>
      </c>
      <c r="Y1101" s="2" t="s">
        <v>233</v>
      </c>
      <c r="Z1101" s="4"/>
      <c r="AA1101" s="4">
        <f>=ROUNDDOWN({0},0)</f>
      </c>
      <c r="AB1101" s="5"/>
      <c r="AC1101" s="2" t="s">
        <v>5332</v>
      </c>
      <c r="AD1101" s="4">
        <v>35</v>
      </c>
      <c r="AE1101" s="4">
        <v>50</v>
      </c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233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233</v>
      </c>
      <c r="AW1101" s="8" t="s">
        <v>233</v>
      </c>
      <c r="AX1101" s="4" t="s">
        <v>233</v>
      </c>
      <c r="AY1101" s="8" t="s">
        <v>233</v>
      </c>
      <c r="AZ1101" s="7" t="s">
        <v>233</v>
      </c>
      <c r="BA1101" s="7" t="s">
        <v>233</v>
      </c>
      <c r="BB1101" s="7" t="s">
        <v>233</v>
      </c>
      <c r="BC1101" s="4" t="s">
        <v>233</v>
      </c>
      <c r="BD1101" s="8" t="s">
        <v>233</v>
      </c>
      <c r="BE1101" s="4" t="s">
        <v>233</v>
      </c>
      <c r="BF1101" s="8" t="s">
        <v>233</v>
      </c>
      <c r="BG1101" s="7" t="s">
        <v>233</v>
      </c>
      <c r="BH1101" s="7" t="s">
        <v>233</v>
      </c>
      <c r="BI1101" s="7"/>
      <c r="BJ1101" s="4"/>
      <c r="BK1101" s="8"/>
      <c r="BL1101" s="2" t="s">
        <v>233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243</v>
      </c>
      <c r="BV1101" s="2" t="s">
        <v>233</v>
      </c>
      <c r="BW1101" s="2" t="s">
        <v>233</v>
      </c>
      <c r="BX1101" s="2" t="s">
        <v>243</v>
      </c>
      <c r="BY1101" s="2" t="s">
        <v>244</v>
      </c>
      <c r="BZ1101" s="2" t="s">
        <v>245</v>
      </c>
      <c r="CA1101" s="2" t="s">
        <v>233</v>
      </c>
      <c r="CB1101" s="2" t="s">
        <v>233</v>
      </c>
      <c r="CC1101" s="2" t="s">
        <v>246</v>
      </c>
      <c r="CD1101" s="2" t="s">
        <v>233</v>
      </c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>
        <v>35</v>
      </c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>
        <v>15</v>
      </c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</row>
    <row r="1102">
      <c r="A1102" s="2" t="s">
        <v>5470</v>
      </c>
      <c r="B1102" s="2" t="s">
        <v>910</v>
      </c>
      <c r="C1102" s="2" t="s">
        <v>911</v>
      </c>
      <c r="D1102" s="2" t="s">
        <v>912</v>
      </c>
      <c r="E1102" s="2" t="s">
        <v>913</v>
      </c>
      <c r="F1102" s="2" t="s">
        <v>5418</v>
      </c>
      <c r="G1102" s="2" t="s">
        <v>3323</v>
      </c>
      <c r="H1102" s="2" t="s">
        <v>5419</v>
      </c>
      <c r="I1102" s="2" t="s">
        <v>5420</v>
      </c>
      <c r="J1102" s="2" t="s">
        <v>918</v>
      </c>
      <c r="K1102" s="2" t="s">
        <v>620</v>
      </c>
      <c r="L1102" s="3">
        <v>27.6</v>
      </c>
      <c r="M1102" s="3">
        <v>28.98</v>
      </c>
      <c r="N1102" s="3">
        <v>59.99</v>
      </c>
      <c r="O1102" s="2" t="s">
        <v>245</v>
      </c>
      <c r="P1102" s="2" t="s">
        <v>272</v>
      </c>
      <c r="Q1102" s="2" t="s">
        <v>239</v>
      </c>
      <c r="R1102" s="2" t="s">
        <v>233</v>
      </c>
      <c r="S1102" s="2" t="s">
        <v>5471</v>
      </c>
      <c r="T1102" s="2" t="s">
        <v>3570</v>
      </c>
      <c r="U1102" s="2" t="s">
        <v>475</v>
      </c>
      <c r="V1102" s="2" t="s">
        <v>241</v>
      </c>
      <c r="W1102" s="2" t="s">
        <v>705</v>
      </c>
      <c r="X1102" s="2" t="s">
        <v>2082</v>
      </c>
      <c r="Y1102" s="2" t="s">
        <v>5472</v>
      </c>
      <c r="Z1102" s="4">
        <v>53</v>
      </c>
      <c r="AA1102" s="4">
        <f>=ROUNDDOWN(8.83333333333333,0)</f>
      </c>
      <c r="AB1102" s="5">
        <v>6</v>
      </c>
      <c r="AC1102" s="2" t="s">
        <v>3277</v>
      </c>
      <c r="AD1102" s="4">
        <v>90</v>
      </c>
      <c r="AE1102" s="4">
        <v>140</v>
      </c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233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233</v>
      </c>
      <c r="BD1102" s="8" t="s">
        <v>233</v>
      </c>
      <c r="BE1102" s="4" t="s">
        <v>233</v>
      </c>
      <c r="BF1102" s="8" t="s">
        <v>233</v>
      </c>
      <c r="BG1102" s="7" t="s">
        <v>233</v>
      </c>
      <c r="BH1102" s="7" t="s">
        <v>233</v>
      </c>
      <c r="BI1102" s="7"/>
      <c r="BJ1102" s="4">
        <v>16</v>
      </c>
      <c r="BK1102" s="8">
        <v>476.45</v>
      </c>
      <c r="BL1102" s="2" t="s">
        <v>5473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5474</v>
      </c>
      <c r="BV1102" s="2" t="s">
        <v>233</v>
      </c>
      <c r="BW1102" s="2" t="s">
        <v>233</v>
      </c>
      <c r="BX1102" s="2" t="s">
        <v>243</v>
      </c>
      <c r="BY1102" s="2" t="s">
        <v>280</v>
      </c>
      <c r="BZ1102" s="2" t="s">
        <v>245</v>
      </c>
      <c r="CA1102" s="2" t="s">
        <v>5472</v>
      </c>
      <c r="CB1102" s="2" t="s">
        <v>5475</v>
      </c>
      <c r="CC1102" s="2" t="s">
        <v>246</v>
      </c>
      <c r="CD1102" s="2" t="s">
        <v>233</v>
      </c>
      <c r="CE1102" s="4">
        <v>53</v>
      </c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>
        <v>90</v>
      </c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>
        <v>50</v>
      </c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</row>
    <row r="1103">
      <c r="A1103" s="2" t="s">
        <v>5476</v>
      </c>
      <c r="B1103" s="2" t="s">
        <v>1066</v>
      </c>
      <c r="C1103" s="2" t="s">
        <v>901</v>
      </c>
      <c r="D1103" s="2" t="s">
        <v>1067</v>
      </c>
      <c r="E1103" s="2" t="s">
        <v>2543</v>
      </c>
      <c r="F1103" s="2" t="s">
        <v>5477</v>
      </c>
      <c r="G1103" s="2" t="s">
        <v>5477</v>
      </c>
      <c r="H1103" s="2" t="s">
        <v>5477</v>
      </c>
      <c r="I1103" s="2" t="s">
        <v>5478</v>
      </c>
      <c r="J1103" s="2" t="s">
        <v>892</v>
      </c>
      <c r="K1103" s="2" t="s">
        <v>984</v>
      </c>
      <c r="L1103" s="3">
        <v>205.2</v>
      </c>
      <c r="M1103" s="3">
        <v>215.46</v>
      </c>
      <c r="N1103" s="3">
        <v>429</v>
      </c>
      <c r="O1103" s="2" t="s">
        <v>245</v>
      </c>
      <c r="P1103" s="2" t="s">
        <v>393</v>
      </c>
      <c r="Q1103" s="2" t="s">
        <v>239</v>
      </c>
      <c r="R1103" s="2" t="s">
        <v>233</v>
      </c>
      <c r="S1103" s="2" t="s">
        <v>233</v>
      </c>
      <c r="T1103" s="2" t="s">
        <v>233</v>
      </c>
      <c r="U1103" s="2" t="s">
        <v>396</v>
      </c>
      <c r="V1103" s="2" t="s">
        <v>893</v>
      </c>
      <c r="W1103" s="2" t="s">
        <v>451</v>
      </c>
      <c r="X1103" s="2" t="s">
        <v>776</v>
      </c>
      <c r="Y1103" s="2" t="s">
        <v>5479</v>
      </c>
      <c r="Z1103" s="4">
        <v>29</v>
      </c>
      <c r="AA1103" s="4">
        <f>=ROUNDDOWN(9.66666666666667,0)</f>
      </c>
      <c r="AB1103" s="5">
        <v>3</v>
      </c>
      <c r="AC1103" s="2" t="s">
        <v>345</v>
      </c>
      <c r="AD1103" s="4">
        <v>100</v>
      </c>
      <c r="AE1103" s="4">
        <v>100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233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/>
      <c r="BK1103" s="8"/>
      <c r="BL1103" s="2" t="s">
        <v>744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5480</v>
      </c>
      <c r="BV1103" s="2" t="s">
        <v>233</v>
      </c>
      <c r="BW1103" s="2" t="s">
        <v>233</v>
      </c>
      <c r="BX1103" s="2" t="s">
        <v>243</v>
      </c>
      <c r="BY1103" s="2" t="s">
        <v>280</v>
      </c>
      <c r="BZ1103" s="2" t="s">
        <v>245</v>
      </c>
      <c r="CA1103" s="2" t="s">
        <v>5479</v>
      </c>
      <c r="CB1103" s="2" t="s">
        <v>233</v>
      </c>
      <c r="CC1103" s="2" t="s">
        <v>246</v>
      </c>
      <c r="CD1103" s="2" t="s">
        <v>233</v>
      </c>
      <c r="CE1103" s="4"/>
      <c r="CF1103" s="4">
        <v>29</v>
      </c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>
        <v>100</v>
      </c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</row>
    <row r="1104">
      <c r="A1104" s="2" t="s">
        <v>5481</v>
      </c>
      <c r="B1104" s="2" t="s">
        <v>1066</v>
      </c>
      <c r="C1104" s="2" t="s">
        <v>947</v>
      </c>
      <c r="D1104" s="2" t="s">
        <v>1919</v>
      </c>
      <c r="E1104" s="2" t="s">
        <v>1920</v>
      </c>
      <c r="F1104" s="2" t="s">
        <v>5482</v>
      </c>
      <c r="G1104" s="2" t="s">
        <v>5482</v>
      </c>
      <c r="H1104" s="2" t="s">
        <v>5482</v>
      </c>
      <c r="I1104" s="2" t="s">
        <v>3821</v>
      </c>
      <c r="J1104" s="2" t="s">
        <v>892</v>
      </c>
      <c r="K1104" s="2" t="s">
        <v>853</v>
      </c>
      <c r="L1104" s="3">
        <v>79.48</v>
      </c>
      <c r="M1104" s="3">
        <v>83.45</v>
      </c>
      <c r="N1104" s="3">
        <v>169</v>
      </c>
      <c r="O1104" s="2" t="s">
        <v>237</v>
      </c>
      <c r="P1104" s="2" t="s">
        <v>311</v>
      </c>
      <c r="Q1104" s="2" t="s">
        <v>239</v>
      </c>
      <c r="R1104" s="2" t="s">
        <v>233</v>
      </c>
      <c r="S1104" s="2" t="s">
        <v>233</v>
      </c>
      <c r="T1104" s="2" t="s">
        <v>233</v>
      </c>
      <c r="U1104" s="2" t="s">
        <v>396</v>
      </c>
      <c r="V1104" s="2" t="s">
        <v>893</v>
      </c>
      <c r="W1104" s="2" t="s">
        <v>977</v>
      </c>
      <c r="X1104" s="2" t="s">
        <v>953</v>
      </c>
      <c r="Y1104" s="2" t="s">
        <v>5483</v>
      </c>
      <c r="Z1104" s="4">
        <v>256</v>
      </c>
      <c r="AA1104" s="4">
        <f>=ROUNDDOWN(128,0)</f>
      </c>
      <c r="AB1104" s="5">
        <v>2</v>
      </c>
      <c r="AC1104" s="2" t="s">
        <v>233</v>
      </c>
      <c r="AD1104" s="4"/>
      <c r="AE1104" s="4"/>
      <c r="AF1104" s="6">
        <v>74</v>
      </c>
      <c r="AG1104" s="6">
        <v>60</v>
      </c>
      <c r="AH1104" s="7">
        <v>1</v>
      </c>
      <c r="AI1104" s="4"/>
      <c r="AJ1104" s="4">
        <f>=ROUNDDOWN({0},0)</f>
      </c>
      <c r="AK1104" s="5"/>
      <c r="AL1104" s="2" t="s">
        <v>233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>
        <v>1</v>
      </c>
      <c r="BK1104" s="8">
        <v>111.27</v>
      </c>
      <c r="BL1104" s="2" t="s">
        <v>744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5484</v>
      </c>
      <c r="BV1104" s="2" t="s">
        <v>233</v>
      </c>
      <c r="BW1104" s="2" t="s">
        <v>233</v>
      </c>
      <c r="BX1104" s="2" t="s">
        <v>233</v>
      </c>
      <c r="BY1104" s="2" t="s">
        <v>280</v>
      </c>
      <c r="BZ1104" s="2" t="s">
        <v>245</v>
      </c>
      <c r="CA1104" s="2" t="s">
        <v>5485</v>
      </c>
      <c r="CB1104" s="2" t="s">
        <v>3238</v>
      </c>
      <c r="CC1104" s="2" t="s">
        <v>246</v>
      </c>
      <c r="CD1104" s="2" t="s">
        <v>233</v>
      </c>
      <c r="CE1104" s="4"/>
      <c r="CF1104" s="4">
        <v>206</v>
      </c>
      <c r="CG1104" s="4"/>
      <c r="CH1104" s="4"/>
      <c r="CI1104" s="4">
        <v>50</v>
      </c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</row>
    <row r="1105">
      <c r="A1105" s="2" t="s">
        <v>5486</v>
      </c>
      <c r="B1105" s="2" t="s">
        <v>1242</v>
      </c>
      <c r="C1105" s="2" t="s">
        <v>3135</v>
      </c>
      <c r="D1105" s="2" t="s">
        <v>1862</v>
      </c>
      <c r="E1105" s="2" t="s">
        <v>3734</v>
      </c>
      <c r="F1105" s="2" t="s">
        <v>5487</v>
      </c>
      <c r="G1105" s="2" t="s">
        <v>5487</v>
      </c>
      <c r="H1105" s="2" t="s">
        <v>5487</v>
      </c>
      <c r="I1105" s="2" t="s">
        <v>5488</v>
      </c>
      <c r="J1105" s="2" t="s">
        <v>981</v>
      </c>
      <c r="K1105" s="2" t="s">
        <v>5489</v>
      </c>
      <c r="L1105" s="3">
        <v>102.14</v>
      </c>
      <c r="M1105" s="3">
        <v>107.25</v>
      </c>
      <c r="N1105" s="3">
        <v>299.99</v>
      </c>
      <c r="O1105" s="2" t="s">
        <v>245</v>
      </c>
      <c r="P1105" s="2" t="s">
        <v>272</v>
      </c>
      <c r="Q1105" s="2" t="s">
        <v>239</v>
      </c>
      <c r="R1105" s="2" t="s">
        <v>233</v>
      </c>
      <c r="S1105" s="2" t="s">
        <v>233</v>
      </c>
      <c r="T1105" s="2" t="s">
        <v>341</v>
      </c>
      <c r="U1105" s="2" t="s">
        <v>233</v>
      </c>
      <c r="V1105" s="2" t="s">
        <v>241</v>
      </c>
      <c r="W1105" s="2" t="s">
        <v>451</v>
      </c>
      <c r="X1105" s="2" t="s">
        <v>233</v>
      </c>
      <c r="Y1105" s="2" t="s">
        <v>5429</v>
      </c>
      <c r="Z1105" s="4">
        <v>32</v>
      </c>
      <c r="AA1105" s="4">
        <f>=ROUNDDOWN(32,0)</f>
      </c>
      <c r="AB1105" s="5">
        <v>1</v>
      </c>
      <c r="AC1105" s="2" t="s">
        <v>414</v>
      </c>
      <c r="AD1105" s="4">
        <v>40</v>
      </c>
      <c r="AE1105" s="4">
        <v>40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233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233</v>
      </c>
      <c r="AW1105" s="8" t="s">
        <v>233</v>
      </c>
      <c r="AX1105" s="4" t="s">
        <v>233</v>
      </c>
      <c r="AY1105" s="8" t="s">
        <v>233</v>
      </c>
      <c r="AZ1105" s="7" t="s">
        <v>233</v>
      </c>
      <c r="BA1105" s="7" t="s">
        <v>233</v>
      </c>
      <c r="BB1105" s="7"/>
      <c r="BC1105" s="4" t="s">
        <v>233</v>
      </c>
      <c r="BD1105" s="8" t="s">
        <v>233</v>
      </c>
      <c r="BE1105" s="4" t="s">
        <v>233</v>
      </c>
      <c r="BF1105" s="8" t="s">
        <v>233</v>
      </c>
      <c r="BG1105" s="7" t="s">
        <v>233</v>
      </c>
      <c r="BH1105" s="7" t="s">
        <v>233</v>
      </c>
      <c r="BI1105" s="7"/>
      <c r="BJ1105" s="4">
        <v>5</v>
      </c>
      <c r="BK1105" s="8">
        <v>604.22</v>
      </c>
      <c r="BL1105" s="2" t="s">
        <v>2246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5490</v>
      </c>
      <c r="BV1105" s="2" t="s">
        <v>233</v>
      </c>
      <c r="BW1105" s="2" t="s">
        <v>233</v>
      </c>
      <c r="BX1105" s="2" t="s">
        <v>233</v>
      </c>
      <c r="BY1105" s="2" t="s">
        <v>280</v>
      </c>
      <c r="BZ1105" s="2" t="s">
        <v>245</v>
      </c>
      <c r="CA1105" s="2" t="s">
        <v>5491</v>
      </c>
      <c r="CB1105" s="2" t="s">
        <v>2423</v>
      </c>
      <c r="CC1105" s="2" t="s">
        <v>246</v>
      </c>
      <c r="CD1105" s="2" t="s">
        <v>233</v>
      </c>
      <c r="CE1105" s="4">
        <v>32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>
        <v>40</v>
      </c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</row>
    <row r="1106">
      <c r="A1106" s="2" t="s">
        <v>5492</v>
      </c>
      <c r="B1106" s="2" t="s">
        <v>1242</v>
      </c>
      <c r="C1106" s="2" t="s">
        <v>3135</v>
      </c>
      <c r="D1106" s="2" t="s">
        <v>1862</v>
      </c>
      <c r="E1106" s="2" t="s">
        <v>3734</v>
      </c>
      <c r="F1106" s="2" t="s">
        <v>5487</v>
      </c>
      <c r="G1106" s="2" t="s">
        <v>5487</v>
      </c>
      <c r="H1106" s="2" t="s">
        <v>5487</v>
      </c>
      <c r="I1106" s="2" t="s">
        <v>5488</v>
      </c>
      <c r="J1106" s="2" t="s">
        <v>1142</v>
      </c>
      <c r="K1106" s="2" t="s">
        <v>5489</v>
      </c>
      <c r="L1106" s="3">
        <v>136.19</v>
      </c>
      <c r="M1106" s="3">
        <v>143</v>
      </c>
      <c r="N1106" s="3">
        <v>399.99</v>
      </c>
      <c r="O1106" s="2" t="s">
        <v>245</v>
      </c>
      <c r="P1106" s="2" t="s">
        <v>272</v>
      </c>
      <c r="Q1106" s="2" t="s">
        <v>239</v>
      </c>
      <c r="R1106" s="2" t="s">
        <v>233</v>
      </c>
      <c r="S1106" s="2" t="s">
        <v>233</v>
      </c>
      <c r="T1106" s="2" t="s">
        <v>341</v>
      </c>
      <c r="U1106" s="2" t="s">
        <v>233</v>
      </c>
      <c r="V1106" s="2" t="s">
        <v>241</v>
      </c>
      <c r="W1106" s="2" t="s">
        <v>451</v>
      </c>
      <c r="X1106" s="2" t="s">
        <v>233</v>
      </c>
      <c r="Y1106" s="2" t="s">
        <v>5429</v>
      </c>
      <c r="Z1106" s="4">
        <v>41</v>
      </c>
      <c r="AA1106" s="4">
        <f>=ROUNDDOWN(13.6666666666667,0)</f>
      </c>
      <c r="AB1106" s="5">
        <v>3</v>
      </c>
      <c r="AC1106" s="2" t="s">
        <v>414</v>
      </c>
      <c r="AD1106" s="4">
        <v>65</v>
      </c>
      <c r="AE1106" s="4">
        <v>65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233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233</v>
      </c>
      <c r="AW1106" s="8" t="s">
        <v>233</v>
      </c>
      <c r="AX1106" s="4" t="s">
        <v>233</v>
      </c>
      <c r="AY1106" s="8" t="s">
        <v>233</v>
      </c>
      <c r="AZ1106" s="7" t="s">
        <v>233</v>
      </c>
      <c r="BA1106" s="7" t="s">
        <v>233</v>
      </c>
      <c r="BB1106" s="7"/>
      <c r="BC1106" s="4" t="s">
        <v>233</v>
      </c>
      <c r="BD1106" s="8" t="s">
        <v>233</v>
      </c>
      <c r="BE1106" s="4" t="s">
        <v>233</v>
      </c>
      <c r="BF1106" s="8" t="s">
        <v>233</v>
      </c>
      <c r="BG1106" s="7" t="s">
        <v>233</v>
      </c>
      <c r="BH1106" s="7" t="s">
        <v>233</v>
      </c>
      <c r="BI1106" s="7"/>
      <c r="BJ1106" s="4">
        <v>15</v>
      </c>
      <c r="BK1106" s="8">
        <v>2636.53</v>
      </c>
      <c r="BL1106" s="2" t="s">
        <v>1041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5493</v>
      </c>
      <c r="BV1106" s="2" t="s">
        <v>233</v>
      </c>
      <c r="BW1106" s="2" t="s">
        <v>233</v>
      </c>
      <c r="BX1106" s="2" t="s">
        <v>233</v>
      </c>
      <c r="BY1106" s="2" t="s">
        <v>280</v>
      </c>
      <c r="BZ1106" s="2" t="s">
        <v>245</v>
      </c>
      <c r="CA1106" s="2" t="s">
        <v>5491</v>
      </c>
      <c r="CB1106" s="2" t="s">
        <v>1998</v>
      </c>
      <c r="CC1106" s="2" t="s">
        <v>246</v>
      </c>
      <c r="CD1106" s="2" t="s">
        <v>233</v>
      </c>
      <c r="CE1106" s="4">
        <v>41</v>
      </c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>
        <v>65</v>
      </c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</row>
    <row r="1107">
      <c r="A1107" s="2" t="s">
        <v>5494</v>
      </c>
      <c r="B1107" s="2" t="s">
        <v>228</v>
      </c>
      <c r="C1107" s="2" t="s">
        <v>3846</v>
      </c>
      <c r="D1107" s="2" t="s">
        <v>3847</v>
      </c>
      <c r="E1107" s="2" t="s">
        <v>3848</v>
      </c>
      <c r="F1107" s="2" t="s">
        <v>5495</v>
      </c>
      <c r="G1107" s="2" t="s">
        <v>5495</v>
      </c>
      <c r="H1107" s="2" t="s">
        <v>5495</v>
      </c>
      <c r="I1107" s="2" t="s">
        <v>3850</v>
      </c>
      <c r="J1107" s="2" t="s">
        <v>290</v>
      </c>
      <c r="K1107" s="2" t="s">
        <v>271</v>
      </c>
      <c r="L1107" s="3">
        <v>47.3</v>
      </c>
      <c r="M1107" s="3">
        <v>49.66</v>
      </c>
      <c r="N1107" s="3">
        <v>101.99</v>
      </c>
      <c r="O1107" s="2" t="s">
        <v>245</v>
      </c>
      <c r="P1107" s="2" t="s">
        <v>741</v>
      </c>
      <c r="Q1107" s="2" t="s">
        <v>239</v>
      </c>
      <c r="R1107" s="2" t="s">
        <v>233</v>
      </c>
      <c r="S1107" s="2" t="s">
        <v>233</v>
      </c>
      <c r="T1107" s="2" t="s">
        <v>647</v>
      </c>
      <c r="U1107" s="2" t="s">
        <v>396</v>
      </c>
      <c r="V1107" s="2" t="s">
        <v>241</v>
      </c>
      <c r="W1107" s="2" t="s">
        <v>275</v>
      </c>
      <c r="X1107" s="2" t="s">
        <v>233</v>
      </c>
      <c r="Y1107" s="2" t="s">
        <v>5496</v>
      </c>
      <c r="Z1107" s="4">
        <v>235</v>
      </c>
      <c r="AA1107" s="4">
        <f>=ROUNDDOWN(10.6818181818182,0)</f>
      </c>
      <c r="AB1107" s="5">
        <v>22</v>
      </c>
      <c r="AC1107" s="2" t="s">
        <v>233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233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 t="s">
        <v>233</v>
      </c>
      <c r="BD1107" s="8" t="s">
        <v>233</v>
      </c>
      <c r="BE1107" s="4" t="s">
        <v>233</v>
      </c>
      <c r="BF1107" s="8" t="s">
        <v>233</v>
      </c>
      <c r="BG1107" s="7" t="s">
        <v>233</v>
      </c>
      <c r="BH1107" s="7" t="s">
        <v>233</v>
      </c>
      <c r="BI1107" s="7"/>
      <c r="BJ1107" s="4">
        <v>7</v>
      </c>
      <c r="BK1107" s="8">
        <v>362.16</v>
      </c>
      <c r="BL1107" s="2" t="s">
        <v>5497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5498</v>
      </c>
      <c r="BV1107" s="2" t="s">
        <v>233</v>
      </c>
      <c r="BW1107" s="2" t="s">
        <v>233</v>
      </c>
      <c r="BX1107" s="2" t="s">
        <v>3953</v>
      </c>
      <c r="BY1107" s="2" t="s">
        <v>280</v>
      </c>
      <c r="BZ1107" s="2" t="s">
        <v>245</v>
      </c>
      <c r="CA1107" s="2" t="s">
        <v>5499</v>
      </c>
      <c r="CB1107" s="2" t="s">
        <v>5500</v>
      </c>
      <c r="CC1107" s="2" t="s">
        <v>246</v>
      </c>
      <c r="CD1107" s="2" t="s">
        <v>233</v>
      </c>
      <c r="CE1107" s="4">
        <v>235</v>
      </c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</row>
    <row r="1108">
      <c r="A1108" s="2" t="s">
        <v>5501</v>
      </c>
      <c r="B1108" s="2" t="s">
        <v>228</v>
      </c>
      <c r="C1108" s="2" t="s">
        <v>3846</v>
      </c>
      <c r="D1108" s="2" t="s">
        <v>3847</v>
      </c>
      <c r="E1108" s="2" t="s">
        <v>3848</v>
      </c>
      <c r="F1108" s="2" t="s">
        <v>5495</v>
      </c>
      <c r="G1108" s="2" t="s">
        <v>5495</v>
      </c>
      <c r="H1108" s="2" t="s">
        <v>5495</v>
      </c>
      <c r="I1108" s="2" t="s">
        <v>3850</v>
      </c>
      <c r="J1108" s="2" t="s">
        <v>328</v>
      </c>
      <c r="K1108" s="2" t="s">
        <v>1994</v>
      </c>
      <c r="L1108" s="3">
        <v>75.13</v>
      </c>
      <c r="M1108" s="3">
        <v>78.89</v>
      </c>
      <c r="N1108" s="3">
        <v>159.99</v>
      </c>
      <c r="O1108" s="2" t="s">
        <v>245</v>
      </c>
      <c r="P1108" s="2" t="s">
        <v>272</v>
      </c>
      <c r="Q1108" s="2" t="s">
        <v>239</v>
      </c>
      <c r="R1108" s="2" t="s">
        <v>233</v>
      </c>
      <c r="S1108" s="2" t="s">
        <v>233</v>
      </c>
      <c r="T1108" s="2" t="s">
        <v>647</v>
      </c>
      <c r="U1108" s="2" t="s">
        <v>396</v>
      </c>
      <c r="V1108" s="2" t="s">
        <v>241</v>
      </c>
      <c r="W1108" s="2" t="s">
        <v>275</v>
      </c>
      <c r="X1108" s="2" t="s">
        <v>233</v>
      </c>
      <c r="Y1108" s="2" t="s">
        <v>5502</v>
      </c>
      <c r="Z1108" s="4">
        <v>790</v>
      </c>
      <c r="AA1108" s="4">
        <f>=ROUNDDOWN(71.8181818181818,0)</f>
      </c>
      <c r="AB1108" s="5">
        <v>11</v>
      </c>
      <c r="AC1108" s="2" t="s">
        <v>233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233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 t="s">
        <v>233</v>
      </c>
      <c r="BD1108" s="8" t="s">
        <v>233</v>
      </c>
      <c r="BE1108" s="4" t="s">
        <v>233</v>
      </c>
      <c r="BF1108" s="8" t="s">
        <v>233</v>
      </c>
      <c r="BG1108" s="7" t="s">
        <v>233</v>
      </c>
      <c r="BH1108" s="7" t="s">
        <v>233</v>
      </c>
      <c r="BI1108" s="7"/>
      <c r="BJ1108" s="4">
        <v>4</v>
      </c>
      <c r="BK1108" s="8">
        <v>329.24</v>
      </c>
      <c r="BL1108" s="2" t="s">
        <v>5503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5504</v>
      </c>
      <c r="BV1108" s="2" t="s">
        <v>233</v>
      </c>
      <c r="BW1108" s="2" t="s">
        <v>233</v>
      </c>
      <c r="BX1108" s="2" t="s">
        <v>3953</v>
      </c>
      <c r="BY1108" s="2" t="s">
        <v>280</v>
      </c>
      <c r="BZ1108" s="2" t="s">
        <v>245</v>
      </c>
      <c r="CA1108" s="2" t="s">
        <v>1423</v>
      </c>
      <c r="CB1108" s="2" t="s">
        <v>5505</v>
      </c>
      <c r="CC1108" s="2" t="s">
        <v>246</v>
      </c>
      <c r="CD1108" s="2" t="s">
        <v>233</v>
      </c>
      <c r="CE1108" s="4">
        <v>790</v>
      </c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</row>
    <row r="1109">
      <c r="A1109" s="2" t="s">
        <v>5506</v>
      </c>
      <c r="B1109" s="2" t="s">
        <v>228</v>
      </c>
      <c r="C1109" s="2" t="s">
        <v>3846</v>
      </c>
      <c r="D1109" s="2" t="s">
        <v>3847</v>
      </c>
      <c r="E1109" s="2" t="s">
        <v>3848</v>
      </c>
      <c r="F1109" s="2" t="s">
        <v>5495</v>
      </c>
      <c r="G1109" s="2" t="s">
        <v>5495</v>
      </c>
      <c r="H1109" s="2" t="s">
        <v>5495</v>
      </c>
      <c r="I1109" s="2" t="s">
        <v>3850</v>
      </c>
      <c r="J1109" s="2" t="s">
        <v>270</v>
      </c>
      <c r="K1109" s="2" t="s">
        <v>569</v>
      </c>
      <c r="L1109" s="3">
        <v>41.73</v>
      </c>
      <c r="M1109" s="3">
        <v>43.82</v>
      </c>
      <c r="N1109" s="3">
        <v>89.99</v>
      </c>
      <c r="O1109" s="2" t="s">
        <v>245</v>
      </c>
      <c r="P1109" s="2" t="s">
        <v>272</v>
      </c>
      <c r="Q1109" s="2" t="s">
        <v>239</v>
      </c>
      <c r="R1109" s="2" t="s">
        <v>233</v>
      </c>
      <c r="S1109" s="2" t="s">
        <v>233</v>
      </c>
      <c r="T1109" s="2" t="s">
        <v>647</v>
      </c>
      <c r="U1109" s="2" t="s">
        <v>396</v>
      </c>
      <c r="V1109" s="2" t="s">
        <v>241</v>
      </c>
      <c r="W1109" s="2" t="s">
        <v>275</v>
      </c>
      <c r="X1109" s="2" t="s">
        <v>233</v>
      </c>
      <c r="Y1109" s="2" t="s">
        <v>5496</v>
      </c>
      <c r="Z1109" s="4">
        <v>93</v>
      </c>
      <c r="AA1109" s="4">
        <f>=ROUNDDOWN(9.3,0)</f>
      </c>
      <c r="AB1109" s="5">
        <v>10</v>
      </c>
      <c r="AC1109" s="2" t="s">
        <v>1341</v>
      </c>
      <c r="AD1109" s="4">
        <v>150</v>
      </c>
      <c r="AE1109" s="4">
        <v>150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233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 t="s">
        <v>233</v>
      </c>
      <c r="BD1109" s="8" t="s">
        <v>233</v>
      </c>
      <c r="BE1109" s="4" t="s">
        <v>233</v>
      </c>
      <c r="BF1109" s="8" t="s">
        <v>233</v>
      </c>
      <c r="BG1109" s="7" t="s">
        <v>233</v>
      </c>
      <c r="BH1109" s="7" t="s">
        <v>233</v>
      </c>
      <c r="BI1109" s="7"/>
      <c r="BJ1109" s="4">
        <v>5</v>
      </c>
      <c r="BK1109" s="8">
        <v>227.33</v>
      </c>
      <c r="BL1109" s="2" t="s">
        <v>5507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5508</v>
      </c>
      <c r="BV1109" s="2" t="s">
        <v>233</v>
      </c>
      <c r="BW1109" s="2" t="s">
        <v>233</v>
      </c>
      <c r="BX1109" s="2" t="s">
        <v>3953</v>
      </c>
      <c r="BY1109" s="2" t="s">
        <v>280</v>
      </c>
      <c r="BZ1109" s="2" t="s">
        <v>245</v>
      </c>
      <c r="CA1109" s="2" t="s">
        <v>5499</v>
      </c>
      <c r="CB1109" s="2" t="s">
        <v>5509</v>
      </c>
      <c r="CC1109" s="2" t="s">
        <v>246</v>
      </c>
      <c r="CD1109" s="2" t="s">
        <v>233</v>
      </c>
      <c r="CE1109" s="4">
        <v>93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>
        <v>150</v>
      </c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</row>
    <row r="1110">
      <c r="A1110" s="2" t="s">
        <v>5510</v>
      </c>
      <c r="B1110" s="2" t="s">
        <v>886</v>
      </c>
      <c r="C1110" s="2" t="s">
        <v>901</v>
      </c>
      <c r="D1110" s="2" t="s">
        <v>1167</v>
      </c>
      <c r="E1110" s="2" t="s">
        <v>1168</v>
      </c>
      <c r="F1110" s="2" t="s">
        <v>5511</v>
      </c>
      <c r="G1110" s="2" t="s">
        <v>5511</v>
      </c>
      <c r="H1110" s="2" t="s">
        <v>5511</v>
      </c>
      <c r="I1110" s="2" t="s">
        <v>5512</v>
      </c>
      <c r="J1110" s="2" t="s">
        <v>892</v>
      </c>
      <c r="K1110" s="2" t="s">
        <v>5513</v>
      </c>
      <c r="L1110" s="3">
        <v>49</v>
      </c>
      <c r="M1110" s="3">
        <v>51.45</v>
      </c>
      <c r="N1110" s="3">
        <v>99.99</v>
      </c>
      <c r="O1110" s="2" t="s">
        <v>245</v>
      </c>
      <c r="P1110" s="2" t="s">
        <v>238</v>
      </c>
      <c r="Q1110" s="2" t="s">
        <v>239</v>
      </c>
      <c r="R1110" s="2" t="s">
        <v>233</v>
      </c>
      <c r="S1110" s="2" t="s">
        <v>233</v>
      </c>
      <c r="T1110" s="2" t="s">
        <v>233</v>
      </c>
      <c r="U1110" s="2" t="s">
        <v>396</v>
      </c>
      <c r="V1110" s="2" t="s">
        <v>893</v>
      </c>
      <c r="W1110" s="2" t="s">
        <v>397</v>
      </c>
      <c r="X1110" s="2" t="s">
        <v>275</v>
      </c>
      <c r="Y1110" s="2" t="s">
        <v>5514</v>
      </c>
      <c r="Z1110" s="4">
        <v>84</v>
      </c>
      <c r="AA1110" s="4">
        <f>=ROUNDDOWN(28,0)</f>
      </c>
      <c r="AB1110" s="5">
        <v>3</v>
      </c>
      <c r="AC1110" s="2" t="s">
        <v>233</v>
      </c>
      <c r="AD1110" s="4"/>
      <c r="AE1110" s="4"/>
      <c r="AF1110" s="6">
        <v>63</v>
      </c>
      <c r="AG1110" s="6"/>
      <c r="AH1110" s="7">
        <v>1</v>
      </c>
      <c r="AI1110" s="4"/>
      <c r="AJ1110" s="4">
        <f>=ROUNDDOWN({0},0)</f>
      </c>
      <c r="AK1110" s="5"/>
      <c r="AL1110" s="2" t="s">
        <v>233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/>
      <c r="BD1110" s="8"/>
      <c r="BE1110" s="4"/>
      <c r="BF1110" s="8"/>
      <c r="BG1110" s="7"/>
      <c r="BH1110" s="7"/>
      <c r="BI1110" s="7"/>
      <c r="BJ1110" s="4">
        <v>1</v>
      </c>
      <c r="BK1110" s="8">
        <v>51.45</v>
      </c>
      <c r="BL1110" s="2" t="s">
        <v>1028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5515</v>
      </c>
      <c r="BV1110" s="2" t="s">
        <v>233</v>
      </c>
      <c r="BW1110" s="2" t="s">
        <v>233</v>
      </c>
      <c r="BX1110" s="2" t="s">
        <v>243</v>
      </c>
      <c r="BY1110" s="2" t="s">
        <v>280</v>
      </c>
      <c r="BZ1110" s="2" t="s">
        <v>245</v>
      </c>
      <c r="CA1110" s="2" t="s">
        <v>2503</v>
      </c>
      <c r="CB1110" s="2" t="s">
        <v>233</v>
      </c>
      <c r="CC1110" s="2" t="s">
        <v>246</v>
      </c>
      <c r="CD1110" s="2" t="s">
        <v>233</v>
      </c>
      <c r="CE1110" s="4"/>
      <c r="CF1110" s="4">
        <v>84</v>
      </c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</row>
    <row r="1111">
      <c r="A1111" s="2" t="s">
        <v>5516</v>
      </c>
      <c r="B1111" s="2" t="s">
        <v>228</v>
      </c>
      <c r="C1111" s="2" t="s">
        <v>1335</v>
      </c>
      <c r="D1111" s="2" t="s">
        <v>969</v>
      </c>
      <c r="E1111" s="2" t="s">
        <v>970</v>
      </c>
      <c r="F1111" s="2" t="s">
        <v>5517</v>
      </c>
      <c r="G1111" s="2" t="s">
        <v>5517</v>
      </c>
      <c r="H1111" s="2" t="s">
        <v>5517</v>
      </c>
      <c r="I1111" s="2" t="s">
        <v>5518</v>
      </c>
      <c r="J1111" s="2" t="s">
        <v>270</v>
      </c>
      <c r="K1111" s="2" t="s">
        <v>257</v>
      </c>
      <c r="L1111" s="3">
        <v>25.3</v>
      </c>
      <c r="M1111" s="3">
        <v>26.56</v>
      </c>
      <c r="N1111" s="3">
        <v>54.99</v>
      </c>
      <c r="O1111" s="2" t="s">
        <v>245</v>
      </c>
      <c r="P1111" s="2" t="s">
        <v>272</v>
      </c>
      <c r="Q1111" s="2" t="s">
        <v>239</v>
      </c>
      <c r="R1111" s="2" t="s">
        <v>233</v>
      </c>
      <c r="S1111" s="2" t="s">
        <v>5519</v>
      </c>
      <c r="T1111" s="2" t="s">
        <v>5238</v>
      </c>
      <c r="U1111" s="2" t="s">
        <v>491</v>
      </c>
      <c r="V1111" s="2" t="s">
        <v>1340</v>
      </c>
      <c r="W1111" s="2" t="s">
        <v>978</v>
      </c>
      <c r="X1111" s="2" t="s">
        <v>233</v>
      </c>
      <c r="Y1111" s="2" t="s">
        <v>5520</v>
      </c>
      <c r="Z1111" s="4"/>
      <c r="AA1111" s="4">
        <f>=ROUNDDOWN({0},0)</f>
      </c>
      <c r="AB1111" s="5">
        <v>10</v>
      </c>
      <c r="AC1111" s="2" t="s">
        <v>1341</v>
      </c>
      <c r="AD1111" s="4">
        <v>130</v>
      </c>
      <c r="AE1111" s="4">
        <v>130</v>
      </c>
      <c r="AF1111" s="6">
        <v>65</v>
      </c>
      <c r="AG1111" s="6"/>
      <c r="AH1111" s="7">
        <v>0</v>
      </c>
      <c r="AI1111" s="4"/>
      <c r="AJ1111" s="4">
        <f>=ROUNDDOWN({0},0)</f>
      </c>
      <c r="AK1111" s="5"/>
      <c r="AL1111" s="2" t="s">
        <v>233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/>
      <c r="BK1111" s="8"/>
      <c r="BL1111" s="2" t="s">
        <v>2554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5521</v>
      </c>
      <c r="BV1111" s="2" t="s">
        <v>233</v>
      </c>
      <c r="BW1111" s="2" t="s">
        <v>233</v>
      </c>
      <c r="BX1111" s="2" t="s">
        <v>233</v>
      </c>
      <c r="BY1111" s="2" t="s">
        <v>280</v>
      </c>
      <c r="BZ1111" s="2" t="s">
        <v>245</v>
      </c>
      <c r="CA1111" s="2" t="s">
        <v>4365</v>
      </c>
      <c r="CB1111" s="2" t="s">
        <v>5522</v>
      </c>
      <c r="CC1111" s="2" t="s">
        <v>246</v>
      </c>
      <c r="CD1111" s="2" t="s">
        <v>233</v>
      </c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>
        <v>130</v>
      </c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</row>
    <row r="1112">
      <c r="A1112" s="2" t="s">
        <v>5523</v>
      </c>
      <c r="B1112" s="2" t="s">
        <v>1066</v>
      </c>
      <c r="C1112" s="2" t="s">
        <v>530</v>
      </c>
      <c r="D1112" s="2" t="s">
        <v>1067</v>
      </c>
      <c r="E1112" s="2" t="s">
        <v>1068</v>
      </c>
      <c r="F1112" s="2" t="s">
        <v>5524</v>
      </c>
      <c r="G1112" s="2" t="s">
        <v>5525</v>
      </c>
      <c r="H1112" s="2" t="s">
        <v>5526</v>
      </c>
      <c r="I1112" s="2" t="s">
        <v>5527</v>
      </c>
      <c r="J1112" s="2" t="s">
        <v>892</v>
      </c>
      <c r="K1112" s="2" t="s">
        <v>5528</v>
      </c>
      <c r="L1112" s="3">
        <v>195.5</v>
      </c>
      <c r="M1112" s="3">
        <v>205.28</v>
      </c>
      <c r="N1112" s="3">
        <v>409</v>
      </c>
      <c r="O1112" s="2" t="s">
        <v>237</v>
      </c>
      <c r="P1112" s="2" t="s">
        <v>311</v>
      </c>
      <c r="Q1112" s="2" t="s">
        <v>239</v>
      </c>
      <c r="R1112" s="2" t="s">
        <v>233</v>
      </c>
      <c r="S1112" s="2" t="s">
        <v>233</v>
      </c>
      <c r="T1112" s="2" t="s">
        <v>233</v>
      </c>
      <c r="U1112" s="2" t="s">
        <v>396</v>
      </c>
      <c r="V1112" s="2" t="s">
        <v>893</v>
      </c>
      <c r="W1112" s="2" t="s">
        <v>451</v>
      </c>
      <c r="X1112" s="2" t="s">
        <v>397</v>
      </c>
      <c r="Y1112" s="2" t="s">
        <v>5479</v>
      </c>
      <c r="Z1112" s="4">
        <v>89</v>
      </c>
      <c r="AA1112" s="4">
        <f>=ROUNDDOWN(222.5,0)</f>
      </c>
      <c r="AB1112" s="5">
        <v>0.4</v>
      </c>
      <c r="AC1112" s="2" t="s">
        <v>233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233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>
        <v>2</v>
      </c>
      <c r="BK1112" s="8">
        <v>465.5</v>
      </c>
      <c r="BL1112" s="2" t="s">
        <v>744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5529</v>
      </c>
      <c r="BV1112" s="2" t="s">
        <v>233</v>
      </c>
      <c r="BW1112" s="2" t="s">
        <v>233</v>
      </c>
      <c r="BX1112" s="2" t="s">
        <v>233</v>
      </c>
      <c r="BY1112" s="2" t="s">
        <v>280</v>
      </c>
      <c r="BZ1112" s="2" t="s">
        <v>245</v>
      </c>
      <c r="CA1112" s="2" t="s">
        <v>5479</v>
      </c>
      <c r="CB1112" s="2" t="s">
        <v>1000</v>
      </c>
      <c r="CC1112" s="2" t="s">
        <v>246</v>
      </c>
      <c r="CD1112" s="2" t="s">
        <v>233</v>
      </c>
      <c r="CE1112" s="4"/>
      <c r="CF1112" s="4">
        <v>89</v>
      </c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</row>
    <row r="1113">
      <c r="A1113" s="2" t="s">
        <v>5530</v>
      </c>
      <c r="B1113" s="2" t="s">
        <v>1242</v>
      </c>
      <c r="C1113" s="2" t="s">
        <v>3135</v>
      </c>
      <c r="D1113" s="2" t="s">
        <v>1194</v>
      </c>
      <c r="E1113" s="2" t="s">
        <v>1987</v>
      </c>
      <c r="F1113" s="2" t="s">
        <v>5531</v>
      </c>
      <c r="G1113" s="2" t="s">
        <v>5531</v>
      </c>
      <c r="H1113" s="2" t="s">
        <v>5531</v>
      </c>
      <c r="I1113" s="2" t="s">
        <v>2497</v>
      </c>
      <c r="J1113" s="2" t="s">
        <v>2498</v>
      </c>
      <c r="K1113" s="2" t="s">
        <v>297</v>
      </c>
      <c r="L1113" s="3">
        <v>21.66</v>
      </c>
      <c r="M1113" s="3">
        <v>22.74</v>
      </c>
      <c r="N1113" s="3">
        <v>69.99</v>
      </c>
      <c r="O1113" s="2" t="s">
        <v>245</v>
      </c>
      <c r="P1113" s="2" t="s">
        <v>311</v>
      </c>
      <c r="Q1113" s="2" t="s">
        <v>239</v>
      </c>
      <c r="R1113" s="2" t="s">
        <v>233</v>
      </c>
      <c r="S1113" s="2" t="s">
        <v>233</v>
      </c>
      <c r="T1113" s="2" t="s">
        <v>2188</v>
      </c>
      <c r="U1113" s="2" t="s">
        <v>233</v>
      </c>
      <c r="V1113" s="2" t="s">
        <v>5532</v>
      </c>
      <c r="W1113" s="2" t="s">
        <v>451</v>
      </c>
      <c r="X1113" s="2" t="s">
        <v>233</v>
      </c>
      <c r="Y1113" s="2" t="s">
        <v>2272</v>
      </c>
      <c r="Z1113" s="4">
        <v>164</v>
      </c>
      <c r="AA1113" s="4">
        <f>=ROUNDDOWN(82,0)</f>
      </c>
      <c r="AB1113" s="5">
        <v>2</v>
      </c>
      <c r="AC1113" s="2" t="s">
        <v>233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233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/>
      <c r="BD1113" s="8"/>
      <c r="BE1113" s="4"/>
      <c r="BF1113" s="8"/>
      <c r="BG1113" s="7"/>
      <c r="BH1113" s="7"/>
      <c r="BI1113" s="7"/>
      <c r="BJ1113" s="4">
        <v>6</v>
      </c>
      <c r="BK1113" s="8">
        <v>149.64</v>
      </c>
      <c r="BL1113" s="2" t="s">
        <v>1041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5533</v>
      </c>
      <c r="BV1113" s="2" t="s">
        <v>233</v>
      </c>
      <c r="BW1113" s="2" t="s">
        <v>233</v>
      </c>
      <c r="BX1113" s="2" t="s">
        <v>233</v>
      </c>
      <c r="BY1113" s="2" t="s">
        <v>280</v>
      </c>
      <c r="BZ1113" s="2" t="s">
        <v>245</v>
      </c>
      <c r="CA1113" s="2" t="s">
        <v>1613</v>
      </c>
      <c r="CB1113" s="2" t="s">
        <v>5534</v>
      </c>
      <c r="CC1113" s="2" t="s">
        <v>246</v>
      </c>
      <c r="CD1113" s="2" t="s">
        <v>233</v>
      </c>
      <c r="CE1113" s="4">
        <v>164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</row>
    <row r="1114">
      <c r="A1114" s="2" t="s">
        <v>5535</v>
      </c>
      <c r="B1114" s="2" t="s">
        <v>1414</v>
      </c>
      <c r="C1114" s="2" t="s">
        <v>530</v>
      </c>
      <c r="D1114" s="2" t="s">
        <v>1414</v>
      </c>
      <c r="E1114" s="2" t="s">
        <v>1414</v>
      </c>
      <c r="F1114" s="2" t="s">
        <v>5536</v>
      </c>
      <c r="G1114" s="2" t="s">
        <v>5537</v>
      </c>
      <c r="H1114" s="2" t="s">
        <v>5538</v>
      </c>
      <c r="I1114" s="2" t="s">
        <v>5539</v>
      </c>
      <c r="J1114" s="2" t="s">
        <v>1808</v>
      </c>
      <c r="K1114" s="2" t="s">
        <v>5540</v>
      </c>
      <c r="L1114" s="3">
        <v>96</v>
      </c>
      <c r="M1114" s="3">
        <v>100.8</v>
      </c>
      <c r="N1114" s="3">
        <v>199.99</v>
      </c>
      <c r="O1114" s="2" t="s">
        <v>252</v>
      </c>
      <c r="P1114" s="2" t="s">
        <v>311</v>
      </c>
      <c r="Q1114" s="2" t="s">
        <v>239</v>
      </c>
      <c r="R1114" s="2" t="s">
        <v>233</v>
      </c>
      <c r="S1114" s="2" t="s">
        <v>233</v>
      </c>
      <c r="T1114" s="2" t="s">
        <v>233</v>
      </c>
      <c r="U1114" s="2" t="s">
        <v>396</v>
      </c>
      <c r="V1114" s="2" t="s">
        <v>921</v>
      </c>
      <c r="W1114" s="2" t="s">
        <v>397</v>
      </c>
      <c r="X1114" s="2" t="s">
        <v>233</v>
      </c>
      <c r="Y1114" s="2" t="s">
        <v>5178</v>
      </c>
      <c r="Z1114" s="4"/>
      <c r="AA1114" s="4">
        <f>=ROUNDDOWN({0},0)</f>
      </c>
      <c r="AB1114" s="5">
        <v>0.1</v>
      </c>
      <c r="AC1114" s="2" t="s">
        <v>233</v>
      </c>
      <c r="AD1114" s="4"/>
      <c r="AE1114" s="4"/>
      <c r="AF1114" s="6"/>
      <c r="AG1114" s="6"/>
      <c r="AH1114" s="7">
        <v>0</v>
      </c>
      <c r="AI1114" s="4"/>
      <c r="AJ1114" s="4">
        <f>=ROUNDDOWN({0},0)</f>
      </c>
      <c r="AK1114" s="5"/>
      <c r="AL1114" s="2" t="s">
        <v>233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/>
      <c r="BK1114" s="8"/>
      <c r="BL1114" s="2" t="s">
        <v>744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5541</v>
      </c>
      <c r="BV1114" s="2" t="s">
        <v>233</v>
      </c>
      <c r="BW1114" s="2" t="s">
        <v>233</v>
      </c>
      <c r="BX1114" s="2" t="s">
        <v>233</v>
      </c>
      <c r="BY1114" s="2" t="s">
        <v>280</v>
      </c>
      <c r="BZ1114" s="2" t="s">
        <v>245</v>
      </c>
      <c r="CA1114" s="2" t="s">
        <v>5542</v>
      </c>
      <c r="CB1114" s="2" t="s">
        <v>5543</v>
      </c>
      <c r="CC1114" s="2" t="s">
        <v>246</v>
      </c>
      <c r="CD1114" s="2" t="s">
        <v>233</v>
      </c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</row>
    <row r="1115">
      <c r="A1115" s="2" t="s">
        <v>5544</v>
      </c>
      <c r="B1115" s="2" t="s">
        <v>928</v>
      </c>
      <c r="C1115" s="2" t="s">
        <v>947</v>
      </c>
      <c r="D1115" s="2" t="s">
        <v>961</v>
      </c>
      <c r="E1115" s="2" t="s">
        <v>939</v>
      </c>
      <c r="F1115" s="2" t="s">
        <v>5545</v>
      </c>
      <c r="G1115" s="2" t="s">
        <v>5545</v>
      </c>
      <c r="H1115" s="2" t="s">
        <v>5545</v>
      </c>
      <c r="I1115" s="2" t="s">
        <v>963</v>
      </c>
      <c r="J1115" s="2" t="s">
        <v>892</v>
      </c>
      <c r="K1115" s="2" t="s">
        <v>950</v>
      </c>
      <c r="L1115" s="3">
        <v>27.4</v>
      </c>
      <c r="M1115" s="3">
        <v>28.77</v>
      </c>
      <c r="N1115" s="3">
        <v>59.49</v>
      </c>
      <c r="O1115" s="2" t="s">
        <v>245</v>
      </c>
      <c r="P1115" s="2" t="s">
        <v>311</v>
      </c>
      <c r="Q1115" s="2" t="s">
        <v>239</v>
      </c>
      <c r="R1115" s="2" t="s">
        <v>233</v>
      </c>
      <c r="S1115" s="2" t="s">
        <v>5546</v>
      </c>
      <c r="T1115" s="2" t="s">
        <v>233</v>
      </c>
      <c r="U1115" s="2" t="s">
        <v>396</v>
      </c>
      <c r="V1115" s="2" t="s">
        <v>952</v>
      </c>
      <c r="W1115" s="2" t="s">
        <v>776</v>
      </c>
      <c r="X1115" s="2" t="s">
        <v>953</v>
      </c>
      <c r="Y1115" s="2" t="s">
        <v>954</v>
      </c>
      <c r="Z1115" s="4">
        <v>63</v>
      </c>
      <c r="AA1115" s="4">
        <f>=ROUNDDOWN(37.0588235294118,0)</f>
      </c>
      <c r="AB1115" s="5">
        <v>1.7</v>
      </c>
      <c r="AC1115" s="2" t="s">
        <v>233</v>
      </c>
      <c r="AD1115" s="4"/>
      <c r="AE1115" s="4"/>
      <c r="AF1115" s="6">
        <v>63</v>
      </c>
      <c r="AG1115" s="6"/>
      <c r="AH1115" s="7">
        <v>1</v>
      </c>
      <c r="AI1115" s="4"/>
      <c r="AJ1115" s="4">
        <f>=ROUNDDOWN({0},0)</f>
      </c>
      <c r="AK1115" s="5"/>
      <c r="AL1115" s="2" t="s">
        <v>233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>
        <v>8</v>
      </c>
      <c r="BK1115" s="8">
        <v>231.32</v>
      </c>
      <c r="BL1115" s="2" t="s">
        <v>5547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5548</v>
      </c>
      <c r="BV1115" s="2" t="s">
        <v>233</v>
      </c>
      <c r="BW1115" s="2" t="s">
        <v>233</v>
      </c>
      <c r="BX1115" s="2" t="s">
        <v>243</v>
      </c>
      <c r="BY1115" s="2" t="s">
        <v>280</v>
      </c>
      <c r="BZ1115" s="2" t="s">
        <v>245</v>
      </c>
      <c r="CA1115" s="2" t="s">
        <v>958</v>
      </c>
      <c r="CB1115" s="2" t="s">
        <v>5549</v>
      </c>
      <c r="CC1115" s="2" t="s">
        <v>246</v>
      </c>
      <c r="CD1115" s="2" t="s">
        <v>233</v>
      </c>
      <c r="CE1115" s="4"/>
      <c r="CF1115" s="4">
        <v>63</v>
      </c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</row>
    <row r="1116">
      <c r="A1116" s="2" t="s">
        <v>5550</v>
      </c>
      <c r="B1116" s="2" t="s">
        <v>1066</v>
      </c>
      <c r="C1116" s="2" t="s">
        <v>530</v>
      </c>
      <c r="D1116" s="2" t="s">
        <v>5551</v>
      </c>
      <c r="E1116" s="2" t="s">
        <v>5552</v>
      </c>
      <c r="F1116" s="2" t="s">
        <v>5553</v>
      </c>
      <c r="G1116" s="2" t="s">
        <v>5554</v>
      </c>
      <c r="H1116" s="2" t="s">
        <v>5555</v>
      </c>
      <c r="I1116" s="2" t="s">
        <v>5552</v>
      </c>
      <c r="J1116" s="2" t="s">
        <v>892</v>
      </c>
      <c r="K1116" s="2" t="s">
        <v>1191</v>
      </c>
      <c r="L1116" s="3">
        <v>475</v>
      </c>
      <c r="M1116" s="3">
        <v>498.75</v>
      </c>
      <c r="N1116" s="3">
        <v>999</v>
      </c>
      <c r="O1116" s="2" t="s">
        <v>245</v>
      </c>
      <c r="P1116" s="2" t="s">
        <v>311</v>
      </c>
      <c r="Q1116" s="2" t="s">
        <v>239</v>
      </c>
      <c r="R1116" s="2" t="s">
        <v>233</v>
      </c>
      <c r="S1116" s="2" t="s">
        <v>5556</v>
      </c>
      <c r="T1116" s="2" t="s">
        <v>233</v>
      </c>
      <c r="U1116" s="2" t="s">
        <v>233</v>
      </c>
      <c r="V1116" s="2" t="s">
        <v>241</v>
      </c>
      <c r="W1116" s="2" t="s">
        <v>451</v>
      </c>
      <c r="X1116" s="2" t="s">
        <v>233</v>
      </c>
      <c r="Y1116" s="2" t="s">
        <v>5557</v>
      </c>
      <c r="Z1116" s="4">
        <v>88</v>
      </c>
      <c r="AA1116" s="4">
        <f>=ROUNDDOWN(110,0)</f>
      </c>
      <c r="AB1116" s="5">
        <v>0.8</v>
      </c>
      <c r="AC1116" s="2" t="s">
        <v>233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233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/>
      <c r="BD1116" s="8"/>
      <c r="BE1116" s="4"/>
      <c r="BF1116" s="8"/>
      <c r="BG1116" s="7"/>
      <c r="BH1116" s="7"/>
      <c r="BI1116" s="7"/>
      <c r="BJ1116" s="4">
        <v>3</v>
      </c>
      <c r="BK1116" s="8">
        <v>1429.68</v>
      </c>
      <c r="BL1116" s="2" t="s">
        <v>1023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5558</v>
      </c>
      <c r="BV1116" s="2" t="s">
        <v>233</v>
      </c>
      <c r="BW1116" s="2" t="s">
        <v>233</v>
      </c>
      <c r="BX1116" s="2" t="s">
        <v>233</v>
      </c>
      <c r="BY1116" s="2" t="s">
        <v>280</v>
      </c>
      <c r="BZ1116" s="2" t="s">
        <v>245</v>
      </c>
      <c r="CA1116" s="2" t="s">
        <v>1306</v>
      </c>
      <c r="CB1116" s="2" t="s">
        <v>5559</v>
      </c>
      <c r="CC1116" s="2" t="s">
        <v>246</v>
      </c>
      <c r="CD1116" s="2" t="s">
        <v>233</v>
      </c>
      <c r="CE1116" s="4"/>
      <c r="CF1116" s="4">
        <v>88</v>
      </c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</row>
    <row r="1117">
      <c r="A1117" s="2" t="s">
        <v>5560</v>
      </c>
      <c r="B1117" s="2" t="s">
        <v>264</v>
      </c>
      <c r="C1117" s="2" t="s">
        <v>1050</v>
      </c>
      <c r="D1117" s="2" t="s">
        <v>230</v>
      </c>
      <c r="E1117" s="2" t="s">
        <v>3058</v>
      </c>
      <c r="F1117" s="2" t="s">
        <v>5561</v>
      </c>
      <c r="G1117" s="2" t="s">
        <v>5561</v>
      </c>
      <c r="H1117" s="2" t="s">
        <v>5561</v>
      </c>
      <c r="I1117" s="2" t="s">
        <v>5562</v>
      </c>
      <c r="J1117" s="2" t="s">
        <v>270</v>
      </c>
      <c r="K1117" s="2" t="s">
        <v>297</v>
      </c>
      <c r="L1117" s="3">
        <v>28.57</v>
      </c>
      <c r="M1117" s="3">
        <v>30</v>
      </c>
      <c r="N1117" s="3">
        <v>59.99</v>
      </c>
      <c r="O1117" s="2" t="s">
        <v>245</v>
      </c>
      <c r="P1117" s="2" t="s">
        <v>311</v>
      </c>
      <c r="Q1117" s="2" t="s">
        <v>239</v>
      </c>
      <c r="R1117" s="2" t="s">
        <v>233</v>
      </c>
      <c r="S1117" s="2" t="s">
        <v>5563</v>
      </c>
      <c r="T1117" s="2" t="s">
        <v>233</v>
      </c>
      <c r="U1117" s="2" t="s">
        <v>233</v>
      </c>
      <c r="V1117" s="2" t="s">
        <v>241</v>
      </c>
      <c r="W1117" s="2" t="s">
        <v>275</v>
      </c>
      <c r="X1117" s="2" t="s">
        <v>233</v>
      </c>
      <c r="Y1117" s="2" t="s">
        <v>1357</v>
      </c>
      <c r="Z1117" s="4">
        <v>118</v>
      </c>
      <c r="AA1117" s="4">
        <f>=ROUNDDOWN(23.6,0)</f>
      </c>
      <c r="AB1117" s="5">
        <v>5</v>
      </c>
      <c r="AC1117" s="2" t="s">
        <v>2388</v>
      </c>
      <c r="AD1117" s="4">
        <v>110</v>
      </c>
      <c r="AE1117" s="4">
        <v>110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233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233</v>
      </c>
      <c r="AW1117" s="8" t="s">
        <v>233</v>
      </c>
      <c r="AX1117" s="4" t="s">
        <v>233</v>
      </c>
      <c r="AY1117" s="8" t="s">
        <v>233</v>
      </c>
      <c r="AZ1117" s="7" t="s">
        <v>233</v>
      </c>
      <c r="BA1117" s="7" t="s">
        <v>233</v>
      </c>
      <c r="BB1117" s="7"/>
      <c r="BC1117" s="4" t="s">
        <v>233</v>
      </c>
      <c r="BD1117" s="8" t="s">
        <v>233</v>
      </c>
      <c r="BE1117" s="4" t="s">
        <v>233</v>
      </c>
      <c r="BF1117" s="8" t="s">
        <v>233</v>
      </c>
      <c r="BG1117" s="7" t="s">
        <v>233</v>
      </c>
      <c r="BH1117" s="7" t="s">
        <v>233</v>
      </c>
      <c r="BI1117" s="7"/>
      <c r="BJ1117" s="4">
        <v>10</v>
      </c>
      <c r="BK1117" s="8">
        <v>321.6</v>
      </c>
      <c r="BL1117" s="2" t="s">
        <v>5564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5565</v>
      </c>
      <c r="BV1117" s="2" t="s">
        <v>233</v>
      </c>
      <c r="BW1117" s="2" t="s">
        <v>233</v>
      </c>
      <c r="BX1117" s="2" t="s">
        <v>233</v>
      </c>
      <c r="BY1117" s="2" t="s">
        <v>280</v>
      </c>
      <c r="BZ1117" s="2" t="s">
        <v>245</v>
      </c>
      <c r="CA1117" s="2" t="s">
        <v>3465</v>
      </c>
      <c r="CB1117" s="2" t="s">
        <v>2354</v>
      </c>
      <c r="CC1117" s="2" t="s">
        <v>246</v>
      </c>
      <c r="CD1117" s="2" t="s">
        <v>233</v>
      </c>
      <c r="CE1117" s="4">
        <v>118</v>
      </c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>
        <v>110</v>
      </c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</row>
    <row r="1118">
      <c r="A1118" s="2" t="s">
        <v>5566</v>
      </c>
      <c r="B1118" s="2" t="s">
        <v>264</v>
      </c>
      <c r="C1118" s="2" t="s">
        <v>1050</v>
      </c>
      <c r="D1118" s="2" t="s">
        <v>230</v>
      </c>
      <c r="E1118" s="2" t="s">
        <v>3058</v>
      </c>
      <c r="F1118" s="2" t="s">
        <v>5561</v>
      </c>
      <c r="G1118" s="2" t="s">
        <v>5561</v>
      </c>
      <c r="H1118" s="2" t="s">
        <v>5561</v>
      </c>
      <c r="I1118" s="2" t="s">
        <v>5562</v>
      </c>
      <c r="J1118" s="2" t="s">
        <v>981</v>
      </c>
      <c r="K1118" s="2" t="s">
        <v>297</v>
      </c>
      <c r="L1118" s="3">
        <v>33.33</v>
      </c>
      <c r="M1118" s="3">
        <v>35</v>
      </c>
      <c r="N1118" s="3">
        <v>69.99</v>
      </c>
      <c r="O1118" s="2" t="s">
        <v>245</v>
      </c>
      <c r="P1118" s="2" t="s">
        <v>311</v>
      </c>
      <c r="Q1118" s="2" t="s">
        <v>239</v>
      </c>
      <c r="R1118" s="2" t="s">
        <v>233</v>
      </c>
      <c r="S1118" s="2" t="s">
        <v>5563</v>
      </c>
      <c r="T1118" s="2" t="s">
        <v>233</v>
      </c>
      <c r="U1118" s="2" t="s">
        <v>233</v>
      </c>
      <c r="V1118" s="2" t="s">
        <v>241</v>
      </c>
      <c r="W1118" s="2" t="s">
        <v>275</v>
      </c>
      <c r="X1118" s="2" t="s">
        <v>233</v>
      </c>
      <c r="Y1118" s="2" t="s">
        <v>1357</v>
      </c>
      <c r="Z1118" s="4">
        <v>245</v>
      </c>
      <c r="AA1118" s="4">
        <f>=ROUNDDOWN(18.8461538461538,0)</f>
      </c>
      <c r="AB1118" s="5">
        <v>13</v>
      </c>
      <c r="AC1118" s="2" t="s">
        <v>2388</v>
      </c>
      <c r="AD1118" s="4">
        <v>100</v>
      </c>
      <c r="AE1118" s="4">
        <v>100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233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233</v>
      </c>
      <c r="AW1118" s="8" t="s">
        <v>233</v>
      </c>
      <c r="AX1118" s="4" t="s">
        <v>233</v>
      </c>
      <c r="AY1118" s="8" t="s">
        <v>233</v>
      </c>
      <c r="AZ1118" s="7" t="s">
        <v>233</v>
      </c>
      <c r="BA1118" s="7" t="s">
        <v>233</v>
      </c>
      <c r="BB1118" s="7"/>
      <c r="BC1118" s="4" t="s">
        <v>233</v>
      </c>
      <c r="BD1118" s="8" t="s">
        <v>233</v>
      </c>
      <c r="BE1118" s="4" t="s">
        <v>233</v>
      </c>
      <c r="BF1118" s="8" t="s">
        <v>233</v>
      </c>
      <c r="BG1118" s="7" t="s">
        <v>233</v>
      </c>
      <c r="BH1118" s="7" t="s">
        <v>233</v>
      </c>
      <c r="BI1118" s="7"/>
      <c r="BJ1118" s="4">
        <v>18</v>
      </c>
      <c r="BK1118" s="8">
        <v>661.29</v>
      </c>
      <c r="BL1118" s="2" t="s">
        <v>1237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5567</v>
      </c>
      <c r="BV1118" s="2" t="s">
        <v>233</v>
      </c>
      <c r="BW1118" s="2" t="s">
        <v>233</v>
      </c>
      <c r="BX1118" s="2" t="s">
        <v>233</v>
      </c>
      <c r="BY1118" s="2" t="s">
        <v>280</v>
      </c>
      <c r="BZ1118" s="2" t="s">
        <v>245</v>
      </c>
      <c r="CA1118" s="2" t="s">
        <v>3465</v>
      </c>
      <c r="CB1118" s="2" t="s">
        <v>1963</v>
      </c>
      <c r="CC1118" s="2" t="s">
        <v>246</v>
      </c>
      <c r="CD1118" s="2" t="s">
        <v>233</v>
      </c>
      <c r="CE1118" s="4">
        <v>245</v>
      </c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>
        <v>100</v>
      </c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</row>
    <row r="1119">
      <c r="A1119" s="2" t="s">
        <v>5568</v>
      </c>
      <c r="B1119" s="2" t="s">
        <v>264</v>
      </c>
      <c r="C1119" s="2" t="s">
        <v>1050</v>
      </c>
      <c r="D1119" s="2" t="s">
        <v>230</v>
      </c>
      <c r="E1119" s="2" t="s">
        <v>3058</v>
      </c>
      <c r="F1119" s="2" t="s">
        <v>5561</v>
      </c>
      <c r="G1119" s="2" t="s">
        <v>5561</v>
      </c>
      <c r="H1119" s="2" t="s">
        <v>5561</v>
      </c>
      <c r="I1119" s="2" t="s">
        <v>5562</v>
      </c>
      <c r="J1119" s="2" t="s">
        <v>328</v>
      </c>
      <c r="K1119" s="2" t="s">
        <v>297</v>
      </c>
      <c r="L1119" s="3">
        <v>38.09</v>
      </c>
      <c r="M1119" s="3">
        <v>39.99</v>
      </c>
      <c r="N1119" s="3">
        <v>79.99</v>
      </c>
      <c r="O1119" s="2" t="s">
        <v>245</v>
      </c>
      <c r="P1119" s="2" t="s">
        <v>311</v>
      </c>
      <c r="Q1119" s="2" t="s">
        <v>239</v>
      </c>
      <c r="R1119" s="2" t="s">
        <v>233</v>
      </c>
      <c r="S1119" s="2" t="s">
        <v>5563</v>
      </c>
      <c r="T1119" s="2" t="s">
        <v>233</v>
      </c>
      <c r="U1119" s="2" t="s">
        <v>233</v>
      </c>
      <c r="V1119" s="2" t="s">
        <v>241</v>
      </c>
      <c r="W1119" s="2" t="s">
        <v>275</v>
      </c>
      <c r="X1119" s="2" t="s">
        <v>233</v>
      </c>
      <c r="Y1119" s="2" t="s">
        <v>1357</v>
      </c>
      <c r="Z1119" s="4">
        <v>264</v>
      </c>
      <c r="AA1119" s="4">
        <f>=ROUNDDOWN(22,0)</f>
      </c>
      <c r="AB1119" s="5">
        <v>12</v>
      </c>
      <c r="AC1119" s="2" t="s">
        <v>2388</v>
      </c>
      <c r="AD1119" s="4">
        <v>100</v>
      </c>
      <c r="AE1119" s="4">
        <v>100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233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233</v>
      </c>
      <c r="AW1119" s="8" t="s">
        <v>233</v>
      </c>
      <c r="AX1119" s="4" t="s">
        <v>233</v>
      </c>
      <c r="AY1119" s="8" t="s">
        <v>233</v>
      </c>
      <c r="AZ1119" s="7" t="s">
        <v>233</v>
      </c>
      <c r="BA1119" s="7" t="s">
        <v>233</v>
      </c>
      <c r="BB1119" s="7"/>
      <c r="BC1119" s="4" t="s">
        <v>233</v>
      </c>
      <c r="BD1119" s="8" t="s">
        <v>233</v>
      </c>
      <c r="BE1119" s="4" t="s">
        <v>233</v>
      </c>
      <c r="BF1119" s="8" t="s">
        <v>233</v>
      </c>
      <c r="BG1119" s="7" t="s">
        <v>233</v>
      </c>
      <c r="BH1119" s="7" t="s">
        <v>233</v>
      </c>
      <c r="BI1119" s="7"/>
      <c r="BJ1119" s="4">
        <v>11</v>
      </c>
      <c r="BK1119" s="8">
        <v>461.22</v>
      </c>
      <c r="BL1119" s="2" t="s">
        <v>1237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5569</v>
      </c>
      <c r="BV1119" s="2" t="s">
        <v>233</v>
      </c>
      <c r="BW1119" s="2" t="s">
        <v>233</v>
      </c>
      <c r="BX1119" s="2" t="s">
        <v>233</v>
      </c>
      <c r="BY1119" s="2" t="s">
        <v>280</v>
      </c>
      <c r="BZ1119" s="2" t="s">
        <v>245</v>
      </c>
      <c r="CA1119" s="2" t="s">
        <v>3465</v>
      </c>
      <c r="CB1119" s="2" t="s">
        <v>5570</v>
      </c>
      <c r="CC1119" s="2" t="s">
        <v>246</v>
      </c>
      <c r="CD1119" s="2" t="s">
        <v>233</v>
      </c>
      <c r="CE1119" s="4">
        <v>264</v>
      </c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>
        <v>100</v>
      </c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</row>
    <row r="1120">
      <c r="A1120" s="2" t="s">
        <v>5571</v>
      </c>
      <c r="B1120" s="2" t="s">
        <v>1414</v>
      </c>
      <c r="C1120" s="2" t="s">
        <v>530</v>
      </c>
      <c r="D1120" s="2" t="s">
        <v>1414</v>
      </c>
      <c r="E1120" s="2" t="s">
        <v>1414</v>
      </c>
      <c r="F1120" s="2" t="s">
        <v>5572</v>
      </c>
      <c r="G1120" s="2" t="s">
        <v>5573</v>
      </c>
      <c r="H1120" s="2" t="s">
        <v>5574</v>
      </c>
      <c r="I1120" s="2" t="s">
        <v>5575</v>
      </c>
      <c r="J1120" s="2" t="s">
        <v>1426</v>
      </c>
      <c r="K1120" s="2" t="s">
        <v>271</v>
      </c>
      <c r="L1120" s="3">
        <v>71.5</v>
      </c>
      <c r="M1120" s="3">
        <v>75.08</v>
      </c>
      <c r="N1120" s="3">
        <v>159.99</v>
      </c>
      <c r="O1120" s="2" t="s">
        <v>245</v>
      </c>
      <c r="P1120" s="2" t="s">
        <v>311</v>
      </c>
      <c r="Q1120" s="2" t="s">
        <v>239</v>
      </c>
      <c r="R1120" s="2" t="s">
        <v>233</v>
      </c>
      <c r="S1120" s="2" t="s">
        <v>5576</v>
      </c>
      <c r="T1120" s="2" t="s">
        <v>233</v>
      </c>
      <c r="U1120" s="2" t="s">
        <v>396</v>
      </c>
      <c r="V1120" s="2" t="s">
        <v>1762</v>
      </c>
      <c r="W1120" s="2" t="s">
        <v>776</v>
      </c>
      <c r="X1120" s="2" t="s">
        <v>233</v>
      </c>
      <c r="Y1120" s="2" t="s">
        <v>1796</v>
      </c>
      <c r="Z1120" s="4">
        <v>3</v>
      </c>
      <c r="AA1120" s="4">
        <f>=ROUNDDOWN(3,0)</f>
      </c>
      <c r="AB1120" s="5">
        <v>1</v>
      </c>
      <c r="AC1120" s="2" t="s">
        <v>233</v>
      </c>
      <c r="AD1120" s="4"/>
      <c r="AE1120" s="4"/>
      <c r="AF1120" s="6">
        <v>63</v>
      </c>
      <c r="AG1120" s="6"/>
      <c r="AH1120" s="7">
        <v>1</v>
      </c>
      <c r="AI1120" s="4"/>
      <c r="AJ1120" s="4">
        <f>=ROUNDDOWN({0},0)</f>
      </c>
      <c r="AK1120" s="5"/>
      <c r="AL1120" s="2" t="s">
        <v>233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233</v>
      </c>
      <c r="BD1120" s="8" t="s">
        <v>233</v>
      </c>
      <c r="BE1120" s="4" t="s">
        <v>233</v>
      </c>
      <c r="BF1120" s="8" t="s">
        <v>233</v>
      </c>
      <c r="BG1120" s="7" t="s">
        <v>233</v>
      </c>
      <c r="BH1120" s="7" t="s">
        <v>233</v>
      </c>
      <c r="BI1120" s="7"/>
      <c r="BJ1120" s="4">
        <v>6</v>
      </c>
      <c r="BK1120" s="8">
        <v>432.44</v>
      </c>
      <c r="BL1120" s="2" t="s">
        <v>5577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5578</v>
      </c>
      <c r="BV1120" s="2" t="s">
        <v>233</v>
      </c>
      <c r="BW1120" s="2" t="s">
        <v>233</v>
      </c>
      <c r="BX1120" s="2" t="s">
        <v>233</v>
      </c>
      <c r="BY1120" s="2" t="s">
        <v>280</v>
      </c>
      <c r="BZ1120" s="2" t="s">
        <v>245</v>
      </c>
      <c r="CA1120" s="2" t="s">
        <v>5398</v>
      </c>
      <c r="CB1120" s="2" t="s">
        <v>1882</v>
      </c>
      <c r="CC1120" s="2" t="s">
        <v>246</v>
      </c>
      <c r="CD1120" s="2" t="s">
        <v>233</v>
      </c>
      <c r="CE1120" s="4"/>
      <c r="CF1120" s="4">
        <v>3</v>
      </c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</row>
    <row r="1121">
      <c r="A1121" s="2" t="s">
        <v>5579</v>
      </c>
      <c r="B1121" s="2" t="s">
        <v>1414</v>
      </c>
      <c r="C1121" s="2" t="s">
        <v>530</v>
      </c>
      <c r="D1121" s="2" t="s">
        <v>1414</v>
      </c>
      <c r="E1121" s="2" t="s">
        <v>1414</v>
      </c>
      <c r="F1121" s="2" t="s">
        <v>5572</v>
      </c>
      <c r="G1121" s="2" t="s">
        <v>5573</v>
      </c>
      <c r="H1121" s="2" t="s">
        <v>5574</v>
      </c>
      <c r="I1121" s="2" t="s">
        <v>5575</v>
      </c>
      <c r="J1121" s="2" t="s">
        <v>1418</v>
      </c>
      <c r="K1121" s="2" t="s">
        <v>255</v>
      </c>
      <c r="L1121" s="3">
        <v>49.11</v>
      </c>
      <c r="M1121" s="3">
        <v>51.57</v>
      </c>
      <c r="N1121" s="3">
        <v>109.99</v>
      </c>
      <c r="O1121" s="2" t="s">
        <v>245</v>
      </c>
      <c r="P1121" s="2" t="s">
        <v>311</v>
      </c>
      <c r="Q1121" s="2" t="s">
        <v>239</v>
      </c>
      <c r="R1121" s="2" t="s">
        <v>233</v>
      </c>
      <c r="S1121" s="2" t="s">
        <v>5580</v>
      </c>
      <c r="T1121" s="2" t="s">
        <v>233</v>
      </c>
      <c r="U1121" s="2" t="s">
        <v>396</v>
      </c>
      <c r="V1121" s="2" t="s">
        <v>1762</v>
      </c>
      <c r="W1121" s="2" t="s">
        <v>776</v>
      </c>
      <c r="X1121" s="2" t="s">
        <v>233</v>
      </c>
      <c r="Y1121" s="2" t="s">
        <v>1796</v>
      </c>
      <c r="Z1121" s="4">
        <v>9</v>
      </c>
      <c r="AA1121" s="4">
        <f>=ROUNDDOWN(22.5,0)</f>
      </c>
      <c r="AB1121" s="5">
        <v>0.4</v>
      </c>
      <c r="AC1121" s="2" t="s">
        <v>233</v>
      </c>
      <c r="AD1121" s="4"/>
      <c r="AE1121" s="4"/>
      <c r="AF1121" s="6">
        <v>63</v>
      </c>
      <c r="AG1121" s="6"/>
      <c r="AH1121" s="7">
        <v>1</v>
      </c>
      <c r="AI1121" s="4"/>
      <c r="AJ1121" s="4">
        <f>=ROUNDDOWN({0},0)</f>
      </c>
      <c r="AK1121" s="5"/>
      <c r="AL1121" s="2" t="s">
        <v>233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233</v>
      </c>
      <c r="AW1121" s="8" t="s">
        <v>233</v>
      </c>
      <c r="AX1121" s="4" t="s">
        <v>233</v>
      </c>
      <c r="AY1121" s="8" t="s">
        <v>233</v>
      </c>
      <c r="AZ1121" s="7" t="s">
        <v>233</v>
      </c>
      <c r="BA1121" s="7" t="s">
        <v>233</v>
      </c>
      <c r="BB1121" s="7"/>
      <c r="BC1121" s="4" t="s">
        <v>233</v>
      </c>
      <c r="BD1121" s="8" t="s">
        <v>233</v>
      </c>
      <c r="BE1121" s="4" t="s">
        <v>233</v>
      </c>
      <c r="BF1121" s="8" t="s">
        <v>233</v>
      </c>
      <c r="BG1121" s="7" t="s">
        <v>233</v>
      </c>
      <c r="BH1121" s="7" t="s">
        <v>233</v>
      </c>
      <c r="BI1121" s="7"/>
      <c r="BJ1121" s="4">
        <v>1</v>
      </c>
      <c r="BK1121" s="8">
        <v>54.14</v>
      </c>
      <c r="BL1121" s="2" t="s">
        <v>5581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5582</v>
      </c>
      <c r="BV1121" s="2" t="s">
        <v>233</v>
      </c>
      <c r="BW1121" s="2" t="s">
        <v>233</v>
      </c>
      <c r="BX1121" s="2" t="s">
        <v>233</v>
      </c>
      <c r="BY1121" s="2" t="s">
        <v>280</v>
      </c>
      <c r="BZ1121" s="2" t="s">
        <v>245</v>
      </c>
      <c r="CA1121" s="2" t="s">
        <v>5398</v>
      </c>
      <c r="CB1121" s="2" t="s">
        <v>233</v>
      </c>
      <c r="CC1121" s="2" t="s">
        <v>246</v>
      </c>
      <c r="CD1121" s="2" t="s">
        <v>233</v>
      </c>
      <c r="CE1121" s="4"/>
      <c r="CF1121" s="4">
        <v>9</v>
      </c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</row>
    <row r="1122">
      <c r="A1122" s="2" t="s">
        <v>5583</v>
      </c>
      <c r="B1122" s="2" t="s">
        <v>1414</v>
      </c>
      <c r="C1122" s="2" t="s">
        <v>530</v>
      </c>
      <c r="D1122" s="2" t="s">
        <v>1414</v>
      </c>
      <c r="E1122" s="2" t="s">
        <v>1414</v>
      </c>
      <c r="F1122" s="2" t="s">
        <v>5572</v>
      </c>
      <c r="G1122" s="2" t="s">
        <v>5573</v>
      </c>
      <c r="H1122" s="2" t="s">
        <v>5574</v>
      </c>
      <c r="I1122" s="2" t="s">
        <v>5575</v>
      </c>
      <c r="J1122" s="2" t="s">
        <v>1426</v>
      </c>
      <c r="K1122" s="2" t="s">
        <v>255</v>
      </c>
      <c r="L1122" s="3">
        <v>71.5</v>
      </c>
      <c r="M1122" s="3">
        <v>75.08</v>
      </c>
      <c r="N1122" s="3">
        <v>159.99</v>
      </c>
      <c r="O1122" s="2" t="s">
        <v>245</v>
      </c>
      <c r="P1122" s="2" t="s">
        <v>311</v>
      </c>
      <c r="Q1122" s="2" t="s">
        <v>239</v>
      </c>
      <c r="R1122" s="2" t="s">
        <v>233</v>
      </c>
      <c r="S1122" s="2" t="s">
        <v>5580</v>
      </c>
      <c r="T1122" s="2" t="s">
        <v>233</v>
      </c>
      <c r="U1122" s="2" t="s">
        <v>396</v>
      </c>
      <c r="V1122" s="2" t="s">
        <v>1762</v>
      </c>
      <c r="W1122" s="2" t="s">
        <v>776</v>
      </c>
      <c r="X1122" s="2" t="s">
        <v>233</v>
      </c>
      <c r="Y1122" s="2" t="s">
        <v>1796</v>
      </c>
      <c r="Z1122" s="4">
        <v>12</v>
      </c>
      <c r="AA1122" s="4">
        <f>=ROUNDDOWN(40,0)</f>
      </c>
      <c r="AB1122" s="5">
        <v>0.3</v>
      </c>
      <c r="AC1122" s="2" t="s">
        <v>233</v>
      </c>
      <c r="AD1122" s="4"/>
      <c r="AE1122" s="4"/>
      <c r="AF1122" s="6">
        <v>63</v>
      </c>
      <c r="AG1122" s="6"/>
      <c r="AH1122" s="7">
        <v>1</v>
      </c>
      <c r="AI1122" s="4"/>
      <c r="AJ1122" s="4">
        <f>=ROUNDDOWN({0},0)</f>
      </c>
      <c r="AK1122" s="5"/>
      <c r="AL1122" s="2" t="s">
        <v>233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233</v>
      </c>
      <c r="AW1122" s="8" t="s">
        <v>233</v>
      </c>
      <c r="AX1122" s="4" t="s">
        <v>233</v>
      </c>
      <c r="AY1122" s="8" t="s">
        <v>233</v>
      </c>
      <c r="AZ1122" s="7" t="s">
        <v>233</v>
      </c>
      <c r="BA1122" s="7" t="s">
        <v>233</v>
      </c>
      <c r="BB1122" s="7"/>
      <c r="BC1122" s="4" t="s">
        <v>233</v>
      </c>
      <c r="BD1122" s="8" t="s">
        <v>233</v>
      </c>
      <c r="BE1122" s="4" t="s">
        <v>233</v>
      </c>
      <c r="BF1122" s="8" t="s">
        <v>233</v>
      </c>
      <c r="BG1122" s="7" t="s">
        <v>233</v>
      </c>
      <c r="BH1122" s="7" t="s">
        <v>233</v>
      </c>
      <c r="BI1122" s="7"/>
      <c r="BJ1122" s="4">
        <v>2</v>
      </c>
      <c r="BK1122" s="8">
        <v>175.3</v>
      </c>
      <c r="BL1122" s="2" t="s">
        <v>5584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5585</v>
      </c>
      <c r="BV1122" s="2" t="s">
        <v>233</v>
      </c>
      <c r="BW1122" s="2" t="s">
        <v>233</v>
      </c>
      <c r="BX1122" s="2" t="s">
        <v>233</v>
      </c>
      <c r="BY1122" s="2" t="s">
        <v>280</v>
      </c>
      <c r="BZ1122" s="2" t="s">
        <v>245</v>
      </c>
      <c r="CA1122" s="2" t="s">
        <v>5398</v>
      </c>
      <c r="CB1122" s="2" t="s">
        <v>5586</v>
      </c>
      <c r="CC1122" s="2" t="s">
        <v>246</v>
      </c>
      <c r="CD1122" s="2" t="s">
        <v>233</v>
      </c>
      <c r="CE1122" s="4"/>
      <c r="CF1122" s="4">
        <v>12</v>
      </c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</row>
    <row r="1123">
      <c r="A1123" s="2" t="s">
        <v>5587</v>
      </c>
      <c r="B1123" s="2" t="s">
        <v>1242</v>
      </c>
      <c r="C1123" s="2" t="s">
        <v>530</v>
      </c>
      <c r="D1123" s="2" t="s">
        <v>1862</v>
      </c>
      <c r="E1123" s="2" t="s">
        <v>1863</v>
      </c>
      <c r="F1123" s="2" t="s">
        <v>5588</v>
      </c>
      <c r="G1123" s="2" t="s">
        <v>5589</v>
      </c>
      <c r="H1123" s="2" t="s">
        <v>1836</v>
      </c>
      <c r="I1123" s="2" t="s">
        <v>5590</v>
      </c>
      <c r="J1123" s="2" t="s">
        <v>981</v>
      </c>
      <c r="K1123" s="2" t="s">
        <v>773</v>
      </c>
      <c r="L1123" s="3">
        <v>38.09</v>
      </c>
      <c r="M1123" s="3">
        <v>39.99</v>
      </c>
      <c r="N1123" s="3">
        <v>79.99</v>
      </c>
      <c r="O1123" s="2" t="s">
        <v>245</v>
      </c>
      <c r="P1123" s="2" t="s">
        <v>311</v>
      </c>
      <c r="Q1123" s="2" t="s">
        <v>239</v>
      </c>
      <c r="R1123" s="2" t="s">
        <v>233</v>
      </c>
      <c r="S1123" s="2" t="s">
        <v>5591</v>
      </c>
      <c r="T1123" s="2" t="s">
        <v>233</v>
      </c>
      <c r="U1123" s="2" t="s">
        <v>475</v>
      </c>
      <c r="V1123" s="2" t="s">
        <v>241</v>
      </c>
      <c r="W1123" s="2" t="s">
        <v>275</v>
      </c>
      <c r="X1123" s="2" t="s">
        <v>977</v>
      </c>
      <c r="Y1123" s="2" t="s">
        <v>5100</v>
      </c>
      <c r="Z1123" s="4">
        <v>2</v>
      </c>
      <c r="AA1123" s="4">
        <f>=ROUNDDOWN(0.298507462686567,0)</f>
      </c>
      <c r="AB1123" s="5">
        <v>6.7</v>
      </c>
      <c r="AC1123" s="2" t="s">
        <v>233</v>
      </c>
      <c r="AD1123" s="4"/>
      <c r="AE1123" s="4"/>
      <c r="AF1123" s="6">
        <v>64</v>
      </c>
      <c r="AG1123" s="6"/>
      <c r="AH1123" s="7">
        <v>1</v>
      </c>
      <c r="AI1123" s="4"/>
      <c r="AJ1123" s="4">
        <f>=ROUNDDOWN({0},0)</f>
      </c>
      <c r="AK1123" s="5"/>
      <c r="AL1123" s="2" t="s">
        <v>233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233</v>
      </c>
      <c r="AW1123" s="8" t="s">
        <v>233</v>
      </c>
      <c r="AX1123" s="4" t="s">
        <v>233</v>
      </c>
      <c r="AY1123" s="8" t="s">
        <v>233</v>
      </c>
      <c r="AZ1123" s="7" t="s">
        <v>233</v>
      </c>
      <c r="BA1123" s="7" t="s">
        <v>233</v>
      </c>
      <c r="BB1123" s="7"/>
      <c r="BC1123" s="4" t="s">
        <v>233</v>
      </c>
      <c r="BD1123" s="8" t="s">
        <v>233</v>
      </c>
      <c r="BE1123" s="4" t="s">
        <v>233</v>
      </c>
      <c r="BF1123" s="8" t="s">
        <v>233</v>
      </c>
      <c r="BG1123" s="7" t="s">
        <v>233</v>
      </c>
      <c r="BH1123" s="7" t="s">
        <v>233</v>
      </c>
      <c r="BI1123" s="7"/>
      <c r="BJ1123" s="4">
        <v>30</v>
      </c>
      <c r="BK1123" s="8">
        <v>993.06</v>
      </c>
      <c r="BL1123" s="2" t="s">
        <v>5592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5593</v>
      </c>
      <c r="BV1123" s="2" t="s">
        <v>233</v>
      </c>
      <c r="BW1123" s="2" t="s">
        <v>233</v>
      </c>
      <c r="BX1123" s="2" t="s">
        <v>233</v>
      </c>
      <c r="BY1123" s="2" t="s">
        <v>280</v>
      </c>
      <c r="BZ1123" s="2" t="s">
        <v>245</v>
      </c>
      <c r="CA1123" s="2" t="s">
        <v>5594</v>
      </c>
      <c r="CB1123" s="2" t="s">
        <v>5595</v>
      </c>
      <c r="CC1123" s="2" t="s">
        <v>246</v>
      </c>
      <c r="CD1123" s="2" t="s">
        <v>233</v>
      </c>
      <c r="CE1123" s="4">
        <v>2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</row>
    <row r="1124">
      <c r="A1124" s="2" t="s">
        <v>5596</v>
      </c>
      <c r="B1124" s="2" t="s">
        <v>1242</v>
      </c>
      <c r="C1124" s="2" t="s">
        <v>530</v>
      </c>
      <c r="D1124" s="2" t="s">
        <v>1862</v>
      </c>
      <c r="E1124" s="2" t="s">
        <v>1863</v>
      </c>
      <c r="F1124" s="2" t="s">
        <v>5588</v>
      </c>
      <c r="G1124" s="2" t="s">
        <v>5589</v>
      </c>
      <c r="H1124" s="2" t="s">
        <v>1836</v>
      </c>
      <c r="I1124" s="2" t="s">
        <v>5590</v>
      </c>
      <c r="J1124" s="2" t="s">
        <v>1142</v>
      </c>
      <c r="K1124" s="2" t="s">
        <v>773</v>
      </c>
      <c r="L1124" s="3">
        <v>42.85</v>
      </c>
      <c r="M1124" s="3">
        <v>44.99</v>
      </c>
      <c r="N1124" s="3">
        <v>89.99</v>
      </c>
      <c r="O1124" s="2" t="s">
        <v>245</v>
      </c>
      <c r="P1124" s="2" t="s">
        <v>311</v>
      </c>
      <c r="Q1124" s="2" t="s">
        <v>239</v>
      </c>
      <c r="R1124" s="2" t="s">
        <v>233</v>
      </c>
      <c r="S1124" s="2" t="s">
        <v>5591</v>
      </c>
      <c r="T1124" s="2" t="s">
        <v>233</v>
      </c>
      <c r="U1124" s="2" t="s">
        <v>475</v>
      </c>
      <c r="V1124" s="2" t="s">
        <v>241</v>
      </c>
      <c r="W1124" s="2" t="s">
        <v>275</v>
      </c>
      <c r="X1124" s="2" t="s">
        <v>977</v>
      </c>
      <c r="Y1124" s="2" t="s">
        <v>5100</v>
      </c>
      <c r="Z1124" s="4">
        <v>174</v>
      </c>
      <c r="AA1124" s="4">
        <f>=ROUNDDOWN(22.5974025974026,0)</f>
      </c>
      <c r="AB1124" s="5">
        <v>7.7</v>
      </c>
      <c r="AC1124" s="2" t="s">
        <v>233</v>
      </c>
      <c r="AD1124" s="4"/>
      <c r="AE1124" s="4"/>
      <c r="AF1124" s="6">
        <v>64</v>
      </c>
      <c r="AG1124" s="6"/>
      <c r="AH1124" s="7">
        <v>1</v>
      </c>
      <c r="AI1124" s="4"/>
      <c r="AJ1124" s="4">
        <f>=ROUNDDOWN({0},0)</f>
      </c>
      <c r="AK1124" s="5"/>
      <c r="AL1124" s="2" t="s">
        <v>233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233</v>
      </c>
      <c r="AW1124" s="8" t="s">
        <v>233</v>
      </c>
      <c r="AX1124" s="4" t="s">
        <v>233</v>
      </c>
      <c r="AY1124" s="8" t="s">
        <v>233</v>
      </c>
      <c r="AZ1124" s="7" t="s">
        <v>233</v>
      </c>
      <c r="BA1124" s="7" t="s">
        <v>233</v>
      </c>
      <c r="BB1124" s="7"/>
      <c r="BC1124" s="4" t="s">
        <v>233</v>
      </c>
      <c r="BD1124" s="8" t="s">
        <v>233</v>
      </c>
      <c r="BE1124" s="4" t="s">
        <v>233</v>
      </c>
      <c r="BF1124" s="8" t="s">
        <v>233</v>
      </c>
      <c r="BG1124" s="7" t="s">
        <v>233</v>
      </c>
      <c r="BH1124" s="7" t="s">
        <v>233</v>
      </c>
      <c r="BI1124" s="7"/>
      <c r="BJ1124" s="4">
        <v>32</v>
      </c>
      <c r="BK1124" s="8">
        <v>1155.28</v>
      </c>
      <c r="BL1124" s="2" t="s">
        <v>5597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5598</v>
      </c>
      <c r="BV1124" s="2" t="s">
        <v>233</v>
      </c>
      <c r="BW1124" s="2" t="s">
        <v>233</v>
      </c>
      <c r="BX1124" s="2" t="s">
        <v>233</v>
      </c>
      <c r="BY1124" s="2" t="s">
        <v>280</v>
      </c>
      <c r="BZ1124" s="2" t="s">
        <v>245</v>
      </c>
      <c r="CA1124" s="2" t="s">
        <v>5594</v>
      </c>
      <c r="CB1124" s="2" t="s">
        <v>1806</v>
      </c>
      <c r="CC1124" s="2" t="s">
        <v>246</v>
      </c>
      <c r="CD1124" s="2" t="s">
        <v>233</v>
      </c>
      <c r="CE1124" s="4">
        <v>174</v>
      </c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</row>
    <row r="1125">
      <c r="A1125" s="2" t="s">
        <v>5599</v>
      </c>
      <c r="B1125" s="2" t="s">
        <v>1242</v>
      </c>
      <c r="C1125" s="2" t="s">
        <v>530</v>
      </c>
      <c r="D1125" s="2" t="s">
        <v>1862</v>
      </c>
      <c r="E1125" s="2" t="s">
        <v>1863</v>
      </c>
      <c r="F1125" s="2" t="s">
        <v>5588</v>
      </c>
      <c r="G1125" s="2" t="s">
        <v>5589</v>
      </c>
      <c r="H1125" s="2" t="s">
        <v>1836</v>
      </c>
      <c r="I1125" s="2" t="s">
        <v>5590</v>
      </c>
      <c r="J1125" s="2" t="s">
        <v>981</v>
      </c>
      <c r="K1125" s="2" t="s">
        <v>257</v>
      </c>
      <c r="L1125" s="3">
        <v>38.09</v>
      </c>
      <c r="M1125" s="3">
        <v>39.99</v>
      </c>
      <c r="N1125" s="3">
        <v>79.99</v>
      </c>
      <c r="O1125" s="2" t="s">
        <v>237</v>
      </c>
      <c r="P1125" s="2" t="s">
        <v>311</v>
      </c>
      <c r="Q1125" s="2" t="s">
        <v>239</v>
      </c>
      <c r="R1125" s="2" t="s">
        <v>233</v>
      </c>
      <c r="S1125" s="2" t="s">
        <v>5600</v>
      </c>
      <c r="T1125" s="2" t="s">
        <v>233</v>
      </c>
      <c r="U1125" s="2" t="s">
        <v>475</v>
      </c>
      <c r="V1125" s="2" t="s">
        <v>241</v>
      </c>
      <c r="W1125" s="2" t="s">
        <v>275</v>
      </c>
      <c r="X1125" s="2" t="s">
        <v>977</v>
      </c>
      <c r="Y1125" s="2" t="s">
        <v>5100</v>
      </c>
      <c r="Z1125" s="4">
        <v>164</v>
      </c>
      <c r="AA1125" s="4">
        <f>=ROUNDDOWN(37.2727272727273,0)</f>
      </c>
      <c r="AB1125" s="5">
        <v>4.4</v>
      </c>
      <c r="AC1125" s="2" t="s">
        <v>233</v>
      </c>
      <c r="AD1125" s="4"/>
      <c r="AE1125" s="4"/>
      <c r="AF1125" s="6">
        <v>64</v>
      </c>
      <c r="AG1125" s="6"/>
      <c r="AH1125" s="7">
        <v>1</v>
      </c>
      <c r="AI1125" s="4"/>
      <c r="AJ1125" s="4">
        <f>=ROUNDDOWN({0},0)</f>
      </c>
      <c r="AK1125" s="5"/>
      <c r="AL1125" s="2" t="s">
        <v>233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233</v>
      </c>
      <c r="BD1125" s="8" t="s">
        <v>233</v>
      </c>
      <c r="BE1125" s="4" t="s">
        <v>233</v>
      </c>
      <c r="BF1125" s="8" t="s">
        <v>233</v>
      </c>
      <c r="BG1125" s="7" t="s">
        <v>233</v>
      </c>
      <c r="BH1125" s="7" t="s">
        <v>233</v>
      </c>
      <c r="BI1125" s="7"/>
      <c r="BJ1125" s="4">
        <v>24</v>
      </c>
      <c r="BK1125" s="8">
        <v>812.58</v>
      </c>
      <c r="BL1125" s="2" t="s">
        <v>5601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5602</v>
      </c>
      <c r="BV1125" s="2" t="s">
        <v>233</v>
      </c>
      <c r="BW1125" s="2" t="s">
        <v>233</v>
      </c>
      <c r="BX1125" s="2" t="s">
        <v>233</v>
      </c>
      <c r="BY1125" s="2" t="s">
        <v>280</v>
      </c>
      <c r="BZ1125" s="2" t="s">
        <v>245</v>
      </c>
      <c r="CA1125" s="2" t="s">
        <v>5594</v>
      </c>
      <c r="CB1125" s="2" t="s">
        <v>5603</v>
      </c>
      <c r="CC1125" s="2" t="s">
        <v>246</v>
      </c>
      <c r="CD1125" s="2" t="s">
        <v>233</v>
      </c>
      <c r="CE1125" s="4">
        <v>164</v>
      </c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</row>
    <row r="1126">
      <c r="A1126" s="2" t="s">
        <v>5604</v>
      </c>
      <c r="B1126" s="2" t="s">
        <v>928</v>
      </c>
      <c r="C1126" s="2" t="s">
        <v>947</v>
      </c>
      <c r="D1126" s="2" t="s">
        <v>961</v>
      </c>
      <c r="E1126" s="2" t="s">
        <v>939</v>
      </c>
      <c r="F1126" s="2" t="s">
        <v>5605</v>
      </c>
      <c r="G1126" s="2" t="s">
        <v>5605</v>
      </c>
      <c r="H1126" s="2" t="s">
        <v>5605</v>
      </c>
      <c r="I1126" s="2" t="s">
        <v>5606</v>
      </c>
      <c r="J1126" s="2" t="s">
        <v>892</v>
      </c>
      <c r="K1126" s="2" t="s">
        <v>950</v>
      </c>
      <c r="L1126" s="3">
        <v>29.92</v>
      </c>
      <c r="M1126" s="3">
        <v>31.42</v>
      </c>
      <c r="N1126" s="3">
        <v>63.74</v>
      </c>
      <c r="O1126" s="2" t="s">
        <v>245</v>
      </c>
      <c r="P1126" s="2" t="s">
        <v>272</v>
      </c>
      <c r="Q1126" s="2" t="s">
        <v>239</v>
      </c>
      <c r="R1126" s="2" t="s">
        <v>233</v>
      </c>
      <c r="S1126" s="2" t="s">
        <v>233</v>
      </c>
      <c r="T1126" s="2" t="s">
        <v>233</v>
      </c>
      <c r="U1126" s="2" t="s">
        <v>491</v>
      </c>
      <c r="V1126" s="2" t="s">
        <v>379</v>
      </c>
      <c r="W1126" s="2" t="s">
        <v>451</v>
      </c>
      <c r="X1126" s="2" t="s">
        <v>953</v>
      </c>
      <c r="Y1126" s="2" t="s">
        <v>2906</v>
      </c>
      <c r="Z1126" s="4">
        <v>93</v>
      </c>
      <c r="AA1126" s="4">
        <f>=ROUNDDOWN(18.6,0)</f>
      </c>
      <c r="AB1126" s="5">
        <v>5</v>
      </c>
      <c r="AC1126" s="2" t="s">
        <v>233</v>
      </c>
      <c r="AD1126" s="4"/>
      <c r="AE1126" s="4"/>
      <c r="AF1126" s="6">
        <v>63</v>
      </c>
      <c r="AG1126" s="6"/>
      <c r="AH1126" s="7">
        <v>1</v>
      </c>
      <c r="AI1126" s="4"/>
      <c r="AJ1126" s="4">
        <f>=ROUNDDOWN({0},0)</f>
      </c>
      <c r="AK1126" s="5"/>
      <c r="AL1126" s="2" t="s">
        <v>233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>
        <v>21</v>
      </c>
      <c r="BK1126" s="8">
        <v>721.76</v>
      </c>
      <c r="BL1126" s="2" t="s">
        <v>5607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5608</v>
      </c>
      <c r="BV1126" s="2" t="s">
        <v>233</v>
      </c>
      <c r="BW1126" s="2" t="s">
        <v>233</v>
      </c>
      <c r="BX1126" s="2" t="s">
        <v>233</v>
      </c>
      <c r="BY1126" s="2" t="s">
        <v>280</v>
      </c>
      <c r="BZ1126" s="2" t="s">
        <v>245</v>
      </c>
      <c r="CA1126" s="2" t="s">
        <v>5609</v>
      </c>
      <c r="CB1126" s="2" t="s">
        <v>5549</v>
      </c>
      <c r="CC1126" s="2" t="s">
        <v>246</v>
      </c>
      <c r="CD1126" s="2" t="s">
        <v>233</v>
      </c>
      <c r="CE1126" s="4"/>
      <c r="CF1126" s="4">
        <v>93</v>
      </c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</row>
    <row r="1127">
      <c r="A1127" s="2" t="s">
        <v>5610</v>
      </c>
      <c r="B1127" s="2" t="s">
        <v>228</v>
      </c>
      <c r="C1127" s="2" t="s">
        <v>530</v>
      </c>
      <c r="D1127" s="2" t="s">
        <v>230</v>
      </c>
      <c r="E1127" s="2" t="s">
        <v>231</v>
      </c>
      <c r="F1127" s="2" t="s">
        <v>5611</v>
      </c>
      <c r="G1127" s="2" t="s">
        <v>5611</v>
      </c>
      <c r="H1127" s="2" t="s">
        <v>5611</v>
      </c>
      <c r="I1127" s="2" t="s">
        <v>5612</v>
      </c>
      <c r="J1127" s="2" t="s">
        <v>981</v>
      </c>
      <c r="K1127" s="2" t="s">
        <v>271</v>
      </c>
      <c r="L1127" s="3">
        <v>21.27</v>
      </c>
      <c r="M1127" s="3">
        <v>22.33</v>
      </c>
      <c r="N1127" s="3">
        <v>39.99</v>
      </c>
      <c r="O1127" s="2" t="s">
        <v>245</v>
      </c>
      <c r="P1127" s="2" t="s">
        <v>272</v>
      </c>
      <c r="Q1127" s="2" t="s">
        <v>239</v>
      </c>
      <c r="R1127" s="2" t="s">
        <v>233</v>
      </c>
      <c r="S1127" s="2" t="s">
        <v>5613</v>
      </c>
      <c r="T1127" s="2" t="s">
        <v>341</v>
      </c>
      <c r="U1127" s="2" t="s">
        <v>233</v>
      </c>
      <c r="V1127" s="2" t="s">
        <v>241</v>
      </c>
      <c r="W1127" s="2" t="s">
        <v>275</v>
      </c>
      <c r="X1127" s="2" t="s">
        <v>233</v>
      </c>
      <c r="Y1127" s="2" t="s">
        <v>276</v>
      </c>
      <c r="Z1127" s="4">
        <v>767</v>
      </c>
      <c r="AA1127" s="4">
        <f>=ROUNDDOWN(21.3055555555556,0)</f>
      </c>
      <c r="AB1127" s="5">
        <v>36</v>
      </c>
      <c r="AC1127" s="2" t="s">
        <v>5614</v>
      </c>
      <c r="AD1127" s="4">
        <v>310</v>
      </c>
      <c r="AE1127" s="4">
        <v>660</v>
      </c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233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233</v>
      </c>
      <c r="AW1127" s="8" t="s">
        <v>233</v>
      </c>
      <c r="AX1127" s="4" t="s">
        <v>233</v>
      </c>
      <c r="AY1127" s="8" t="s">
        <v>233</v>
      </c>
      <c r="AZ1127" s="7" t="s">
        <v>233</v>
      </c>
      <c r="BA1127" s="7" t="s">
        <v>233</v>
      </c>
      <c r="BB1127" s="7"/>
      <c r="BC1127" s="4" t="s">
        <v>233</v>
      </c>
      <c r="BD1127" s="8" t="s">
        <v>233</v>
      </c>
      <c r="BE1127" s="4" t="s">
        <v>233</v>
      </c>
      <c r="BF1127" s="8" t="s">
        <v>233</v>
      </c>
      <c r="BG1127" s="7" t="s">
        <v>233</v>
      </c>
      <c r="BH1127" s="7" t="s">
        <v>233</v>
      </c>
      <c r="BI1127" s="7"/>
      <c r="BJ1127" s="4">
        <v>98</v>
      </c>
      <c r="BK1127" s="8">
        <v>1791.16</v>
      </c>
      <c r="BL1127" s="2" t="s">
        <v>5615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5616</v>
      </c>
      <c r="BV1127" s="2" t="s">
        <v>233</v>
      </c>
      <c r="BW1127" s="2" t="s">
        <v>233</v>
      </c>
      <c r="BX1127" s="2" t="s">
        <v>233</v>
      </c>
      <c r="BY1127" s="2" t="s">
        <v>280</v>
      </c>
      <c r="BZ1127" s="2" t="s">
        <v>245</v>
      </c>
      <c r="CA1127" s="2" t="s">
        <v>281</v>
      </c>
      <c r="CB1127" s="2" t="s">
        <v>3065</v>
      </c>
      <c r="CC1127" s="2" t="s">
        <v>246</v>
      </c>
      <c r="CD1127" s="2" t="s">
        <v>233</v>
      </c>
      <c r="CE1127" s="4">
        <v>767</v>
      </c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>
        <v>310</v>
      </c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>
        <v>350</v>
      </c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</row>
    <row r="1128">
      <c r="A1128" s="2" t="s">
        <v>5617</v>
      </c>
      <c r="B1128" s="2" t="s">
        <v>228</v>
      </c>
      <c r="C1128" s="2" t="s">
        <v>530</v>
      </c>
      <c r="D1128" s="2" t="s">
        <v>230</v>
      </c>
      <c r="E1128" s="2" t="s">
        <v>231</v>
      </c>
      <c r="F1128" s="2" t="s">
        <v>5611</v>
      </c>
      <c r="G1128" s="2" t="s">
        <v>5611</v>
      </c>
      <c r="H1128" s="2" t="s">
        <v>5611</v>
      </c>
      <c r="I1128" s="2" t="s">
        <v>5612</v>
      </c>
      <c r="J1128" s="2" t="s">
        <v>328</v>
      </c>
      <c r="K1128" s="2" t="s">
        <v>271</v>
      </c>
      <c r="L1128" s="3">
        <v>24.14</v>
      </c>
      <c r="M1128" s="3">
        <v>25.35</v>
      </c>
      <c r="N1128" s="3">
        <v>44.99</v>
      </c>
      <c r="O1128" s="2" t="s">
        <v>245</v>
      </c>
      <c r="P1128" s="2" t="s">
        <v>272</v>
      </c>
      <c r="Q1128" s="2" t="s">
        <v>239</v>
      </c>
      <c r="R1128" s="2" t="s">
        <v>233</v>
      </c>
      <c r="S1128" s="2" t="s">
        <v>5613</v>
      </c>
      <c r="T1128" s="2" t="s">
        <v>341</v>
      </c>
      <c r="U1128" s="2" t="s">
        <v>233</v>
      </c>
      <c r="V1128" s="2" t="s">
        <v>241</v>
      </c>
      <c r="W1128" s="2" t="s">
        <v>275</v>
      </c>
      <c r="X1128" s="2" t="s">
        <v>233</v>
      </c>
      <c r="Y1128" s="2" t="s">
        <v>276</v>
      </c>
      <c r="Z1128" s="4">
        <v>368</v>
      </c>
      <c r="AA1128" s="4">
        <f>=ROUNDDOWN(19.3684210526316,0)</f>
      </c>
      <c r="AB1128" s="5">
        <v>19</v>
      </c>
      <c r="AC1128" s="2" t="s">
        <v>5614</v>
      </c>
      <c r="AD1128" s="4">
        <v>60</v>
      </c>
      <c r="AE1128" s="4">
        <v>220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233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233</v>
      </c>
      <c r="AW1128" s="8" t="s">
        <v>233</v>
      </c>
      <c r="AX1128" s="4" t="s">
        <v>233</v>
      </c>
      <c r="AY1128" s="8" t="s">
        <v>233</v>
      </c>
      <c r="AZ1128" s="7" t="s">
        <v>233</v>
      </c>
      <c r="BA1128" s="7" t="s">
        <v>233</v>
      </c>
      <c r="BB1128" s="7"/>
      <c r="BC1128" s="4" t="s">
        <v>233</v>
      </c>
      <c r="BD1128" s="8" t="s">
        <v>233</v>
      </c>
      <c r="BE1128" s="4" t="s">
        <v>233</v>
      </c>
      <c r="BF1128" s="8" t="s">
        <v>233</v>
      </c>
      <c r="BG1128" s="7" t="s">
        <v>233</v>
      </c>
      <c r="BH1128" s="7" t="s">
        <v>233</v>
      </c>
      <c r="BI1128" s="7"/>
      <c r="BJ1128" s="4">
        <v>60</v>
      </c>
      <c r="BK1128" s="8">
        <v>1317.63</v>
      </c>
      <c r="BL1128" s="2" t="s">
        <v>5618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5619</v>
      </c>
      <c r="BV1128" s="2" t="s">
        <v>233</v>
      </c>
      <c r="BW1128" s="2" t="s">
        <v>233</v>
      </c>
      <c r="BX1128" s="2" t="s">
        <v>233</v>
      </c>
      <c r="BY1128" s="2" t="s">
        <v>280</v>
      </c>
      <c r="BZ1128" s="2" t="s">
        <v>245</v>
      </c>
      <c r="CA1128" s="2" t="s">
        <v>281</v>
      </c>
      <c r="CB1128" s="2" t="s">
        <v>5620</v>
      </c>
      <c r="CC1128" s="2" t="s">
        <v>246</v>
      </c>
      <c r="CD1128" s="2" t="s">
        <v>233</v>
      </c>
      <c r="CE1128" s="4">
        <v>368</v>
      </c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>
        <v>60</v>
      </c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>
        <v>160</v>
      </c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</row>
    <row r="1129">
      <c r="A1129" s="2" t="s">
        <v>5621</v>
      </c>
      <c r="B1129" s="2" t="s">
        <v>228</v>
      </c>
      <c r="C1129" s="2" t="s">
        <v>530</v>
      </c>
      <c r="D1129" s="2" t="s">
        <v>230</v>
      </c>
      <c r="E1129" s="2" t="s">
        <v>231</v>
      </c>
      <c r="F1129" s="2" t="s">
        <v>5611</v>
      </c>
      <c r="G1129" s="2" t="s">
        <v>5611</v>
      </c>
      <c r="H1129" s="2" t="s">
        <v>5611</v>
      </c>
      <c r="I1129" s="2" t="s">
        <v>5612</v>
      </c>
      <c r="J1129" s="2" t="s">
        <v>270</v>
      </c>
      <c r="K1129" s="2" t="s">
        <v>449</v>
      </c>
      <c r="L1129" s="3">
        <v>18.39</v>
      </c>
      <c r="M1129" s="3">
        <v>19.31</v>
      </c>
      <c r="N1129" s="3">
        <v>34.99</v>
      </c>
      <c r="O1129" s="2" t="s">
        <v>245</v>
      </c>
      <c r="P1129" s="2" t="s">
        <v>238</v>
      </c>
      <c r="Q1129" s="2" t="s">
        <v>239</v>
      </c>
      <c r="R1129" s="2" t="s">
        <v>233</v>
      </c>
      <c r="S1129" s="2" t="s">
        <v>5622</v>
      </c>
      <c r="T1129" s="2" t="s">
        <v>341</v>
      </c>
      <c r="U1129" s="2" t="s">
        <v>396</v>
      </c>
      <c r="V1129" s="2" t="s">
        <v>241</v>
      </c>
      <c r="W1129" s="2" t="s">
        <v>275</v>
      </c>
      <c r="X1129" s="2" t="s">
        <v>233</v>
      </c>
      <c r="Y1129" s="2" t="s">
        <v>3638</v>
      </c>
      <c r="Z1129" s="4">
        <v>152</v>
      </c>
      <c r="AA1129" s="4">
        <f>=ROUNDDOWN(38,0)</f>
      </c>
      <c r="AB1129" s="5">
        <v>4</v>
      </c>
      <c r="AC1129" s="2" t="s">
        <v>813</v>
      </c>
      <c r="AD1129" s="4">
        <v>100</v>
      </c>
      <c r="AE1129" s="4">
        <v>100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233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233</v>
      </c>
      <c r="AW1129" s="8" t="s">
        <v>233</v>
      </c>
      <c r="AX1129" s="4" t="s">
        <v>233</v>
      </c>
      <c r="AY1129" s="8" t="s">
        <v>233</v>
      </c>
      <c r="AZ1129" s="7" t="s">
        <v>233</v>
      </c>
      <c r="BA1129" s="7" t="s">
        <v>233</v>
      </c>
      <c r="BB1129" s="7"/>
      <c r="BC1129" s="4" t="s">
        <v>233</v>
      </c>
      <c r="BD1129" s="8" t="s">
        <v>233</v>
      </c>
      <c r="BE1129" s="4" t="s">
        <v>233</v>
      </c>
      <c r="BF1129" s="8" t="s">
        <v>233</v>
      </c>
      <c r="BG1129" s="7" t="s">
        <v>233</v>
      </c>
      <c r="BH1129" s="7" t="s">
        <v>233</v>
      </c>
      <c r="BI1129" s="7"/>
      <c r="BJ1129" s="4">
        <v>4</v>
      </c>
      <c r="BK1129" s="8">
        <v>84.6</v>
      </c>
      <c r="BL1129" s="2" t="s">
        <v>1292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5623</v>
      </c>
      <c r="BV1129" s="2" t="s">
        <v>233</v>
      </c>
      <c r="BW1129" s="2" t="s">
        <v>233</v>
      </c>
      <c r="BX1129" s="2" t="s">
        <v>243</v>
      </c>
      <c r="BY1129" s="2" t="s">
        <v>280</v>
      </c>
      <c r="BZ1129" s="2" t="s">
        <v>245</v>
      </c>
      <c r="CA1129" s="2" t="s">
        <v>2564</v>
      </c>
      <c r="CB1129" s="2" t="s">
        <v>233</v>
      </c>
      <c r="CC1129" s="2" t="s">
        <v>246</v>
      </c>
      <c r="CD1129" s="2" t="s">
        <v>233</v>
      </c>
      <c r="CE1129" s="4">
        <v>152</v>
      </c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>
        <v>100</v>
      </c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</row>
    <row r="1130">
      <c r="A1130" s="2" t="s">
        <v>5624</v>
      </c>
      <c r="B1130" s="2" t="s">
        <v>228</v>
      </c>
      <c r="C1130" s="2" t="s">
        <v>530</v>
      </c>
      <c r="D1130" s="2" t="s">
        <v>230</v>
      </c>
      <c r="E1130" s="2" t="s">
        <v>231</v>
      </c>
      <c r="F1130" s="2" t="s">
        <v>5611</v>
      </c>
      <c r="G1130" s="2" t="s">
        <v>5611</v>
      </c>
      <c r="H1130" s="2" t="s">
        <v>5611</v>
      </c>
      <c r="I1130" s="2" t="s">
        <v>5612</v>
      </c>
      <c r="J1130" s="2" t="s">
        <v>981</v>
      </c>
      <c r="K1130" s="2" t="s">
        <v>449</v>
      </c>
      <c r="L1130" s="3">
        <v>21.27</v>
      </c>
      <c r="M1130" s="3">
        <v>22.33</v>
      </c>
      <c r="N1130" s="3">
        <v>39.99</v>
      </c>
      <c r="O1130" s="2" t="s">
        <v>245</v>
      </c>
      <c r="P1130" s="2" t="s">
        <v>238</v>
      </c>
      <c r="Q1130" s="2" t="s">
        <v>239</v>
      </c>
      <c r="R1130" s="2" t="s">
        <v>233</v>
      </c>
      <c r="S1130" s="2" t="s">
        <v>5622</v>
      </c>
      <c r="T1130" s="2" t="s">
        <v>341</v>
      </c>
      <c r="U1130" s="2" t="s">
        <v>396</v>
      </c>
      <c r="V1130" s="2" t="s">
        <v>241</v>
      </c>
      <c r="W1130" s="2" t="s">
        <v>275</v>
      </c>
      <c r="X1130" s="2" t="s">
        <v>233</v>
      </c>
      <c r="Y1130" s="2" t="s">
        <v>3638</v>
      </c>
      <c r="Z1130" s="4">
        <v>303</v>
      </c>
      <c r="AA1130" s="4">
        <f>=ROUNDDOWN(60.6,0)</f>
      </c>
      <c r="AB1130" s="5">
        <v>5</v>
      </c>
      <c r="AC1130" s="2" t="s">
        <v>813</v>
      </c>
      <c r="AD1130" s="4">
        <v>200</v>
      </c>
      <c r="AE1130" s="4">
        <v>200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233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233</v>
      </c>
      <c r="AW1130" s="8" t="s">
        <v>233</v>
      </c>
      <c r="AX1130" s="4" t="s">
        <v>233</v>
      </c>
      <c r="AY1130" s="8" t="s">
        <v>233</v>
      </c>
      <c r="AZ1130" s="7" t="s">
        <v>233</v>
      </c>
      <c r="BA1130" s="7" t="s">
        <v>233</v>
      </c>
      <c r="BB1130" s="7"/>
      <c r="BC1130" s="4" t="s">
        <v>233</v>
      </c>
      <c r="BD1130" s="8" t="s">
        <v>233</v>
      </c>
      <c r="BE1130" s="4" t="s">
        <v>233</v>
      </c>
      <c r="BF1130" s="8" t="s">
        <v>233</v>
      </c>
      <c r="BG1130" s="7" t="s">
        <v>233</v>
      </c>
      <c r="BH1130" s="7" t="s">
        <v>233</v>
      </c>
      <c r="BI1130" s="7"/>
      <c r="BJ1130" s="4">
        <v>10</v>
      </c>
      <c r="BK1130" s="8">
        <v>244.6</v>
      </c>
      <c r="BL1130" s="2" t="s">
        <v>5625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5626</v>
      </c>
      <c r="BV1130" s="2" t="s">
        <v>233</v>
      </c>
      <c r="BW1130" s="2" t="s">
        <v>233</v>
      </c>
      <c r="BX1130" s="2" t="s">
        <v>243</v>
      </c>
      <c r="BY1130" s="2" t="s">
        <v>280</v>
      </c>
      <c r="BZ1130" s="2" t="s">
        <v>245</v>
      </c>
      <c r="CA1130" s="2" t="s">
        <v>2564</v>
      </c>
      <c r="CB1130" s="2" t="s">
        <v>233</v>
      </c>
      <c r="CC1130" s="2" t="s">
        <v>246</v>
      </c>
      <c r="CD1130" s="2" t="s">
        <v>233</v>
      </c>
      <c r="CE1130" s="4">
        <v>303</v>
      </c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>
        <v>200</v>
      </c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</row>
    <row r="1131">
      <c r="A1131" s="2" t="s">
        <v>5627</v>
      </c>
      <c r="B1131" s="2" t="s">
        <v>228</v>
      </c>
      <c r="C1131" s="2" t="s">
        <v>530</v>
      </c>
      <c r="D1131" s="2" t="s">
        <v>230</v>
      </c>
      <c r="E1131" s="2" t="s">
        <v>231</v>
      </c>
      <c r="F1131" s="2" t="s">
        <v>5611</v>
      </c>
      <c r="G1131" s="2" t="s">
        <v>5611</v>
      </c>
      <c r="H1131" s="2" t="s">
        <v>5611</v>
      </c>
      <c r="I1131" s="2" t="s">
        <v>5612</v>
      </c>
      <c r="J1131" s="2" t="s">
        <v>328</v>
      </c>
      <c r="K1131" s="2" t="s">
        <v>449</v>
      </c>
      <c r="L1131" s="3">
        <v>24.14</v>
      </c>
      <c r="M1131" s="3">
        <v>25.35</v>
      </c>
      <c r="N1131" s="3">
        <v>44.99</v>
      </c>
      <c r="O1131" s="2" t="s">
        <v>245</v>
      </c>
      <c r="P1131" s="2" t="s">
        <v>238</v>
      </c>
      <c r="Q1131" s="2" t="s">
        <v>239</v>
      </c>
      <c r="R1131" s="2" t="s">
        <v>233</v>
      </c>
      <c r="S1131" s="2" t="s">
        <v>5622</v>
      </c>
      <c r="T1131" s="2" t="s">
        <v>341</v>
      </c>
      <c r="U1131" s="2" t="s">
        <v>396</v>
      </c>
      <c r="V1131" s="2" t="s">
        <v>241</v>
      </c>
      <c r="W1131" s="2" t="s">
        <v>275</v>
      </c>
      <c r="X1131" s="2" t="s">
        <v>233</v>
      </c>
      <c r="Y1131" s="2" t="s">
        <v>3638</v>
      </c>
      <c r="Z1131" s="4">
        <v>299</v>
      </c>
      <c r="AA1131" s="4">
        <f>=ROUNDDOWN(230,0)</f>
      </c>
      <c r="AB1131" s="5">
        <v>1.3</v>
      </c>
      <c r="AC1131" s="2" t="s">
        <v>813</v>
      </c>
      <c r="AD1131" s="4">
        <v>200</v>
      </c>
      <c r="AE1131" s="4">
        <v>200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233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233</v>
      </c>
      <c r="AW1131" s="8" t="s">
        <v>233</v>
      </c>
      <c r="AX1131" s="4" t="s">
        <v>233</v>
      </c>
      <c r="AY1131" s="8" t="s">
        <v>233</v>
      </c>
      <c r="AZ1131" s="7" t="s">
        <v>233</v>
      </c>
      <c r="BA1131" s="7" t="s">
        <v>233</v>
      </c>
      <c r="BB1131" s="7"/>
      <c r="BC1131" s="4" t="s">
        <v>233</v>
      </c>
      <c r="BD1131" s="8" t="s">
        <v>233</v>
      </c>
      <c r="BE1131" s="4" t="s">
        <v>233</v>
      </c>
      <c r="BF1131" s="8" t="s">
        <v>233</v>
      </c>
      <c r="BG1131" s="7" t="s">
        <v>233</v>
      </c>
      <c r="BH1131" s="7" t="s">
        <v>233</v>
      </c>
      <c r="BI1131" s="7"/>
      <c r="BJ1131" s="4">
        <v>7</v>
      </c>
      <c r="BK1131" s="8">
        <v>194.32</v>
      </c>
      <c r="BL1131" s="2" t="s">
        <v>5625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5628</v>
      </c>
      <c r="BV1131" s="2" t="s">
        <v>233</v>
      </c>
      <c r="BW1131" s="2" t="s">
        <v>233</v>
      </c>
      <c r="BX1131" s="2" t="s">
        <v>243</v>
      </c>
      <c r="BY1131" s="2" t="s">
        <v>280</v>
      </c>
      <c r="BZ1131" s="2" t="s">
        <v>245</v>
      </c>
      <c r="CA1131" s="2" t="s">
        <v>2564</v>
      </c>
      <c r="CB1131" s="2" t="s">
        <v>233</v>
      </c>
      <c r="CC1131" s="2" t="s">
        <v>246</v>
      </c>
      <c r="CD1131" s="2" t="s">
        <v>233</v>
      </c>
      <c r="CE1131" s="4">
        <v>299</v>
      </c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>
        <v>200</v>
      </c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</row>
    <row r="1132">
      <c r="A1132" s="2" t="s">
        <v>5629</v>
      </c>
      <c r="B1132" s="2" t="s">
        <v>228</v>
      </c>
      <c r="C1132" s="2" t="s">
        <v>530</v>
      </c>
      <c r="D1132" s="2" t="s">
        <v>230</v>
      </c>
      <c r="E1132" s="2" t="s">
        <v>231</v>
      </c>
      <c r="F1132" s="2" t="s">
        <v>5611</v>
      </c>
      <c r="G1132" s="2" t="s">
        <v>5611</v>
      </c>
      <c r="H1132" s="2" t="s">
        <v>5611</v>
      </c>
      <c r="I1132" s="2" t="s">
        <v>5612</v>
      </c>
      <c r="J1132" s="2" t="s">
        <v>270</v>
      </c>
      <c r="K1132" s="2" t="s">
        <v>582</v>
      </c>
      <c r="L1132" s="3">
        <v>18.39</v>
      </c>
      <c r="M1132" s="3">
        <v>19.31</v>
      </c>
      <c r="N1132" s="3">
        <v>34.99</v>
      </c>
      <c r="O1132" s="2" t="s">
        <v>245</v>
      </c>
      <c r="P1132" s="2" t="s">
        <v>272</v>
      </c>
      <c r="Q1132" s="2" t="s">
        <v>239</v>
      </c>
      <c r="R1132" s="2" t="s">
        <v>233</v>
      </c>
      <c r="S1132" s="2" t="s">
        <v>5630</v>
      </c>
      <c r="T1132" s="2" t="s">
        <v>341</v>
      </c>
      <c r="U1132" s="2" t="s">
        <v>233</v>
      </c>
      <c r="V1132" s="2" t="s">
        <v>241</v>
      </c>
      <c r="W1132" s="2" t="s">
        <v>275</v>
      </c>
      <c r="X1132" s="2" t="s">
        <v>233</v>
      </c>
      <c r="Y1132" s="2" t="s">
        <v>276</v>
      </c>
      <c r="Z1132" s="4">
        <v>298</v>
      </c>
      <c r="AA1132" s="4">
        <f>=ROUNDDOWN(33.1111111111111,0)</f>
      </c>
      <c r="AB1132" s="5">
        <v>9</v>
      </c>
      <c r="AC1132" s="2" t="s">
        <v>3556</v>
      </c>
      <c r="AD1132" s="4">
        <v>70</v>
      </c>
      <c r="AE1132" s="4">
        <v>140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233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233</v>
      </c>
      <c r="AW1132" s="8" t="s">
        <v>233</v>
      </c>
      <c r="AX1132" s="4" t="s">
        <v>233</v>
      </c>
      <c r="AY1132" s="8" t="s">
        <v>233</v>
      </c>
      <c r="AZ1132" s="7" t="s">
        <v>233</v>
      </c>
      <c r="BA1132" s="7" t="s">
        <v>233</v>
      </c>
      <c r="BB1132" s="7"/>
      <c r="BC1132" s="4" t="s">
        <v>233</v>
      </c>
      <c r="BD1132" s="8" t="s">
        <v>233</v>
      </c>
      <c r="BE1132" s="4" t="s">
        <v>233</v>
      </c>
      <c r="BF1132" s="8" t="s">
        <v>233</v>
      </c>
      <c r="BG1132" s="7" t="s">
        <v>233</v>
      </c>
      <c r="BH1132" s="7" t="s">
        <v>233</v>
      </c>
      <c r="BI1132" s="7"/>
      <c r="BJ1132" s="4">
        <v>17</v>
      </c>
      <c r="BK1132" s="8">
        <v>263.07</v>
      </c>
      <c r="BL1132" s="2" t="s">
        <v>5631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5632</v>
      </c>
      <c r="BV1132" s="2" t="s">
        <v>233</v>
      </c>
      <c r="BW1132" s="2" t="s">
        <v>233</v>
      </c>
      <c r="BX1132" s="2" t="s">
        <v>233</v>
      </c>
      <c r="BY1132" s="2" t="s">
        <v>280</v>
      </c>
      <c r="BZ1132" s="2" t="s">
        <v>245</v>
      </c>
      <c r="CA1132" s="2" t="s">
        <v>281</v>
      </c>
      <c r="CB1132" s="2" t="s">
        <v>5165</v>
      </c>
      <c r="CC1132" s="2" t="s">
        <v>246</v>
      </c>
      <c r="CD1132" s="2" t="s">
        <v>233</v>
      </c>
      <c r="CE1132" s="4">
        <v>298</v>
      </c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>
        <v>70</v>
      </c>
      <c r="DL1132" s="4"/>
      <c r="DM1132" s="4">
        <v>70</v>
      </c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</row>
    <row r="1133">
      <c r="A1133" s="2" t="s">
        <v>5633</v>
      </c>
      <c r="B1133" s="2" t="s">
        <v>228</v>
      </c>
      <c r="C1133" s="2" t="s">
        <v>530</v>
      </c>
      <c r="D1133" s="2" t="s">
        <v>230</v>
      </c>
      <c r="E1133" s="2" t="s">
        <v>231</v>
      </c>
      <c r="F1133" s="2" t="s">
        <v>5611</v>
      </c>
      <c r="G1133" s="2" t="s">
        <v>5611</v>
      </c>
      <c r="H1133" s="2" t="s">
        <v>5611</v>
      </c>
      <c r="I1133" s="2" t="s">
        <v>5612</v>
      </c>
      <c r="J1133" s="2" t="s">
        <v>981</v>
      </c>
      <c r="K1133" s="2" t="s">
        <v>582</v>
      </c>
      <c r="L1133" s="3">
        <v>21.27</v>
      </c>
      <c r="M1133" s="3">
        <v>22.33</v>
      </c>
      <c r="N1133" s="3">
        <v>39.99</v>
      </c>
      <c r="O1133" s="2" t="s">
        <v>245</v>
      </c>
      <c r="P1133" s="2" t="s">
        <v>272</v>
      </c>
      <c r="Q1133" s="2" t="s">
        <v>239</v>
      </c>
      <c r="R1133" s="2" t="s">
        <v>233</v>
      </c>
      <c r="S1133" s="2" t="s">
        <v>5630</v>
      </c>
      <c r="T1133" s="2" t="s">
        <v>341</v>
      </c>
      <c r="U1133" s="2" t="s">
        <v>233</v>
      </c>
      <c r="V1133" s="2" t="s">
        <v>241</v>
      </c>
      <c r="W1133" s="2" t="s">
        <v>275</v>
      </c>
      <c r="X1133" s="2" t="s">
        <v>233</v>
      </c>
      <c r="Y1133" s="2" t="s">
        <v>276</v>
      </c>
      <c r="Z1133" s="4">
        <v>447</v>
      </c>
      <c r="AA1133" s="4">
        <f>=ROUNDDOWN(19.4347826086957,0)</f>
      </c>
      <c r="AB1133" s="5">
        <v>23</v>
      </c>
      <c r="AC1133" s="2" t="s">
        <v>3556</v>
      </c>
      <c r="AD1133" s="4">
        <v>230</v>
      </c>
      <c r="AE1133" s="4">
        <v>500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233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233</v>
      </c>
      <c r="AW1133" s="8" t="s">
        <v>233</v>
      </c>
      <c r="AX1133" s="4" t="s">
        <v>233</v>
      </c>
      <c r="AY1133" s="8" t="s">
        <v>233</v>
      </c>
      <c r="AZ1133" s="7" t="s">
        <v>233</v>
      </c>
      <c r="BA1133" s="7" t="s">
        <v>233</v>
      </c>
      <c r="BB1133" s="7"/>
      <c r="BC1133" s="4" t="s">
        <v>233</v>
      </c>
      <c r="BD1133" s="8" t="s">
        <v>233</v>
      </c>
      <c r="BE1133" s="4" t="s">
        <v>233</v>
      </c>
      <c r="BF1133" s="8" t="s">
        <v>233</v>
      </c>
      <c r="BG1133" s="7" t="s">
        <v>233</v>
      </c>
      <c r="BH1133" s="7" t="s">
        <v>233</v>
      </c>
      <c r="BI1133" s="7"/>
      <c r="BJ1133" s="4">
        <v>54</v>
      </c>
      <c r="BK1133" s="8">
        <v>1055.65</v>
      </c>
      <c r="BL1133" s="2" t="s">
        <v>5634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5635</v>
      </c>
      <c r="BV1133" s="2" t="s">
        <v>233</v>
      </c>
      <c r="BW1133" s="2" t="s">
        <v>233</v>
      </c>
      <c r="BX1133" s="2" t="s">
        <v>233</v>
      </c>
      <c r="BY1133" s="2" t="s">
        <v>280</v>
      </c>
      <c r="BZ1133" s="2" t="s">
        <v>245</v>
      </c>
      <c r="CA1133" s="2" t="s">
        <v>281</v>
      </c>
      <c r="CB1133" s="2" t="s">
        <v>5636</v>
      </c>
      <c r="CC1133" s="2" t="s">
        <v>246</v>
      </c>
      <c r="CD1133" s="2" t="s">
        <v>233</v>
      </c>
      <c r="CE1133" s="4">
        <v>447</v>
      </c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>
        <v>230</v>
      </c>
      <c r="DL1133" s="4"/>
      <c r="DM1133" s="4">
        <v>270</v>
      </c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</row>
    <row r="1134">
      <c r="A1134" s="2" t="s">
        <v>5637</v>
      </c>
      <c r="B1134" s="2" t="s">
        <v>228</v>
      </c>
      <c r="C1134" s="2" t="s">
        <v>530</v>
      </c>
      <c r="D1134" s="2" t="s">
        <v>230</v>
      </c>
      <c r="E1134" s="2" t="s">
        <v>231</v>
      </c>
      <c r="F1134" s="2" t="s">
        <v>5611</v>
      </c>
      <c r="G1134" s="2" t="s">
        <v>5611</v>
      </c>
      <c r="H1134" s="2" t="s">
        <v>5611</v>
      </c>
      <c r="I1134" s="2" t="s">
        <v>5612</v>
      </c>
      <c r="J1134" s="2" t="s">
        <v>328</v>
      </c>
      <c r="K1134" s="2" t="s">
        <v>582</v>
      </c>
      <c r="L1134" s="3">
        <v>24.14</v>
      </c>
      <c r="M1134" s="3">
        <v>25.35</v>
      </c>
      <c r="N1134" s="3">
        <v>44.99</v>
      </c>
      <c r="O1134" s="2" t="s">
        <v>245</v>
      </c>
      <c r="P1134" s="2" t="s">
        <v>272</v>
      </c>
      <c r="Q1134" s="2" t="s">
        <v>239</v>
      </c>
      <c r="R1134" s="2" t="s">
        <v>233</v>
      </c>
      <c r="S1134" s="2" t="s">
        <v>5630</v>
      </c>
      <c r="T1134" s="2" t="s">
        <v>341</v>
      </c>
      <c r="U1134" s="2" t="s">
        <v>233</v>
      </c>
      <c r="V1134" s="2" t="s">
        <v>241</v>
      </c>
      <c r="W1134" s="2" t="s">
        <v>275</v>
      </c>
      <c r="X1134" s="2" t="s">
        <v>233</v>
      </c>
      <c r="Y1134" s="2" t="s">
        <v>276</v>
      </c>
      <c r="Z1134" s="4">
        <v>271</v>
      </c>
      <c r="AA1134" s="4">
        <f>=ROUNDDOWN(10.4230769230769,0)</f>
      </c>
      <c r="AB1134" s="5">
        <v>26</v>
      </c>
      <c r="AC1134" s="2" t="s">
        <v>3556</v>
      </c>
      <c r="AD1134" s="4">
        <v>200</v>
      </c>
      <c r="AE1134" s="4">
        <v>360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233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233</v>
      </c>
      <c r="AW1134" s="8" t="s">
        <v>233</v>
      </c>
      <c r="AX1134" s="4" t="s">
        <v>233</v>
      </c>
      <c r="AY1134" s="8" t="s">
        <v>233</v>
      </c>
      <c r="AZ1134" s="7" t="s">
        <v>233</v>
      </c>
      <c r="BA1134" s="7" t="s">
        <v>233</v>
      </c>
      <c r="BB1134" s="7"/>
      <c r="BC1134" s="4" t="s">
        <v>233</v>
      </c>
      <c r="BD1134" s="8" t="s">
        <v>233</v>
      </c>
      <c r="BE1134" s="4" t="s">
        <v>233</v>
      </c>
      <c r="BF1134" s="8" t="s">
        <v>233</v>
      </c>
      <c r="BG1134" s="7" t="s">
        <v>233</v>
      </c>
      <c r="BH1134" s="7" t="s">
        <v>233</v>
      </c>
      <c r="BI1134" s="7"/>
      <c r="BJ1134" s="4">
        <v>85</v>
      </c>
      <c r="BK1134" s="8">
        <v>1855.4</v>
      </c>
      <c r="BL1134" s="2" t="s">
        <v>5638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5639</v>
      </c>
      <c r="BV1134" s="2" t="s">
        <v>233</v>
      </c>
      <c r="BW1134" s="2" t="s">
        <v>233</v>
      </c>
      <c r="BX1134" s="2" t="s">
        <v>233</v>
      </c>
      <c r="BY1134" s="2" t="s">
        <v>280</v>
      </c>
      <c r="BZ1134" s="2" t="s">
        <v>245</v>
      </c>
      <c r="CA1134" s="2" t="s">
        <v>281</v>
      </c>
      <c r="CB1134" s="2" t="s">
        <v>5640</v>
      </c>
      <c r="CC1134" s="2" t="s">
        <v>246</v>
      </c>
      <c r="CD1134" s="2" t="s">
        <v>233</v>
      </c>
      <c r="CE1134" s="4">
        <v>271</v>
      </c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>
        <v>200</v>
      </c>
      <c r="DL1134" s="4"/>
      <c r="DM1134" s="4">
        <v>160</v>
      </c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</row>
    <row r="1135">
      <c r="A1135" s="2" t="s">
        <v>5641</v>
      </c>
      <c r="B1135" s="2" t="s">
        <v>228</v>
      </c>
      <c r="C1135" s="2" t="s">
        <v>530</v>
      </c>
      <c r="D1135" s="2" t="s">
        <v>230</v>
      </c>
      <c r="E1135" s="2" t="s">
        <v>231</v>
      </c>
      <c r="F1135" s="2" t="s">
        <v>5611</v>
      </c>
      <c r="G1135" s="2" t="s">
        <v>5611</v>
      </c>
      <c r="H1135" s="2" t="s">
        <v>5611</v>
      </c>
      <c r="I1135" s="2" t="s">
        <v>5612</v>
      </c>
      <c r="J1135" s="2" t="s">
        <v>270</v>
      </c>
      <c r="K1135" s="2" t="s">
        <v>1537</v>
      </c>
      <c r="L1135" s="3">
        <v>18.39</v>
      </c>
      <c r="M1135" s="3">
        <v>19.31</v>
      </c>
      <c r="N1135" s="3">
        <v>34.99</v>
      </c>
      <c r="O1135" s="2" t="s">
        <v>245</v>
      </c>
      <c r="P1135" s="2" t="s">
        <v>272</v>
      </c>
      <c r="Q1135" s="2" t="s">
        <v>239</v>
      </c>
      <c r="R1135" s="2" t="s">
        <v>233</v>
      </c>
      <c r="S1135" s="2" t="s">
        <v>5642</v>
      </c>
      <c r="T1135" s="2" t="s">
        <v>341</v>
      </c>
      <c r="U1135" s="2" t="s">
        <v>233</v>
      </c>
      <c r="V1135" s="2" t="s">
        <v>241</v>
      </c>
      <c r="W1135" s="2" t="s">
        <v>275</v>
      </c>
      <c r="X1135" s="2" t="s">
        <v>233</v>
      </c>
      <c r="Y1135" s="2" t="s">
        <v>276</v>
      </c>
      <c r="Z1135" s="4">
        <v>276</v>
      </c>
      <c r="AA1135" s="4">
        <f>=ROUNDDOWN(30.6666666666667,0)</f>
      </c>
      <c r="AB1135" s="5">
        <v>9</v>
      </c>
      <c r="AC1135" s="2" t="s">
        <v>5614</v>
      </c>
      <c r="AD1135" s="4">
        <v>130</v>
      </c>
      <c r="AE1135" s="4">
        <v>130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233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233</v>
      </c>
      <c r="AW1135" s="8" t="s">
        <v>233</v>
      </c>
      <c r="AX1135" s="4" t="s">
        <v>233</v>
      </c>
      <c r="AY1135" s="8" t="s">
        <v>233</v>
      </c>
      <c r="AZ1135" s="7" t="s">
        <v>233</v>
      </c>
      <c r="BA1135" s="7" t="s">
        <v>233</v>
      </c>
      <c r="BB1135" s="7"/>
      <c r="BC1135" s="4" t="s">
        <v>233</v>
      </c>
      <c r="BD1135" s="8" t="s">
        <v>233</v>
      </c>
      <c r="BE1135" s="4" t="s">
        <v>233</v>
      </c>
      <c r="BF1135" s="8" t="s">
        <v>233</v>
      </c>
      <c r="BG1135" s="7" t="s">
        <v>233</v>
      </c>
      <c r="BH1135" s="7" t="s">
        <v>233</v>
      </c>
      <c r="BI1135" s="7"/>
      <c r="BJ1135" s="4">
        <v>18</v>
      </c>
      <c r="BK1135" s="8">
        <v>282.97</v>
      </c>
      <c r="BL1135" s="2" t="s">
        <v>5643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5644</v>
      </c>
      <c r="BV1135" s="2" t="s">
        <v>233</v>
      </c>
      <c r="BW1135" s="2" t="s">
        <v>233</v>
      </c>
      <c r="BX1135" s="2" t="s">
        <v>233</v>
      </c>
      <c r="BY1135" s="2" t="s">
        <v>280</v>
      </c>
      <c r="BZ1135" s="2" t="s">
        <v>245</v>
      </c>
      <c r="CA1135" s="2" t="s">
        <v>281</v>
      </c>
      <c r="CB1135" s="2" t="s">
        <v>5645</v>
      </c>
      <c r="CC1135" s="2" t="s">
        <v>246</v>
      </c>
      <c r="CD1135" s="2" t="s">
        <v>233</v>
      </c>
      <c r="CE1135" s="4">
        <v>276</v>
      </c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>
        <v>130</v>
      </c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</row>
    <row r="1136">
      <c r="A1136" s="2" t="s">
        <v>5646</v>
      </c>
      <c r="B1136" s="2" t="s">
        <v>228</v>
      </c>
      <c r="C1136" s="2" t="s">
        <v>530</v>
      </c>
      <c r="D1136" s="2" t="s">
        <v>230</v>
      </c>
      <c r="E1136" s="2" t="s">
        <v>231</v>
      </c>
      <c r="F1136" s="2" t="s">
        <v>5611</v>
      </c>
      <c r="G1136" s="2" t="s">
        <v>5611</v>
      </c>
      <c r="H1136" s="2" t="s">
        <v>5611</v>
      </c>
      <c r="I1136" s="2" t="s">
        <v>5612</v>
      </c>
      <c r="J1136" s="2" t="s">
        <v>328</v>
      </c>
      <c r="K1136" s="2" t="s">
        <v>1537</v>
      </c>
      <c r="L1136" s="3">
        <v>24.14</v>
      </c>
      <c r="M1136" s="3">
        <v>25.35</v>
      </c>
      <c r="N1136" s="3">
        <v>44.99</v>
      </c>
      <c r="O1136" s="2" t="s">
        <v>245</v>
      </c>
      <c r="P1136" s="2" t="s">
        <v>272</v>
      </c>
      <c r="Q1136" s="2" t="s">
        <v>239</v>
      </c>
      <c r="R1136" s="2" t="s">
        <v>233</v>
      </c>
      <c r="S1136" s="2" t="s">
        <v>5642</v>
      </c>
      <c r="T1136" s="2" t="s">
        <v>341</v>
      </c>
      <c r="U1136" s="2" t="s">
        <v>233</v>
      </c>
      <c r="V1136" s="2" t="s">
        <v>241</v>
      </c>
      <c r="W1136" s="2" t="s">
        <v>275</v>
      </c>
      <c r="X1136" s="2" t="s">
        <v>233</v>
      </c>
      <c r="Y1136" s="2" t="s">
        <v>276</v>
      </c>
      <c r="Z1136" s="4">
        <v>283</v>
      </c>
      <c r="AA1136" s="4">
        <f>=ROUNDDOWN(22.64,0)</f>
      </c>
      <c r="AB1136" s="5">
        <v>12.5</v>
      </c>
      <c r="AC1136" s="2" t="s">
        <v>5614</v>
      </c>
      <c r="AD1136" s="4">
        <v>110</v>
      </c>
      <c r="AE1136" s="4">
        <v>110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233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233</v>
      </c>
      <c r="AW1136" s="8" t="s">
        <v>233</v>
      </c>
      <c r="AX1136" s="4" t="s">
        <v>233</v>
      </c>
      <c r="AY1136" s="8" t="s">
        <v>233</v>
      </c>
      <c r="AZ1136" s="7" t="s">
        <v>233</v>
      </c>
      <c r="BA1136" s="7" t="s">
        <v>233</v>
      </c>
      <c r="BB1136" s="7"/>
      <c r="BC1136" s="4" t="s">
        <v>233</v>
      </c>
      <c r="BD1136" s="8" t="s">
        <v>233</v>
      </c>
      <c r="BE1136" s="4" t="s">
        <v>233</v>
      </c>
      <c r="BF1136" s="8" t="s">
        <v>233</v>
      </c>
      <c r="BG1136" s="7" t="s">
        <v>233</v>
      </c>
      <c r="BH1136" s="7" t="s">
        <v>233</v>
      </c>
      <c r="BI1136" s="7"/>
      <c r="BJ1136" s="4">
        <v>52</v>
      </c>
      <c r="BK1136" s="8">
        <v>1064.98</v>
      </c>
      <c r="BL1136" s="2" t="s">
        <v>5647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5648</v>
      </c>
      <c r="BV1136" s="2" t="s">
        <v>233</v>
      </c>
      <c r="BW1136" s="2" t="s">
        <v>233</v>
      </c>
      <c r="BX1136" s="2" t="s">
        <v>233</v>
      </c>
      <c r="BY1136" s="2" t="s">
        <v>280</v>
      </c>
      <c r="BZ1136" s="2" t="s">
        <v>245</v>
      </c>
      <c r="CA1136" s="2" t="s">
        <v>281</v>
      </c>
      <c r="CB1136" s="2" t="s">
        <v>5640</v>
      </c>
      <c r="CC1136" s="2" t="s">
        <v>246</v>
      </c>
      <c r="CD1136" s="2" t="s">
        <v>233</v>
      </c>
      <c r="CE1136" s="4">
        <v>283</v>
      </c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>
        <v>110</v>
      </c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</row>
    <row r="1137">
      <c r="A1137" s="2" t="s">
        <v>5649</v>
      </c>
      <c r="B1137" s="2" t="s">
        <v>228</v>
      </c>
      <c r="C1137" s="2" t="s">
        <v>530</v>
      </c>
      <c r="D1137" s="2" t="s">
        <v>230</v>
      </c>
      <c r="E1137" s="2" t="s">
        <v>231</v>
      </c>
      <c r="F1137" s="2" t="s">
        <v>5611</v>
      </c>
      <c r="G1137" s="2" t="s">
        <v>5611</v>
      </c>
      <c r="H1137" s="2" t="s">
        <v>5611</v>
      </c>
      <c r="I1137" s="2" t="s">
        <v>5612</v>
      </c>
      <c r="J1137" s="2" t="s">
        <v>270</v>
      </c>
      <c r="K1137" s="2" t="s">
        <v>1218</v>
      </c>
      <c r="L1137" s="3">
        <v>18.39</v>
      </c>
      <c r="M1137" s="3">
        <v>19.31</v>
      </c>
      <c r="N1137" s="3">
        <v>34.99</v>
      </c>
      <c r="O1137" s="2" t="s">
        <v>237</v>
      </c>
      <c r="P1137" s="2" t="s">
        <v>996</v>
      </c>
      <c r="Q1137" s="2" t="s">
        <v>239</v>
      </c>
      <c r="R1137" s="2" t="s">
        <v>233</v>
      </c>
      <c r="S1137" s="2" t="s">
        <v>5650</v>
      </c>
      <c r="T1137" s="2" t="s">
        <v>341</v>
      </c>
      <c r="U1137" s="2" t="s">
        <v>233</v>
      </c>
      <c r="V1137" s="2" t="s">
        <v>241</v>
      </c>
      <c r="W1137" s="2" t="s">
        <v>275</v>
      </c>
      <c r="X1137" s="2" t="s">
        <v>233</v>
      </c>
      <c r="Y1137" s="2" t="s">
        <v>5651</v>
      </c>
      <c r="Z1137" s="4">
        <v>59</v>
      </c>
      <c r="AA1137" s="4">
        <f>=ROUNDDOWN(2.43801652892562,0)</f>
      </c>
      <c r="AB1137" s="5">
        <v>24.2</v>
      </c>
      <c r="AC1137" s="2" t="s">
        <v>233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233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233</v>
      </c>
      <c r="BD1137" s="8" t="s">
        <v>233</v>
      </c>
      <c r="BE1137" s="4" t="s">
        <v>233</v>
      </c>
      <c r="BF1137" s="8" t="s">
        <v>233</v>
      </c>
      <c r="BG1137" s="7" t="s">
        <v>233</v>
      </c>
      <c r="BH1137" s="7" t="s">
        <v>233</v>
      </c>
      <c r="BI1137" s="7"/>
      <c r="BJ1137" s="4">
        <v>84</v>
      </c>
      <c r="BK1137" s="8">
        <v>1310.92</v>
      </c>
      <c r="BL1137" s="2" t="s">
        <v>5652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5653</v>
      </c>
      <c r="BV1137" s="2" t="s">
        <v>233</v>
      </c>
      <c r="BW1137" s="2" t="s">
        <v>233</v>
      </c>
      <c r="BX1137" s="2" t="s">
        <v>233</v>
      </c>
      <c r="BY1137" s="2" t="s">
        <v>280</v>
      </c>
      <c r="BZ1137" s="2" t="s">
        <v>245</v>
      </c>
      <c r="CA1137" s="2" t="s">
        <v>281</v>
      </c>
      <c r="CB1137" s="2" t="s">
        <v>3492</v>
      </c>
      <c r="CC1137" s="2" t="s">
        <v>246</v>
      </c>
      <c r="CD1137" s="2" t="s">
        <v>233</v>
      </c>
      <c r="CE1137" s="4">
        <v>59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</row>
    <row r="1138">
      <c r="A1138" s="2" t="s">
        <v>5654</v>
      </c>
      <c r="B1138" s="2" t="s">
        <v>1242</v>
      </c>
      <c r="C1138" s="2" t="s">
        <v>2145</v>
      </c>
      <c r="D1138" s="2" t="s">
        <v>969</v>
      </c>
      <c r="E1138" s="2" t="s">
        <v>970</v>
      </c>
      <c r="F1138" s="2" t="s">
        <v>5655</v>
      </c>
      <c r="G1138" s="2" t="s">
        <v>5656</v>
      </c>
      <c r="H1138" s="2" t="s">
        <v>5657</v>
      </c>
      <c r="I1138" s="2" t="s">
        <v>5658</v>
      </c>
      <c r="J1138" s="2" t="s">
        <v>918</v>
      </c>
      <c r="K1138" s="2" t="s">
        <v>2549</v>
      </c>
      <c r="L1138" s="3">
        <v>19.04</v>
      </c>
      <c r="M1138" s="3">
        <v>19.99</v>
      </c>
      <c r="N1138" s="3">
        <v>39.99</v>
      </c>
      <c r="O1138" s="2" t="s">
        <v>245</v>
      </c>
      <c r="P1138" s="2" t="s">
        <v>238</v>
      </c>
      <c r="Q1138" s="2" t="s">
        <v>239</v>
      </c>
      <c r="R1138" s="2" t="s">
        <v>233</v>
      </c>
      <c r="S1138" s="2" t="s">
        <v>5659</v>
      </c>
      <c r="T1138" s="2" t="s">
        <v>1481</v>
      </c>
      <c r="U1138" s="2" t="s">
        <v>491</v>
      </c>
      <c r="V1138" s="2" t="s">
        <v>1272</v>
      </c>
      <c r="W1138" s="2" t="s">
        <v>977</v>
      </c>
      <c r="X1138" s="2" t="s">
        <v>275</v>
      </c>
      <c r="Y1138" s="2" t="s">
        <v>2532</v>
      </c>
      <c r="Z1138" s="4">
        <v>256</v>
      </c>
      <c r="AA1138" s="4">
        <f>=ROUNDDOWN(320,0)</f>
      </c>
      <c r="AB1138" s="5">
        <v>0.8</v>
      </c>
      <c r="AC1138" s="2" t="s">
        <v>2533</v>
      </c>
      <c r="AD1138" s="4">
        <v>243</v>
      </c>
      <c r="AE1138" s="4">
        <v>399</v>
      </c>
      <c r="AF1138" s="6">
        <v>63</v>
      </c>
      <c r="AG1138" s="6">
        <v>46</v>
      </c>
      <c r="AH1138" s="7">
        <v>0.6452</v>
      </c>
      <c r="AI1138" s="4"/>
      <c r="AJ1138" s="4">
        <f>=ROUNDDOWN({0},0)</f>
      </c>
      <c r="AK1138" s="5"/>
      <c r="AL1138" s="2" t="s">
        <v>233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233</v>
      </c>
      <c r="AW1138" s="8" t="s">
        <v>233</v>
      </c>
      <c r="AX1138" s="4" t="s">
        <v>233</v>
      </c>
      <c r="AY1138" s="8" t="s">
        <v>233</v>
      </c>
      <c r="AZ1138" s="7" t="s">
        <v>233</v>
      </c>
      <c r="BA1138" s="7" t="s">
        <v>233</v>
      </c>
      <c r="BB1138" s="7"/>
      <c r="BC1138" s="4" t="s">
        <v>233</v>
      </c>
      <c r="BD1138" s="8" t="s">
        <v>233</v>
      </c>
      <c r="BE1138" s="4" t="s">
        <v>233</v>
      </c>
      <c r="BF1138" s="8" t="s">
        <v>233</v>
      </c>
      <c r="BG1138" s="7" t="s">
        <v>233</v>
      </c>
      <c r="BH1138" s="7" t="s">
        <v>233</v>
      </c>
      <c r="BI1138" s="7"/>
      <c r="BJ1138" s="4">
        <v>6</v>
      </c>
      <c r="BK1138" s="8">
        <v>239.94</v>
      </c>
      <c r="BL1138" s="2" t="s">
        <v>4620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5660</v>
      </c>
      <c r="BV1138" s="2" t="s">
        <v>233</v>
      </c>
      <c r="BW1138" s="2" t="s">
        <v>233</v>
      </c>
      <c r="BX1138" s="2" t="s">
        <v>243</v>
      </c>
      <c r="BY1138" s="2" t="s">
        <v>280</v>
      </c>
      <c r="BZ1138" s="2" t="s">
        <v>245</v>
      </c>
      <c r="CA1138" s="2" t="s">
        <v>5661</v>
      </c>
      <c r="CB1138" s="2" t="s">
        <v>233</v>
      </c>
      <c r="CC1138" s="2" t="s">
        <v>246</v>
      </c>
      <c r="CD1138" s="2" t="s">
        <v>233</v>
      </c>
      <c r="CE1138" s="4"/>
      <c r="CF1138" s="4"/>
      <c r="CG1138" s="4"/>
      <c r="CH1138" s="4"/>
      <c r="CI1138" s="4">
        <v>190</v>
      </c>
      <c r="CJ1138" s="4"/>
      <c r="CK1138" s="4"/>
      <c r="CL1138" s="4"/>
      <c r="CM1138" s="4"/>
      <c r="CN1138" s="4"/>
      <c r="CO1138" s="4"/>
      <c r="CP1138" s="4">
        <v>66</v>
      </c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>
        <v>243</v>
      </c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>
        <v>156</v>
      </c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</row>
    <row r="1139">
      <c r="A1139" s="2" t="s">
        <v>5662</v>
      </c>
      <c r="B1139" s="2" t="s">
        <v>1242</v>
      </c>
      <c r="C1139" s="2" t="s">
        <v>2145</v>
      </c>
      <c r="D1139" s="2" t="s">
        <v>969</v>
      </c>
      <c r="E1139" s="2" t="s">
        <v>970</v>
      </c>
      <c r="F1139" s="2" t="s">
        <v>5655</v>
      </c>
      <c r="G1139" s="2" t="s">
        <v>5656</v>
      </c>
      <c r="H1139" s="2" t="s">
        <v>5657</v>
      </c>
      <c r="I1139" s="2" t="s">
        <v>5658</v>
      </c>
      <c r="J1139" s="2" t="s">
        <v>1142</v>
      </c>
      <c r="K1139" s="2" t="s">
        <v>2549</v>
      </c>
      <c r="L1139" s="3">
        <v>26.19</v>
      </c>
      <c r="M1139" s="3">
        <v>27.5</v>
      </c>
      <c r="N1139" s="3">
        <v>54.99</v>
      </c>
      <c r="O1139" s="2" t="s">
        <v>245</v>
      </c>
      <c r="P1139" s="2" t="s">
        <v>238</v>
      </c>
      <c r="Q1139" s="2" t="s">
        <v>239</v>
      </c>
      <c r="R1139" s="2" t="s">
        <v>233</v>
      </c>
      <c r="S1139" s="2" t="s">
        <v>5659</v>
      </c>
      <c r="T1139" s="2" t="s">
        <v>1481</v>
      </c>
      <c r="U1139" s="2" t="s">
        <v>475</v>
      </c>
      <c r="V1139" s="2" t="s">
        <v>1272</v>
      </c>
      <c r="W1139" s="2" t="s">
        <v>977</v>
      </c>
      <c r="X1139" s="2" t="s">
        <v>275</v>
      </c>
      <c r="Y1139" s="2" t="s">
        <v>5661</v>
      </c>
      <c r="Z1139" s="4">
        <v>384</v>
      </c>
      <c r="AA1139" s="4">
        <f>=ROUNDDOWN(109.714285714286,0)</f>
      </c>
      <c r="AB1139" s="5">
        <v>3.5</v>
      </c>
      <c r="AC1139" s="2" t="s">
        <v>2533</v>
      </c>
      <c r="AD1139" s="4">
        <v>366</v>
      </c>
      <c r="AE1139" s="4">
        <v>621</v>
      </c>
      <c r="AF1139" s="6">
        <v>63</v>
      </c>
      <c r="AG1139" s="6">
        <v>46</v>
      </c>
      <c r="AH1139" s="7">
        <v>1</v>
      </c>
      <c r="AI1139" s="4"/>
      <c r="AJ1139" s="4">
        <f>=ROUNDDOWN({0},0)</f>
      </c>
      <c r="AK1139" s="5"/>
      <c r="AL1139" s="2" t="s">
        <v>233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233</v>
      </c>
      <c r="AW1139" s="8" t="s">
        <v>233</v>
      </c>
      <c r="AX1139" s="4" t="s">
        <v>233</v>
      </c>
      <c r="AY1139" s="8" t="s">
        <v>233</v>
      </c>
      <c r="AZ1139" s="7" t="s">
        <v>233</v>
      </c>
      <c r="BA1139" s="7" t="s">
        <v>233</v>
      </c>
      <c r="BB1139" s="7"/>
      <c r="BC1139" s="4" t="s">
        <v>233</v>
      </c>
      <c r="BD1139" s="8" t="s">
        <v>233</v>
      </c>
      <c r="BE1139" s="4" t="s">
        <v>233</v>
      </c>
      <c r="BF1139" s="8" t="s">
        <v>233</v>
      </c>
      <c r="BG1139" s="7" t="s">
        <v>233</v>
      </c>
      <c r="BH1139" s="7" t="s">
        <v>233</v>
      </c>
      <c r="BI1139" s="7"/>
      <c r="BJ1139" s="4">
        <v>31</v>
      </c>
      <c r="BK1139" s="8">
        <v>1325.89</v>
      </c>
      <c r="BL1139" s="2" t="s">
        <v>2551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5663</v>
      </c>
      <c r="BV1139" s="2" t="s">
        <v>233</v>
      </c>
      <c r="BW1139" s="2" t="s">
        <v>233</v>
      </c>
      <c r="BX1139" s="2" t="s">
        <v>243</v>
      </c>
      <c r="BY1139" s="2" t="s">
        <v>280</v>
      </c>
      <c r="BZ1139" s="2" t="s">
        <v>245</v>
      </c>
      <c r="CA1139" s="2" t="s">
        <v>5661</v>
      </c>
      <c r="CB1139" s="2" t="s">
        <v>521</v>
      </c>
      <c r="CC1139" s="2" t="s">
        <v>246</v>
      </c>
      <c r="CD1139" s="2" t="s">
        <v>233</v>
      </c>
      <c r="CE1139" s="4"/>
      <c r="CF1139" s="4"/>
      <c r="CG1139" s="4"/>
      <c r="CH1139" s="4"/>
      <c r="CI1139" s="4">
        <v>273</v>
      </c>
      <c r="CJ1139" s="4"/>
      <c r="CK1139" s="4"/>
      <c r="CL1139" s="4"/>
      <c r="CM1139" s="4"/>
      <c r="CN1139" s="4"/>
      <c r="CO1139" s="4"/>
      <c r="CP1139" s="4">
        <v>111</v>
      </c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>
        <v>366</v>
      </c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>
        <v>255</v>
      </c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</row>
    <row r="1140">
      <c r="A1140" s="2" t="s">
        <v>5664</v>
      </c>
      <c r="B1140" s="2" t="s">
        <v>1242</v>
      </c>
      <c r="C1140" s="2" t="s">
        <v>2145</v>
      </c>
      <c r="D1140" s="2" t="s">
        <v>969</v>
      </c>
      <c r="E1140" s="2" t="s">
        <v>970</v>
      </c>
      <c r="F1140" s="2" t="s">
        <v>5655</v>
      </c>
      <c r="G1140" s="2" t="s">
        <v>5656</v>
      </c>
      <c r="H1140" s="2" t="s">
        <v>5657</v>
      </c>
      <c r="I1140" s="2" t="s">
        <v>5658</v>
      </c>
      <c r="J1140" s="2" t="s">
        <v>918</v>
      </c>
      <c r="K1140" s="2" t="s">
        <v>5665</v>
      </c>
      <c r="L1140" s="3">
        <v>19.04</v>
      </c>
      <c r="M1140" s="3">
        <v>19.99</v>
      </c>
      <c r="N1140" s="3">
        <v>39.99</v>
      </c>
      <c r="O1140" s="2" t="s">
        <v>245</v>
      </c>
      <c r="P1140" s="2" t="s">
        <v>238</v>
      </c>
      <c r="Q1140" s="2" t="s">
        <v>239</v>
      </c>
      <c r="R1140" s="2" t="s">
        <v>233</v>
      </c>
      <c r="S1140" s="2" t="s">
        <v>5666</v>
      </c>
      <c r="T1140" s="2" t="s">
        <v>1481</v>
      </c>
      <c r="U1140" s="2" t="s">
        <v>491</v>
      </c>
      <c r="V1140" s="2" t="s">
        <v>1272</v>
      </c>
      <c r="W1140" s="2" t="s">
        <v>977</v>
      </c>
      <c r="X1140" s="2" t="s">
        <v>275</v>
      </c>
      <c r="Y1140" s="2" t="s">
        <v>2532</v>
      </c>
      <c r="Z1140" s="4">
        <v>165</v>
      </c>
      <c r="AA1140" s="4">
        <f>=ROUNDDOWN(56.8965517241379,0)</f>
      </c>
      <c r="AB1140" s="5">
        <v>2.9</v>
      </c>
      <c r="AC1140" s="2" t="s">
        <v>2533</v>
      </c>
      <c r="AD1140" s="4">
        <v>147</v>
      </c>
      <c r="AE1140" s="4">
        <v>249</v>
      </c>
      <c r="AF1140" s="6">
        <v>63</v>
      </c>
      <c r="AG1140" s="6">
        <v>46</v>
      </c>
      <c r="AH1140" s="7">
        <v>0.6452</v>
      </c>
      <c r="AI1140" s="4"/>
      <c r="AJ1140" s="4">
        <f>=ROUNDDOWN({0},0)</f>
      </c>
      <c r="AK1140" s="5"/>
      <c r="AL1140" s="2" t="s">
        <v>233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233</v>
      </c>
      <c r="BD1140" s="8" t="s">
        <v>233</v>
      </c>
      <c r="BE1140" s="4" t="s">
        <v>233</v>
      </c>
      <c r="BF1140" s="8" t="s">
        <v>233</v>
      </c>
      <c r="BG1140" s="7" t="s">
        <v>233</v>
      </c>
      <c r="BH1140" s="7" t="s">
        <v>233</v>
      </c>
      <c r="BI1140" s="7"/>
      <c r="BJ1140" s="4">
        <v>11</v>
      </c>
      <c r="BK1140" s="8">
        <v>380.49</v>
      </c>
      <c r="BL1140" s="2" t="s">
        <v>5667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5668</v>
      </c>
      <c r="BV1140" s="2" t="s">
        <v>233</v>
      </c>
      <c r="BW1140" s="2" t="s">
        <v>233</v>
      </c>
      <c r="BX1140" s="2" t="s">
        <v>243</v>
      </c>
      <c r="BY1140" s="2" t="s">
        <v>280</v>
      </c>
      <c r="BZ1140" s="2" t="s">
        <v>245</v>
      </c>
      <c r="CA1140" s="2" t="s">
        <v>5661</v>
      </c>
      <c r="CB1140" s="2" t="s">
        <v>1136</v>
      </c>
      <c r="CC1140" s="2" t="s">
        <v>246</v>
      </c>
      <c r="CD1140" s="2" t="s">
        <v>233</v>
      </c>
      <c r="CE1140" s="4"/>
      <c r="CF1140" s="4"/>
      <c r="CG1140" s="4"/>
      <c r="CH1140" s="4"/>
      <c r="CI1140" s="4">
        <v>120</v>
      </c>
      <c r="CJ1140" s="4"/>
      <c r="CK1140" s="4"/>
      <c r="CL1140" s="4"/>
      <c r="CM1140" s="4"/>
      <c r="CN1140" s="4"/>
      <c r="CO1140" s="4"/>
      <c r="CP1140" s="4">
        <v>45</v>
      </c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>
        <v>147</v>
      </c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>
        <v>102</v>
      </c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</row>
    <row r="1141">
      <c r="A1141" s="2" t="s">
        <v>5669</v>
      </c>
      <c r="B1141" s="2" t="s">
        <v>1174</v>
      </c>
      <c r="C1141" s="2" t="s">
        <v>530</v>
      </c>
      <c r="D1141" s="2" t="s">
        <v>1175</v>
      </c>
      <c r="E1141" s="2" t="s">
        <v>3661</v>
      </c>
      <c r="F1141" s="2" t="s">
        <v>5670</v>
      </c>
      <c r="G1141" s="2" t="s">
        <v>5671</v>
      </c>
      <c r="H1141" s="2" t="s">
        <v>5672</v>
      </c>
      <c r="I1141" s="2" t="s">
        <v>5673</v>
      </c>
      <c r="J1141" s="2" t="s">
        <v>3671</v>
      </c>
      <c r="K1141" s="2" t="s">
        <v>773</v>
      </c>
      <c r="L1141" s="3">
        <v>29.25</v>
      </c>
      <c r="M1141" s="3">
        <v>30.71</v>
      </c>
      <c r="N1141" s="3">
        <v>64.99</v>
      </c>
      <c r="O1141" s="2" t="s">
        <v>245</v>
      </c>
      <c r="P1141" s="2" t="s">
        <v>311</v>
      </c>
      <c r="Q1141" s="2" t="s">
        <v>239</v>
      </c>
      <c r="R1141" s="2" t="s">
        <v>233</v>
      </c>
      <c r="S1141" s="2" t="s">
        <v>233</v>
      </c>
      <c r="T1141" s="2" t="s">
        <v>395</v>
      </c>
      <c r="U1141" s="2" t="s">
        <v>396</v>
      </c>
      <c r="V1141" s="2" t="s">
        <v>241</v>
      </c>
      <c r="W1141" s="2" t="s">
        <v>275</v>
      </c>
      <c r="X1141" s="2" t="s">
        <v>233</v>
      </c>
      <c r="Y1141" s="2" t="s">
        <v>3237</v>
      </c>
      <c r="Z1141" s="4">
        <v>140</v>
      </c>
      <c r="AA1141" s="4">
        <f>=ROUNDDOWN(70,0)</f>
      </c>
      <c r="AB1141" s="5">
        <v>2</v>
      </c>
      <c r="AC1141" s="2" t="s">
        <v>233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233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233</v>
      </c>
      <c r="BD1141" s="8" t="s">
        <v>233</v>
      </c>
      <c r="BE1141" s="4" t="s">
        <v>233</v>
      </c>
      <c r="BF1141" s="8" t="s">
        <v>233</v>
      </c>
      <c r="BG1141" s="7" t="s">
        <v>233</v>
      </c>
      <c r="BH1141" s="7" t="s">
        <v>233</v>
      </c>
      <c r="BI1141" s="7"/>
      <c r="BJ1141" s="4">
        <v>7</v>
      </c>
      <c r="BK1141" s="8">
        <v>223.7</v>
      </c>
      <c r="BL1141" s="2" t="s">
        <v>5674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5675</v>
      </c>
      <c r="BV1141" s="2" t="s">
        <v>233</v>
      </c>
      <c r="BW1141" s="2" t="s">
        <v>233</v>
      </c>
      <c r="BX1141" s="2" t="s">
        <v>595</v>
      </c>
      <c r="BY1141" s="2" t="s">
        <v>280</v>
      </c>
      <c r="BZ1141" s="2" t="s">
        <v>245</v>
      </c>
      <c r="CA1141" s="2" t="s">
        <v>1881</v>
      </c>
      <c r="CB1141" s="2" t="s">
        <v>4926</v>
      </c>
      <c r="CC1141" s="2" t="s">
        <v>246</v>
      </c>
      <c r="CD1141" s="2" t="s">
        <v>233</v>
      </c>
      <c r="CE1141" s="4">
        <v>140</v>
      </c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</row>
    <row r="1142">
      <c r="A1142" s="2" t="s">
        <v>5676</v>
      </c>
      <c r="B1142" s="2" t="s">
        <v>1174</v>
      </c>
      <c r="C1142" s="2" t="s">
        <v>530</v>
      </c>
      <c r="D1142" s="2" t="s">
        <v>1175</v>
      </c>
      <c r="E1142" s="2" t="s">
        <v>3661</v>
      </c>
      <c r="F1142" s="2" t="s">
        <v>5670</v>
      </c>
      <c r="G1142" s="2" t="s">
        <v>5671</v>
      </c>
      <c r="H1142" s="2" t="s">
        <v>5672</v>
      </c>
      <c r="I1142" s="2" t="s">
        <v>5673</v>
      </c>
      <c r="J1142" s="2" t="s">
        <v>3666</v>
      </c>
      <c r="K1142" s="2" t="s">
        <v>449</v>
      </c>
      <c r="L1142" s="3">
        <v>27</v>
      </c>
      <c r="M1142" s="3">
        <v>28.35</v>
      </c>
      <c r="N1142" s="3">
        <v>59.99</v>
      </c>
      <c r="O1142" s="2" t="s">
        <v>245</v>
      </c>
      <c r="P1142" s="2" t="s">
        <v>311</v>
      </c>
      <c r="Q1142" s="2" t="s">
        <v>239</v>
      </c>
      <c r="R1142" s="2" t="s">
        <v>233</v>
      </c>
      <c r="S1142" s="2" t="s">
        <v>233</v>
      </c>
      <c r="T1142" s="2" t="s">
        <v>395</v>
      </c>
      <c r="U1142" s="2" t="s">
        <v>396</v>
      </c>
      <c r="V1142" s="2" t="s">
        <v>241</v>
      </c>
      <c r="W1142" s="2" t="s">
        <v>275</v>
      </c>
      <c r="X1142" s="2" t="s">
        <v>233</v>
      </c>
      <c r="Y1142" s="2" t="s">
        <v>3237</v>
      </c>
      <c r="Z1142" s="4">
        <v>30</v>
      </c>
      <c r="AA1142" s="4">
        <f>=ROUNDDOWN(15.7894736842105,0)</f>
      </c>
      <c r="AB1142" s="5">
        <v>1.9</v>
      </c>
      <c r="AC1142" s="2" t="s">
        <v>233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233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233</v>
      </c>
      <c r="AW1142" s="8" t="s">
        <v>233</v>
      </c>
      <c r="AX1142" s="4" t="s">
        <v>233</v>
      </c>
      <c r="AY1142" s="8" t="s">
        <v>233</v>
      </c>
      <c r="AZ1142" s="7" t="s">
        <v>233</v>
      </c>
      <c r="BA1142" s="7" t="s">
        <v>233</v>
      </c>
      <c r="BB1142" s="7"/>
      <c r="BC1142" s="4" t="s">
        <v>233</v>
      </c>
      <c r="BD1142" s="8" t="s">
        <v>233</v>
      </c>
      <c r="BE1142" s="4" t="s">
        <v>233</v>
      </c>
      <c r="BF1142" s="8" t="s">
        <v>233</v>
      </c>
      <c r="BG1142" s="7" t="s">
        <v>233</v>
      </c>
      <c r="BH1142" s="7" t="s">
        <v>233</v>
      </c>
      <c r="BI1142" s="7"/>
      <c r="BJ1142" s="4">
        <v>9</v>
      </c>
      <c r="BK1142" s="8">
        <v>248.4</v>
      </c>
      <c r="BL1142" s="2" t="s">
        <v>5674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5677</v>
      </c>
      <c r="BV1142" s="2" t="s">
        <v>233</v>
      </c>
      <c r="BW1142" s="2" t="s">
        <v>233</v>
      </c>
      <c r="BX1142" s="2" t="s">
        <v>595</v>
      </c>
      <c r="BY1142" s="2" t="s">
        <v>280</v>
      </c>
      <c r="BZ1142" s="2" t="s">
        <v>245</v>
      </c>
      <c r="CA1142" s="2" t="s">
        <v>1881</v>
      </c>
      <c r="CB1142" s="2" t="s">
        <v>2014</v>
      </c>
      <c r="CC1142" s="2" t="s">
        <v>246</v>
      </c>
      <c r="CD1142" s="2" t="s">
        <v>233</v>
      </c>
      <c r="CE1142" s="4">
        <v>30</v>
      </c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</row>
    <row r="1143">
      <c r="A1143" s="2" t="s">
        <v>5678</v>
      </c>
      <c r="B1143" s="2" t="s">
        <v>1174</v>
      </c>
      <c r="C1143" s="2" t="s">
        <v>530</v>
      </c>
      <c r="D1143" s="2" t="s">
        <v>1175</v>
      </c>
      <c r="E1143" s="2" t="s">
        <v>3661</v>
      </c>
      <c r="F1143" s="2" t="s">
        <v>5670</v>
      </c>
      <c r="G1143" s="2" t="s">
        <v>5671</v>
      </c>
      <c r="H1143" s="2" t="s">
        <v>5672</v>
      </c>
      <c r="I1143" s="2" t="s">
        <v>5673</v>
      </c>
      <c r="J1143" s="2" t="s">
        <v>3671</v>
      </c>
      <c r="K1143" s="2" t="s">
        <v>449</v>
      </c>
      <c r="L1143" s="3">
        <v>29.25</v>
      </c>
      <c r="M1143" s="3">
        <v>30.71</v>
      </c>
      <c r="N1143" s="3">
        <v>64.99</v>
      </c>
      <c r="O1143" s="2" t="s">
        <v>245</v>
      </c>
      <c r="P1143" s="2" t="s">
        <v>311</v>
      </c>
      <c r="Q1143" s="2" t="s">
        <v>239</v>
      </c>
      <c r="R1143" s="2" t="s">
        <v>233</v>
      </c>
      <c r="S1143" s="2" t="s">
        <v>233</v>
      </c>
      <c r="T1143" s="2" t="s">
        <v>395</v>
      </c>
      <c r="U1143" s="2" t="s">
        <v>396</v>
      </c>
      <c r="V1143" s="2" t="s">
        <v>241</v>
      </c>
      <c r="W1143" s="2" t="s">
        <v>275</v>
      </c>
      <c r="X1143" s="2" t="s">
        <v>233</v>
      </c>
      <c r="Y1143" s="2" t="s">
        <v>3237</v>
      </c>
      <c r="Z1143" s="4">
        <v>5</v>
      </c>
      <c r="AA1143" s="4">
        <f>=ROUNDDOWN(25,0)</f>
      </c>
      <c r="AB1143" s="5">
        <v>0.2</v>
      </c>
      <c r="AC1143" s="2" t="s">
        <v>233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233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233</v>
      </c>
      <c r="AW1143" s="8" t="s">
        <v>233</v>
      </c>
      <c r="AX1143" s="4" t="s">
        <v>233</v>
      </c>
      <c r="AY1143" s="8" t="s">
        <v>233</v>
      </c>
      <c r="AZ1143" s="7" t="s">
        <v>233</v>
      </c>
      <c r="BA1143" s="7" t="s">
        <v>233</v>
      </c>
      <c r="BB1143" s="7"/>
      <c r="BC1143" s="4" t="s">
        <v>233</v>
      </c>
      <c r="BD1143" s="8" t="s">
        <v>233</v>
      </c>
      <c r="BE1143" s="4" t="s">
        <v>233</v>
      </c>
      <c r="BF1143" s="8" t="s">
        <v>233</v>
      </c>
      <c r="BG1143" s="7" t="s">
        <v>233</v>
      </c>
      <c r="BH1143" s="7" t="s">
        <v>233</v>
      </c>
      <c r="BI1143" s="7"/>
      <c r="BJ1143" s="4">
        <v>3</v>
      </c>
      <c r="BK1143" s="8">
        <v>101.68</v>
      </c>
      <c r="BL1143" s="2" t="s">
        <v>5679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5680</v>
      </c>
      <c r="BV1143" s="2" t="s">
        <v>233</v>
      </c>
      <c r="BW1143" s="2" t="s">
        <v>233</v>
      </c>
      <c r="BX1143" s="2" t="s">
        <v>595</v>
      </c>
      <c r="BY1143" s="2" t="s">
        <v>280</v>
      </c>
      <c r="BZ1143" s="2" t="s">
        <v>245</v>
      </c>
      <c r="CA1143" s="2" t="s">
        <v>1881</v>
      </c>
      <c r="CB1143" s="2" t="s">
        <v>5681</v>
      </c>
      <c r="CC1143" s="2" t="s">
        <v>246</v>
      </c>
      <c r="CD1143" s="2" t="s">
        <v>233</v>
      </c>
      <c r="CE1143" s="4">
        <v>5</v>
      </c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</row>
    <row r="1144">
      <c r="A1144" s="2" t="s">
        <v>5682</v>
      </c>
      <c r="B1144" s="2" t="s">
        <v>1174</v>
      </c>
      <c r="C1144" s="2" t="s">
        <v>530</v>
      </c>
      <c r="D1144" s="2" t="s">
        <v>1175</v>
      </c>
      <c r="E1144" s="2" t="s">
        <v>1206</v>
      </c>
      <c r="F1144" s="2" t="s">
        <v>5670</v>
      </c>
      <c r="G1144" s="2" t="s">
        <v>5671</v>
      </c>
      <c r="H1144" s="2" t="s">
        <v>5672</v>
      </c>
      <c r="I1144" s="2" t="s">
        <v>5683</v>
      </c>
      <c r="J1144" s="2" t="s">
        <v>5684</v>
      </c>
      <c r="K1144" s="2" t="s">
        <v>255</v>
      </c>
      <c r="L1144" s="3">
        <v>19</v>
      </c>
      <c r="M1144" s="3">
        <v>19.95</v>
      </c>
      <c r="N1144" s="3">
        <v>39.99</v>
      </c>
      <c r="O1144" s="2" t="s">
        <v>245</v>
      </c>
      <c r="P1144" s="2" t="s">
        <v>311</v>
      </c>
      <c r="Q1144" s="2" t="s">
        <v>239</v>
      </c>
      <c r="R1144" s="2" t="s">
        <v>233</v>
      </c>
      <c r="S1144" s="2" t="s">
        <v>5685</v>
      </c>
      <c r="T1144" s="2" t="s">
        <v>233</v>
      </c>
      <c r="U1144" s="2" t="s">
        <v>491</v>
      </c>
      <c r="V1144" s="2" t="s">
        <v>241</v>
      </c>
      <c r="W1144" s="2" t="s">
        <v>275</v>
      </c>
      <c r="X1144" s="2" t="s">
        <v>233</v>
      </c>
      <c r="Y1144" s="2" t="s">
        <v>816</v>
      </c>
      <c r="Z1144" s="4">
        <v>263</v>
      </c>
      <c r="AA1144" s="4">
        <f>=ROUNDDOWN(48.7037037037037,0)</f>
      </c>
      <c r="AB1144" s="5">
        <v>5.4</v>
      </c>
      <c r="AC1144" s="2" t="s">
        <v>233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233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233</v>
      </c>
      <c r="AW1144" s="8" t="s">
        <v>233</v>
      </c>
      <c r="AX1144" s="4" t="s">
        <v>233</v>
      </c>
      <c r="AY1144" s="8" t="s">
        <v>233</v>
      </c>
      <c r="AZ1144" s="7" t="s">
        <v>233</v>
      </c>
      <c r="BA1144" s="7" t="s">
        <v>233</v>
      </c>
      <c r="BB1144" s="7"/>
      <c r="BC1144" s="4" t="s">
        <v>233</v>
      </c>
      <c r="BD1144" s="8" t="s">
        <v>233</v>
      </c>
      <c r="BE1144" s="4" t="s">
        <v>233</v>
      </c>
      <c r="BF1144" s="8" t="s">
        <v>233</v>
      </c>
      <c r="BG1144" s="7" t="s">
        <v>233</v>
      </c>
      <c r="BH1144" s="7" t="s">
        <v>233</v>
      </c>
      <c r="BI1144" s="7"/>
      <c r="BJ1144" s="4">
        <v>11</v>
      </c>
      <c r="BK1144" s="8">
        <v>244.17</v>
      </c>
      <c r="BL1144" s="2" t="s">
        <v>5686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5687</v>
      </c>
      <c r="BV1144" s="2" t="s">
        <v>233</v>
      </c>
      <c r="BW1144" s="2" t="s">
        <v>233</v>
      </c>
      <c r="BX1144" s="2" t="s">
        <v>595</v>
      </c>
      <c r="BY1144" s="2" t="s">
        <v>280</v>
      </c>
      <c r="BZ1144" s="2" t="s">
        <v>245</v>
      </c>
      <c r="CA1144" s="2" t="s">
        <v>5688</v>
      </c>
      <c r="CB1144" s="2" t="s">
        <v>3375</v>
      </c>
      <c r="CC1144" s="2" t="s">
        <v>246</v>
      </c>
      <c r="CD1144" s="2" t="s">
        <v>233</v>
      </c>
      <c r="CE1144" s="4">
        <v>263</v>
      </c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</row>
    <row r="1145">
      <c r="A1145" s="2" t="s">
        <v>5689</v>
      </c>
      <c r="B1145" s="2" t="s">
        <v>1174</v>
      </c>
      <c r="C1145" s="2" t="s">
        <v>530</v>
      </c>
      <c r="D1145" s="2" t="s">
        <v>1175</v>
      </c>
      <c r="E1145" s="2" t="s">
        <v>3661</v>
      </c>
      <c r="F1145" s="2" t="s">
        <v>5670</v>
      </c>
      <c r="G1145" s="2" t="s">
        <v>5671</v>
      </c>
      <c r="H1145" s="2" t="s">
        <v>5672</v>
      </c>
      <c r="I1145" s="2" t="s">
        <v>5673</v>
      </c>
      <c r="J1145" s="2" t="s">
        <v>5690</v>
      </c>
      <c r="K1145" s="2" t="s">
        <v>255</v>
      </c>
      <c r="L1145" s="3">
        <v>33.5</v>
      </c>
      <c r="M1145" s="3">
        <v>35.18</v>
      </c>
      <c r="N1145" s="3">
        <v>74.99</v>
      </c>
      <c r="O1145" s="2" t="s">
        <v>245</v>
      </c>
      <c r="P1145" s="2" t="s">
        <v>763</v>
      </c>
      <c r="Q1145" s="2" t="s">
        <v>239</v>
      </c>
      <c r="R1145" s="2" t="s">
        <v>233</v>
      </c>
      <c r="S1145" s="2" t="s">
        <v>5685</v>
      </c>
      <c r="T1145" s="2" t="s">
        <v>395</v>
      </c>
      <c r="U1145" s="2" t="s">
        <v>396</v>
      </c>
      <c r="V1145" s="2" t="s">
        <v>241</v>
      </c>
      <c r="W1145" s="2" t="s">
        <v>275</v>
      </c>
      <c r="X1145" s="2" t="s">
        <v>233</v>
      </c>
      <c r="Y1145" s="2" t="s">
        <v>5691</v>
      </c>
      <c r="Z1145" s="4">
        <v>684</v>
      </c>
      <c r="AA1145" s="4">
        <f>=ROUNDDOWN(85.5,0)</f>
      </c>
      <c r="AB1145" s="5">
        <v>8</v>
      </c>
      <c r="AC1145" s="2" t="s">
        <v>2533</v>
      </c>
      <c r="AD1145" s="4">
        <v>114</v>
      </c>
      <c r="AE1145" s="4">
        <v>114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233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233</v>
      </c>
      <c r="AW1145" s="8" t="s">
        <v>233</v>
      </c>
      <c r="AX1145" s="4" t="s">
        <v>233</v>
      </c>
      <c r="AY1145" s="8" t="s">
        <v>233</v>
      </c>
      <c r="AZ1145" s="7" t="s">
        <v>233</v>
      </c>
      <c r="BA1145" s="7" t="s">
        <v>233</v>
      </c>
      <c r="BB1145" s="7"/>
      <c r="BC1145" s="4" t="s">
        <v>233</v>
      </c>
      <c r="BD1145" s="8" t="s">
        <v>233</v>
      </c>
      <c r="BE1145" s="4" t="s">
        <v>233</v>
      </c>
      <c r="BF1145" s="8" t="s">
        <v>233</v>
      </c>
      <c r="BG1145" s="7" t="s">
        <v>233</v>
      </c>
      <c r="BH1145" s="7" t="s">
        <v>233</v>
      </c>
      <c r="BI1145" s="7"/>
      <c r="BJ1145" s="4">
        <v>29</v>
      </c>
      <c r="BK1145" s="8">
        <v>1073.99</v>
      </c>
      <c r="BL1145" s="2" t="s">
        <v>5692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5693</v>
      </c>
      <c r="BV1145" s="2" t="s">
        <v>233</v>
      </c>
      <c r="BW1145" s="2" t="s">
        <v>233</v>
      </c>
      <c r="BX1145" s="2" t="s">
        <v>5136</v>
      </c>
      <c r="BY1145" s="2" t="s">
        <v>280</v>
      </c>
      <c r="BZ1145" s="2" t="s">
        <v>245</v>
      </c>
      <c r="CA1145" s="2" t="s">
        <v>5694</v>
      </c>
      <c r="CB1145" s="2" t="s">
        <v>5695</v>
      </c>
      <c r="CC1145" s="2" t="s">
        <v>246</v>
      </c>
      <c r="CD1145" s="2" t="s">
        <v>233</v>
      </c>
      <c r="CE1145" s="4">
        <v>684</v>
      </c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>
        <v>114</v>
      </c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</row>
    <row r="1146">
      <c r="A1146" s="2" t="s">
        <v>5696</v>
      </c>
      <c r="B1146" s="2" t="s">
        <v>1174</v>
      </c>
      <c r="C1146" s="2" t="s">
        <v>530</v>
      </c>
      <c r="D1146" s="2" t="s">
        <v>1175</v>
      </c>
      <c r="E1146" s="2" t="s">
        <v>3661</v>
      </c>
      <c r="F1146" s="2" t="s">
        <v>5670</v>
      </c>
      <c r="G1146" s="2" t="s">
        <v>5671</v>
      </c>
      <c r="H1146" s="2" t="s">
        <v>5672</v>
      </c>
      <c r="I1146" s="2" t="s">
        <v>5697</v>
      </c>
      <c r="J1146" s="2" t="s">
        <v>5698</v>
      </c>
      <c r="K1146" s="2" t="s">
        <v>255</v>
      </c>
      <c r="L1146" s="3">
        <v>28.5</v>
      </c>
      <c r="M1146" s="3">
        <v>29.93</v>
      </c>
      <c r="N1146" s="3">
        <v>64.99</v>
      </c>
      <c r="O1146" s="2" t="s">
        <v>245</v>
      </c>
      <c r="P1146" s="2" t="s">
        <v>311</v>
      </c>
      <c r="Q1146" s="2" t="s">
        <v>239</v>
      </c>
      <c r="R1146" s="2" t="s">
        <v>233</v>
      </c>
      <c r="S1146" s="2" t="s">
        <v>5685</v>
      </c>
      <c r="T1146" s="2" t="s">
        <v>395</v>
      </c>
      <c r="U1146" s="2" t="s">
        <v>396</v>
      </c>
      <c r="V1146" s="2" t="s">
        <v>241</v>
      </c>
      <c r="W1146" s="2" t="s">
        <v>275</v>
      </c>
      <c r="X1146" s="2" t="s">
        <v>233</v>
      </c>
      <c r="Y1146" s="2" t="s">
        <v>2260</v>
      </c>
      <c r="Z1146" s="4">
        <v>283</v>
      </c>
      <c r="AA1146" s="4">
        <f>=ROUNDDOWN(404.285714285714,0)</f>
      </c>
      <c r="AB1146" s="5">
        <v>0.7</v>
      </c>
      <c r="AC1146" s="2" t="s">
        <v>233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233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233</v>
      </c>
      <c r="AW1146" s="8" t="s">
        <v>233</v>
      </c>
      <c r="AX1146" s="4" t="s">
        <v>233</v>
      </c>
      <c r="AY1146" s="8" t="s">
        <v>233</v>
      </c>
      <c r="AZ1146" s="7" t="s">
        <v>233</v>
      </c>
      <c r="BA1146" s="7" t="s">
        <v>233</v>
      </c>
      <c r="BB1146" s="7"/>
      <c r="BC1146" s="4" t="s">
        <v>233</v>
      </c>
      <c r="BD1146" s="8" t="s">
        <v>233</v>
      </c>
      <c r="BE1146" s="4" t="s">
        <v>233</v>
      </c>
      <c r="BF1146" s="8" t="s">
        <v>233</v>
      </c>
      <c r="BG1146" s="7" t="s">
        <v>233</v>
      </c>
      <c r="BH1146" s="7" t="s">
        <v>233</v>
      </c>
      <c r="BI1146" s="7"/>
      <c r="BJ1146" s="4">
        <v>2</v>
      </c>
      <c r="BK1146" s="8">
        <v>67.04</v>
      </c>
      <c r="BL1146" s="2" t="s">
        <v>5699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5700</v>
      </c>
      <c r="BV1146" s="2" t="s">
        <v>233</v>
      </c>
      <c r="BW1146" s="2" t="s">
        <v>233</v>
      </c>
      <c r="BX1146" s="2" t="s">
        <v>595</v>
      </c>
      <c r="BY1146" s="2" t="s">
        <v>280</v>
      </c>
      <c r="BZ1146" s="2" t="s">
        <v>245</v>
      </c>
      <c r="CA1146" s="2" t="s">
        <v>1183</v>
      </c>
      <c r="CB1146" s="2" t="s">
        <v>3635</v>
      </c>
      <c r="CC1146" s="2" t="s">
        <v>246</v>
      </c>
      <c r="CD1146" s="2" t="s">
        <v>233</v>
      </c>
      <c r="CE1146" s="4">
        <v>283</v>
      </c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</row>
    <row r="1147">
      <c r="A1147" s="2" t="s">
        <v>5701</v>
      </c>
      <c r="B1147" s="2" t="s">
        <v>1174</v>
      </c>
      <c r="C1147" s="2" t="s">
        <v>530</v>
      </c>
      <c r="D1147" s="2" t="s">
        <v>1175</v>
      </c>
      <c r="E1147" s="2" t="s">
        <v>3661</v>
      </c>
      <c r="F1147" s="2" t="s">
        <v>5670</v>
      </c>
      <c r="G1147" s="2" t="s">
        <v>5671</v>
      </c>
      <c r="H1147" s="2" t="s">
        <v>5672</v>
      </c>
      <c r="I1147" s="2" t="s">
        <v>5673</v>
      </c>
      <c r="J1147" s="2" t="s">
        <v>3671</v>
      </c>
      <c r="K1147" s="2" t="s">
        <v>2930</v>
      </c>
      <c r="L1147" s="3">
        <v>29.25</v>
      </c>
      <c r="M1147" s="3">
        <v>30.71</v>
      </c>
      <c r="N1147" s="3">
        <v>64.99</v>
      </c>
      <c r="O1147" s="2" t="s">
        <v>245</v>
      </c>
      <c r="P1147" s="2" t="s">
        <v>311</v>
      </c>
      <c r="Q1147" s="2" t="s">
        <v>239</v>
      </c>
      <c r="R1147" s="2" t="s">
        <v>233</v>
      </c>
      <c r="S1147" s="2" t="s">
        <v>233</v>
      </c>
      <c r="T1147" s="2" t="s">
        <v>395</v>
      </c>
      <c r="U1147" s="2" t="s">
        <v>396</v>
      </c>
      <c r="V1147" s="2" t="s">
        <v>241</v>
      </c>
      <c r="W1147" s="2" t="s">
        <v>275</v>
      </c>
      <c r="X1147" s="2" t="s">
        <v>233</v>
      </c>
      <c r="Y1147" s="2" t="s">
        <v>3237</v>
      </c>
      <c r="Z1147" s="4">
        <v>26</v>
      </c>
      <c r="AA1147" s="4">
        <f>=ROUNDDOWN(21.6666666666667,0)</f>
      </c>
      <c r="AB1147" s="5">
        <v>1.2</v>
      </c>
      <c r="AC1147" s="2" t="s">
        <v>233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233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233</v>
      </c>
      <c r="BD1147" s="8" t="s">
        <v>233</v>
      </c>
      <c r="BE1147" s="4" t="s">
        <v>233</v>
      </c>
      <c r="BF1147" s="8" t="s">
        <v>233</v>
      </c>
      <c r="BG1147" s="7" t="s">
        <v>233</v>
      </c>
      <c r="BH1147" s="7" t="s">
        <v>233</v>
      </c>
      <c r="BI1147" s="7"/>
      <c r="BJ1147" s="4">
        <v>3</v>
      </c>
      <c r="BK1147" s="8">
        <v>101.68</v>
      </c>
      <c r="BL1147" s="2" t="s">
        <v>5699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5702</v>
      </c>
      <c r="BV1147" s="2" t="s">
        <v>233</v>
      </c>
      <c r="BW1147" s="2" t="s">
        <v>233</v>
      </c>
      <c r="BX1147" s="2" t="s">
        <v>595</v>
      </c>
      <c r="BY1147" s="2" t="s">
        <v>280</v>
      </c>
      <c r="BZ1147" s="2" t="s">
        <v>245</v>
      </c>
      <c r="CA1147" s="2" t="s">
        <v>1881</v>
      </c>
      <c r="CB1147" s="2" t="s">
        <v>2521</v>
      </c>
      <c r="CC1147" s="2" t="s">
        <v>246</v>
      </c>
      <c r="CD1147" s="2" t="s">
        <v>233</v>
      </c>
      <c r="CE1147" s="4">
        <v>26</v>
      </c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</row>
    <row r="1148">
      <c r="A1148" s="2" t="s">
        <v>5703</v>
      </c>
      <c r="B1148" s="2" t="s">
        <v>1174</v>
      </c>
      <c r="C1148" s="2" t="s">
        <v>530</v>
      </c>
      <c r="D1148" s="2" t="s">
        <v>1175</v>
      </c>
      <c r="E1148" s="2" t="s">
        <v>3661</v>
      </c>
      <c r="F1148" s="2" t="s">
        <v>5670</v>
      </c>
      <c r="G1148" s="2" t="s">
        <v>5671</v>
      </c>
      <c r="H1148" s="2" t="s">
        <v>5672</v>
      </c>
      <c r="I1148" s="2" t="s">
        <v>5697</v>
      </c>
      <c r="J1148" s="2" t="s">
        <v>5698</v>
      </c>
      <c r="K1148" s="2" t="s">
        <v>569</v>
      </c>
      <c r="L1148" s="3">
        <v>28.5</v>
      </c>
      <c r="M1148" s="3">
        <v>29.93</v>
      </c>
      <c r="N1148" s="3">
        <v>64.99</v>
      </c>
      <c r="O1148" s="2" t="s">
        <v>245</v>
      </c>
      <c r="P1148" s="2" t="s">
        <v>311</v>
      </c>
      <c r="Q1148" s="2" t="s">
        <v>239</v>
      </c>
      <c r="R1148" s="2" t="s">
        <v>233</v>
      </c>
      <c r="S1148" s="2" t="s">
        <v>5704</v>
      </c>
      <c r="T1148" s="2" t="s">
        <v>395</v>
      </c>
      <c r="U1148" s="2" t="s">
        <v>396</v>
      </c>
      <c r="V1148" s="2" t="s">
        <v>241</v>
      </c>
      <c r="W1148" s="2" t="s">
        <v>275</v>
      </c>
      <c r="X1148" s="2" t="s">
        <v>233</v>
      </c>
      <c r="Y1148" s="2" t="s">
        <v>2260</v>
      </c>
      <c r="Z1148" s="4">
        <v>218</v>
      </c>
      <c r="AA1148" s="4">
        <f>=ROUNDDOWN(38.2456140350877,0)</f>
      </c>
      <c r="AB1148" s="5">
        <v>5.7</v>
      </c>
      <c r="AC1148" s="2" t="s">
        <v>233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233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233</v>
      </c>
      <c r="BD1148" s="8" t="s">
        <v>233</v>
      </c>
      <c r="BE1148" s="4" t="s">
        <v>233</v>
      </c>
      <c r="BF1148" s="8" t="s">
        <v>233</v>
      </c>
      <c r="BG1148" s="7" t="s">
        <v>233</v>
      </c>
      <c r="BH1148" s="7" t="s">
        <v>233</v>
      </c>
      <c r="BI1148" s="7"/>
      <c r="BJ1148" s="4">
        <v>21</v>
      </c>
      <c r="BK1148" s="8">
        <v>423.3</v>
      </c>
      <c r="BL1148" s="2" t="s">
        <v>5705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5706</v>
      </c>
      <c r="BV1148" s="2" t="s">
        <v>233</v>
      </c>
      <c r="BW1148" s="2" t="s">
        <v>233</v>
      </c>
      <c r="BX1148" s="2" t="s">
        <v>595</v>
      </c>
      <c r="BY1148" s="2" t="s">
        <v>280</v>
      </c>
      <c r="BZ1148" s="2" t="s">
        <v>245</v>
      </c>
      <c r="CA1148" s="2" t="s">
        <v>1183</v>
      </c>
      <c r="CB1148" s="2" t="s">
        <v>1669</v>
      </c>
      <c r="CC1148" s="2" t="s">
        <v>246</v>
      </c>
      <c r="CD1148" s="2" t="s">
        <v>233</v>
      </c>
      <c r="CE1148" s="4">
        <v>218</v>
      </c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</row>
    <row r="1149">
      <c r="A1149" s="2" t="s">
        <v>5707</v>
      </c>
      <c r="B1149" s="2" t="s">
        <v>1174</v>
      </c>
      <c r="C1149" s="2" t="s">
        <v>530</v>
      </c>
      <c r="D1149" s="2" t="s">
        <v>1175</v>
      </c>
      <c r="E1149" s="2" t="s">
        <v>1206</v>
      </c>
      <c r="F1149" s="2" t="s">
        <v>5670</v>
      </c>
      <c r="G1149" s="2" t="s">
        <v>5671</v>
      </c>
      <c r="H1149" s="2" t="s">
        <v>5672</v>
      </c>
      <c r="I1149" s="2" t="s">
        <v>5683</v>
      </c>
      <c r="J1149" s="2" t="s">
        <v>5684</v>
      </c>
      <c r="K1149" s="2" t="s">
        <v>2197</v>
      </c>
      <c r="L1149" s="3">
        <v>19</v>
      </c>
      <c r="M1149" s="3">
        <v>19.95</v>
      </c>
      <c r="N1149" s="3">
        <v>39.99</v>
      </c>
      <c r="O1149" s="2" t="s">
        <v>245</v>
      </c>
      <c r="P1149" s="2" t="s">
        <v>311</v>
      </c>
      <c r="Q1149" s="2" t="s">
        <v>239</v>
      </c>
      <c r="R1149" s="2" t="s">
        <v>233</v>
      </c>
      <c r="S1149" s="2" t="s">
        <v>5708</v>
      </c>
      <c r="T1149" s="2" t="s">
        <v>233</v>
      </c>
      <c r="U1149" s="2" t="s">
        <v>491</v>
      </c>
      <c r="V1149" s="2" t="s">
        <v>241</v>
      </c>
      <c r="W1149" s="2" t="s">
        <v>275</v>
      </c>
      <c r="X1149" s="2" t="s">
        <v>233</v>
      </c>
      <c r="Y1149" s="2" t="s">
        <v>1668</v>
      </c>
      <c r="Z1149" s="4">
        <v>240</v>
      </c>
      <c r="AA1149" s="4">
        <f>=ROUNDDOWN(32,0)</f>
      </c>
      <c r="AB1149" s="5">
        <v>7.5</v>
      </c>
      <c r="AC1149" s="2" t="s">
        <v>233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233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233</v>
      </c>
      <c r="BD1149" s="8" t="s">
        <v>233</v>
      </c>
      <c r="BE1149" s="4" t="s">
        <v>233</v>
      </c>
      <c r="BF1149" s="8" t="s">
        <v>233</v>
      </c>
      <c r="BG1149" s="7" t="s">
        <v>233</v>
      </c>
      <c r="BH1149" s="7" t="s">
        <v>233</v>
      </c>
      <c r="BI1149" s="7"/>
      <c r="BJ1149" s="4">
        <v>25</v>
      </c>
      <c r="BK1149" s="8">
        <v>457.39</v>
      </c>
      <c r="BL1149" s="2" t="s">
        <v>5584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5709</v>
      </c>
      <c r="BV1149" s="2" t="s">
        <v>233</v>
      </c>
      <c r="BW1149" s="2" t="s">
        <v>233</v>
      </c>
      <c r="BX1149" s="2" t="s">
        <v>595</v>
      </c>
      <c r="BY1149" s="2" t="s">
        <v>280</v>
      </c>
      <c r="BZ1149" s="2" t="s">
        <v>245</v>
      </c>
      <c r="CA1149" s="2" t="s">
        <v>5688</v>
      </c>
      <c r="CB1149" s="2" t="s">
        <v>459</v>
      </c>
      <c r="CC1149" s="2" t="s">
        <v>246</v>
      </c>
      <c r="CD1149" s="2" t="s">
        <v>233</v>
      </c>
      <c r="CE1149" s="4">
        <v>240</v>
      </c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</row>
    <row r="1150">
      <c r="A1150" s="2" t="s">
        <v>5710</v>
      </c>
      <c r="B1150" s="2" t="s">
        <v>1174</v>
      </c>
      <c r="C1150" s="2" t="s">
        <v>530</v>
      </c>
      <c r="D1150" s="2" t="s">
        <v>1175</v>
      </c>
      <c r="E1150" s="2" t="s">
        <v>1206</v>
      </c>
      <c r="F1150" s="2" t="s">
        <v>5670</v>
      </c>
      <c r="G1150" s="2" t="s">
        <v>5671</v>
      </c>
      <c r="H1150" s="2" t="s">
        <v>5672</v>
      </c>
      <c r="I1150" s="2" t="s">
        <v>5683</v>
      </c>
      <c r="J1150" s="2" t="s">
        <v>5684</v>
      </c>
      <c r="K1150" s="2" t="s">
        <v>297</v>
      </c>
      <c r="L1150" s="3">
        <v>19</v>
      </c>
      <c r="M1150" s="3">
        <v>19.95</v>
      </c>
      <c r="N1150" s="3">
        <v>39.99</v>
      </c>
      <c r="O1150" s="2" t="s">
        <v>245</v>
      </c>
      <c r="P1150" s="2" t="s">
        <v>272</v>
      </c>
      <c r="Q1150" s="2" t="s">
        <v>239</v>
      </c>
      <c r="R1150" s="2" t="s">
        <v>233</v>
      </c>
      <c r="S1150" s="2" t="s">
        <v>5711</v>
      </c>
      <c r="T1150" s="2" t="s">
        <v>233</v>
      </c>
      <c r="U1150" s="2" t="s">
        <v>491</v>
      </c>
      <c r="V1150" s="2" t="s">
        <v>241</v>
      </c>
      <c r="W1150" s="2" t="s">
        <v>275</v>
      </c>
      <c r="X1150" s="2" t="s">
        <v>3129</v>
      </c>
      <c r="Y1150" s="2" t="s">
        <v>2259</v>
      </c>
      <c r="Z1150" s="4">
        <v>157</v>
      </c>
      <c r="AA1150" s="4">
        <f>=ROUNDDOWN(31.4,0)</f>
      </c>
      <c r="AB1150" s="5">
        <v>5</v>
      </c>
      <c r="AC1150" s="2" t="s">
        <v>233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233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233</v>
      </c>
      <c r="AW1150" s="8" t="s">
        <v>233</v>
      </c>
      <c r="AX1150" s="4" t="s">
        <v>233</v>
      </c>
      <c r="AY1150" s="8" t="s">
        <v>233</v>
      </c>
      <c r="AZ1150" s="7" t="s">
        <v>233</v>
      </c>
      <c r="BA1150" s="7" t="s">
        <v>233</v>
      </c>
      <c r="BB1150" s="7"/>
      <c r="BC1150" s="4" t="s">
        <v>233</v>
      </c>
      <c r="BD1150" s="8" t="s">
        <v>233</v>
      </c>
      <c r="BE1150" s="4" t="s">
        <v>233</v>
      </c>
      <c r="BF1150" s="8" t="s">
        <v>233</v>
      </c>
      <c r="BG1150" s="7" t="s">
        <v>233</v>
      </c>
      <c r="BH1150" s="7" t="s">
        <v>233</v>
      </c>
      <c r="BI1150" s="7"/>
      <c r="BJ1150" s="4">
        <v>25</v>
      </c>
      <c r="BK1150" s="8">
        <v>521.11</v>
      </c>
      <c r="BL1150" s="2" t="s">
        <v>5712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5713</v>
      </c>
      <c r="BV1150" s="2" t="s">
        <v>233</v>
      </c>
      <c r="BW1150" s="2" t="s">
        <v>233</v>
      </c>
      <c r="BX1150" s="2" t="s">
        <v>5136</v>
      </c>
      <c r="BY1150" s="2" t="s">
        <v>280</v>
      </c>
      <c r="BZ1150" s="2" t="s">
        <v>245</v>
      </c>
      <c r="CA1150" s="2" t="s">
        <v>5688</v>
      </c>
      <c r="CB1150" s="2" t="s">
        <v>942</v>
      </c>
      <c r="CC1150" s="2" t="s">
        <v>246</v>
      </c>
      <c r="CD1150" s="2" t="s">
        <v>233</v>
      </c>
      <c r="CE1150" s="4">
        <v>157</v>
      </c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</row>
    <row r="1151">
      <c r="A1151" s="2" t="s">
        <v>5714</v>
      </c>
      <c r="B1151" s="2" t="s">
        <v>1174</v>
      </c>
      <c r="C1151" s="2" t="s">
        <v>530</v>
      </c>
      <c r="D1151" s="2" t="s">
        <v>1175</v>
      </c>
      <c r="E1151" s="2" t="s">
        <v>3661</v>
      </c>
      <c r="F1151" s="2" t="s">
        <v>5670</v>
      </c>
      <c r="G1151" s="2" t="s">
        <v>5671</v>
      </c>
      <c r="H1151" s="2" t="s">
        <v>5672</v>
      </c>
      <c r="I1151" s="2" t="s">
        <v>5697</v>
      </c>
      <c r="J1151" s="2" t="s">
        <v>5698</v>
      </c>
      <c r="K1151" s="2" t="s">
        <v>297</v>
      </c>
      <c r="L1151" s="3">
        <v>28.5</v>
      </c>
      <c r="M1151" s="3">
        <v>29.93</v>
      </c>
      <c r="N1151" s="3">
        <v>64.99</v>
      </c>
      <c r="O1151" s="2" t="s">
        <v>245</v>
      </c>
      <c r="P1151" s="2" t="s">
        <v>311</v>
      </c>
      <c r="Q1151" s="2" t="s">
        <v>239</v>
      </c>
      <c r="R1151" s="2" t="s">
        <v>233</v>
      </c>
      <c r="S1151" s="2" t="s">
        <v>5711</v>
      </c>
      <c r="T1151" s="2" t="s">
        <v>395</v>
      </c>
      <c r="U1151" s="2" t="s">
        <v>396</v>
      </c>
      <c r="V1151" s="2" t="s">
        <v>241</v>
      </c>
      <c r="W1151" s="2" t="s">
        <v>275</v>
      </c>
      <c r="X1151" s="2" t="s">
        <v>233</v>
      </c>
      <c r="Y1151" s="2" t="s">
        <v>1357</v>
      </c>
      <c r="Z1151" s="4">
        <v>332</v>
      </c>
      <c r="AA1151" s="4">
        <f>=ROUNDDOWN(24.2335766423358,0)</f>
      </c>
      <c r="AB1151" s="5">
        <v>13.7</v>
      </c>
      <c r="AC1151" s="2" t="s">
        <v>233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233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233</v>
      </c>
      <c r="AW1151" s="8" t="s">
        <v>233</v>
      </c>
      <c r="AX1151" s="4" t="s">
        <v>233</v>
      </c>
      <c r="AY1151" s="8" t="s">
        <v>233</v>
      </c>
      <c r="AZ1151" s="7" t="s">
        <v>233</v>
      </c>
      <c r="BA1151" s="7" t="s">
        <v>233</v>
      </c>
      <c r="BB1151" s="7"/>
      <c r="BC1151" s="4" t="s">
        <v>233</v>
      </c>
      <c r="BD1151" s="8" t="s">
        <v>233</v>
      </c>
      <c r="BE1151" s="4" t="s">
        <v>233</v>
      </c>
      <c r="BF1151" s="8" t="s">
        <v>233</v>
      </c>
      <c r="BG1151" s="7" t="s">
        <v>233</v>
      </c>
      <c r="BH1151" s="7" t="s">
        <v>233</v>
      </c>
      <c r="BI1151" s="7"/>
      <c r="BJ1151" s="4">
        <v>18</v>
      </c>
      <c r="BK1151" s="8">
        <v>379.16</v>
      </c>
      <c r="BL1151" s="2" t="s">
        <v>5715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5716</v>
      </c>
      <c r="BV1151" s="2" t="s">
        <v>233</v>
      </c>
      <c r="BW1151" s="2" t="s">
        <v>233</v>
      </c>
      <c r="BX1151" s="2" t="s">
        <v>595</v>
      </c>
      <c r="BY1151" s="2" t="s">
        <v>280</v>
      </c>
      <c r="BZ1151" s="2" t="s">
        <v>245</v>
      </c>
      <c r="CA1151" s="2" t="s">
        <v>3375</v>
      </c>
      <c r="CB1151" s="2" t="s">
        <v>5717</v>
      </c>
      <c r="CC1151" s="2" t="s">
        <v>246</v>
      </c>
      <c r="CD1151" s="2" t="s">
        <v>233</v>
      </c>
      <c r="CE1151" s="4">
        <v>332</v>
      </c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</row>
    <row r="1152">
      <c r="A1152" s="2" t="s">
        <v>5718</v>
      </c>
      <c r="B1152" s="2" t="s">
        <v>1174</v>
      </c>
      <c r="C1152" s="2" t="s">
        <v>530</v>
      </c>
      <c r="D1152" s="2" t="s">
        <v>1175</v>
      </c>
      <c r="E1152" s="2" t="s">
        <v>3661</v>
      </c>
      <c r="F1152" s="2" t="s">
        <v>5670</v>
      </c>
      <c r="G1152" s="2" t="s">
        <v>5671</v>
      </c>
      <c r="H1152" s="2" t="s">
        <v>5672</v>
      </c>
      <c r="I1152" s="2" t="s">
        <v>5697</v>
      </c>
      <c r="J1152" s="2" t="s">
        <v>5719</v>
      </c>
      <c r="K1152" s="2" t="s">
        <v>297</v>
      </c>
      <c r="L1152" s="3">
        <v>38.5</v>
      </c>
      <c r="M1152" s="3">
        <v>40.43</v>
      </c>
      <c r="N1152" s="3">
        <v>81.99</v>
      </c>
      <c r="O1152" s="2" t="s">
        <v>245</v>
      </c>
      <c r="P1152" s="2" t="s">
        <v>311</v>
      </c>
      <c r="Q1152" s="2" t="s">
        <v>239</v>
      </c>
      <c r="R1152" s="2" t="s">
        <v>233</v>
      </c>
      <c r="S1152" s="2" t="s">
        <v>5711</v>
      </c>
      <c r="T1152" s="2" t="s">
        <v>395</v>
      </c>
      <c r="U1152" s="2" t="s">
        <v>396</v>
      </c>
      <c r="V1152" s="2" t="s">
        <v>241</v>
      </c>
      <c r="W1152" s="2" t="s">
        <v>275</v>
      </c>
      <c r="X1152" s="2" t="s">
        <v>233</v>
      </c>
      <c r="Y1152" s="2" t="s">
        <v>1357</v>
      </c>
      <c r="Z1152" s="4">
        <v>265</v>
      </c>
      <c r="AA1152" s="4">
        <f>=ROUNDDOWN(51.9607843137255,0)</f>
      </c>
      <c r="AB1152" s="5">
        <v>5.1</v>
      </c>
      <c r="AC1152" s="2" t="s">
        <v>233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233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233</v>
      </c>
      <c r="AW1152" s="8" t="s">
        <v>233</v>
      </c>
      <c r="AX1152" s="4" t="s">
        <v>233</v>
      </c>
      <c r="AY1152" s="8" t="s">
        <v>233</v>
      </c>
      <c r="AZ1152" s="7" t="s">
        <v>233</v>
      </c>
      <c r="BA1152" s="7" t="s">
        <v>233</v>
      </c>
      <c r="BB1152" s="7"/>
      <c r="BC1152" s="4" t="s">
        <v>233</v>
      </c>
      <c r="BD1152" s="8" t="s">
        <v>233</v>
      </c>
      <c r="BE1152" s="4" t="s">
        <v>233</v>
      </c>
      <c r="BF1152" s="8" t="s">
        <v>233</v>
      </c>
      <c r="BG1152" s="7" t="s">
        <v>233</v>
      </c>
      <c r="BH1152" s="7" t="s">
        <v>233</v>
      </c>
      <c r="BI1152" s="7"/>
      <c r="BJ1152" s="4">
        <v>18</v>
      </c>
      <c r="BK1152" s="8">
        <v>746.19</v>
      </c>
      <c r="BL1152" s="2" t="s">
        <v>5720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5721</v>
      </c>
      <c r="BV1152" s="2" t="s">
        <v>233</v>
      </c>
      <c r="BW1152" s="2" t="s">
        <v>233</v>
      </c>
      <c r="BX1152" s="2" t="s">
        <v>595</v>
      </c>
      <c r="BY1152" s="2" t="s">
        <v>280</v>
      </c>
      <c r="BZ1152" s="2" t="s">
        <v>245</v>
      </c>
      <c r="CA1152" s="2" t="s">
        <v>3375</v>
      </c>
      <c r="CB1152" s="2" t="s">
        <v>5722</v>
      </c>
      <c r="CC1152" s="2" t="s">
        <v>246</v>
      </c>
      <c r="CD1152" s="2" t="s">
        <v>233</v>
      </c>
      <c r="CE1152" s="4">
        <v>265</v>
      </c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</row>
    <row r="1153">
      <c r="A1153" s="2" t="s">
        <v>5723</v>
      </c>
      <c r="B1153" s="2" t="s">
        <v>1242</v>
      </c>
      <c r="C1153" s="2" t="s">
        <v>1986</v>
      </c>
      <c r="D1153" s="2" t="s">
        <v>969</v>
      </c>
      <c r="E1153" s="2" t="s">
        <v>1078</v>
      </c>
      <c r="F1153" s="2" t="s">
        <v>5724</v>
      </c>
      <c r="G1153" s="2" t="s">
        <v>5724</v>
      </c>
      <c r="H1153" s="2" t="s">
        <v>5724</v>
      </c>
      <c r="I1153" s="2" t="s">
        <v>5725</v>
      </c>
      <c r="J1153" s="2" t="s">
        <v>348</v>
      </c>
      <c r="K1153" s="2" t="s">
        <v>984</v>
      </c>
      <c r="L1153" s="3">
        <v>170.23</v>
      </c>
      <c r="M1153" s="3">
        <v>178.74</v>
      </c>
      <c r="N1153" s="3">
        <v>499.99</v>
      </c>
      <c r="O1153" s="2" t="s">
        <v>245</v>
      </c>
      <c r="P1153" s="2" t="s">
        <v>272</v>
      </c>
      <c r="Q1153" s="2" t="s">
        <v>239</v>
      </c>
      <c r="R1153" s="2" t="s">
        <v>233</v>
      </c>
      <c r="S1153" s="2" t="s">
        <v>233</v>
      </c>
      <c r="T1153" s="2" t="s">
        <v>233</v>
      </c>
      <c r="U1153" s="2" t="s">
        <v>342</v>
      </c>
      <c r="V1153" s="2" t="s">
        <v>5726</v>
      </c>
      <c r="W1153" s="2" t="s">
        <v>776</v>
      </c>
      <c r="X1153" s="2" t="s">
        <v>233</v>
      </c>
      <c r="Y1153" s="2" t="s">
        <v>3744</v>
      </c>
      <c r="Z1153" s="4">
        <v>25</v>
      </c>
      <c r="AA1153" s="4">
        <f>=ROUNDDOWN(3.57142857142857,0)</f>
      </c>
      <c r="AB1153" s="5">
        <v>7</v>
      </c>
      <c r="AC1153" s="2" t="s">
        <v>2388</v>
      </c>
      <c r="AD1153" s="4">
        <v>100</v>
      </c>
      <c r="AE1153" s="4">
        <v>240</v>
      </c>
      <c r="AF1153" s="6">
        <v>65</v>
      </c>
      <c r="AG1153" s="6"/>
      <c r="AH1153" s="7">
        <v>0</v>
      </c>
      <c r="AI1153" s="4"/>
      <c r="AJ1153" s="4">
        <f>=ROUNDDOWN({0},0)</f>
      </c>
      <c r="AK1153" s="5"/>
      <c r="AL1153" s="2" t="s">
        <v>233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233</v>
      </c>
      <c r="AW1153" s="8" t="s">
        <v>233</v>
      </c>
      <c r="AX1153" s="4" t="s">
        <v>233</v>
      </c>
      <c r="AY1153" s="8" t="s">
        <v>233</v>
      </c>
      <c r="AZ1153" s="7" t="s">
        <v>233</v>
      </c>
      <c r="BA1153" s="7" t="s">
        <v>233</v>
      </c>
      <c r="BB1153" s="7"/>
      <c r="BC1153" s="4" t="s">
        <v>233</v>
      </c>
      <c r="BD1153" s="8" t="s">
        <v>233</v>
      </c>
      <c r="BE1153" s="4" t="s">
        <v>233</v>
      </c>
      <c r="BF1153" s="8" t="s">
        <v>233</v>
      </c>
      <c r="BG1153" s="7" t="s">
        <v>233</v>
      </c>
      <c r="BH1153" s="7" t="s">
        <v>233</v>
      </c>
      <c r="BI1153" s="7"/>
      <c r="BJ1153" s="4"/>
      <c r="BK1153" s="8"/>
      <c r="BL1153" s="2" t="s">
        <v>2501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5727</v>
      </c>
      <c r="BV1153" s="2" t="s">
        <v>233</v>
      </c>
      <c r="BW1153" s="2" t="s">
        <v>233</v>
      </c>
      <c r="BX1153" s="2" t="s">
        <v>233</v>
      </c>
      <c r="BY1153" s="2" t="s">
        <v>280</v>
      </c>
      <c r="BZ1153" s="2" t="s">
        <v>245</v>
      </c>
      <c r="CA1153" s="2" t="s">
        <v>3147</v>
      </c>
      <c r="CB1153" s="2" t="s">
        <v>3584</v>
      </c>
      <c r="CC1153" s="2" t="s">
        <v>246</v>
      </c>
      <c r="CD1153" s="2" t="s">
        <v>233</v>
      </c>
      <c r="CE1153" s="4">
        <v>25</v>
      </c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>
        <v>100</v>
      </c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>
        <v>140</v>
      </c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</row>
    <row r="1154">
      <c r="A1154" s="2" t="s">
        <v>5728</v>
      </c>
      <c r="B1154" s="2" t="s">
        <v>1242</v>
      </c>
      <c r="C1154" s="2" t="s">
        <v>1986</v>
      </c>
      <c r="D1154" s="2" t="s">
        <v>969</v>
      </c>
      <c r="E1154" s="2" t="s">
        <v>1078</v>
      </c>
      <c r="F1154" s="2" t="s">
        <v>5724</v>
      </c>
      <c r="G1154" s="2" t="s">
        <v>5724</v>
      </c>
      <c r="H1154" s="2" t="s">
        <v>5724</v>
      </c>
      <c r="I1154" s="2" t="s">
        <v>5725</v>
      </c>
      <c r="J1154" s="2" t="s">
        <v>328</v>
      </c>
      <c r="K1154" s="2" t="s">
        <v>984</v>
      </c>
      <c r="L1154" s="3">
        <v>204.28</v>
      </c>
      <c r="M1154" s="3">
        <v>214.49</v>
      </c>
      <c r="N1154" s="3">
        <v>599.99</v>
      </c>
      <c r="O1154" s="2" t="s">
        <v>245</v>
      </c>
      <c r="P1154" s="2" t="s">
        <v>272</v>
      </c>
      <c r="Q1154" s="2" t="s">
        <v>239</v>
      </c>
      <c r="R1154" s="2" t="s">
        <v>233</v>
      </c>
      <c r="S1154" s="2" t="s">
        <v>233</v>
      </c>
      <c r="T1154" s="2" t="s">
        <v>233</v>
      </c>
      <c r="U1154" s="2" t="s">
        <v>342</v>
      </c>
      <c r="V1154" s="2" t="s">
        <v>5726</v>
      </c>
      <c r="W1154" s="2" t="s">
        <v>776</v>
      </c>
      <c r="X1154" s="2" t="s">
        <v>233</v>
      </c>
      <c r="Y1154" s="2" t="s">
        <v>3744</v>
      </c>
      <c r="Z1154" s="4">
        <v>38</v>
      </c>
      <c r="AA1154" s="4">
        <f>=ROUNDDOWN(4.22222222222222,0)</f>
      </c>
      <c r="AB1154" s="5">
        <v>9</v>
      </c>
      <c r="AC1154" s="2" t="s">
        <v>2388</v>
      </c>
      <c r="AD1154" s="4">
        <v>120</v>
      </c>
      <c r="AE1154" s="4">
        <v>310</v>
      </c>
      <c r="AF1154" s="6">
        <v>65</v>
      </c>
      <c r="AG1154" s="6"/>
      <c r="AH1154" s="7">
        <v>0</v>
      </c>
      <c r="AI1154" s="4"/>
      <c r="AJ1154" s="4">
        <f>=ROUNDDOWN({0},0)</f>
      </c>
      <c r="AK1154" s="5"/>
      <c r="AL1154" s="2" t="s">
        <v>233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233</v>
      </c>
      <c r="AW1154" s="8" t="s">
        <v>233</v>
      </c>
      <c r="AX1154" s="4" t="s">
        <v>233</v>
      </c>
      <c r="AY1154" s="8" t="s">
        <v>233</v>
      </c>
      <c r="AZ1154" s="7" t="s">
        <v>233</v>
      </c>
      <c r="BA1154" s="7" t="s">
        <v>233</v>
      </c>
      <c r="BB1154" s="7"/>
      <c r="BC1154" s="4" t="s">
        <v>233</v>
      </c>
      <c r="BD1154" s="8" t="s">
        <v>233</v>
      </c>
      <c r="BE1154" s="4" t="s">
        <v>233</v>
      </c>
      <c r="BF1154" s="8" t="s">
        <v>233</v>
      </c>
      <c r="BG1154" s="7" t="s">
        <v>233</v>
      </c>
      <c r="BH1154" s="7" t="s">
        <v>233</v>
      </c>
      <c r="BI1154" s="7"/>
      <c r="BJ1154" s="4"/>
      <c r="BK1154" s="8"/>
      <c r="BL1154" s="2" t="s">
        <v>744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5729</v>
      </c>
      <c r="BV1154" s="2" t="s">
        <v>233</v>
      </c>
      <c r="BW1154" s="2" t="s">
        <v>233</v>
      </c>
      <c r="BX1154" s="2" t="s">
        <v>233</v>
      </c>
      <c r="BY1154" s="2" t="s">
        <v>280</v>
      </c>
      <c r="BZ1154" s="2" t="s">
        <v>245</v>
      </c>
      <c r="CA1154" s="2" t="s">
        <v>3147</v>
      </c>
      <c r="CB1154" s="2" t="s">
        <v>4049</v>
      </c>
      <c r="CC1154" s="2" t="s">
        <v>246</v>
      </c>
      <c r="CD1154" s="2" t="s">
        <v>233</v>
      </c>
      <c r="CE1154" s="4">
        <v>38</v>
      </c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>
        <v>120</v>
      </c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>
        <v>190</v>
      </c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</row>
    <row r="1155">
      <c r="A1155" s="2" t="s">
        <v>5730</v>
      </c>
      <c r="B1155" s="2" t="s">
        <v>1242</v>
      </c>
      <c r="C1155" s="2" t="s">
        <v>1986</v>
      </c>
      <c r="D1155" s="2" t="s">
        <v>969</v>
      </c>
      <c r="E1155" s="2" t="s">
        <v>1078</v>
      </c>
      <c r="F1155" s="2" t="s">
        <v>5724</v>
      </c>
      <c r="G1155" s="2" t="s">
        <v>5724</v>
      </c>
      <c r="H1155" s="2" t="s">
        <v>5724</v>
      </c>
      <c r="I1155" s="2" t="s">
        <v>5725</v>
      </c>
      <c r="J1155" s="2" t="s">
        <v>546</v>
      </c>
      <c r="K1155" s="2" t="s">
        <v>984</v>
      </c>
      <c r="L1155" s="3">
        <v>204.28</v>
      </c>
      <c r="M1155" s="3">
        <v>214.49</v>
      </c>
      <c r="N1155" s="3">
        <v>599.99</v>
      </c>
      <c r="O1155" s="2" t="s">
        <v>245</v>
      </c>
      <c r="P1155" s="2" t="s">
        <v>272</v>
      </c>
      <c r="Q1155" s="2" t="s">
        <v>239</v>
      </c>
      <c r="R1155" s="2" t="s">
        <v>233</v>
      </c>
      <c r="S1155" s="2" t="s">
        <v>233</v>
      </c>
      <c r="T1155" s="2" t="s">
        <v>233</v>
      </c>
      <c r="U1155" s="2" t="s">
        <v>342</v>
      </c>
      <c r="V1155" s="2" t="s">
        <v>5726</v>
      </c>
      <c r="W1155" s="2" t="s">
        <v>776</v>
      </c>
      <c r="X1155" s="2" t="s">
        <v>233</v>
      </c>
      <c r="Y1155" s="2" t="s">
        <v>3744</v>
      </c>
      <c r="Z1155" s="4">
        <v>19</v>
      </c>
      <c r="AA1155" s="4">
        <f>=ROUNDDOWN(4.75,0)</f>
      </c>
      <c r="AB1155" s="5">
        <v>4</v>
      </c>
      <c r="AC1155" s="2" t="s">
        <v>2388</v>
      </c>
      <c r="AD1155" s="4">
        <v>68</v>
      </c>
      <c r="AE1155" s="4">
        <v>138</v>
      </c>
      <c r="AF1155" s="6">
        <v>65</v>
      </c>
      <c r="AG1155" s="6"/>
      <c r="AH1155" s="7">
        <v>0</v>
      </c>
      <c r="AI1155" s="4"/>
      <c r="AJ1155" s="4">
        <f>=ROUNDDOWN({0},0)</f>
      </c>
      <c r="AK1155" s="5"/>
      <c r="AL1155" s="2" t="s">
        <v>233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233</v>
      </c>
      <c r="AW1155" s="8" t="s">
        <v>233</v>
      </c>
      <c r="AX1155" s="4" t="s">
        <v>233</v>
      </c>
      <c r="AY1155" s="8" t="s">
        <v>233</v>
      </c>
      <c r="AZ1155" s="7" t="s">
        <v>233</v>
      </c>
      <c r="BA1155" s="7" t="s">
        <v>233</v>
      </c>
      <c r="BB1155" s="7"/>
      <c r="BC1155" s="4" t="s">
        <v>233</v>
      </c>
      <c r="BD1155" s="8" t="s">
        <v>233</v>
      </c>
      <c r="BE1155" s="4" t="s">
        <v>233</v>
      </c>
      <c r="BF1155" s="8" t="s">
        <v>233</v>
      </c>
      <c r="BG1155" s="7" t="s">
        <v>233</v>
      </c>
      <c r="BH1155" s="7" t="s">
        <v>233</v>
      </c>
      <c r="BI1155" s="7"/>
      <c r="BJ1155" s="4"/>
      <c r="BK1155" s="8"/>
      <c r="BL1155" s="2" t="s">
        <v>744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5731</v>
      </c>
      <c r="BV1155" s="2" t="s">
        <v>233</v>
      </c>
      <c r="BW1155" s="2" t="s">
        <v>233</v>
      </c>
      <c r="BX1155" s="2" t="s">
        <v>243</v>
      </c>
      <c r="BY1155" s="2" t="s">
        <v>280</v>
      </c>
      <c r="BZ1155" s="2" t="s">
        <v>245</v>
      </c>
      <c r="CA1155" s="2" t="s">
        <v>2872</v>
      </c>
      <c r="CB1155" s="2" t="s">
        <v>233</v>
      </c>
      <c r="CC1155" s="2" t="s">
        <v>246</v>
      </c>
      <c r="CD1155" s="2" t="s">
        <v>233</v>
      </c>
      <c r="CE1155" s="4">
        <v>19</v>
      </c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>
        <v>68</v>
      </c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>
        <v>70</v>
      </c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</row>
    <row r="1156">
      <c r="A1156" s="2" t="s">
        <v>5732</v>
      </c>
      <c r="B1156" s="2" t="s">
        <v>1242</v>
      </c>
      <c r="C1156" s="2" t="s">
        <v>1986</v>
      </c>
      <c r="D1156" s="2" t="s">
        <v>969</v>
      </c>
      <c r="E1156" s="2" t="s">
        <v>1078</v>
      </c>
      <c r="F1156" s="2" t="s">
        <v>5724</v>
      </c>
      <c r="G1156" s="2" t="s">
        <v>5724</v>
      </c>
      <c r="H1156" s="2" t="s">
        <v>5724</v>
      </c>
      <c r="I1156" s="2" t="s">
        <v>5733</v>
      </c>
      <c r="J1156" s="2" t="s">
        <v>348</v>
      </c>
      <c r="K1156" s="2" t="s">
        <v>1561</v>
      </c>
      <c r="L1156" s="3">
        <v>170.23</v>
      </c>
      <c r="M1156" s="3">
        <v>178.74</v>
      </c>
      <c r="N1156" s="3">
        <v>499.99</v>
      </c>
      <c r="O1156" s="2" t="s">
        <v>245</v>
      </c>
      <c r="P1156" s="2" t="s">
        <v>272</v>
      </c>
      <c r="Q1156" s="2" t="s">
        <v>239</v>
      </c>
      <c r="R1156" s="2" t="s">
        <v>233</v>
      </c>
      <c r="S1156" s="2" t="s">
        <v>233</v>
      </c>
      <c r="T1156" s="2" t="s">
        <v>233</v>
      </c>
      <c r="U1156" s="2" t="s">
        <v>342</v>
      </c>
      <c r="V1156" s="2" t="s">
        <v>5726</v>
      </c>
      <c r="W1156" s="2" t="s">
        <v>776</v>
      </c>
      <c r="X1156" s="2" t="s">
        <v>233</v>
      </c>
      <c r="Y1156" s="2" t="s">
        <v>5734</v>
      </c>
      <c r="Z1156" s="4">
        <v>74</v>
      </c>
      <c r="AA1156" s="4">
        <f>=ROUNDDOWN(8.22222222222222,0)</f>
      </c>
      <c r="AB1156" s="5">
        <v>9</v>
      </c>
      <c r="AC1156" s="2" t="s">
        <v>2388</v>
      </c>
      <c r="AD1156" s="4">
        <v>55</v>
      </c>
      <c r="AE1156" s="4">
        <v>225</v>
      </c>
      <c r="AF1156" s="6">
        <v>65</v>
      </c>
      <c r="AG1156" s="6"/>
      <c r="AH1156" s="7">
        <v>0</v>
      </c>
      <c r="AI1156" s="4"/>
      <c r="AJ1156" s="4">
        <f>=ROUNDDOWN({0},0)</f>
      </c>
      <c r="AK1156" s="5"/>
      <c r="AL1156" s="2" t="s">
        <v>233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233</v>
      </c>
      <c r="AW1156" s="8" t="s">
        <v>233</v>
      </c>
      <c r="AX1156" s="4" t="s">
        <v>233</v>
      </c>
      <c r="AY1156" s="8" t="s">
        <v>233</v>
      </c>
      <c r="AZ1156" s="7" t="s">
        <v>233</v>
      </c>
      <c r="BA1156" s="7" t="s">
        <v>233</v>
      </c>
      <c r="BB1156" s="7"/>
      <c r="BC1156" s="4" t="s">
        <v>233</v>
      </c>
      <c r="BD1156" s="8" t="s">
        <v>233</v>
      </c>
      <c r="BE1156" s="4" t="s">
        <v>233</v>
      </c>
      <c r="BF1156" s="8" t="s">
        <v>233</v>
      </c>
      <c r="BG1156" s="7" t="s">
        <v>233</v>
      </c>
      <c r="BH1156" s="7" t="s">
        <v>233</v>
      </c>
      <c r="BI1156" s="7"/>
      <c r="BJ1156" s="4"/>
      <c r="BK1156" s="8"/>
      <c r="BL1156" s="2" t="s">
        <v>2501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5735</v>
      </c>
      <c r="BV1156" s="2" t="s">
        <v>233</v>
      </c>
      <c r="BW1156" s="2" t="s">
        <v>233</v>
      </c>
      <c r="BX1156" s="2" t="s">
        <v>233</v>
      </c>
      <c r="BY1156" s="2" t="s">
        <v>280</v>
      </c>
      <c r="BZ1156" s="2" t="s">
        <v>245</v>
      </c>
      <c r="CA1156" s="2" t="s">
        <v>3147</v>
      </c>
      <c r="CB1156" s="2" t="s">
        <v>4049</v>
      </c>
      <c r="CC1156" s="2" t="s">
        <v>246</v>
      </c>
      <c r="CD1156" s="2" t="s">
        <v>233</v>
      </c>
      <c r="CE1156" s="4">
        <v>74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>
        <v>55</v>
      </c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>
        <v>170</v>
      </c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</row>
    <row r="1157">
      <c r="A1157" s="2" t="s">
        <v>5736</v>
      </c>
      <c r="B1157" s="2" t="s">
        <v>1242</v>
      </c>
      <c r="C1157" s="2" t="s">
        <v>1986</v>
      </c>
      <c r="D1157" s="2" t="s">
        <v>969</v>
      </c>
      <c r="E1157" s="2" t="s">
        <v>1078</v>
      </c>
      <c r="F1157" s="2" t="s">
        <v>5724</v>
      </c>
      <c r="G1157" s="2" t="s">
        <v>5724</v>
      </c>
      <c r="H1157" s="2" t="s">
        <v>5724</v>
      </c>
      <c r="I1157" s="2" t="s">
        <v>5733</v>
      </c>
      <c r="J1157" s="2" t="s">
        <v>328</v>
      </c>
      <c r="K1157" s="2" t="s">
        <v>1561</v>
      </c>
      <c r="L1157" s="3">
        <v>204.28</v>
      </c>
      <c r="M1157" s="3">
        <v>214.49</v>
      </c>
      <c r="N1157" s="3">
        <v>599.99</v>
      </c>
      <c r="O1157" s="2" t="s">
        <v>245</v>
      </c>
      <c r="P1157" s="2" t="s">
        <v>272</v>
      </c>
      <c r="Q1157" s="2" t="s">
        <v>239</v>
      </c>
      <c r="R1157" s="2" t="s">
        <v>233</v>
      </c>
      <c r="S1157" s="2" t="s">
        <v>233</v>
      </c>
      <c r="T1157" s="2" t="s">
        <v>233</v>
      </c>
      <c r="U1157" s="2" t="s">
        <v>342</v>
      </c>
      <c r="V1157" s="2" t="s">
        <v>5726</v>
      </c>
      <c r="W1157" s="2" t="s">
        <v>776</v>
      </c>
      <c r="X1157" s="2" t="s">
        <v>233</v>
      </c>
      <c r="Y1157" s="2" t="s">
        <v>1995</v>
      </c>
      <c r="Z1157" s="4">
        <v>90</v>
      </c>
      <c r="AA1157" s="4">
        <f>=ROUNDDOWN(9,0)</f>
      </c>
      <c r="AB1157" s="5">
        <v>10</v>
      </c>
      <c r="AC1157" s="2" t="s">
        <v>2388</v>
      </c>
      <c r="AD1157" s="4">
        <v>60</v>
      </c>
      <c r="AE1157" s="4">
        <v>245</v>
      </c>
      <c r="AF1157" s="6">
        <v>65</v>
      </c>
      <c r="AG1157" s="6"/>
      <c r="AH1157" s="7">
        <v>0</v>
      </c>
      <c r="AI1157" s="4"/>
      <c r="AJ1157" s="4">
        <f>=ROUNDDOWN({0},0)</f>
      </c>
      <c r="AK1157" s="5"/>
      <c r="AL1157" s="2" t="s">
        <v>233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233</v>
      </c>
      <c r="AW1157" s="8" t="s">
        <v>233</v>
      </c>
      <c r="AX1157" s="4" t="s">
        <v>233</v>
      </c>
      <c r="AY1157" s="8" t="s">
        <v>233</v>
      </c>
      <c r="AZ1157" s="7" t="s">
        <v>233</v>
      </c>
      <c r="BA1157" s="7" t="s">
        <v>233</v>
      </c>
      <c r="BB1157" s="7"/>
      <c r="BC1157" s="4" t="s">
        <v>233</v>
      </c>
      <c r="BD1157" s="8" t="s">
        <v>233</v>
      </c>
      <c r="BE1157" s="4" t="s">
        <v>233</v>
      </c>
      <c r="BF1157" s="8" t="s">
        <v>233</v>
      </c>
      <c r="BG1157" s="7" t="s">
        <v>233</v>
      </c>
      <c r="BH1157" s="7" t="s">
        <v>233</v>
      </c>
      <c r="BI1157" s="7"/>
      <c r="BJ1157" s="4"/>
      <c r="BK1157" s="8"/>
      <c r="BL1157" s="2" t="s">
        <v>744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5737</v>
      </c>
      <c r="BV1157" s="2" t="s">
        <v>233</v>
      </c>
      <c r="BW1157" s="2" t="s">
        <v>233</v>
      </c>
      <c r="BX1157" s="2" t="s">
        <v>233</v>
      </c>
      <c r="BY1157" s="2" t="s">
        <v>280</v>
      </c>
      <c r="BZ1157" s="2" t="s">
        <v>245</v>
      </c>
      <c r="CA1157" s="2" t="s">
        <v>3147</v>
      </c>
      <c r="CB1157" s="2" t="s">
        <v>4049</v>
      </c>
      <c r="CC1157" s="2" t="s">
        <v>246</v>
      </c>
      <c r="CD1157" s="2" t="s">
        <v>233</v>
      </c>
      <c r="CE1157" s="4">
        <v>90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>
        <v>60</v>
      </c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>
        <v>185</v>
      </c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</row>
    <row r="1158">
      <c r="A1158" s="2" t="s">
        <v>5738</v>
      </c>
      <c r="B1158" s="2" t="s">
        <v>1242</v>
      </c>
      <c r="C1158" s="2" t="s">
        <v>1986</v>
      </c>
      <c r="D1158" s="2" t="s">
        <v>969</v>
      </c>
      <c r="E1158" s="2" t="s">
        <v>1078</v>
      </c>
      <c r="F1158" s="2" t="s">
        <v>5724</v>
      </c>
      <c r="G1158" s="2" t="s">
        <v>5724</v>
      </c>
      <c r="H1158" s="2" t="s">
        <v>5724</v>
      </c>
      <c r="I1158" s="2" t="s">
        <v>5733</v>
      </c>
      <c r="J1158" s="2" t="s">
        <v>546</v>
      </c>
      <c r="K1158" s="2" t="s">
        <v>1561</v>
      </c>
      <c r="L1158" s="3">
        <v>204.28</v>
      </c>
      <c r="M1158" s="3">
        <v>214.49</v>
      </c>
      <c r="N1158" s="3">
        <v>599.99</v>
      </c>
      <c r="O1158" s="2" t="s">
        <v>245</v>
      </c>
      <c r="P1158" s="2" t="s">
        <v>272</v>
      </c>
      <c r="Q1158" s="2" t="s">
        <v>239</v>
      </c>
      <c r="R1158" s="2" t="s">
        <v>233</v>
      </c>
      <c r="S1158" s="2" t="s">
        <v>233</v>
      </c>
      <c r="T1158" s="2" t="s">
        <v>233</v>
      </c>
      <c r="U1158" s="2" t="s">
        <v>342</v>
      </c>
      <c r="V1158" s="2" t="s">
        <v>5726</v>
      </c>
      <c r="W1158" s="2" t="s">
        <v>776</v>
      </c>
      <c r="X1158" s="2" t="s">
        <v>233</v>
      </c>
      <c r="Y1158" s="2" t="s">
        <v>1995</v>
      </c>
      <c r="Z1158" s="4">
        <v>56</v>
      </c>
      <c r="AA1158" s="4">
        <f>=ROUNDDOWN(14,0)</f>
      </c>
      <c r="AB1158" s="5">
        <v>4</v>
      </c>
      <c r="AC1158" s="2" t="s">
        <v>2388</v>
      </c>
      <c r="AD1158" s="4">
        <v>35</v>
      </c>
      <c r="AE1158" s="4">
        <v>80</v>
      </c>
      <c r="AF1158" s="6">
        <v>65</v>
      </c>
      <c r="AG1158" s="6"/>
      <c r="AH1158" s="7">
        <v>0</v>
      </c>
      <c r="AI1158" s="4"/>
      <c r="AJ1158" s="4">
        <f>=ROUNDDOWN({0},0)</f>
      </c>
      <c r="AK1158" s="5"/>
      <c r="AL1158" s="2" t="s">
        <v>233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233</v>
      </c>
      <c r="AW1158" s="8" t="s">
        <v>233</v>
      </c>
      <c r="AX1158" s="4" t="s">
        <v>233</v>
      </c>
      <c r="AY1158" s="8" t="s">
        <v>233</v>
      </c>
      <c r="AZ1158" s="7" t="s">
        <v>233</v>
      </c>
      <c r="BA1158" s="7" t="s">
        <v>233</v>
      </c>
      <c r="BB1158" s="7"/>
      <c r="BC1158" s="4" t="s">
        <v>233</v>
      </c>
      <c r="BD1158" s="8" t="s">
        <v>233</v>
      </c>
      <c r="BE1158" s="4" t="s">
        <v>233</v>
      </c>
      <c r="BF1158" s="8" t="s">
        <v>233</v>
      </c>
      <c r="BG1158" s="7" t="s">
        <v>233</v>
      </c>
      <c r="BH1158" s="7" t="s">
        <v>233</v>
      </c>
      <c r="BI1158" s="7"/>
      <c r="BJ1158" s="4"/>
      <c r="BK1158" s="8"/>
      <c r="BL1158" s="2" t="s">
        <v>1602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5739</v>
      </c>
      <c r="BV1158" s="2" t="s">
        <v>233</v>
      </c>
      <c r="BW1158" s="2" t="s">
        <v>233</v>
      </c>
      <c r="BX1158" s="2" t="s">
        <v>243</v>
      </c>
      <c r="BY1158" s="2" t="s">
        <v>280</v>
      </c>
      <c r="BZ1158" s="2" t="s">
        <v>245</v>
      </c>
      <c r="CA1158" s="2" t="s">
        <v>2872</v>
      </c>
      <c r="CB1158" s="2" t="s">
        <v>233</v>
      </c>
      <c r="CC1158" s="2" t="s">
        <v>246</v>
      </c>
      <c r="CD1158" s="2" t="s">
        <v>233</v>
      </c>
      <c r="CE1158" s="4">
        <v>56</v>
      </c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>
        <v>35</v>
      </c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>
        <v>45</v>
      </c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</row>
    <row r="1159">
      <c r="A1159" s="2" t="s">
        <v>5740</v>
      </c>
      <c r="B1159" s="2" t="s">
        <v>1066</v>
      </c>
      <c r="C1159" s="2" t="s">
        <v>530</v>
      </c>
      <c r="D1159" s="2" t="s">
        <v>1923</v>
      </c>
      <c r="E1159" s="2" t="s">
        <v>1924</v>
      </c>
      <c r="F1159" s="2" t="s">
        <v>5741</v>
      </c>
      <c r="G1159" s="2" t="s">
        <v>5742</v>
      </c>
      <c r="H1159" s="2" t="s">
        <v>5743</v>
      </c>
      <c r="I1159" s="2" t="s">
        <v>5744</v>
      </c>
      <c r="J1159" s="2" t="s">
        <v>892</v>
      </c>
      <c r="K1159" s="2" t="s">
        <v>773</v>
      </c>
      <c r="L1159" s="3">
        <v>142.6</v>
      </c>
      <c r="M1159" s="3">
        <v>149.73</v>
      </c>
      <c r="N1159" s="3">
        <v>299</v>
      </c>
      <c r="O1159" s="2" t="s">
        <v>245</v>
      </c>
      <c r="P1159" s="2" t="s">
        <v>272</v>
      </c>
      <c r="Q1159" s="2" t="s">
        <v>239</v>
      </c>
      <c r="R1159" s="2" t="s">
        <v>233</v>
      </c>
      <c r="S1159" s="2" t="s">
        <v>5745</v>
      </c>
      <c r="T1159" s="2" t="s">
        <v>233</v>
      </c>
      <c r="U1159" s="2" t="s">
        <v>233</v>
      </c>
      <c r="V1159" s="2" t="s">
        <v>241</v>
      </c>
      <c r="W1159" s="2" t="s">
        <v>397</v>
      </c>
      <c r="X1159" s="2" t="s">
        <v>233</v>
      </c>
      <c r="Y1159" s="2" t="s">
        <v>276</v>
      </c>
      <c r="Z1159" s="4">
        <v>100</v>
      </c>
      <c r="AA1159" s="4">
        <f>=ROUNDDOWN(16.6666666666667,0)</f>
      </c>
      <c r="AB1159" s="5">
        <v>6</v>
      </c>
      <c r="AC1159" s="2" t="s">
        <v>2721</v>
      </c>
      <c r="AD1159" s="4">
        <v>100</v>
      </c>
      <c r="AE1159" s="4">
        <v>100</v>
      </c>
      <c r="AF1159" s="6">
        <v>74</v>
      </c>
      <c r="AG1159" s="6"/>
      <c r="AH1159" s="7">
        <v>1</v>
      </c>
      <c r="AI1159" s="4"/>
      <c r="AJ1159" s="4">
        <f>=ROUNDDOWN({0},0)</f>
      </c>
      <c r="AK1159" s="5"/>
      <c r="AL1159" s="2" t="s">
        <v>233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233</v>
      </c>
      <c r="BD1159" s="8" t="s">
        <v>233</v>
      </c>
      <c r="BE1159" s="4" t="s">
        <v>233</v>
      </c>
      <c r="BF1159" s="8" t="s">
        <v>233</v>
      </c>
      <c r="BG1159" s="7" t="s">
        <v>233</v>
      </c>
      <c r="BH1159" s="7" t="s">
        <v>233</v>
      </c>
      <c r="BI1159" s="7"/>
      <c r="BJ1159" s="4">
        <v>16</v>
      </c>
      <c r="BK1159" s="8">
        <v>2135.77</v>
      </c>
      <c r="BL1159" s="2" t="s">
        <v>5746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5747</v>
      </c>
      <c r="BV1159" s="2" t="s">
        <v>233</v>
      </c>
      <c r="BW1159" s="2" t="s">
        <v>233</v>
      </c>
      <c r="BX1159" s="2" t="s">
        <v>233</v>
      </c>
      <c r="BY1159" s="2" t="s">
        <v>280</v>
      </c>
      <c r="BZ1159" s="2" t="s">
        <v>245</v>
      </c>
      <c r="CA1159" s="2" t="s">
        <v>281</v>
      </c>
      <c r="CB1159" s="2" t="s">
        <v>5748</v>
      </c>
      <c r="CC1159" s="2" t="s">
        <v>246</v>
      </c>
      <c r="CD1159" s="2" t="s">
        <v>233</v>
      </c>
      <c r="CE1159" s="4"/>
      <c r="CF1159" s="4">
        <v>100</v>
      </c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>
        <v>100</v>
      </c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</row>
    <row r="1160">
      <c r="A1160" s="2" t="s">
        <v>5749</v>
      </c>
      <c r="B1160" s="2" t="s">
        <v>1066</v>
      </c>
      <c r="C1160" s="2" t="s">
        <v>530</v>
      </c>
      <c r="D1160" s="2" t="s">
        <v>1923</v>
      </c>
      <c r="E1160" s="2" t="s">
        <v>1924</v>
      </c>
      <c r="F1160" s="2" t="s">
        <v>5741</v>
      </c>
      <c r="G1160" s="2" t="s">
        <v>5742</v>
      </c>
      <c r="H1160" s="2" t="s">
        <v>5743</v>
      </c>
      <c r="I1160" s="2" t="s">
        <v>5744</v>
      </c>
      <c r="J1160" s="2" t="s">
        <v>892</v>
      </c>
      <c r="K1160" s="2" t="s">
        <v>255</v>
      </c>
      <c r="L1160" s="3">
        <v>142.6</v>
      </c>
      <c r="M1160" s="3">
        <v>149.73</v>
      </c>
      <c r="N1160" s="3">
        <v>299</v>
      </c>
      <c r="O1160" s="2" t="s">
        <v>245</v>
      </c>
      <c r="P1160" s="2" t="s">
        <v>272</v>
      </c>
      <c r="Q1160" s="2" t="s">
        <v>239</v>
      </c>
      <c r="R1160" s="2" t="s">
        <v>233</v>
      </c>
      <c r="S1160" s="2" t="s">
        <v>5750</v>
      </c>
      <c r="T1160" s="2" t="s">
        <v>233</v>
      </c>
      <c r="U1160" s="2" t="s">
        <v>233</v>
      </c>
      <c r="V1160" s="2" t="s">
        <v>241</v>
      </c>
      <c r="W1160" s="2" t="s">
        <v>397</v>
      </c>
      <c r="X1160" s="2" t="s">
        <v>233</v>
      </c>
      <c r="Y1160" s="2" t="s">
        <v>276</v>
      </c>
      <c r="Z1160" s="4">
        <v>131</v>
      </c>
      <c r="AA1160" s="4">
        <f>=ROUNDDOWN(32.75,0)</f>
      </c>
      <c r="AB1160" s="5">
        <v>4</v>
      </c>
      <c r="AC1160" s="2" t="s">
        <v>5751</v>
      </c>
      <c r="AD1160" s="4">
        <v>100</v>
      </c>
      <c r="AE1160" s="4">
        <v>100</v>
      </c>
      <c r="AF1160" s="6">
        <v>74</v>
      </c>
      <c r="AG1160" s="6"/>
      <c r="AH1160" s="7">
        <v>1</v>
      </c>
      <c r="AI1160" s="4"/>
      <c r="AJ1160" s="4">
        <f>=ROUNDDOWN({0},0)</f>
      </c>
      <c r="AK1160" s="5"/>
      <c r="AL1160" s="2" t="s">
        <v>233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233</v>
      </c>
      <c r="BD1160" s="8" t="s">
        <v>233</v>
      </c>
      <c r="BE1160" s="4" t="s">
        <v>233</v>
      </c>
      <c r="BF1160" s="8" t="s">
        <v>233</v>
      </c>
      <c r="BG1160" s="7" t="s">
        <v>233</v>
      </c>
      <c r="BH1160" s="7" t="s">
        <v>233</v>
      </c>
      <c r="BI1160" s="7"/>
      <c r="BJ1160" s="4">
        <v>10</v>
      </c>
      <c r="BK1160" s="8">
        <v>1283.81</v>
      </c>
      <c r="BL1160" s="2" t="s">
        <v>5752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5753</v>
      </c>
      <c r="BV1160" s="2" t="s">
        <v>233</v>
      </c>
      <c r="BW1160" s="2" t="s">
        <v>233</v>
      </c>
      <c r="BX1160" s="2" t="s">
        <v>233</v>
      </c>
      <c r="BY1160" s="2" t="s">
        <v>280</v>
      </c>
      <c r="BZ1160" s="2" t="s">
        <v>245</v>
      </c>
      <c r="CA1160" s="2" t="s">
        <v>281</v>
      </c>
      <c r="CB1160" s="2" t="s">
        <v>3618</v>
      </c>
      <c r="CC1160" s="2" t="s">
        <v>246</v>
      </c>
      <c r="CD1160" s="2" t="s">
        <v>233</v>
      </c>
      <c r="CE1160" s="4"/>
      <c r="CF1160" s="4">
        <v>131</v>
      </c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>
        <v>100</v>
      </c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</row>
    <row r="1161">
      <c r="A1161" s="2" t="s">
        <v>5754</v>
      </c>
      <c r="B1161" s="2" t="s">
        <v>1066</v>
      </c>
      <c r="C1161" s="2" t="s">
        <v>530</v>
      </c>
      <c r="D1161" s="2" t="s">
        <v>1923</v>
      </c>
      <c r="E1161" s="2" t="s">
        <v>1924</v>
      </c>
      <c r="F1161" s="2" t="s">
        <v>5741</v>
      </c>
      <c r="G1161" s="2" t="s">
        <v>5742</v>
      </c>
      <c r="H1161" s="2" t="s">
        <v>5743</v>
      </c>
      <c r="I1161" s="2" t="s">
        <v>5744</v>
      </c>
      <c r="J1161" s="2" t="s">
        <v>892</v>
      </c>
      <c r="K1161" s="2" t="s">
        <v>5755</v>
      </c>
      <c r="L1161" s="3">
        <v>142.6</v>
      </c>
      <c r="M1161" s="3">
        <v>149.73</v>
      </c>
      <c r="N1161" s="3">
        <v>299</v>
      </c>
      <c r="O1161" s="2" t="s">
        <v>245</v>
      </c>
      <c r="P1161" s="2" t="s">
        <v>393</v>
      </c>
      <c r="Q1161" s="2" t="s">
        <v>239</v>
      </c>
      <c r="R1161" s="2" t="s">
        <v>233</v>
      </c>
      <c r="S1161" s="2" t="s">
        <v>233</v>
      </c>
      <c r="T1161" s="2" t="s">
        <v>233</v>
      </c>
      <c r="U1161" s="2" t="s">
        <v>396</v>
      </c>
      <c r="V1161" s="2" t="s">
        <v>241</v>
      </c>
      <c r="W1161" s="2" t="s">
        <v>397</v>
      </c>
      <c r="X1161" s="2" t="s">
        <v>451</v>
      </c>
      <c r="Y1161" s="2" t="s">
        <v>3370</v>
      </c>
      <c r="Z1161" s="4">
        <v>44</v>
      </c>
      <c r="AA1161" s="4">
        <f>=ROUNDDOWN(14.6666666666667,0)</f>
      </c>
      <c r="AB1161" s="5">
        <v>3</v>
      </c>
      <c r="AC1161" s="2" t="s">
        <v>4871</v>
      </c>
      <c r="AD1161" s="4">
        <v>100</v>
      </c>
      <c r="AE1161" s="4">
        <v>100</v>
      </c>
      <c r="AF1161" s="6">
        <v>74</v>
      </c>
      <c r="AG1161" s="6">
        <v>60</v>
      </c>
      <c r="AH1161" s="7">
        <v>1</v>
      </c>
      <c r="AI1161" s="4"/>
      <c r="AJ1161" s="4">
        <f>=ROUNDDOWN({0},0)</f>
      </c>
      <c r="AK1161" s="5"/>
      <c r="AL1161" s="2" t="s">
        <v>233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233</v>
      </c>
      <c r="BD1161" s="8" t="s">
        <v>233</v>
      </c>
      <c r="BE1161" s="4" t="s">
        <v>233</v>
      </c>
      <c r="BF1161" s="8" t="s">
        <v>233</v>
      </c>
      <c r="BG1161" s="7" t="s">
        <v>233</v>
      </c>
      <c r="BH1161" s="7" t="s">
        <v>233</v>
      </c>
      <c r="BI1161" s="7"/>
      <c r="BJ1161" s="4">
        <v>7</v>
      </c>
      <c r="BK1161" s="8">
        <v>1024.78</v>
      </c>
      <c r="BL1161" s="2" t="s">
        <v>5756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5757</v>
      </c>
      <c r="BV1161" s="2" t="s">
        <v>233</v>
      </c>
      <c r="BW1161" s="2" t="s">
        <v>233</v>
      </c>
      <c r="BX1161" s="2" t="s">
        <v>233</v>
      </c>
      <c r="BY1161" s="2" t="s">
        <v>280</v>
      </c>
      <c r="BZ1161" s="2" t="s">
        <v>245</v>
      </c>
      <c r="CA1161" s="2" t="s">
        <v>3370</v>
      </c>
      <c r="CB1161" s="2" t="s">
        <v>5758</v>
      </c>
      <c r="CC1161" s="2" t="s">
        <v>246</v>
      </c>
      <c r="CD1161" s="2" t="s">
        <v>233</v>
      </c>
      <c r="CE1161" s="4"/>
      <c r="CF1161" s="4">
        <v>43</v>
      </c>
      <c r="CG1161" s="4"/>
      <c r="CH1161" s="4"/>
      <c r="CI1161" s="4">
        <v>1</v>
      </c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>
        <v>100</v>
      </c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</row>
    <row r="1162">
      <c r="A1162" s="2" t="s">
        <v>5759</v>
      </c>
      <c r="B1162" s="2" t="s">
        <v>886</v>
      </c>
      <c r="C1162" s="2" t="s">
        <v>901</v>
      </c>
      <c r="D1162" s="2" t="s">
        <v>888</v>
      </c>
      <c r="E1162" s="2" t="s">
        <v>889</v>
      </c>
      <c r="F1162" s="2" t="s">
        <v>5760</v>
      </c>
      <c r="G1162" s="2" t="s">
        <v>5760</v>
      </c>
      <c r="H1162" s="2" t="s">
        <v>5760</v>
      </c>
      <c r="I1162" s="2" t="s">
        <v>5761</v>
      </c>
      <c r="J1162" s="2" t="s">
        <v>892</v>
      </c>
      <c r="K1162" s="2" t="s">
        <v>5388</v>
      </c>
      <c r="L1162" s="3">
        <v>87.4</v>
      </c>
      <c r="M1162" s="3">
        <v>91.77</v>
      </c>
      <c r="N1162" s="3">
        <v>199.99</v>
      </c>
      <c r="O1162" s="2" t="s">
        <v>245</v>
      </c>
      <c r="P1162" s="2" t="s">
        <v>311</v>
      </c>
      <c r="Q1162" s="2" t="s">
        <v>239</v>
      </c>
      <c r="R1162" s="2" t="s">
        <v>233</v>
      </c>
      <c r="S1162" s="2" t="s">
        <v>233</v>
      </c>
      <c r="T1162" s="2" t="s">
        <v>233</v>
      </c>
      <c r="U1162" s="2" t="s">
        <v>396</v>
      </c>
      <c r="V1162" s="2" t="s">
        <v>893</v>
      </c>
      <c r="W1162" s="2" t="s">
        <v>397</v>
      </c>
      <c r="X1162" s="2" t="s">
        <v>894</v>
      </c>
      <c r="Y1162" s="2" t="s">
        <v>905</v>
      </c>
      <c r="Z1162" s="4">
        <v>98</v>
      </c>
      <c r="AA1162" s="4">
        <f>=ROUNDDOWN({0},0)</f>
      </c>
      <c r="AB1162" s="5"/>
      <c r="AC1162" s="2" t="s">
        <v>233</v>
      </c>
      <c r="AD1162" s="4"/>
      <c r="AE1162" s="4"/>
      <c r="AF1162" s="6">
        <v>63</v>
      </c>
      <c r="AG1162" s="6"/>
      <c r="AH1162" s="7">
        <v>1</v>
      </c>
      <c r="AI1162" s="4"/>
      <c r="AJ1162" s="4">
        <f>=ROUNDDOWN({0},0)</f>
      </c>
      <c r="AK1162" s="5"/>
      <c r="AL1162" s="2" t="s">
        <v>233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/>
      <c r="BD1162" s="8"/>
      <c r="BE1162" s="4"/>
      <c r="BF1162" s="8"/>
      <c r="BG1162" s="7"/>
      <c r="BH1162" s="7"/>
      <c r="BI1162" s="7"/>
      <c r="BJ1162" s="4"/>
      <c r="BK1162" s="8"/>
      <c r="BL1162" s="2" t="s">
        <v>233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5762</v>
      </c>
      <c r="BV1162" s="2" t="s">
        <v>233</v>
      </c>
      <c r="BW1162" s="2" t="s">
        <v>233</v>
      </c>
      <c r="BX1162" s="2" t="s">
        <v>233</v>
      </c>
      <c r="BY1162" s="2" t="s">
        <v>280</v>
      </c>
      <c r="BZ1162" s="2" t="s">
        <v>245</v>
      </c>
      <c r="CA1162" s="2" t="s">
        <v>907</v>
      </c>
      <c r="CB1162" s="2" t="s">
        <v>233</v>
      </c>
      <c r="CC1162" s="2" t="s">
        <v>246</v>
      </c>
      <c r="CD1162" s="2" t="s">
        <v>233</v>
      </c>
      <c r="CE1162" s="4"/>
      <c r="CF1162" s="4">
        <v>98</v>
      </c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</row>
    <row r="1163">
      <c r="A1163" s="2" t="s">
        <v>5763</v>
      </c>
      <c r="B1163" s="2" t="s">
        <v>228</v>
      </c>
      <c r="C1163" s="2" t="s">
        <v>446</v>
      </c>
      <c r="D1163" s="2" t="s">
        <v>230</v>
      </c>
      <c r="E1163" s="2" t="s">
        <v>231</v>
      </c>
      <c r="F1163" s="2" t="s">
        <v>5764</v>
      </c>
      <c r="G1163" s="2" t="s">
        <v>5764</v>
      </c>
      <c r="H1163" s="2" t="s">
        <v>5764</v>
      </c>
      <c r="I1163" s="2" t="s">
        <v>5765</v>
      </c>
      <c r="J1163" s="2" t="s">
        <v>328</v>
      </c>
      <c r="K1163" s="2" t="s">
        <v>773</v>
      </c>
      <c r="L1163" s="3">
        <v>32.9</v>
      </c>
      <c r="M1163" s="3">
        <v>34.54</v>
      </c>
      <c r="N1163" s="3">
        <v>69.99</v>
      </c>
      <c r="O1163" s="2" t="s">
        <v>245</v>
      </c>
      <c r="P1163" s="2" t="s">
        <v>272</v>
      </c>
      <c r="Q1163" s="2" t="s">
        <v>239</v>
      </c>
      <c r="R1163" s="2" t="s">
        <v>233</v>
      </c>
      <c r="S1163" s="2" t="s">
        <v>5766</v>
      </c>
      <c r="T1163" s="2" t="s">
        <v>341</v>
      </c>
      <c r="U1163" s="2" t="s">
        <v>396</v>
      </c>
      <c r="V1163" s="2" t="s">
        <v>241</v>
      </c>
      <c r="W1163" s="2" t="s">
        <v>275</v>
      </c>
      <c r="X1163" s="2" t="s">
        <v>343</v>
      </c>
      <c r="Y1163" s="2" t="s">
        <v>5767</v>
      </c>
      <c r="Z1163" s="4">
        <v>494</v>
      </c>
      <c r="AA1163" s="4">
        <f>=ROUNDDOWN(62.5316455696203,0)</f>
      </c>
      <c r="AB1163" s="5">
        <v>7.9</v>
      </c>
      <c r="AC1163" s="2" t="s">
        <v>233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233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 t="s">
        <v>233</v>
      </c>
      <c r="BD1163" s="8" t="s">
        <v>233</v>
      </c>
      <c r="BE1163" s="4" t="s">
        <v>233</v>
      </c>
      <c r="BF1163" s="8" t="s">
        <v>233</v>
      </c>
      <c r="BG1163" s="7" t="s">
        <v>233</v>
      </c>
      <c r="BH1163" s="7" t="s">
        <v>233</v>
      </c>
      <c r="BI1163" s="7"/>
      <c r="BJ1163" s="4">
        <v>47</v>
      </c>
      <c r="BK1163" s="8">
        <v>1677.78</v>
      </c>
      <c r="BL1163" s="2" t="s">
        <v>1708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5768</v>
      </c>
      <c r="BV1163" s="2" t="s">
        <v>233</v>
      </c>
      <c r="BW1163" s="2" t="s">
        <v>233</v>
      </c>
      <c r="BX1163" s="2" t="s">
        <v>233</v>
      </c>
      <c r="BY1163" s="2" t="s">
        <v>280</v>
      </c>
      <c r="BZ1163" s="2" t="s">
        <v>245</v>
      </c>
      <c r="CA1163" s="2" t="s">
        <v>2765</v>
      </c>
      <c r="CB1163" s="2" t="s">
        <v>5769</v>
      </c>
      <c r="CC1163" s="2" t="s">
        <v>246</v>
      </c>
      <c r="CD1163" s="2" t="s">
        <v>233</v>
      </c>
      <c r="CE1163" s="4">
        <v>494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</row>
    <row r="1164">
      <c r="A1164" s="2" t="s">
        <v>5770</v>
      </c>
      <c r="B1164" s="2" t="s">
        <v>228</v>
      </c>
      <c r="C1164" s="2" t="s">
        <v>446</v>
      </c>
      <c r="D1164" s="2" t="s">
        <v>230</v>
      </c>
      <c r="E1164" s="2" t="s">
        <v>231</v>
      </c>
      <c r="F1164" s="2" t="s">
        <v>5764</v>
      </c>
      <c r="G1164" s="2" t="s">
        <v>5764</v>
      </c>
      <c r="H1164" s="2" t="s">
        <v>5764</v>
      </c>
      <c r="I1164" s="2" t="s">
        <v>5765</v>
      </c>
      <c r="J1164" s="2" t="s">
        <v>981</v>
      </c>
      <c r="K1164" s="2" t="s">
        <v>1201</v>
      </c>
      <c r="L1164" s="3">
        <v>27.6</v>
      </c>
      <c r="M1164" s="3">
        <v>28.98</v>
      </c>
      <c r="N1164" s="3">
        <v>59.99</v>
      </c>
      <c r="O1164" s="2" t="s">
        <v>245</v>
      </c>
      <c r="P1164" s="2" t="s">
        <v>238</v>
      </c>
      <c r="Q1164" s="2" t="s">
        <v>239</v>
      </c>
      <c r="R1164" s="2" t="s">
        <v>233</v>
      </c>
      <c r="S1164" s="2" t="s">
        <v>5771</v>
      </c>
      <c r="T1164" s="2" t="s">
        <v>341</v>
      </c>
      <c r="U1164" s="2" t="s">
        <v>396</v>
      </c>
      <c r="V1164" s="2" t="s">
        <v>241</v>
      </c>
      <c r="W1164" s="2" t="s">
        <v>275</v>
      </c>
      <c r="X1164" s="2" t="s">
        <v>343</v>
      </c>
      <c r="Y1164" s="2" t="s">
        <v>5772</v>
      </c>
      <c r="Z1164" s="4">
        <v>350</v>
      </c>
      <c r="AA1164" s="4">
        <f>=ROUNDDOWN(58.3333333333333,0)</f>
      </c>
      <c r="AB1164" s="5">
        <v>6</v>
      </c>
      <c r="AC1164" s="2" t="s">
        <v>233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233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233</v>
      </c>
      <c r="AW1164" s="8" t="s">
        <v>233</v>
      </c>
      <c r="AX1164" s="4" t="s">
        <v>233</v>
      </c>
      <c r="AY1164" s="8" t="s">
        <v>233</v>
      </c>
      <c r="AZ1164" s="7" t="s">
        <v>233</v>
      </c>
      <c r="BA1164" s="7" t="s">
        <v>233</v>
      </c>
      <c r="BB1164" s="7"/>
      <c r="BC1164" s="4" t="s">
        <v>233</v>
      </c>
      <c r="BD1164" s="8" t="s">
        <v>233</v>
      </c>
      <c r="BE1164" s="4" t="s">
        <v>233</v>
      </c>
      <c r="BF1164" s="8" t="s">
        <v>233</v>
      </c>
      <c r="BG1164" s="7" t="s">
        <v>233</v>
      </c>
      <c r="BH1164" s="7" t="s">
        <v>233</v>
      </c>
      <c r="BI1164" s="7"/>
      <c r="BJ1164" s="4">
        <v>25</v>
      </c>
      <c r="BK1164" s="8">
        <v>751.95</v>
      </c>
      <c r="BL1164" s="2" t="s">
        <v>1893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5773</v>
      </c>
      <c r="BV1164" s="2" t="s">
        <v>233</v>
      </c>
      <c r="BW1164" s="2" t="s">
        <v>233</v>
      </c>
      <c r="BX1164" s="2" t="s">
        <v>243</v>
      </c>
      <c r="BY1164" s="2" t="s">
        <v>280</v>
      </c>
      <c r="BZ1164" s="2" t="s">
        <v>245</v>
      </c>
      <c r="CA1164" s="2" t="s">
        <v>5774</v>
      </c>
      <c r="CB1164" s="2" t="s">
        <v>233</v>
      </c>
      <c r="CC1164" s="2" t="s">
        <v>246</v>
      </c>
      <c r="CD1164" s="2" t="s">
        <v>233</v>
      </c>
      <c r="CE1164" s="4">
        <v>350</v>
      </c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</row>
    <row r="1165">
      <c r="A1165" s="2" t="s">
        <v>5775</v>
      </c>
      <c r="B1165" s="2" t="s">
        <v>228</v>
      </c>
      <c r="C1165" s="2" t="s">
        <v>446</v>
      </c>
      <c r="D1165" s="2" t="s">
        <v>230</v>
      </c>
      <c r="E1165" s="2" t="s">
        <v>231</v>
      </c>
      <c r="F1165" s="2" t="s">
        <v>5764</v>
      </c>
      <c r="G1165" s="2" t="s">
        <v>5764</v>
      </c>
      <c r="H1165" s="2" t="s">
        <v>5764</v>
      </c>
      <c r="I1165" s="2" t="s">
        <v>5765</v>
      </c>
      <c r="J1165" s="2" t="s">
        <v>328</v>
      </c>
      <c r="K1165" s="2" t="s">
        <v>1201</v>
      </c>
      <c r="L1165" s="3">
        <v>32.9</v>
      </c>
      <c r="M1165" s="3">
        <v>34.55</v>
      </c>
      <c r="N1165" s="3">
        <v>69.99</v>
      </c>
      <c r="O1165" s="2" t="s">
        <v>245</v>
      </c>
      <c r="P1165" s="2" t="s">
        <v>238</v>
      </c>
      <c r="Q1165" s="2" t="s">
        <v>239</v>
      </c>
      <c r="R1165" s="2" t="s">
        <v>233</v>
      </c>
      <c r="S1165" s="2" t="s">
        <v>5771</v>
      </c>
      <c r="T1165" s="2" t="s">
        <v>341</v>
      </c>
      <c r="U1165" s="2" t="s">
        <v>396</v>
      </c>
      <c r="V1165" s="2" t="s">
        <v>241</v>
      </c>
      <c r="W1165" s="2" t="s">
        <v>275</v>
      </c>
      <c r="X1165" s="2" t="s">
        <v>343</v>
      </c>
      <c r="Y1165" s="2" t="s">
        <v>5772</v>
      </c>
      <c r="Z1165" s="4">
        <v>375</v>
      </c>
      <c r="AA1165" s="4">
        <f>=ROUNDDOWN(41.6666666666667,0)</f>
      </c>
      <c r="AB1165" s="5">
        <v>9</v>
      </c>
      <c r="AC1165" s="2" t="s">
        <v>233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233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233</v>
      </c>
      <c r="AW1165" s="8" t="s">
        <v>233</v>
      </c>
      <c r="AX1165" s="4" t="s">
        <v>233</v>
      </c>
      <c r="AY1165" s="8" t="s">
        <v>233</v>
      </c>
      <c r="AZ1165" s="7" t="s">
        <v>233</v>
      </c>
      <c r="BA1165" s="7" t="s">
        <v>233</v>
      </c>
      <c r="BB1165" s="7"/>
      <c r="BC1165" s="4" t="s">
        <v>233</v>
      </c>
      <c r="BD1165" s="8" t="s">
        <v>233</v>
      </c>
      <c r="BE1165" s="4" t="s">
        <v>233</v>
      </c>
      <c r="BF1165" s="8" t="s">
        <v>233</v>
      </c>
      <c r="BG1165" s="7" t="s">
        <v>233</v>
      </c>
      <c r="BH1165" s="7" t="s">
        <v>233</v>
      </c>
      <c r="BI1165" s="7"/>
      <c r="BJ1165" s="4">
        <v>45</v>
      </c>
      <c r="BK1165" s="8">
        <v>1650.01</v>
      </c>
      <c r="BL1165" s="2" t="s">
        <v>5776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5777</v>
      </c>
      <c r="BV1165" s="2" t="s">
        <v>233</v>
      </c>
      <c r="BW1165" s="2" t="s">
        <v>233</v>
      </c>
      <c r="BX1165" s="2" t="s">
        <v>243</v>
      </c>
      <c r="BY1165" s="2" t="s">
        <v>280</v>
      </c>
      <c r="BZ1165" s="2" t="s">
        <v>245</v>
      </c>
      <c r="CA1165" s="2" t="s">
        <v>5774</v>
      </c>
      <c r="CB1165" s="2" t="s">
        <v>233</v>
      </c>
      <c r="CC1165" s="2" t="s">
        <v>246</v>
      </c>
      <c r="CD1165" s="2" t="s">
        <v>233</v>
      </c>
      <c r="CE1165" s="4">
        <v>375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</row>
    <row r="1166">
      <c r="A1166" s="2" t="s">
        <v>5778</v>
      </c>
      <c r="B1166" s="2" t="s">
        <v>1066</v>
      </c>
      <c r="C1166" s="2" t="s">
        <v>530</v>
      </c>
      <c r="D1166" s="2" t="s">
        <v>1067</v>
      </c>
      <c r="E1166" s="2" t="s">
        <v>2543</v>
      </c>
      <c r="F1166" s="2" t="s">
        <v>5779</v>
      </c>
      <c r="G1166" s="2" t="s">
        <v>2340</v>
      </c>
      <c r="H1166" s="2" t="s">
        <v>5780</v>
      </c>
      <c r="I1166" s="2" t="s">
        <v>5781</v>
      </c>
      <c r="J1166" s="2" t="s">
        <v>892</v>
      </c>
      <c r="K1166" s="2" t="s">
        <v>984</v>
      </c>
      <c r="L1166" s="3">
        <v>214.2</v>
      </c>
      <c r="M1166" s="3">
        <v>224.91</v>
      </c>
      <c r="N1166" s="3">
        <v>449</v>
      </c>
      <c r="O1166" s="2" t="s">
        <v>245</v>
      </c>
      <c r="P1166" s="2" t="s">
        <v>311</v>
      </c>
      <c r="Q1166" s="2" t="s">
        <v>239</v>
      </c>
      <c r="R1166" s="2" t="s">
        <v>233</v>
      </c>
      <c r="S1166" s="2" t="s">
        <v>233</v>
      </c>
      <c r="T1166" s="2" t="s">
        <v>233</v>
      </c>
      <c r="U1166" s="2" t="s">
        <v>396</v>
      </c>
      <c r="V1166" s="2" t="s">
        <v>893</v>
      </c>
      <c r="W1166" s="2" t="s">
        <v>451</v>
      </c>
      <c r="X1166" s="2" t="s">
        <v>397</v>
      </c>
      <c r="Y1166" s="2" t="s">
        <v>5398</v>
      </c>
      <c r="Z1166" s="4">
        <v>38</v>
      </c>
      <c r="AA1166" s="4">
        <f>=ROUNDDOWN(38,0)</f>
      </c>
      <c r="AB1166" s="5">
        <v>1</v>
      </c>
      <c r="AC1166" s="2" t="s">
        <v>233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233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>
        <v>3</v>
      </c>
      <c r="BK1166" s="8">
        <v>598.5</v>
      </c>
      <c r="BL1166" s="2" t="s">
        <v>5782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5783</v>
      </c>
      <c r="BV1166" s="2" t="s">
        <v>233</v>
      </c>
      <c r="BW1166" s="2" t="s">
        <v>233</v>
      </c>
      <c r="BX1166" s="2" t="s">
        <v>233</v>
      </c>
      <c r="BY1166" s="2" t="s">
        <v>280</v>
      </c>
      <c r="BZ1166" s="2" t="s">
        <v>245</v>
      </c>
      <c r="CA1166" s="2" t="s">
        <v>5398</v>
      </c>
      <c r="CB1166" s="2" t="s">
        <v>233</v>
      </c>
      <c r="CC1166" s="2" t="s">
        <v>246</v>
      </c>
      <c r="CD1166" s="2" t="s">
        <v>233</v>
      </c>
      <c r="CE1166" s="4"/>
      <c r="CF1166" s="4">
        <v>38</v>
      </c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</row>
    <row r="1167">
      <c r="A1167" s="2" t="s">
        <v>5784</v>
      </c>
      <c r="B1167" s="2" t="s">
        <v>1242</v>
      </c>
      <c r="C1167" s="2" t="s">
        <v>1607</v>
      </c>
      <c r="D1167" s="2" t="s">
        <v>1862</v>
      </c>
      <c r="E1167" s="2" t="s">
        <v>3734</v>
      </c>
      <c r="F1167" s="2" t="s">
        <v>5785</v>
      </c>
      <c r="G1167" s="2" t="s">
        <v>5785</v>
      </c>
      <c r="H1167" s="2" t="s">
        <v>5785</v>
      </c>
      <c r="I1167" s="2" t="s">
        <v>5786</v>
      </c>
      <c r="J1167" s="2" t="s">
        <v>981</v>
      </c>
      <c r="K1167" s="2" t="s">
        <v>236</v>
      </c>
      <c r="L1167" s="3">
        <v>68.09</v>
      </c>
      <c r="M1167" s="3">
        <v>71.49</v>
      </c>
      <c r="N1167" s="3">
        <v>199.99</v>
      </c>
      <c r="O1167" s="2" t="s">
        <v>245</v>
      </c>
      <c r="P1167" s="2" t="s">
        <v>311</v>
      </c>
      <c r="Q1167" s="2" t="s">
        <v>239</v>
      </c>
      <c r="R1167" s="2" t="s">
        <v>233</v>
      </c>
      <c r="S1167" s="2" t="s">
        <v>233</v>
      </c>
      <c r="T1167" s="2" t="s">
        <v>341</v>
      </c>
      <c r="U1167" s="2" t="s">
        <v>233</v>
      </c>
      <c r="V1167" s="2" t="s">
        <v>241</v>
      </c>
      <c r="W1167" s="2" t="s">
        <v>275</v>
      </c>
      <c r="X1167" s="2" t="s">
        <v>233</v>
      </c>
      <c r="Y1167" s="2" t="s">
        <v>1610</v>
      </c>
      <c r="Z1167" s="4">
        <v>78</v>
      </c>
      <c r="AA1167" s="4">
        <f>=ROUNDDOWN(78,0)</f>
      </c>
      <c r="AB1167" s="5">
        <v>1</v>
      </c>
      <c r="AC1167" s="2" t="s">
        <v>233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233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 t="s">
        <v>233</v>
      </c>
      <c r="BD1167" s="8" t="s">
        <v>233</v>
      </c>
      <c r="BE1167" s="4" t="s">
        <v>233</v>
      </c>
      <c r="BF1167" s="8" t="s">
        <v>233</v>
      </c>
      <c r="BG1167" s="7" t="s">
        <v>233</v>
      </c>
      <c r="BH1167" s="7" t="s">
        <v>233</v>
      </c>
      <c r="BI1167" s="7"/>
      <c r="BJ1167" s="4"/>
      <c r="BK1167" s="8"/>
      <c r="BL1167" s="2" t="s">
        <v>744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5787</v>
      </c>
      <c r="BV1167" s="2" t="s">
        <v>233</v>
      </c>
      <c r="BW1167" s="2" t="s">
        <v>233</v>
      </c>
      <c r="BX1167" s="2" t="s">
        <v>233</v>
      </c>
      <c r="BY1167" s="2" t="s">
        <v>280</v>
      </c>
      <c r="BZ1167" s="2" t="s">
        <v>245</v>
      </c>
      <c r="CA1167" s="2" t="s">
        <v>5491</v>
      </c>
      <c r="CB1167" s="2" t="s">
        <v>5788</v>
      </c>
      <c r="CC1167" s="2" t="s">
        <v>246</v>
      </c>
      <c r="CD1167" s="2" t="s">
        <v>233</v>
      </c>
      <c r="CE1167" s="4">
        <v>78</v>
      </c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</row>
    <row r="1168">
      <c r="A1168" s="2" t="s">
        <v>5789</v>
      </c>
      <c r="B1168" s="2" t="s">
        <v>1242</v>
      </c>
      <c r="C1168" s="2" t="s">
        <v>1607</v>
      </c>
      <c r="D1168" s="2" t="s">
        <v>3474</v>
      </c>
      <c r="E1168" s="2" t="s">
        <v>3475</v>
      </c>
      <c r="F1168" s="2" t="s">
        <v>5785</v>
      </c>
      <c r="G1168" s="2" t="s">
        <v>5785</v>
      </c>
      <c r="H1168" s="2" t="s">
        <v>5785</v>
      </c>
      <c r="I1168" s="2" t="s">
        <v>3477</v>
      </c>
      <c r="J1168" s="2" t="s">
        <v>2757</v>
      </c>
      <c r="K1168" s="2" t="s">
        <v>255</v>
      </c>
      <c r="L1168" s="3">
        <v>15.48</v>
      </c>
      <c r="M1168" s="3">
        <v>16.25</v>
      </c>
      <c r="N1168" s="3">
        <v>49.99</v>
      </c>
      <c r="O1168" s="2" t="s">
        <v>245</v>
      </c>
      <c r="P1168" s="2" t="s">
        <v>311</v>
      </c>
      <c r="Q1168" s="2" t="s">
        <v>239</v>
      </c>
      <c r="R1168" s="2" t="s">
        <v>233</v>
      </c>
      <c r="S1168" s="2" t="s">
        <v>233</v>
      </c>
      <c r="T1168" s="2" t="s">
        <v>341</v>
      </c>
      <c r="U1168" s="2" t="s">
        <v>233</v>
      </c>
      <c r="V1168" s="2" t="s">
        <v>241</v>
      </c>
      <c r="W1168" s="2" t="s">
        <v>275</v>
      </c>
      <c r="X1168" s="2" t="s">
        <v>233</v>
      </c>
      <c r="Y1168" s="2" t="s">
        <v>1610</v>
      </c>
      <c r="Z1168" s="4">
        <v>51</v>
      </c>
      <c r="AA1168" s="4">
        <f>=ROUNDDOWN(25.5,0)</f>
      </c>
      <c r="AB1168" s="5">
        <v>2</v>
      </c>
      <c r="AC1168" s="2" t="s">
        <v>233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233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 t="s">
        <v>233</v>
      </c>
      <c r="BD1168" s="8" t="s">
        <v>233</v>
      </c>
      <c r="BE1168" s="4" t="s">
        <v>233</v>
      </c>
      <c r="BF1168" s="8" t="s">
        <v>233</v>
      </c>
      <c r="BG1168" s="7" t="s">
        <v>233</v>
      </c>
      <c r="BH1168" s="7" t="s">
        <v>233</v>
      </c>
      <c r="BI1168" s="7"/>
      <c r="BJ1168" s="4"/>
      <c r="BK1168" s="8"/>
      <c r="BL1168" s="2" t="s">
        <v>744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5790</v>
      </c>
      <c r="BV1168" s="2" t="s">
        <v>233</v>
      </c>
      <c r="BW1168" s="2" t="s">
        <v>233</v>
      </c>
      <c r="BX1168" s="2" t="s">
        <v>233</v>
      </c>
      <c r="BY1168" s="2" t="s">
        <v>280</v>
      </c>
      <c r="BZ1168" s="2" t="s">
        <v>245</v>
      </c>
      <c r="CA1168" s="2" t="s">
        <v>1613</v>
      </c>
      <c r="CB1168" s="2" t="s">
        <v>5791</v>
      </c>
      <c r="CC1168" s="2" t="s">
        <v>246</v>
      </c>
      <c r="CD1168" s="2" t="s">
        <v>233</v>
      </c>
      <c r="CE1168" s="4">
        <v>51</v>
      </c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</row>
    <row r="1169">
      <c r="A1169" s="2" t="s">
        <v>5792</v>
      </c>
      <c r="B1169" s="2" t="s">
        <v>1242</v>
      </c>
      <c r="C1169" s="2" t="s">
        <v>1607</v>
      </c>
      <c r="D1169" s="2" t="s">
        <v>1862</v>
      </c>
      <c r="E1169" s="2" t="s">
        <v>3734</v>
      </c>
      <c r="F1169" s="2" t="s">
        <v>5785</v>
      </c>
      <c r="G1169" s="2" t="s">
        <v>5785</v>
      </c>
      <c r="H1169" s="2" t="s">
        <v>5785</v>
      </c>
      <c r="I1169" s="2" t="s">
        <v>5793</v>
      </c>
      <c r="J1169" s="2" t="s">
        <v>981</v>
      </c>
      <c r="K1169" s="2" t="s">
        <v>5794</v>
      </c>
      <c r="L1169" s="3">
        <v>68.09</v>
      </c>
      <c r="M1169" s="3">
        <v>71.49</v>
      </c>
      <c r="N1169" s="3">
        <v>199.99</v>
      </c>
      <c r="O1169" s="2" t="s">
        <v>245</v>
      </c>
      <c r="P1169" s="2" t="s">
        <v>311</v>
      </c>
      <c r="Q1169" s="2" t="s">
        <v>239</v>
      </c>
      <c r="R1169" s="2" t="s">
        <v>233</v>
      </c>
      <c r="S1169" s="2" t="s">
        <v>233</v>
      </c>
      <c r="T1169" s="2" t="s">
        <v>341</v>
      </c>
      <c r="U1169" s="2" t="s">
        <v>233</v>
      </c>
      <c r="V1169" s="2" t="s">
        <v>241</v>
      </c>
      <c r="W1169" s="2" t="s">
        <v>275</v>
      </c>
      <c r="X1169" s="2" t="s">
        <v>233</v>
      </c>
      <c r="Y1169" s="2" t="s">
        <v>1610</v>
      </c>
      <c r="Z1169" s="4">
        <v>77</v>
      </c>
      <c r="AA1169" s="4">
        <f>=ROUNDDOWN(77,0)</f>
      </c>
      <c r="AB1169" s="5">
        <v>1</v>
      </c>
      <c r="AC1169" s="2" t="s">
        <v>233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233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233</v>
      </c>
      <c r="AW1169" s="8" t="s">
        <v>233</v>
      </c>
      <c r="AX1169" s="4" t="s">
        <v>233</v>
      </c>
      <c r="AY1169" s="8" t="s">
        <v>233</v>
      </c>
      <c r="AZ1169" s="7" t="s">
        <v>233</v>
      </c>
      <c r="BA1169" s="7" t="s">
        <v>233</v>
      </c>
      <c r="BB1169" s="7"/>
      <c r="BC1169" s="4" t="s">
        <v>233</v>
      </c>
      <c r="BD1169" s="8" t="s">
        <v>233</v>
      </c>
      <c r="BE1169" s="4" t="s">
        <v>233</v>
      </c>
      <c r="BF1169" s="8" t="s">
        <v>233</v>
      </c>
      <c r="BG1169" s="7" t="s">
        <v>233</v>
      </c>
      <c r="BH1169" s="7" t="s">
        <v>233</v>
      </c>
      <c r="BI1169" s="7"/>
      <c r="BJ1169" s="4">
        <v>2</v>
      </c>
      <c r="BK1169" s="8">
        <v>150.14</v>
      </c>
      <c r="BL1169" s="2" t="s">
        <v>1592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5795</v>
      </c>
      <c r="BV1169" s="2" t="s">
        <v>233</v>
      </c>
      <c r="BW1169" s="2" t="s">
        <v>233</v>
      </c>
      <c r="BX1169" s="2" t="s">
        <v>233</v>
      </c>
      <c r="BY1169" s="2" t="s">
        <v>280</v>
      </c>
      <c r="BZ1169" s="2" t="s">
        <v>245</v>
      </c>
      <c r="CA1169" s="2" t="s">
        <v>5491</v>
      </c>
      <c r="CB1169" s="2" t="s">
        <v>3288</v>
      </c>
      <c r="CC1169" s="2" t="s">
        <v>246</v>
      </c>
      <c r="CD1169" s="2" t="s">
        <v>233</v>
      </c>
      <c r="CE1169" s="4">
        <v>77</v>
      </c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</row>
    <row r="1170">
      <c r="A1170" s="2" t="s">
        <v>5796</v>
      </c>
      <c r="B1170" s="2" t="s">
        <v>1242</v>
      </c>
      <c r="C1170" s="2" t="s">
        <v>1607</v>
      </c>
      <c r="D1170" s="2" t="s">
        <v>3474</v>
      </c>
      <c r="E1170" s="2" t="s">
        <v>3475</v>
      </c>
      <c r="F1170" s="2" t="s">
        <v>5785</v>
      </c>
      <c r="G1170" s="2" t="s">
        <v>5785</v>
      </c>
      <c r="H1170" s="2" t="s">
        <v>5785</v>
      </c>
      <c r="I1170" s="2" t="s">
        <v>3477</v>
      </c>
      <c r="J1170" s="2" t="s">
        <v>2757</v>
      </c>
      <c r="K1170" s="2" t="s">
        <v>5794</v>
      </c>
      <c r="L1170" s="3">
        <v>15.48</v>
      </c>
      <c r="M1170" s="3">
        <v>16.25</v>
      </c>
      <c r="N1170" s="3">
        <v>49.99</v>
      </c>
      <c r="O1170" s="2" t="s">
        <v>245</v>
      </c>
      <c r="P1170" s="2" t="s">
        <v>311</v>
      </c>
      <c r="Q1170" s="2" t="s">
        <v>239</v>
      </c>
      <c r="R1170" s="2" t="s">
        <v>233</v>
      </c>
      <c r="S1170" s="2" t="s">
        <v>233</v>
      </c>
      <c r="T1170" s="2" t="s">
        <v>341</v>
      </c>
      <c r="U1170" s="2" t="s">
        <v>233</v>
      </c>
      <c r="V1170" s="2" t="s">
        <v>241</v>
      </c>
      <c r="W1170" s="2" t="s">
        <v>275</v>
      </c>
      <c r="X1170" s="2" t="s">
        <v>233</v>
      </c>
      <c r="Y1170" s="2" t="s">
        <v>1610</v>
      </c>
      <c r="Z1170" s="4">
        <v>73</v>
      </c>
      <c r="AA1170" s="4">
        <f>=ROUNDDOWN(73,0)</f>
      </c>
      <c r="AB1170" s="5">
        <v>1</v>
      </c>
      <c r="AC1170" s="2" t="s">
        <v>233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233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233</v>
      </c>
      <c r="AW1170" s="8" t="s">
        <v>233</v>
      </c>
      <c r="AX1170" s="4" t="s">
        <v>233</v>
      </c>
      <c r="AY1170" s="8" t="s">
        <v>233</v>
      </c>
      <c r="AZ1170" s="7" t="s">
        <v>233</v>
      </c>
      <c r="BA1170" s="7" t="s">
        <v>233</v>
      </c>
      <c r="BB1170" s="7"/>
      <c r="BC1170" s="4" t="s">
        <v>233</v>
      </c>
      <c r="BD1170" s="8" t="s">
        <v>233</v>
      </c>
      <c r="BE1170" s="4" t="s">
        <v>233</v>
      </c>
      <c r="BF1170" s="8" t="s">
        <v>233</v>
      </c>
      <c r="BG1170" s="7" t="s">
        <v>233</v>
      </c>
      <c r="BH1170" s="7" t="s">
        <v>233</v>
      </c>
      <c r="BI1170" s="7"/>
      <c r="BJ1170" s="4">
        <v>7</v>
      </c>
      <c r="BK1170" s="8">
        <v>190.37</v>
      </c>
      <c r="BL1170" s="2" t="s">
        <v>5797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5798</v>
      </c>
      <c r="BV1170" s="2" t="s">
        <v>233</v>
      </c>
      <c r="BW1170" s="2" t="s">
        <v>233</v>
      </c>
      <c r="BX1170" s="2" t="s">
        <v>233</v>
      </c>
      <c r="BY1170" s="2" t="s">
        <v>280</v>
      </c>
      <c r="BZ1170" s="2" t="s">
        <v>245</v>
      </c>
      <c r="CA1170" s="2" t="s">
        <v>1613</v>
      </c>
      <c r="CB1170" s="2" t="s">
        <v>233</v>
      </c>
      <c r="CC1170" s="2" t="s">
        <v>246</v>
      </c>
      <c r="CD1170" s="2" t="s">
        <v>233</v>
      </c>
      <c r="CE1170" s="4">
        <v>73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</row>
    <row r="1171">
      <c r="A1171" s="2" t="s">
        <v>5799</v>
      </c>
      <c r="B1171" s="2" t="s">
        <v>1174</v>
      </c>
      <c r="C1171" s="2" t="s">
        <v>530</v>
      </c>
      <c r="D1171" s="2" t="s">
        <v>3304</v>
      </c>
      <c r="E1171" s="2" t="s">
        <v>3305</v>
      </c>
      <c r="F1171" s="2" t="s">
        <v>5800</v>
      </c>
      <c r="G1171" s="2" t="s">
        <v>5801</v>
      </c>
      <c r="H1171" s="2" t="s">
        <v>3311</v>
      </c>
      <c r="I1171" s="2" t="s">
        <v>5802</v>
      </c>
      <c r="J1171" s="2" t="s">
        <v>4833</v>
      </c>
      <c r="K1171" s="2" t="s">
        <v>297</v>
      </c>
      <c r="L1171" s="3">
        <v>10</v>
      </c>
      <c r="M1171" s="3">
        <v>10.5</v>
      </c>
      <c r="N1171" s="3">
        <v>24.99</v>
      </c>
      <c r="O1171" s="2" t="s">
        <v>245</v>
      </c>
      <c r="P1171" s="2" t="s">
        <v>311</v>
      </c>
      <c r="Q1171" s="2" t="s">
        <v>239</v>
      </c>
      <c r="R1171" s="2" t="s">
        <v>233</v>
      </c>
      <c r="S1171" s="2" t="s">
        <v>5803</v>
      </c>
      <c r="T1171" s="2" t="s">
        <v>233</v>
      </c>
      <c r="U1171" s="2" t="s">
        <v>233</v>
      </c>
      <c r="V1171" s="2" t="s">
        <v>1085</v>
      </c>
      <c r="W1171" s="2" t="s">
        <v>397</v>
      </c>
      <c r="X1171" s="2" t="s">
        <v>233</v>
      </c>
      <c r="Y1171" s="2" t="s">
        <v>276</v>
      </c>
      <c r="Z1171" s="4">
        <v>535</v>
      </c>
      <c r="AA1171" s="4">
        <f>=ROUNDDOWN(41.796875,0)</f>
      </c>
      <c r="AB1171" s="5">
        <v>12.8</v>
      </c>
      <c r="AC1171" s="2" t="s">
        <v>1341</v>
      </c>
      <c r="AD1171" s="4">
        <v>160</v>
      </c>
      <c r="AE1171" s="4">
        <v>160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233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 t="s">
        <v>233</v>
      </c>
      <c r="BD1171" s="8" t="s">
        <v>233</v>
      </c>
      <c r="BE1171" s="4" t="s">
        <v>233</v>
      </c>
      <c r="BF1171" s="8" t="s">
        <v>233</v>
      </c>
      <c r="BG1171" s="7" t="s">
        <v>233</v>
      </c>
      <c r="BH1171" s="7" t="s">
        <v>233</v>
      </c>
      <c r="BI1171" s="7"/>
      <c r="BJ1171" s="4">
        <v>46</v>
      </c>
      <c r="BK1171" s="8">
        <v>469.28</v>
      </c>
      <c r="BL1171" s="2" t="s">
        <v>5804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5805</v>
      </c>
      <c r="BV1171" s="2" t="s">
        <v>233</v>
      </c>
      <c r="BW1171" s="2" t="s">
        <v>233</v>
      </c>
      <c r="BX1171" s="2" t="s">
        <v>233</v>
      </c>
      <c r="BY1171" s="2" t="s">
        <v>280</v>
      </c>
      <c r="BZ1171" s="2" t="s">
        <v>245</v>
      </c>
      <c r="CA1171" s="2" t="s">
        <v>281</v>
      </c>
      <c r="CB1171" s="2" t="s">
        <v>1512</v>
      </c>
      <c r="CC1171" s="2" t="s">
        <v>246</v>
      </c>
      <c r="CD1171" s="2" t="s">
        <v>233</v>
      </c>
      <c r="CE1171" s="4">
        <v>535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>
        <v>160</v>
      </c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</row>
    <row r="1172">
      <c r="A1172" s="2" t="s">
        <v>5806</v>
      </c>
      <c r="B1172" s="2" t="s">
        <v>1242</v>
      </c>
      <c r="C1172" s="2" t="s">
        <v>530</v>
      </c>
      <c r="D1172" s="2" t="s">
        <v>969</v>
      </c>
      <c r="E1172" s="2" t="s">
        <v>1078</v>
      </c>
      <c r="F1172" s="2" t="s">
        <v>5800</v>
      </c>
      <c r="G1172" s="2" t="s">
        <v>3432</v>
      </c>
      <c r="H1172" s="2" t="s">
        <v>5807</v>
      </c>
      <c r="I1172" s="2" t="s">
        <v>5808</v>
      </c>
      <c r="J1172" s="2" t="s">
        <v>981</v>
      </c>
      <c r="K1172" s="2" t="s">
        <v>5809</v>
      </c>
      <c r="L1172" s="3">
        <v>47.61</v>
      </c>
      <c r="M1172" s="3">
        <v>49.99</v>
      </c>
      <c r="N1172" s="3">
        <v>99.99</v>
      </c>
      <c r="O1172" s="2" t="s">
        <v>245</v>
      </c>
      <c r="P1172" s="2" t="s">
        <v>238</v>
      </c>
      <c r="Q1172" s="2" t="s">
        <v>239</v>
      </c>
      <c r="R1172" s="2" t="s">
        <v>233</v>
      </c>
      <c r="S1172" s="2" t="s">
        <v>5810</v>
      </c>
      <c r="T1172" s="2" t="s">
        <v>233</v>
      </c>
      <c r="U1172" s="2" t="s">
        <v>342</v>
      </c>
      <c r="V1172" s="2" t="s">
        <v>1272</v>
      </c>
      <c r="W1172" s="2" t="s">
        <v>1056</v>
      </c>
      <c r="X1172" s="2" t="s">
        <v>977</v>
      </c>
      <c r="Y1172" s="2" t="s">
        <v>4929</v>
      </c>
      <c r="Z1172" s="4">
        <v>229</v>
      </c>
      <c r="AA1172" s="4">
        <f>=ROUNDDOWN(32.7142857142857,0)</f>
      </c>
      <c r="AB1172" s="5">
        <v>7</v>
      </c>
      <c r="AC1172" s="2" t="s">
        <v>233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233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233</v>
      </c>
      <c r="AW1172" s="8" t="s">
        <v>233</v>
      </c>
      <c r="AX1172" s="4" t="s">
        <v>233</v>
      </c>
      <c r="AY1172" s="8" t="s">
        <v>233</v>
      </c>
      <c r="AZ1172" s="7" t="s">
        <v>233</v>
      </c>
      <c r="BA1172" s="7" t="s">
        <v>233</v>
      </c>
      <c r="BB1172" s="7"/>
      <c r="BC1172" s="4" t="s">
        <v>233</v>
      </c>
      <c r="BD1172" s="8" t="s">
        <v>233</v>
      </c>
      <c r="BE1172" s="4" t="s">
        <v>233</v>
      </c>
      <c r="BF1172" s="8" t="s">
        <v>233</v>
      </c>
      <c r="BG1172" s="7" t="s">
        <v>233</v>
      </c>
      <c r="BH1172" s="7" t="s">
        <v>233</v>
      </c>
      <c r="BI1172" s="7"/>
      <c r="BJ1172" s="4">
        <v>9</v>
      </c>
      <c r="BK1172" s="8">
        <v>439.44</v>
      </c>
      <c r="BL1172" s="2" t="s">
        <v>3599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5811</v>
      </c>
      <c r="BV1172" s="2" t="s">
        <v>233</v>
      </c>
      <c r="BW1172" s="2" t="s">
        <v>233</v>
      </c>
      <c r="BX1172" s="2" t="s">
        <v>243</v>
      </c>
      <c r="BY1172" s="2" t="s">
        <v>280</v>
      </c>
      <c r="BZ1172" s="2" t="s">
        <v>245</v>
      </c>
      <c r="CA1172" s="2" t="s">
        <v>4324</v>
      </c>
      <c r="CB1172" s="2" t="s">
        <v>1187</v>
      </c>
      <c r="CC1172" s="2" t="s">
        <v>246</v>
      </c>
      <c r="CD1172" s="2" t="s">
        <v>233</v>
      </c>
      <c r="CE1172" s="4">
        <v>229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</row>
    <row r="1173">
      <c r="A1173" s="2" t="s">
        <v>5812</v>
      </c>
      <c r="B1173" s="2" t="s">
        <v>1242</v>
      </c>
      <c r="C1173" s="2" t="s">
        <v>530</v>
      </c>
      <c r="D1173" s="2" t="s">
        <v>912</v>
      </c>
      <c r="E1173" s="2" t="s">
        <v>1139</v>
      </c>
      <c r="F1173" s="2" t="s">
        <v>5800</v>
      </c>
      <c r="G1173" s="2" t="s">
        <v>3432</v>
      </c>
      <c r="H1173" s="2" t="s">
        <v>5807</v>
      </c>
      <c r="I1173" s="2" t="s">
        <v>5813</v>
      </c>
      <c r="J1173" s="2" t="s">
        <v>1142</v>
      </c>
      <c r="K1173" s="2" t="s">
        <v>5809</v>
      </c>
      <c r="L1173" s="3">
        <v>38.09</v>
      </c>
      <c r="M1173" s="3">
        <v>39.99</v>
      </c>
      <c r="N1173" s="3">
        <v>79.99</v>
      </c>
      <c r="O1173" s="2" t="s">
        <v>245</v>
      </c>
      <c r="P1173" s="2" t="s">
        <v>238</v>
      </c>
      <c r="Q1173" s="2" t="s">
        <v>239</v>
      </c>
      <c r="R1173" s="2" t="s">
        <v>233</v>
      </c>
      <c r="S1173" s="2" t="s">
        <v>5810</v>
      </c>
      <c r="T1173" s="2" t="s">
        <v>233</v>
      </c>
      <c r="U1173" s="2" t="s">
        <v>475</v>
      </c>
      <c r="V1173" s="2" t="s">
        <v>1272</v>
      </c>
      <c r="W1173" s="2" t="s">
        <v>1056</v>
      </c>
      <c r="X1173" s="2" t="s">
        <v>977</v>
      </c>
      <c r="Y1173" s="2" t="s">
        <v>2795</v>
      </c>
      <c r="Z1173" s="4">
        <v>50</v>
      </c>
      <c r="AA1173" s="4">
        <f>=ROUNDDOWN(25,0)</f>
      </c>
      <c r="AB1173" s="5">
        <v>2</v>
      </c>
      <c r="AC1173" s="2" t="s">
        <v>233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233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233</v>
      </c>
      <c r="AW1173" s="8" t="s">
        <v>233</v>
      </c>
      <c r="AX1173" s="4" t="s">
        <v>233</v>
      </c>
      <c r="AY1173" s="8" t="s">
        <v>233</v>
      </c>
      <c r="AZ1173" s="7" t="s">
        <v>233</v>
      </c>
      <c r="BA1173" s="7" t="s">
        <v>233</v>
      </c>
      <c r="BB1173" s="7"/>
      <c r="BC1173" s="4" t="s">
        <v>233</v>
      </c>
      <c r="BD1173" s="8" t="s">
        <v>233</v>
      </c>
      <c r="BE1173" s="4" t="s">
        <v>233</v>
      </c>
      <c r="BF1173" s="8" t="s">
        <v>233</v>
      </c>
      <c r="BG1173" s="7" t="s">
        <v>233</v>
      </c>
      <c r="BH1173" s="7" t="s">
        <v>233</v>
      </c>
      <c r="BI1173" s="7"/>
      <c r="BJ1173" s="4">
        <v>5</v>
      </c>
      <c r="BK1173" s="8">
        <v>203.55</v>
      </c>
      <c r="BL1173" s="2" t="s">
        <v>5814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5815</v>
      </c>
      <c r="BV1173" s="2" t="s">
        <v>233</v>
      </c>
      <c r="BW1173" s="2" t="s">
        <v>233</v>
      </c>
      <c r="BX1173" s="2" t="s">
        <v>243</v>
      </c>
      <c r="BY1173" s="2" t="s">
        <v>280</v>
      </c>
      <c r="BZ1173" s="2" t="s">
        <v>245</v>
      </c>
      <c r="CA1173" s="2" t="s">
        <v>1106</v>
      </c>
      <c r="CB1173" s="2" t="s">
        <v>2735</v>
      </c>
      <c r="CC1173" s="2" t="s">
        <v>246</v>
      </c>
      <c r="CD1173" s="2" t="s">
        <v>233</v>
      </c>
      <c r="CE1173" s="4">
        <v>50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</row>
    <row r="1174">
      <c r="A1174" s="2" t="s">
        <v>5816</v>
      </c>
      <c r="B1174" s="2" t="s">
        <v>1276</v>
      </c>
      <c r="C1174" s="2" t="s">
        <v>1277</v>
      </c>
      <c r="D1174" s="2" t="s">
        <v>1278</v>
      </c>
      <c r="E1174" s="2" t="s">
        <v>1279</v>
      </c>
      <c r="F1174" s="2" t="s">
        <v>5817</v>
      </c>
      <c r="G1174" s="2" t="s">
        <v>5817</v>
      </c>
      <c r="H1174" s="2" t="s">
        <v>5817</v>
      </c>
      <c r="I1174" s="2" t="s">
        <v>5818</v>
      </c>
      <c r="J1174" s="2" t="s">
        <v>892</v>
      </c>
      <c r="K1174" s="2" t="s">
        <v>5819</v>
      </c>
      <c r="L1174" s="3">
        <v>20.81</v>
      </c>
      <c r="M1174" s="3">
        <v>21.85</v>
      </c>
      <c r="N1174" s="3">
        <v>29.99</v>
      </c>
      <c r="O1174" s="2" t="s">
        <v>245</v>
      </c>
      <c r="P1174" s="2" t="s">
        <v>238</v>
      </c>
      <c r="Q1174" s="2" t="s">
        <v>239</v>
      </c>
      <c r="R1174" s="2" t="s">
        <v>233</v>
      </c>
      <c r="S1174" s="2" t="s">
        <v>233</v>
      </c>
      <c r="T1174" s="2" t="s">
        <v>233</v>
      </c>
      <c r="U1174" s="2" t="s">
        <v>396</v>
      </c>
      <c r="V1174" s="2" t="s">
        <v>893</v>
      </c>
      <c r="W1174" s="2" t="s">
        <v>275</v>
      </c>
      <c r="X1174" s="2" t="s">
        <v>233</v>
      </c>
      <c r="Y1174" s="2" t="s">
        <v>5820</v>
      </c>
      <c r="Z1174" s="4">
        <v>593</v>
      </c>
      <c r="AA1174" s="4">
        <f>=ROUNDDOWN(59.3,0)</f>
      </c>
      <c r="AB1174" s="5">
        <v>10</v>
      </c>
      <c r="AC1174" s="2" t="s">
        <v>233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233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/>
      <c r="BK1174" s="8"/>
      <c r="BL1174" s="2" t="s">
        <v>233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243</v>
      </c>
      <c r="BV1174" s="2" t="s">
        <v>233</v>
      </c>
      <c r="BW1174" s="2" t="s">
        <v>233</v>
      </c>
      <c r="BX1174" s="2" t="s">
        <v>243</v>
      </c>
      <c r="BY1174" s="2" t="s">
        <v>346</v>
      </c>
      <c r="BZ1174" s="2" t="s">
        <v>245</v>
      </c>
      <c r="CA1174" s="2" t="s">
        <v>233</v>
      </c>
      <c r="CB1174" s="2" t="s">
        <v>233</v>
      </c>
      <c r="CC1174" s="2" t="s">
        <v>246</v>
      </c>
      <c r="CD1174" s="2" t="s">
        <v>233</v>
      </c>
      <c r="CE1174" s="4"/>
      <c r="CF1174" s="4">
        <v>294</v>
      </c>
      <c r="CG1174" s="4"/>
      <c r="CH1174" s="4"/>
      <c r="CI1174" s="4">
        <v>299</v>
      </c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</row>
    <row r="1175">
      <c r="A1175" s="2" t="s">
        <v>5821</v>
      </c>
      <c r="B1175" s="2" t="s">
        <v>928</v>
      </c>
      <c r="C1175" s="2" t="s">
        <v>947</v>
      </c>
      <c r="D1175" s="2" t="s">
        <v>929</v>
      </c>
      <c r="E1175" s="2" t="s">
        <v>939</v>
      </c>
      <c r="F1175" s="2" t="s">
        <v>5822</v>
      </c>
      <c r="G1175" s="2" t="s">
        <v>5822</v>
      </c>
      <c r="H1175" s="2" t="s">
        <v>5822</v>
      </c>
      <c r="I1175" s="2" t="s">
        <v>5823</v>
      </c>
      <c r="J1175" s="2" t="s">
        <v>892</v>
      </c>
      <c r="K1175" s="2" t="s">
        <v>904</v>
      </c>
      <c r="L1175" s="3">
        <v>41.9</v>
      </c>
      <c r="M1175" s="3">
        <v>44</v>
      </c>
      <c r="N1175" s="3">
        <v>87.99</v>
      </c>
      <c r="O1175" s="2" t="s">
        <v>245</v>
      </c>
      <c r="P1175" s="2" t="s">
        <v>238</v>
      </c>
      <c r="Q1175" s="2" t="s">
        <v>239</v>
      </c>
      <c r="R1175" s="2" t="s">
        <v>233</v>
      </c>
      <c r="S1175" s="2" t="s">
        <v>233</v>
      </c>
      <c r="T1175" s="2" t="s">
        <v>233</v>
      </c>
      <c r="U1175" s="2" t="s">
        <v>475</v>
      </c>
      <c r="V1175" s="2" t="s">
        <v>5824</v>
      </c>
      <c r="W1175" s="2" t="s">
        <v>5825</v>
      </c>
      <c r="X1175" s="2" t="s">
        <v>776</v>
      </c>
      <c r="Y1175" s="2" t="s">
        <v>5826</v>
      </c>
      <c r="Z1175" s="4">
        <v>97</v>
      </c>
      <c r="AA1175" s="4">
        <f>=ROUNDDOWN(48.5,0)</f>
      </c>
      <c r="AB1175" s="5">
        <v>2</v>
      </c>
      <c r="AC1175" s="2" t="s">
        <v>233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233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>
        <v>2</v>
      </c>
      <c r="BK1175" s="8">
        <v>88</v>
      </c>
      <c r="BL1175" s="2" t="s">
        <v>744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5827</v>
      </c>
      <c r="BV1175" s="2" t="s">
        <v>233</v>
      </c>
      <c r="BW1175" s="2" t="s">
        <v>233</v>
      </c>
      <c r="BX1175" s="2" t="s">
        <v>243</v>
      </c>
      <c r="BY1175" s="2" t="s">
        <v>280</v>
      </c>
      <c r="BZ1175" s="2" t="s">
        <v>245</v>
      </c>
      <c r="CA1175" s="2" t="s">
        <v>2845</v>
      </c>
      <c r="CB1175" s="2" t="s">
        <v>233</v>
      </c>
      <c r="CC1175" s="2" t="s">
        <v>246</v>
      </c>
      <c r="CD1175" s="2" t="s">
        <v>233</v>
      </c>
      <c r="CE1175" s="4"/>
      <c r="CF1175" s="4">
        <v>97</v>
      </c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</row>
    <row r="1176">
      <c r="A1176" s="2" t="s">
        <v>5828</v>
      </c>
      <c r="B1176" s="2" t="s">
        <v>928</v>
      </c>
      <c r="C1176" s="2" t="s">
        <v>947</v>
      </c>
      <c r="D1176" s="2" t="s">
        <v>929</v>
      </c>
      <c r="E1176" s="2" t="s">
        <v>930</v>
      </c>
      <c r="F1176" s="2" t="s">
        <v>5829</v>
      </c>
      <c r="G1176" s="2" t="s">
        <v>5829</v>
      </c>
      <c r="H1176" s="2" t="s">
        <v>5829</v>
      </c>
      <c r="I1176" s="2" t="s">
        <v>5830</v>
      </c>
      <c r="J1176" s="2" t="s">
        <v>892</v>
      </c>
      <c r="K1176" s="2" t="s">
        <v>904</v>
      </c>
      <c r="L1176" s="3">
        <v>25.71</v>
      </c>
      <c r="M1176" s="3">
        <v>27</v>
      </c>
      <c r="N1176" s="3">
        <v>59.99</v>
      </c>
      <c r="O1176" s="2" t="s">
        <v>245</v>
      </c>
      <c r="P1176" s="2" t="s">
        <v>238</v>
      </c>
      <c r="Q1176" s="2" t="s">
        <v>239</v>
      </c>
      <c r="R1176" s="2" t="s">
        <v>233</v>
      </c>
      <c r="S1176" s="2" t="s">
        <v>233</v>
      </c>
      <c r="T1176" s="2" t="s">
        <v>233</v>
      </c>
      <c r="U1176" s="2" t="s">
        <v>475</v>
      </c>
      <c r="V1176" s="2" t="s">
        <v>5824</v>
      </c>
      <c r="W1176" s="2" t="s">
        <v>5825</v>
      </c>
      <c r="X1176" s="2" t="s">
        <v>776</v>
      </c>
      <c r="Y1176" s="2" t="s">
        <v>5826</v>
      </c>
      <c r="Z1176" s="4">
        <v>100</v>
      </c>
      <c r="AA1176" s="4">
        <f>=ROUNDDOWN({0},0)</f>
      </c>
      <c r="AB1176" s="5"/>
      <c r="AC1176" s="2" t="s">
        <v>233</v>
      </c>
      <c r="AD1176" s="4"/>
      <c r="AE1176" s="4"/>
      <c r="AF1176" s="6">
        <v>63</v>
      </c>
      <c r="AG1176" s="6"/>
      <c r="AH1176" s="7">
        <v>1</v>
      </c>
      <c r="AI1176" s="4"/>
      <c r="AJ1176" s="4">
        <f>=ROUNDDOWN({0},0)</f>
      </c>
      <c r="AK1176" s="5"/>
      <c r="AL1176" s="2" t="s">
        <v>233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/>
      <c r="BK1176" s="8"/>
      <c r="BL1176" s="2" t="s">
        <v>233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5831</v>
      </c>
      <c r="BV1176" s="2" t="s">
        <v>233</v>
      </c>
      <c r="BW1176" s="2" t="s">
        <v>233</v>
      </c>
      <c r="BX1176" s="2" t="s">
        <v>243</v>
      </c>
      <c r="BY1176" s="2" t="s">
        <v>280</v>
      </c>
      <c r="BZ1176" s="2" t="s">
        <v>245</v>
      </c>
      <c r="CA1176" s="2" t="s">
        <v>2845</v>
      </c>
      <c r="CB1176" s="2" t="s">
        <v>233</v>
      </c>
      <c r="CC1176" s="2" t="s">
        <v>246</v>
      </c>
      <c r="CD1176" s="2" t="s">
        <v>233</v>
      </c>
      <c r="CE1176" s="4"/>
      <c r="CF1176" s="4">
        <v>100</v>
      </c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</row>
    <row r="1177">
      <c r="A1177" s="2" t="s">
        <v>5832</v>
      </c>
      <c r="B1177" s="2" t="s">
        <v>886</v>
      </c>
      <c r="C1177" s="2" t="s">
        <v>947</v>
      </c>
      <c r="D1177" s="2" t="s">
        <v>1167</v>
      </c>
      <c r="E1177" s="2" t="s">
        <v>1168</v>
      </c>
      <c r="F1177" s="2" t="s">
        <v>5833</v>
      </c>
      <c r="G1177" s="2" t="s">
        <v>5833</v>
      </c>
      <c r="H1177" s="2" t="s">
        <v>5833</v>
      </c>
      <c r="I1177" s="2" t="s">
        <v>5834</v>
      </c>
      <c r="J1177" s="2" t="s">
        <v>892</v>
      </c>
      <c r="K1177" s="2" t="s">
        <v>255</v>
      </c>
      <c r="L1177" s="3">
        <v>41.94</v>
      </c>
      <c r="M1177" s="3">
        <v>44.04</v>
      </c>
      <c r="N1177" s="3">
        <v>89.99</v>
      </c>
      <c r="O1177" s="2" t="s">
        <v>245</v>
      </c>
      <c r="P1177" s="2" t="s">
        <v>763</v>
      </c>
      <c r="Q1177" s="2" t="s">
        <v>239</v>
      </c>
      <c r="R1177" s="2" t="s">
        <v>233</v>
      </c>
      <c r="S1177" s="2" t="s">
        <v>233</v>
      </c>
      <c r="T1177" s="2" t="s">
        <v>233</v>
      </c>
      <c r="U1177" s="2" t="s">
        <v>396</v>
      </c>
      <c r="V1177" s="2" t="s">
        <v>893</v>
      </c>
      <c r="W1177" s="2" t="s">
        <v>397</v>
      </c>
      <c r="X1177" s="2" t="s">
        <v>1664</v>
      </c>
      <c r="Y1177" s="2" t="s">
        <v>5835</v>
      </c>
      <c r="Z1177" s="4">
        <v>82</v>
      </c>
      <c r="AA1177" s="4">
        <f>=ROUNDDOWN(13.6666666666667,0)</f>
      </c>
      <c r="AB1177" s="5">
        <v>6</v>
      </c>
      <c r="AC1177" s="2" t="s">
        <v>2183</v>
      </c>
      <c r="AD1177" s="4">
        <v>130</v>
      </c>
      <c r="AE1177" s="4">
        <v>130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233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>
        <v>19</v>
      </c>
      <c r="BK1177" s="8">
        <v>827.16</v>
      </c>
      <c r="BL1177" s="2" t="s">
        <v>5836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5837</v>
      </c>
      <c r="BV1177" s="2" t="s">
        <v>233</v>
      </c>
      <c r="BW1177" s="2" t="s">
        <v>233</v>
      </c>
      <c r="BX1177" s="2" t="s">
        <v>233</v>
      </c>
      <c r="BY1177" s="2" t="s">
        <v>280</v>
      </c>
      <c r="BZ1177" s="2" t="s">
        <v>245</v>
      </c>
      <c r="CA1177" s="2" t="s">
        <v>3505</v>
      </c>
      <c r="CB1177" s="2" t="s">
        <v>2026</v>
      </c>
      <c r="CC1177" s="2" t="s">
        <v>246</v>
      </c>
      <c r="CD1177" s="2" t="s">
        <v>233</v>
      </c>
      <c r="CE1177" s="4"/>
      <c r="CF1177" s="4">
        <v>82</v>
      </c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>
        <v>130</v>
      </c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</row>
    <row r="1178">
      <c r="A1178" s="2" t="s">
        <v>5838</v>
      </c>
      <c r="B1178" s="2" t="s">
        <v>910</v>
      </c>
      <c r="C1178" s="2" t="s">
        <v>1266</v>
      </c>
      <c r="D1178" s="2" t="s">
        <v>912</v>
      </c>
      <c r="E1178" s="2" t="s">
        <v>913</v>
      </c>
      <c r="F1178" s="2" t="s">
        <v>5839</v>
      </c>
      <c r="G1178" s="2" t="s">
        <v>5840</v>
      </c>
      <c r="H1178" s="2" t="s">
        <v>5841</v>
      </c>
      <c r="I1178" s="2" t="s">
        <v>5842</v>
      </c>
      <c r="J1178" s="2" t="s">
        <v>981</v>
      </c>
      <c r="K1178" s="2" t="s">
        <v>1083</v>
      </c>
      <c r="L1178" s="3">
        <v>33.6</v>
      </c>
      <c r="M1178" s="3">
        <v>35.28</v>
      </c>
      <c r="N1178" s="3">
        <v>69.99</v>
      </c>
      <c r="O1178" s="2" t="s">
        <v>245</v>
      </c>
      <c r="P1178" s="2" t="s">
        <v>272</v>
      </c>
      <c r="Q1178" s="2" t="s">
        <v>239</v>
      </c>
      <c r="R1178" s="2" t="s">
        <v>233</v>
      </c>
      <c r="S1178" s="2" t="s">
        <v>5843</v>
      </c>
      <c r="T1178" s="2" t="s">
        <v>395</v>
      </c>
      <c r="U1178" s="2" t="s">
        <v>342</v>
      </c>
      <c r="V1178" s="2" t="s">
        <v>921</v>
      </c>
      <c r="W1178" s="2" t="s">
        <v>397</v>
      </c>
      <c r="X1178" s="2" t="s">
        <v>275</v>
      </c>
      <c r="Y1178" s="2" t="s">
        <v>5844</v>
      </c>
      <c r="Z1178" s="4"/>
      <c r="AA1178" s="4">
        <f>=ROUNDDOWN({0},0)</f>
      </c>
      <c r="AB1178" s="5">
        <v>5</v>
      </c>
      <c r="AC1178" s="2" t="s">
        <v>3255</v>
      </c>
      <c r="AD1178" s="4">
        <v>50</v>
      </c>
      <c r="AE1178" s="4">
        <v>130</v>
      </c>
      <c r="AF1178" s="6">
        <v>65</v>
      </c>
      <c r="AG1178" s="6"/>
      <c r="AH1178" s="7">
        <v>0.3226</v>
      </c>
      <c r="AI1178" s="4"/>
      <c r="AJ1178" s="4">
        <f>=ROUNDDOWN({0},0)</f>
      </c>
      <c r="AK1178" s="5"/>
      <c r="AL1178" s="2" t="s">
        <v>233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>
        <v>16</v>
      </c>
      <c r="BK1178" s="8">
        <v>616.64</v>
      </c>
      <c r="BL1178" s="2" t="s">
        <v>5845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5846</v>
      </c>
      <c r="BV1178" s="2" t="s">
        <v>233</v>
      </c>
      <c r="BW1178" s="2" t="s">
        <v>233</v>
      </c>
      <c r="BX1178" s="2" t="s">
        <v>233</v>
      </c>
      <c r="BY1178" s="2" t="s">
        <v>280</v>
      </c>
      <c r="BZ1178" s="2" t="s">
        <v>245</v>
      </c>
      <c r="CA1178" s="2" t="s">
        <v>5844</v>
      </c>
      <c r="CB1178" s="2" t="s">
        <v>4524</v>
      </c>
      <c r="CC1178" s="2" t="s">
        <v>246</v>
      </c>
      <c r="CD1178" s="2" t="s">
        <v>233</v>
      </c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>
        <v>50</v>
      </c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>
        <v>80</v>
      </c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</row>
    <row r="1179">
      <c r="A1179" s="2" t="s">
        <v>5847</v>
      </c>
      <c r="B1179" s="2" t="s">
        <v>928</v>
      </c>
      <c r="C1179" s="2" t="s">
        <v>530</v>
      </c>
      <c r="D1179" s="2" t="s">
        <v>961</v>
      </c>
      <c r="E1179" s="2" t="s">
        <v>939</v>
      </c>
      <c r="F1179" s="2" t="s">
        <v>5848</v>
      </c>
      <c r="G1179" s="2" t="s">
        <v>233</v>
      </c>
      <c r="H1179" s="2" t="s">
        <v>233</v>
      </c>
      <c r="I1179" s="2" t="s">
        <v>5849</v>
      </c>
      <c r="J1179" s="2" t="s">
        <v>892</v>
      </c>
      <c r="K1179" s="2" t="s">
        <v>1105</v>
      </c>
      <c r="L1179" s="3">
        <v>26.97</v>
      </c>
      <c r="M1179" s="3">
        <v>28.32</v>
      </c>
      <c r="N1179" s="3">
        <v>59.99</v>
      </c>
      <c r="O1179" s="2" t="s">
        <v>252</v>
      </c>
      <c r="P1179" s="2" t="s">
        <v>311</v>
      </c>
      <c r="Q1179" s="2" t="s">
        <v>239</v>
      </c>
      <c r="R1179" s="2" t="s">
        <v>233</v>
      </c>
      <c r="S1179" s="2" t="s">
        <v>5850</v>
      </c>
      <c r="T1179" s="2" t="s">
        <v>233</v>
      </c>
      <c r="U1179" s="2" t="s">
        <v>342</v>
      </c>
      <c r="V1179" s="2" t="s">
        <v>379</v>
      </c>
      <c r="W1179" s="2" t="s">
        <v>451</v>
      </c>
      <c r="X1179" s="2" t="s">
        <v>233</v>
      </c>
      <c r="Y1179" s="2" t="s">
        <v>276</v>
      </c>
      <c r="Z1179" s="4">
        <v>12</v>
      </c>
      <c r="AA1179" s="4">
        <f>=ROUNDDOWN(13.3333333333333,0)</f>
      </c>
      <c r="AB1179" s="5">
        <v>0.9</v>
      </c>
      <c r="AC1179" s="2" t="s">
        <v>233</v>
      </c>
      <c r="AD1179" s="4"/>
      <c r="AE1179" s="4"/>
      <c r="AF1179" s="6">
        <v>63</v>
      </c>
      <c r="AG1179" s="6"/>
      <c r="AH1179" s="7">
        <v>0.1935</v>
      </c>
      <c r="AI1179" s="4"/>
      <c r="AJ1179" s="4">
        <f>=ROUNDDOWN({0},0)</f>
      </c>
      <c r="AK1179" s="5"/>
      <c r="AL1179" s="2" t="s">
        <v>233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/>
      <c r="BK1179" s="8"/>
      <c r="BL1179" s="2" t="s">
        <v>233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5851</v>
      </c>
      <c r="BV1179" s="2" t="s">
        <v>233</v>
      </c>
      <c r="BW1179" s="2" t="s">
        <v>233</v>
      </c>
      <c r="BX1179" s="2" t="s">
        <v>243</v>
      </c>
      <c r="BY1179" s="2" t="s">
        <v>280</v>
      </c>
      <c r="BZ1179" s="2" t="s">
        <v>245</v>
      </c>
      <c r="CA1179" s="2" t="s">
        <v>287</v>
      </c>
      <c r="CB1179" s="2" t="s">
        <v>1318</v>
      </c>
      <c r="CC1179" s="2" t="s">
        <v>246</v>
      </c>
      <c r="CD1179" s="2" t="s">
        <v>233</v>
      </c>
      <c r="CE1179" s="4"/>
      <c r="CF1179" s="4">
        <v>12</v>
      </c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</row>
    <row r="1180">
      <c r="A1180" s="2" t="s">
        <v>5852</v>
      </c>
      <c r="B1180" s="2" t="s">
        <v>1066</v>
      </c>
      <c r="C1180" s="2" t="s">
        <v>1321</v>
      </c>
      <c r="D1180" s="2" t="s">
        <v>5853</v>
      </c>
      <c r="E1180" s="2" t="s">
        <v>5854</v>
      </c>
      <c r="F1180" s="2" t="s">
        <v>5855</v>
      </c>
      <c r="G1180" s="2" t="s">
        <v>233</v>
      </c>
      <c r="H1180" s="2" t="s">
        <v>233</v>
      </c>
      <c r="I1180" s="2" t="s">
        <v>5856</v>
      </c>
      <c r="J1180" s="2" t="s">
        <v>892</v>
      </c>
      <c r="K1180" s="2" t="s">
        <v>255</v>
      </c>
      <c r="L1180" s="3">
        <v>213.75</v>
      </c>
      <c r="M1180" s="3">
        <v>225</v>
      </c>
      <c r="N1180" s="3">
        <v>449</v>
      </c>
      <c r="O1180" s="2" t="s">
        <v>252</v>
      </c>
      <c r="P1180" s="2" t="s">
        <v>311</v>
      </c>
      <c r="Q1180" s="2" t="s">
        <v>239</v>
      </c>
      <c r="R1180" s="2" t="s">
        <v>233</v>
      </c>
      <c r="S1180" s="2" t="s">
        <v>5857</v>
      </c>
      <c r="T1180" s="2" t="s">
        <v>233</v>
      </c>
      <c r="U1180" s="2" t="s">
        <v>233</v>
      </c>
      <c r="V1180" s="2" t="s">
        <v>241</v>
      </c>
      <c r="W1180" s="2" t="s">
        <v>451</v>
      </c>
      <c r="X1180" s="2" t="s">
        <v>233</v>
      </c>
      <c r="Y1180" s="2" t="s">
        <v>5858</v>
      </c>
      <c r="Z1180" s="4">
        <v>41</v>
      </c>
      <c r="AA1180" s="4">
        <f>=ROUNDDOWN({0},0)</f>
      </c>
      <c r="AB1180" s="5"/>
      <c r="AC1180" s="2" t="s">
        <v>233</v>
      </c>
      <c r="AD1180" s="4"/>
      <c r="AE1180" s="4"/>
      <c r="AF1180" s="6">
        <v>75</v>
      </c>
      <c r="AG1180" s="6"/>
      <c r="AH1180" s="7">
        <v>1</v>
      </c>
      <c r="AI1180" s="4"/>
      <c r="AJ1180" s="4">
        <f>=ROUNDDOWN({0},0)</f>
      </c>
      <c r="AK1180" s="5"/>
      <c r="AL1180" s="2" t="s">
        <v>233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/>
      <c r="BK1180" s="8"/>
      <c r="BL1180" s="2" t="s">
        <v>5859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5860</v>
      </c>
      <c r="BV1180" s="2" t="s">
        <v>233</v>
      </c>
      <c r="BW1180" s="2" t="s">
        <v>233</v>
      </c>
      <c r="BX1180" s="2" t="s">
        <v>233</v>
      </c>
      <c r="BY1180" s="2" t="s">
        <v>280</v>
      </c>
      <c r="BZ1180" s="2" t="s">
        <v>245</v>
      </c>
      <c r="CA1180" s="2" t="s">
        <v>433</v>
      </c>
      <c r="CB1180" s="2" t="s">
        <v>5861</v>
      </c>
      <c r="CC1180" s="2" t="s">
        <v>246</v>
      </c>
      <c r="CD1180" s="2" t="s">
        <v>233</v>
      </c>
      <c r="CE1180" s="4"/>
      <c r="CF1180" s="4">
        <v>41</v>
      </c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</row>
    <row r="1181">
      <c r="A1181" s="2" t="s">
        <v>5862</v>
      </c>
      <c r="B1181" s="2" t="s">
        <v>1414</v>
      </c>
      <c r="C1181" s="2" t="s">
        <v>530</v>
      </c>
      <c r="D1181" s="2" t="s">
        <v>1414</v>
      </c>
      <c r="E1181" s="2" t="s">
        <v>1414</v>
      </c>
      <c r="F1181" s="2" t="s">
        <v>5863</v>
      </c>
      <c r="G1181" s="2" t="s">
        <v>5864</v>
      </c>
      <c r="H1181" s="2" t="s">
        <v>5865</v>
      </c>
      <c r="I1181" s="2" t="s">
        <v>5866</v>
      </c>
      <c r="J1181" s="2" t="s">
        <v>1418</v>
      </c>
      <c r="K1181" s="2" t="s">
        <v>271</v>
      </c>
      <c r="L1181" s="3">
        <v>60.49</v>
      </c>
      <c r="M1181" s="3">
        <v>63.51</v>
      </c>
      <c r="N1181" s="3">
        <v>134.99</v>
      </c>
      <c r="O1181" s="2" t="s">
        <v>245</v>
      </c>
      <c r="P1181" s="2" t="s">
        <v>311</v>
      </c>
      <c r="Q1181" s="2" t="s">
        <v>239</v>
      </c>
      <c r="R1181" s="2" t="s">
        <v>233</v>
      </c>
      <c r="S1181" s="2" t="s">
        <v>233</v>
      </c>
      <c r="T1181" s="2" t="s">
        <v>233</v>
      </c>
      <c r="U1181" s="2" t="s">
        <v>396</v>
      </c>
      <c r="V1181" s="2" t="s">
        <v>921</v>
      </c>
      <c r="W1181" s="2" t="s">
        <v>451</v>
      </c>
      <c r="X1181" s="2" t="s">
        <v>233</v>
      </c>
      <c r="Y1181" s="2" t="s">
        <v>5867</v>
      </c>
      <c r="Z1181" s="4">
        <v>320</v>
      </c>
      <c r="AA1181" s="4">
        <f>=ROUNDDOWN(213.333333333333,0)</f>
      </c>
      <c r="AB1181" s="5">
        <v>1.5</v>
      </c>
      <c r="AC1181" s="2" t="s">
        <v>233</v>
      </c>
      <c r="AD1181" s="4"/>
      <c r="AE1181" s="4"/>
      <c r="AF1181" s="6">
        <v>63</v>
      </c>
      <c r="AG1181" s="6"/>
      <c r="AH1181" s="7">
        <v>1</v>
      </c>
      <c r="AI1181" s="4"/>
      <c r="AJ1181" s="4">
        <f>=ROUNDDOWN({0},0)</f>
      </c>
      <c r="AK1181" s="5"/>
      <c r="AL1181" s="2" t="s">
        <v>233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233</v>
      </c>
      <c r="AW1181" s="8" t="s">
        <v>233</v>
      </c>
      <c r="AX1181" s="4" t="s">
        <v>233</v>
      </c>
      <c r="AY1181" s="8" t="s">
        <v>233</v>
      </c>
      <c r="AZ1181" s="7" t="s">
        <v>233</v>
      </c>
      <c r="BA1181" s="7" t="s">
        <v>233</v>
      </c>
      <c r="BB1181" s="7"/>
      <c r="BC1181" s="4" t="s">
        <v>233</v>
      </c>
      <c r="BD1181" s="8" t="s">
        <v>233</v>
      </c>
      <c r="BE1181" s="4" t="s">
        <v>233</v>
      </c>
      <c r="BF1181" s="8" t="s">
        <v>233</v>
      </c>
      <c r="BG1181" s="7" t="s">
        <v>233</v>
      </c>
      <c r="BH1181" s="7" t="s">
        <v>233</v>
      </c>
      <c r="BI1181" s="7"/>
      <c r="BJ1181" s="4">
        <v>4</v>
      </c>
      <c r="BK1181" s="8">
        <v>301.72</v>
      </c>
      <c r="BL1181" s="2" t="s">
        <v>5868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5869</v>
      </c>
      <c r="BV1181" s="2" t="s">
        <v>233</v>
      </c>
      <c r="BW1181" s="2" t="s">
        <v>233</v>
      </c>
      <c r="BX1181" s="2" t="s">
        <v>233</v>
      </c>
      <c r="BY1181" s="2" t="s">
        <v>280</v>
      </c>
      <c r="BZ1181" s="2" t="s">
        <v>245</v>
      </c>
      <c r="CA1181" s="2" t="s">
        <v>1429</v>
      </c>
      <c r="CB1181" s="2" t="s">
        <v>4222</v>
      </c>
      <c r="CC1181" s="2" t="s">
        <v>246</v>
      </c>
      <c r="CD1181" s="2" t="s">
        <v>233</v>
      </c>
      <c r="CE1181" s="4"/>
      <c r="CF1181" s="4">
        <v>320</v>
      </c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</row>
    <row r="1182">
      <c r="A1182" s="2" t="s">
        <v>5870</v>
      </c>
      <c r="B1182" s="2" t="s">
        <v>1414</v>
      </c>
      <c r="C1182" s="2" t="s">
        <v>530</v>
      </c>
      <c r="D1182" s="2" t="s">
        <v>1414</v>
      </c>
      <c r="E1182" s="2" t="s">
        <v>1414</v>
      </c>
      <c r="F1182" s="2" t="s">
        <v>5863</v>
      </c>
      <c r="G1182" s="2" t="s">
        <v>5864</v>
      </c>
      <c r="H1182" s="2" t="s">
        <v>5865</v>
      </c>
      <c r="I1182" s="2" t="s">
        <v>5866</v>
      </c>
      <c r="J1182" s="2" t="s">
        <v>1426</v>
      </c>
      <c r="K1182" s="2" t="s">
        <v>271</v>
      </c>
      <c r="L1182" s="3">
        <v>94.67</v>
      </c>
      <c r="M1182" s="3">
        <v>99.4</v>
      </c>
      <c r="N1182" s="3">
        <v>214.99</v>
      </c>
      <c r="O1182" s="2" t="s">
        <v>245</v>
      </c>
      <c r="P1182" s="2" t="s">
        <v>311</v>
      </c>
      <c r="Q1182" s="2" t="s">
        <v>239</v>
      </c>
      <c r="R1182" s="2" t="s">
        <v>233</v>
      </c>
      <c r="S1182" s="2" t="s">
        <v>233</v>
      </c>
      <c r="T1182" s="2" t="s">
        <v>233</v>
      </c>
      <c r="U1182" s="2" t="s">
        <v>396</v>
      </c>
      <c r="V1182" s="2" t="s">
        <v>921</v>
      </c>
      <c r="W1182" s="2" t="s">
        <v>451</v>
      </c>
      <c r="X1182" s="2" t="s">
        <v>233</v>
      </c>
      <c r="Y1182" s="2" t="s">
        <v>5867</v>
      </c>
      <c r="Z1182" s="4">
        <v>60</v>
      </c>
      <c r="AA1182" s="4">
        <f>=ROUNDDOWN(85.7142857142857,0)</f>
      </c>
      <c r="AB1182" s="5">
        <v>0.7</v>
      </c>
      <c r="AC1182" s="2" t="s">
        <v>233</v>
      </c>
      <c r="AD1182" s="4"/>
      <c r="AE1182" s="4"/>
      <c r="AF1182" s="6">
        <v>63</v>
      </c>
      <c r="AG1182" s="6"/>
      <c r="AH1182" s="7">
        <v>1</v>
      </c>
      <c r="AI1182" s="4"/>
      <c r="AJ1182" s="4">
        <f>=ROUNDDOWN({0},0)</f>
      </c>
      <c r="AK1182" s="5"/>
      <c r="AL1182" s="2" t="s">
        <v>233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233</v>
      </c>
      <c r="AW1182" s="8" t="s">
        <v>233</v>
      </c>
      <c r="AX1182" s="4" t="s">
        <v>233</v>
      </c>
      <c r="AY1182" s="8" t="s">
        <v>233</v>
      </c>
      <c r="AZ1182" s="7" t="s">
        <v>233</v>
      </c>
      <c r="BA1182" s="7" t="s">
        <v>233</v>
      </c>
      <c r="BB1182" s="7"/>
      <c r="BC1182" s="4" t="s">
        <v>233</v>
      </c>
      <c r="BD1182" s="8" t="s">
        <v>233</v>
      </c>
      <c r="BE1182" s="4" t="s">
        <v>233</v>
      </c>
      <c r="BF1182" s="8" t="s">
        <v>233</v>
      </c>
      <c r="BG1182" s="7" t="s">
        <v>233</v>
      </c>
      <c r="BH1182" s="7" t="s">
        <v>233</v>
      </c>
      <c r="BI1182" s="7"/>
      <c r="BJ1182" s="4">
        <v>2</v>
      </c>
      <c r="BK1182" s="8">
        <v>104.38</v>
      </c>
      <c r="BL1182" s="2" t="s">
        <v>3076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5871</v>
      </c>
      <c r="BV1182" s="2" t="s">
        <v>233</v>
      </c>
      <c r="BW1182" s="2" t="s">
        <v>233</v>
      </c>
      <c r="BX1182" s="2" t="s">
        <v>233</v>
      </c>
      <c r="BY1182" s="2" t="s">
        <v>280</v>
      </c>
      <c r="BZ1182" s="2" t="s">
        <v>245</v>
      </c>
      <c r="CA1182" s="2" t="s">
        <v>1429</v>
      </c>
      <c r="CB1182" s="2" t="s">
        <v>5835</v>
      </c>
      <c r="CC1182" s="2" t="s">
        <v>246</v>
      </c>
      <c r="CD1182" s="2" t="s">
        <v>233</v>
      </c>
      <c r="CE1182" s="4"/>
      <c r="CF1182" s="4">
        <v>60</v>
      </c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</row>
    <row r="1183">
      <c r="A1183" s="2" t="s">
        <v>5872</v>
      </c>
      <c r="B1183" s="2" t="s">
        <v>1414</v>
      </c>
      <c r="C1183" s="2" t="s">
        <v>530</v>
      </c>
      <c r="D1183" s="2" t="s">
        <v>1414</v>
      </c>
      <c r="E1183" s="2" t="s">
        <v>1414</v>
      </c>
      <c r="F1183" s="2" t="s">
        <v>5863</v>
      </c>
      <c r="G1183" s="2" t="s">
        <v>5864</v>
      </c>
      <c r="H1183" s="2" t="s">
        <v>5865</v>
      </c>
      <c r="I1183" s="2" t="s">
        <v>5866</v>
      </c>
      <c r="J1183" s="2" t="s">
        <v>1808</v>
      </c>
      <c r="K1183" s="2" t="s">
        <v>271</v>
      </c>
      <c r="L1183" s="3">
        <v>130.14</v>
      </c>
      <c r="M1183" s="3">
        <v>136.65</v>
      </c>
      <c r="N1183" s="3">
        <v>289.99</v>
      </c>
      <c r="O1183" s="2" t="s">
        <v>245</v>
      </c>
      <c r="P1183" s="2" t="s">
        <v>311</v>
      </c>
      <c r="Q1183" s="2" t="s">
        <v>239</v>
      </c>
      <c r="R1183" s="2" t="s">
        <v>233</v>
      </c>
      <c r="S1183" s="2" t="s">
        <v>233</v>
      </c>
      <c r="T1183" s="2" t="s">
        <v>233</v>
      </c>
      <c r="U1183" s="2" t="s">
        <v>396</v>
      </c>
      <c r="V1183" s="2" t="s">
        <v>921</v>
      </c>
      <c r="W1183" s="2" t="s">
        <v>451</v>
      </c>
      <c r="X1183" s="2" t="s">
        <v>233</v>
      </c>
      <c r="Y1183" s="2" t="s">
        <v>5867</v>
      </c>
      <c r="Z1183" s="4">
        <v>166</v>
      </c>
      <c r="AA1183" s="4">
        <f>=ROUNDDOWN(75.4545454545455,0)</f>
      </c>
      <c r="AB1183" s="5">
        <v>2.2</v>
      </c>
      <c r="AC1183" s="2" t="s">
        <v>233</v>
      </c>
      <c r="AD1183" s="4"/>
      <c r="AE1183" s="4"/>
      <c r="AF1183" s="6">
        <v>63</v>
      </c>
      <c r="AG1183" s="6"/>
      <c r="AH1183" s="7">
        <v>1</v>
      </c>
      <c r="AI1183" s="4"/>
      <c r="AJ1183" s="4">
        <f>=ROUNDDOWN({0},0)</f>
      </c>
      <c r="AK1183" s="5"/>
      <c r="AL1183" s="2" t="s">
        <v>233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233</v>
      </c>
      <c r="AW1183" s="8" t="s">
        <v>233</v>
      </c>
      <c r="AX1183" s="4" t="s">
        <v>233</v>
      </c>
      <c r="AY1183" s="8" t="s">
        <v>233</v>
      </c>
      <c r="AZ1183" s="7" t="s">
        <v>233</v>
      </c>
      <c r="BA1183" s="7" t="s">
        <v>233</v>
      </c>
      <c r="BB1183" s="7"/>
      <c r="BC1183" s="4" t="s">
        <v>233</v>
      </c>
      <c r="BD1183" s="8" t="s">
        <v>233</v>
      </c>
      <c r="BE1183" s="4" t="s">
        <v>233</v>
      </c>
      <c r="BF1183" s="8" t="s">
        <v>233</v>
      </c>
      <c r="BG1183" s="7" t="s">
        <v>233</v>
      </c>
      <c r="BH1183" s="7" t="s">
        <v>233</v>
      </c>
      <c r="BI1183" s="7"/>
      <c r="BJ1183" s="4">
        <v>10</v>
      </c>
      <c r="BK1183" s="8">
        <v>971.55</v>
      </c>
      <c r="BL1183" s="2" t="s">
        <v>5873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5874</v>
      </c>
      <c r="BV1183" s="2" t="s">
        <v>233</v>
      </c>
      <c r="BW1183" s="2" t="s">
        <v>233</v>
      </c>
      <c r="BX1183" s="2" t="s">
        <v>233</v>
      </c>
      <c r="BY1183" s="2" t="s">
        <v>280</v>
      </c>
      <c r="BZ1183" s="2" t="s">
        <v>245</v>
      </c>
      <c r="CA1183" s="2" t="s">
        <v>1429</v>
      </c>
      <c r="CB1183" s="2" t="s">
        <v>2208</v>
      </c>
      <c r="CC1183" s="2" t="s">
        <v>246</v>
      </c>
      <c r="CD1183" s="2" t="s">
        <v>233</v>
      </c>
      <c r="CE1183" s="4"/>
      <c r="CF1183" s="4">
        <v>166</v>
      </c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</row>
    <row r="1184">
      <c r="A1184" s="2" t="s">
        <v>5875</v>
      </c>
      <c r="B1184" s="2" t="s">
        <v>910</v>
      </c>
      <c r="C1184" s="2" t="s">
        <v>5876</v>
      </c>
      <c r="D1184" s="2" t="s">
        <v>969</v>
      </c>
      <c r="E1184" s="2" t="s">
        <v>1078</v>
      </c>
      <c r="F1184" s="2" t="s">
        <v>5877</v>
      </c>
      <c r="G1184" s="2" t="s">
        <v>5878</v>
      </c>
      <c r="H1184" s="2" t="s">
        <v>5879</v>
      </c>
      <c r="I1184" s="2" t="s">
        <v>5880</v>
      </c>
      <c r="J1184" s="2" t="s">
        <v>270</v>
      </c>
      <c r="K1184" s="2" t="s">
        <v>5881</v>
      </c>
      <c r="L1184" s="3">
        <v>42.85</v>
      </c>
      <c r="M1184" s="3">
        <v>44.99</v>
      </c>
      <c r="N1184" s="3">
        <v>89.99</v>
      </c>
      <c r="O1184" s="2" t="s">
        <v>245</v>
      </c>
      <c r="P1184" s="2" t="s">
        <v>272</v>
      </c>
      <c r="Q1184" s="2" t="s">
        <v>239</v>
      </c>
      <c r="R1184" s="2" t="s">
        <v>233</v>
      </c>
      <c r="S1184" s="2" t="s">
        <v>5882</v>
      </c>
      <c r="T1184" s="2" t="s">
        <v>1481</v>
      </c>
      <c r="U1184" s="2" t="s">
        <v>475</v>
      </c>
      <c r="V1184" s="2" t="s">
        <v>1272</v>
      </c>
      <c r="W1184" s="2" t="s">
        <v>275</v>
      </c>
      <c r="X1184" s="2" t="s">
        <v>233</v>
      </c>
      <c r="Y1184" s="2" t="s">
        <v>1034</v>
      </c>
      <c r="Z1184" s="4"/>
      <c r="AA1184" s="4">
        <f>=ROUNDDOWN({0},0)</f>
      </c>
      <c r="AB1184" s="5">
        <v>38</v>
      </c>
      <c r="AC1184" s="2" t="s">
        <v>547</v>
      </c>
      <c r="AD1184" s="4">
        <v>260</v>
      </c>
      <c r="AE1184" s="4">
        <v>980</v>
      </c>
      <c r="AF1184" s="6">
        <v>65</v>
      </c>
      <c r="AG1184" s="6"/>
      <c r="AH1184" s="7">
        <v>0</v>
      </c>
      <c r="AI1184" s="4"/>
      <c r="AJ1184" s="4">
        <f>=ROUNDDOWN({0},0)</f>
      </c>
      <c r="AK1184" s="5"/>
      <c r="AL1184" s="2" t="s">
        <v>233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233</v>
      </c>
      <c r="AW1184" s="8" t="s">
        <v>233</v>
      </c>
      <c r="AX1184" s="4" t="s">
        <v>233</v>
      </c>
      <c r="AY1184" s="8" t="s">
        <v>233</v>
      </c>
      <c r="AZ1184" s="7" t="s">
        <v>233</v>
      </c>
      <c r="BA1184" s="7" t="s">
        <v>233</v>
      </c>
      <c r="BB1184" s="7" t="s">
        <v>233</v>
      </c>
      <c r="BC1184" s="4" t="s">
        <v>233</v>
      </c>
      <c r="BD1184" s="8" t="s">
        <v>233</v>
      </c>
      <c r="BE1184" s="4" t="s">
        <v>233</v>
      </c>
      <c r="BF1184" s="8" t="s">
        <v>233</v>
      </c>
      <c r="BG1184" s="7" t="s">
        <v>233</v>
      </c>
      <c r="BH1184" s="7" t="s">
        <v>233</v>
      </c>
      <c r="BI1184" s="7"/>
      <c r="BJ1184" s="4">
        <v>3</v>
      </c>
      <c r="BK1184" s="8">
        <v>147.84</v>
      </c>
      <c r="BL1184" s="2" t="s">
        <v>1292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5883</v>
      </c>
      <c r="BV1184" s="2" t="s">
        <v>233</v>
      </c>
      <c r="BW1184" s="2" t="s">
        <v>233</v>
      </c>
      <c r="BX1184" s="2" t="s">
        <v>243</v>
      </c>
      <c r="BY1184" s="2" t="s">
        <v>280</v>
      </c>
      <c r="BZ1184" s="2" t="s">
        <v>245</v>
      </c>
      <c r="CA1184" s="2" t="s">
        <v>5884</v>
      </c>
      <c r="CB1184" s="2" t="s">
        <v>3479</v>
      </c>
      <c r="CC1184" s="2" t="s">
        <v>246</v>
      </c>
      <c r="CD1184" s="2" t="s">
        <v>233</v>
      </c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>
        <v>260</v>
      </c>
      <c r="EV1184" s="4"/>
      <c r="EW1184" s="4"/>
      <c r="EX1184" s="4"/>
      <c r="EY1184" s="4"/>
      <c r="EZ1184" s="4"/>
      <c r="FA1184" s="4">
        <v>150</v>
      </c>
      <c r="FB1184" s="4"/>
      <c r="FC1184" s="4"/>
      <c r="FD1184" s="4"/>
      <c r="FE1184" s="4"/>
      <c r="FF1184" s="4"/>
      <c r="FG1184" s="4"/>
      <c r="FH1184" s="4"/>
      <c r="FI1184" s="4">
        <v>240</v>
      </c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>
        <v>160</v>
      </c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>
        <v>170</v>
      </c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</row>
    <row r="1185">
      <c r="A1185" s="2" t="s">
        <v>5885</v>
      </c>
      <c r="B1185" s="2" t="s">
        <v>910</v>
      </c>
      <c r="C1185" s="2" t="s">
        <v>5876</v>
      </c>
      <c r="D1185" s="2" t="s">
        <v>912</v>
      </c>
      <c r="E1185" s="2" t="s">
        <v>1139</v>
      </c>
      <c r="F1185" s="2" t="s">
        <v>5877</v>
      </c>
      <c r="G1185" s="2" t="s">
        <v>5878</v>
      </c>
      <c r="H1185" s="2" t="s">
        <v>5879</v>
      </c>
      <c r="I1185" s="2" t="s">
        <v>5886</v>
      </c>
      <c r="J1185" s="2" t="s">
        <v>270</v>
      </c>
      <c r="K1185" s="2" t="s">
        <v>5881</v>
      </c>
      <c r="L1185" s="3">
        <v>30.95</v>
      </c>
      <c r="M1185" s="3">
        <v>32.5</v>
      </c>
      <c r="N1185" s="3">
        <v>64.99</v>
      </c>
      <c r="O1185" s="2" t="s">
        <v>245</v>
      </c>
      <c r="P1185" s="2" t="s">
        <v>272</v>
      </c>
      <c r="Q1185" s="2" t="s">
        <v>239</v>
      </c>
      <c r="R1185" s="2" t="s">
        <v>233</v>
      </c>
      <c r="S1185" s="2" t="s">
        <v>5882</v>
      </c>
      <c r="T1185" s="2" t="s">
        <v>1481</v>
      </c>
      <c r="U1185" s="2" t="s">
        <v>491</v>
      </c>
      <c r="V1185" s="2" t="s">
        <v>1272</v>
      </c>
      <c r="W1185" s="2" t="s">
        <v>275</v>
      </c>
      <c r="X1185" s="2" t="s">
        <v>233</v>
      </c>
      <c r="Y1185" s="2" t="s">
        <v>3861</v>
      </c>
      <c r="Z1185" s="4"/>
      <c r="AA1185" s="4">
        <f>=ROUNDDOWN({0},0)</f>
      </c>
      <c r="AB1185" s="5">
        <v>20</v>
      </c>
      <c r="AC1185" s="2" t="s">
        <v>547</v>
      </c>
      <c r="AD1185" s="4">
        <v>40</v>
      </c>
      <c r="AE1185" s="4">
        <v>800</v>
      </c>
      <c r="AF1185" s="6">
        <v>65</v>
      </c>
      <c r="AG1185" s="6"/>
      <c r="AH1185" s="7">
        <v>0</v>
      </c>
      <c r="AI1185" s="4"/>
      <c r="AJ1185" s="4">
        <f>=ROUNDDOWN({0},0)</f>
      </c>
      <c r="AK1185" s="5"/>
      <c r="AL1185" s="2" t="s">
        <v>233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233</v>
      </c>
      <c r="AW1185" s="8" t="s">
        <v>233</v>
      </c>
      <c r="AX1185" s="4" t="s">
        <v>233</v>
      </c>
      <c r="AY1185" s="8" t="s">
        <v>233</v>
      </c>
      <c r="AZ1185" s="7" t="s">
        <v>233</v>
      </c>
      <c r="BA1185" s="7" t="s">
        <v>233</v>
      </c>
      <c r="BB1185" s="7" t="s">
        <v>233</v>
      </c>
      <c r="BC1185" s="4" t="s">
        <v>233</v>
      </c>
      <c r="BD1185" s="8" t="s">
        <v>233</v>
      </c>
      <c r="BE1185" s="4" t="s">
        <v>233</v>
      </c>
      <c r="BF1185" s="8" t="s">
        <v>233</v>
      </c>
      <c r="BG1185" s="7" t="s">
        <v>233</v>
      </c>
      <c r="BH1185" s="7" t="s">
        <v>233</v>
      </c>
      <c r="BI1185" s="7"/>
      <c r="BJ1185" s="4">
        <v>3</v>
      </c>
      <c r="BK1185" s="8">
        <v>106.77</v>
      </c>
      <c r="BL1185" s="2" t="s">
        <v>1292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5887</v>
      </c>
      <c r="BV1185" s="2" t="s">
        <v>233</v>
      </c>
      <c r="BW1185" s="2" t="s">
        <v>233</v>
      </c>
      <c r="BX1185" s="2" t="s">
        <v>243</v>
      </c>
      <c r="BY1185" s="2" t="s">
        <v>280</v>
      </c>
      <c r="BZ1185" s="2" t="s">
        <v>245</v>
      </c>
      <c r="CA1185" s="2" t="s">
        <v>5884</v>
      </c>
      <c r="CB1185" s="2" t="s">
        <v>2796</v>
      </c>
      <c r="CC1185" s="2" t="s">
        <v>246</v>
      </c>
      <c r="CD1185" s="2" t="s">
        <v>233</v>
      </c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>
        <v>40</v>
      </c>
      <c r="EV1185" s="4"/>
      <c r="EW1185" s="4"/>
      <c r="EX1185" s="4"/>
      <c r="EY1185" s="4"/>
      <c r="EZ1185" s="4"/>
      <c r="FA1185" s="4">
        <v>50</v>
      </c>
      <c r="FB1185" s="4"/>
      <c r="FC1185" s="4"/>
      <c r="FD1185" s="4"/>
      <c r="FE1185" s="4"/>
      <c r="FF1185" s="4"/>
      <c r="FG1185" s="4"/>
      <c r="FH1185" s="4"/>
      <c r="FI1185" s="4">
        <v>210</v>
      </c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>
        <v>300</v>
      </c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>
        <v>200</v>
      </c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</row>
    <row r="1186">
      <c r="A1186" s="2" t="s">
        <v>5888</v>
      </c>
      <c r="B1186" s="2" t="s">
        <v>910</v>
      </c>
      <c r="C1186" s="2" t="s">
        <v>5876</v>
      </c>
      <c r="D1186" s="2" t="s">
        <v>969</v>
      </c>
      <c r="E1186" s="2" t="s">
        <v>1078</v>
      </c>
      <c r="F1186" s="2" t="s">
        <v>5877</v>
      </c>
      <c r="G1186" s="2" t="s">
        <v>5878</v>
      </c>
      <c r="H1186" s="2" t="s">
        <v>5879</v>
      </c>
      <c r="I1186" s="2" t="s">
        <v>5880</v>
      </c>
      <c r="J1186" s="2" t="s">
        <v>981</v>
      </c>
      <c r="K1186" s="2" t="s">
        <v>5881</v>
      </c>
      <c r="L1186" s="3">
        <v>47.61</v>
      </c>
      <c r="M1186" s="3">
        <v>49.99</v>
      </c>
      <c r="N1186" s="3">
        <v>99.99</v>
      </c>
      <c r="O1186" s="2" t="s">
        <v>245</v>
      </c>
      <c r="P1186" s="2" t="s">
        <v>272</v>
      </c>
      <c r="Q1186" s="2" t="s">
        <v>239</v>
      </c>
      <c r="R1186" s="2" t="s">
        <v>233</v>
      </c>
      <c r="S1186" s="2" t="s">
        <v>5882</v>
      </c>
      <c r="T1186" s="2" t="s">
        <v>1481</v>
      </c>
      <c r="U1186" s="2" t="s">
        <v>342</v>
      </c>
      <c r="V1186" s="2" t="s">
        <v>1272</v>
      </c>
      <c r="W1186" s="2" t="s">
        <v>275</v>
      </c>
      <c r="X1186" s="2" t="s">
        <v>233</v>
      </c>
      <c r="Y1186" s="2" t="s">
        <v>3861</v>
      </c>
      <c r="Z1186" s="4"/>
      <c r="AA1186" s="4">
        <f>=ROUNDDOWN({0},0)</f>
      </c>
      <c r="AB1186" s="5">
        <v>56</v>
      </c>
      <c r="AC1186" s="2" t="s">
        <v>547</v>
      </c>
      <c r="AD1186" s="4">
        <v>350</v>
      </c>
      <c r="AE1186" s="4">
        <v>1430</v>
      </c>
      <c r="AF1186" s="6">
        <v>65</v>
      </c>
      <c r="AG1186" s="6"/>
      <c r="AH1186" s="7">
        <v>0</v>
      </c>
      <c r="AI1186" s="4"/>
      <c r="AJ1186" s="4">
        <f>=ROUNDDOWN({0},0)</f>
      </c>
      <c r="AK1186" s="5"/>
      <c r="AL1186" s="2" t="s">
        <v>233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233</v>
      </c>
      <c r="AW1186" s="8" t="s">
        <v>233</v>
      </c>
      <c r="AX1186" s="4" t="s">
        <v>233</v>
      </c>
      <c r="AY1186" s="8" t="s">
        <v>233</v>
      </c>
      <c r="AZ1186" s="7" t="s">
        <v>233</v>
      </c>
      <c r="BA1186" s="7" t="s">
        <v>233</v>
      </c>
      <c r="BB1186" s="7" t="s">
        <v>233</v>
      </c>
      <c r="BC1186" s="4" t="s">
        <v>233</v>
      </c>
      <c r="BD1186" s="8" t="s">
        <v>233</v>
      </c>
      <c r="BE1186" s="4" t="s">
        <v>233</v>
      </c>
      <c r="BF1186" s="8" t="s">
        <v>233</v>
      </c>
      <c r="BG1186" s="7" t="s">
        <v>233</v>
      </c>
      <c r="BH1186" s="7" t="s">
        <v>233</v>
      </c>
      <c r="BI1186" s="7"/>
      <c r="BJ1186" s="4"/>
      <c r="BK1186" s="8"/>
      <c r="BL1186" s="2" t="s">
        <v>233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5889</v>
      </c>
      <c r="BV1186" s="2" t="s">
        <v>233</v>
      </c>
      <c r="BW1186" s="2" t="s">
        <v>233</v>
      </c>
      <c r="BX1186" s="2" t="s">
        <v>243</v>
      </c>
      <c r="BY1186" s="2" t="s">
        <v>280</v>
      </c>
      <c r="BZ1186" s="2" t="s">
        <v>245</v>
      </c>
      <c r="CA1186" s="2" t="s">
        <v>5884</v>
      </c>
      <c r="CB1186" s="2" t="s">
        <v>3479</v>
      </c>
      <c r="CC1186" s="2" t="s">
        <v>246</v>
      </c>
      <c r="CD1186" s="2" t="s">
        <v>233</v>
      </c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>
        <v>350</v>
      </c>
      <c r="EV1186" s="4"/>
      <c r="EW1186" s="4"/>
      <c r="EX1186" s="4"/>
      <c r="EY1186" s="4"/>
      <c r="EZ1186" s="4"/>
      <c r="FA1186" s="4">
        <v>180</v>
      </c>
      <c r="FB1186" s="4"/>
      <c r="FC1186" s="4"/>
      <c r="FD1186" s="4"/>
      <c r="FE1186" s="4"/>
      <c r="FF1186" s="4"/>
      <c r="FG1186" s="4"/>
      <c r="FH1186" s="4"/>
      <c r="FI1186" s="4">
        <v>490</v>
      </c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>
        <v>210</v>
      </c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>
        <v>200</v>
      </c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</row>
    <row r="1187">
      <c r="A1187" s="2" t="s">
        <v>5890</v>
      </c>
      <c r="B1187" s="2" t="s">
        <v>910</v>
      </c>
      <c r="C1187" s="2" t="s">
        <v>5876</v>
      </c>
      <c r="D1187" s="2" t="s">
        <v>912</v>
      </c>
      <c r="E1187" s="2" t="s">
        <v>1139</v>
      </c>
      <c r="F1187" s="2" t="s">
        <v>5877</v>
      </c>
      <c r="G1187" s="2" t="s">
        <v>5878</v>
      </c>
      <c r="H1187" s="2" t="s">
        <v>5879</v>
      </c>
      <c r="I1187" s="2" t="s">
        <v>5886</v>
      </c>
      <c r="J1187" s="2" t="s">
        <v>981</v>
      </c>
      <c r="K1187" s="2" t="s">
        <v>5881</v>
      </c>
      <c r="L1187" s="3">
        <v>35.71</v>
      </c>
      <c r="M1187" s="3">
        <v>37.5</v>
      </c>
      <c r="N1187" s="3">
        <v>74.99</v>
      </c>
      <c r="O1187" s="2" t="s">
        <v>245</v>
      </c>
      <c r="P1187" s="2" t="s">
        <v>272</v>
      </c>
      <c r="Q1187" s="2" t="s">
        <v>239</v>
      </c>
      <c r="R1187" s="2" t="s">
        <v>233</v>
      </c>
      <c r="S1187" s="2" t="s">
        <v>5882</v>
      </c>
      <c r="T1187" s="2" t="s">
        <v>1481</v>
      </c>
      <c r="U1187" s="2" t="s">
        <v>475</v>
      </c>
      <c r="V1187" s="2" t="s">
        <v>1272</v>
      </c>
      <c r="W1187" s="2" t="s">
        <v>275</v>
      </c>
      <c r="X1187" s="2" t="s">
        <v>233</v>
      </c>
      <c r="Y1187" s="2" t="s">
        <v>3861</v>
      </c>
      <c r="Z1187" s="4"/>
      <c r="AA1187" s="4">
        <f>=ROUNDDOWN({0},0)</f>
      </c>
      <c r="AB1187" s="5">
        <v>21</v>
      </c>
      <c r="AC1187" s="2" t="s">
        <v>547</v>
      </c>
      <c r="AD1187" s="4">
        <v>100</v>
      </c>
      <c r="AE1187" s="4">
        <v>790</v>
      </c>
      <c r="AF1187" s="6">
        <v>65</v>
      </c>
      <c r="AG1187" s="6"/>
      <c r="AH1187" s="7">
        <v>0</v>
      </c>
      <c r="AI1187" s="4"/>
      <c r="AJ1187" s="4">
        <f>=ROUNDDOWN({0},0)</f>
      </c>
      <c r="AK1187" s="5"/>
      <c r="AL1187" s="2" t="s">
        <v>233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233</v>
      </c>
      <c r="AW1187" s="8" t="s">
        <v>233</v>
      </c>
      <c r="AX1187" s="4" t="s">
        <v>233</v>
      </c>
      <c r="AY1187" s="8" t="s">
        <v>233</v>
      </c>
      <c r="AZ1187" s="7" t="s">
        <v>233</v>
      </c>
      <c r="BA1187" s="7" t="s">
        <v>233</v>
      </c>
      <c r="BB1187" s="7" t="s">
        <v>233</v>
      </c>
      <c r="BC1187" s="4" t="s">
        <v>233</v>
      </c>
      <c r="BD1187" s="8" t="s">
        <v>233</v>
      </c>
      <c r="BE1187" s="4" t="s">
        <v>233</v>
      </c>
      <c r="BF1187" s="8" t="s">
        <v>233</v>
      </c>
      <c r="BG1187" s="7" t="s">
        <v>233</v>
      </c>
      <c r="BH1187" s="7" t="s">
        <v>233</v>
      </c>
      <c r="BI1187" s="7"/>
      <c r="BJ1187" s="4">
        <v>10</v>
      </c>
      <c r="BK1187" s="8">
        <v>410.7</v>
      </c>
      <c r="BL1187" s="2" t="s">
        <v>1292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5891</v>
      </c>
      <c r="BV1187" s="2" t="s">
        <v>233</v>
      </c>
      <c r="BW1187" s="2" t="s">
        <v>233</v>
      </c>
      <c r="BX1187" s="2" t="s">
        <v>243</v>
      </c>
      <c r="BY1187" s="2" t="s">
        <v>280</v>
      </c>
      <c r="BZ1187" s="2" t="s">
        <v>245</v>
      </c>
      <c r="CA1187" s="2" t="s">
        <v>5884</v>
      </c>
      <c r="CB1187" s="2" t="s">
        <v>1001</v>
      </c>
      <c r="CC1187" s="2" t="s">
        <v>246</v>
      </c>
      <c r="CD1187" s="2" t="s">
        <v>233</v>
      </c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>
        <v>100</v>
      </c>
      <c r="EV1187" s="4"/>
      <c r="EW1187" s="4"/>
      <c r="EX1187" s="4"/>
      <c r="EY1187" s="4"/>
      <c r="EZ1187" s="4"/>
      <c r="FA1187" s="4">
        <v>70</v>
      </c>
      <c r="FB1187" s="4"/>
      <c r="FC1187" s="4"/>
      <c r="FD1187" s="4"/>
      <c r="FE1187" s="4"/>
      <c r="FF1187" s="4"/>
      <c r="FG1187" s="4"/>
      <c r="FH1187" s="4"/>
      <c r="FI1187" s="4">
        <v>260</v>
      </c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>
        <v>160</v>
      </c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>
        <v>200</v>
      </c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</row>
    <row r="1188">
      <c r="A1188" s="2" t="s">
        <v>5892</v>
      </c>
      <c r="B1188" s="2" t="s">
        <v>1242</v>
      </c>
      <c r="C1188" s="2" t="s">
        <v>530</v>
      </c>
      <c r="D1188" s="2" t="s">
        <v>1862</v>
      </c>
      <c r="E1188" s="2" t="s">
        <v>1863</v>
      </c>
      <c r="F1188" s="2" t="s">
        <v>5893</v>
      </c>
      <c r="G1188" s="2" t="s">
        <v>5894</v>
      </c>
      <c r="H1188" s="2" t="s">
        <v>5895</v>
      </c>
      <c r="I1188" s="2" t="s">
        <v>5896</v>
      </c>
      <c r="J1188" s="2" t="s">
        <v>981</v>
      </c>
      <c r="K1188" s="2" t="s">
        <v>271</v>
      </c>
      <c r="L1188" s="3">
        <v>52.8</v>
      </c>
      <c r="M1188" s="3">
        <v>55.44</v>
      </c>
      <c r="N1188" s="3">
        <v>109.99</v>
      </c>
      <c r="O1188" s="2" t="s">
        <v>237</v>
      </c>
      <c r="P1188" s="2" t="s">
        <v>311</v>
      </c>
      <c r="Q1188" s="2" t="s">
        <v>239</v>
      </c>
      <c r="R1188" s="2" t="s">
        <v>233</v>
      </c>
      <c r="S1188" s="2" t="s">
        <v>5897</v>
      </c>
      <c r="T1188" s="2" t="s">
        <v>233</v>
      </c>
      <c r="U1188" s="2" t="s">
        <v>475</v>
      </c>
      <c r="V1188" s="2" t="s">
        <v>5726</v>
      </c>
      <c r="W1188" s="2" t="s">
        <v>275</v>
      </c>
      <c r="X1188" s="2" t="s">
        <v>977</v>
      </c>
      <c r="Y1188" s="2" t="s">
        <v>1500</v>
      </c>
      <c r="Z1188" s="4">
        <v>371</v>
      </c>
      <c r="AA1188" s="4">
        <f>=ROUNDDOWN(247.333333333333,0)</f>
      </c>
      <c r="AB1188" s="5">
        <v>1.5</v>
      </c>
      <c r="AC1188" s="2" t="s">
        <v>233</v>
      </c>
      <c r="AD1188" s="4"/>
      <c r="AE1188" s="4"/>
      <c r="AF1188" s="6">
        <v>67</v>
      </c>
      <c r="AG1188" s="6"/>
      <c r="AH1188" s="7">
        <v>1</v>
      </c>
      <c r="AI1188" s="4"/>
      <c r="AJ1188" s="4">
        <f>=ROUNDDOWN({0},0)</f>
      </c>
      <c r="AK1188" s="5"/>
      <c r="AL1188" s="2" t="s">
        <v>233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>
        <v>5</v>
      </c>
      <c r="BK1188" s="8">
        <v>251.5</v>
      </c>
      <c r="BL1188" s="2" t="s">
        <v>465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5898</v>
      </c>
      <c r="BV1188" s="2" t="s">
        <v>233</v>
      </c>
      <c r="BW1188" s="2" t="s">
        <v>233</v>
      </c>
      <c r="BX1188" s="2" t="s">
        <v>233</v>
      </c>
      <c r="BY1188" s="2" t="s">
        <v>280</v>
      </c>
      <c r="BZ1188" s="2" t="s">
        <v>245</v>
      </c>
      <c r="CA1188" s="2" t="s">
        <v>5899</v>
      </c>
      <c r="CB1188" s="2" t="s">
        <v>5900</v>
      </c>
      <c r="CC1188" s="2" t="s">
        <v>246</v>
      </c>
      <c r="CD1188" s="2" t="s">
        <v>233</v>
      </c>
      <c r="CE1188" s="4">
        <v>371</v>
      </c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</row>
    <row r="1189">
      <c r="A1189" s="2" t="s">
        <v>5901</v>
      </c>
      <c r="B1189" s="2" t="s">
        <v>928</v>
      </c>
      <c r="C1189" s="2" t="s">
        <v>1130</v>
      </c>
      <c r="D1189" s="2" t="s">
        <v>961</v>
      </c>
      <c r="E1189" s="2" t="s">
        <v>939</v>
      </c>
      <c r="F1189" s="2" t="s">
        <v>5902</v>
      </c>
      <c r="G1189" s="2" t="s">
        <v>5902</v>
      </c>
      <c r="H1189" s="2" t="s">
        <v>5902</v>
      </c>
      <c r="I1189" s="2" t="s">
        <v>5903</v>
      </c>
      <c r="J1189" s="2" t="s">
        <v>892</v>
      </c>
      <c r="K1189" s="2" t="s">
        <v>950</v>
      </c>
      <c r="L1189" s="3">
        <v>45.32</v>
      </c>
      <c r="M1189" s="3">
        <v>47.59</v>
      </c>
      <c r="N1189" s="3">
        <v>92.49</v>
      </c>
      <c r="O1189" s="2" t="s">
        <v>237</v>
      </c>
      <c r="P1189" s="2" t="s">
        <v>311</v>
      </c>
      <c r="Q1189" s="2" t="s">
        <v>239</v>
      </c>
      <c r="R1189" s="2" t="s">
        <v>233</v>
      </c>
      <c r="S1189" s="2" t="s">
        <v>5904</v>
      </c>
      <c r="T1189" s="2" t="s">
        <v>233</v>
      </c>
      <c r="U1189" s="2" t="s">
        <v>491</v>
      </c>
      <c r="V1189" s="2" t="s">
        <v>921</v>
      </c>
      <c r="W1189" s="2" t="s">
        <v>397</v>
      </c>
      <c r="X1189" s="2" t="s">
        <v>233</v>
      </c>
      <c r="Y1189" s="2" t="s">
        <v>2620</v>
      </c>
      <c r="Z1189" s="4">
        <v>88</v>
      </c>
      <c r="AA1189" s="4">
        <f>=ROUNDDOWN(220,0)</f>
      </c>
      <c r="AB1189" s="5">
        <v>0.4</v>
      </c>
      <c r="AC1189" s="2" t="s">
        <v>233</v>
      </c>
      <c r="AD1189" s="4"/>
      <c r="AE1189" s="4"/>
      <c r="AF1189" s="6">
        <v>63</v>
      </c>
      <c r="AG1189" s="6"/>
      <c r="AH1189" s="7">
        <v>1</v>
      </c>
      <c r="AI1189" s="4"/>
      <c r="AJ1189" s="4">
        <f>=ROUNDDOWN({0},0)</f>
      </c>
      <c r="AK1189" s="5"/>
      <c r="AL1189" s="2" t="s">
        <v>233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/>
      <c r="BK1189" s="8"/>
      <c r="BL1189" s="2" t="s">
        <v>744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5905</v>
      </c>
      <c r="BV1189" s="2" t="s">
        <v>233</v>
      </c>
      <c r="BW1189" s="2" t="s">
        <v>233</v>
      </c>
      <c r="BX1189" s="2" t="s">
        <v>233</v>
      </c>
      <c r="BY1189" s="2" t="s">
        <v>280</v>
      </c>
      <c r="BZ1189" s="2" t="s">
        <v>245</v>
      </c>
      <c r="CA1189" s="2" t="s">
        <v>2623</v>
      </c>
      <c r="CB1189" s="2" t="s">
        <v>5906</v>
      </c>
      <c r="CC1189" s="2" t="s">
        <v>246</v>
      </c>
      <c r="CD1189" s="2" t="s">
        <v>233</v>
      </c>
      <c r="CE1189" s="4"/>
      <c r="CF1189" s="4">
        <v>88</v>
      </c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</row>
    <row r="1190">
      <c r="A1190" s="2" t="s">
        <v>5907</v>
      </c>
      <c r="B1190" s="2" t="s">
        <v>928</v>
      </c>
      <c r="C1190" s="2" t="s">
        <v>530</v>
      </c>
      <c r="D1190" s="2" t="s">
        <v>961</v>
      </c>
      <c r="E1190" s="2" t="s">
        <v>2028</v>
      </c>
      <c r="F1190" s="2" t="s">
        <v>5908</v>
      </c>
      <c r="G1190" s="2" t="s">
        <v>5908</v>
      </c>
      <c r="H1190" s="2" t="s">
        <v>5908</v>
      </c>
      <c r="I1190" s="2" t="s">
        <v>5909</v>
      </c>
      <c r="J1190" s="2" t="s">
        <v>892</v>
      </c>
      <c r="K1190" s="2" t="s">
        <v>5910</v>
      </c>
      <c r="L1190" s="3">
        <v>6.66</v>
      </c>
      <c r="M1190" s="3">
        <v>6.99</v>
      </c>
      <c r="N1190" s="3">
        <v>19.99</v>
      </c>
      <c r="O1190" s="2" t="s">
        <v>245</v>
      </c>
      <c r="P1190" s="2" t="s">
        <v>238</v>
      </c>
      <c r="Q1190" s="2" t="s">
        <v>239</v>
      </c>
      <c r="R1190" s="2" t="s">
        <v>233</v>
      </c>
      <c r="S1190" s="2" t="s">
        <v>233</v>
      </c>
      <c r="T1190" s="2" t="s">
        <v>233</v>
      </c>
      <c r="U1190" s="2" t="s">
        <v>396</v>
      </c>
      <c r="V1190" s="2" t="s">
        <v>2225</v>
      </c>
      <c r="W1190" s="2" t="s">
        <v>5911</v>
      </c>
      <c r="X1190" s="2" t="s">
        <v>275</v>
      </c>
      <c r="Y1190" s="2" t="s">
        <v>5912</v>
      </c>
      <c r="Z1190" s="4">
        <v>45</v>
      </c>
      <c r="AA1190" s="4">
        <f>=ROUNDDOWN(45,0)</f>
      </c>
      <c r="AB1190" s="5">
        <v>1</v>
      </c>
      <c r="AC1190" s="2" t="s">
        <v>233</v>
      </c>
      <c r="AD1190" s="4"/>
      <c r="AE1190" s="4"/>
      <c r="AF1190" s="6">
        <v>63</v>
      </c>
      <c r="AG1190" s="6"/>
      <c r="AH1190" s="7">
        <v>1</v>
      </c>
      <c r="AI1190" s="4"/>
      <c r="AJ1190" s="4">
        <f>=ROUNDDOWN({0},0)</f>
      </c>
      <c r="AK1190" s="5"/>
      <c r="AL1190" s="2" t="s">
        <v>233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233</v>
      </c>
      <c r="BD1190" s="8" t="s">
        <v>233</v>
      </c>
      <c r="BE1190" s="4" t="s">
        <v>233</v>
      </c>
      <c r="BF1190" s="8" t="s">
        <v>233</v>
      </c>
      <c r="BG1190" s="7" t="s">
        <v>233</v>
      </c>
      <c r="BH1190" s="7" t="s">
        <v>233</v>
      </c>
      <c r="BI1190" s="7"/>
      <c r="BJ1190" s="4">
        <v>2</v>
      </c>
      <c r="BK1190" s="8">
        <v>20.74</v>
      </c>
      <c r="BL1190" s="2" t="s">
        <v>744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5913</v>
      </c>
      <c r="BV1190" s="2" t="s">
        <v>233</v>
      </c>
      <c r="BW1190" s="2" t="s">
        <v>233</v>
      </c>
      <c r="BX1190" s="2" t="s">
        <v>243</v>
      </c>
      <c r="BY1190" s="2" t="s">
        <v>280</v>
      </c>
      <c r="BZ1190" s="2" t="s">
        <v>245</v>
      </c>
      <c r="CA1190" s="2" t="s">
        <v>4815</v>
      </c>
      <c r="CB1190" s="2" t="s">
        <v>233</v>
      </c>
      <c r="CC1190" s="2" t="s">
        <v>246</v>
      </c>
      <c r="CD1190" s="2" t="s">
        <v>233</v>
      </c>
      <c r="CE1190" s="4"/>
      <c r="CF1190" s="4">
        <v>45</v>
      </c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</row>
    <row r="1191">
      <c r="A1191" s="2" t="s">
        <v>5914</v>
      </c>
      <c r="B1191" s="2" t="s">
        <v>928</v>
      </c>
      <c r="C1191" s="2" t="s">
        <v>530</v>
      </c>
      <c r="D1191" s="2" t="s">
        <v>961</v>
      </c>
      <c r="E1191" s="2" t="s">
        <v>2028</v>
      </c>
      <c r="F1191" s="2" t="s">
        <v>5908</v>
      </c>
      <c r="G1191" s="2" t="s">
        <v>5908</v>
      </c>
      <c r="H1191" s="2" t="s">
        <v>5908</v>
      </c>
      <c r="I1191" s="2" t="s">
        <v>5915</v>
      </c>
      <c r="J1191" s="2" t="s">
        <v>892</v>
      </c>
      <c r="K1191" s="2" t="s">
        <v>5916</v>
      </c>
      <c r="L1191" s="3">
        <v>6.66</v>
      </c>
      <c r="M1191" s="3">
        <v>6.99</v>
      </c>
      <c r="N1191" s="3">
        <v>19.99</v>
      </c>
      <c r="O1191" s="2" t="s">
        <v>245</v>
      </c>
      <c r="P1191" s="2" t="s">
        <v>238</v>
      </c>
      <c r="Q1191" s="2" t="s">
        <v>239</v>
      </c>
      <c r="R1191" s="2" t="s">
        <v>233</v>
      </c>
      <c r="S1191" s="2" t="s">
        <v>233</v>
      </c>
      <c r="T1191" s="2" t="s">
        <v>233</v>
      </c>
      <c r="U1191" s="2" t="s">
        <v>396</v>
      </c>
      <c r="V1191" s="2" t="s">
        <v>2225</v>
      </c>
      <c r="W1191" s="2" t="s">
        <v>5911</v>
      </c>
      <c r="X1191" s="2" t="s">
        <v>275</v>
      </c>
      <c r="Y1191" s="2" t="s">
        <v>5912</v>
      </c>
      <c r="Z1191" s="4">
        <v>85</v>
      </c>
      <c r="AA1191" s="4">
        <f>=ROUNDDOWN(28.3333333333333,0)</f>
      </c>
      <c r="AB1191" s="5">
        <v>3</v>
      </c>
      <c r="AC1191" s="2" t="s">
        <v>233</v>
      </c>
      <c r="AD1191" s="4"/>
      <c r="AE1191" s="4"/>
      <c r="AF1191" s="6">
        <v>63</v>
      </c>
      <c r="AG1191" s="6"/>
      <c r="AH1191" s="7">
        <v>1</v>
      </c>
      <c r="AI1191" s="4"/>
      <c r="AJ1191" s="4">
        <f>=ROUNDDOWN({0},0)</f>
      </c>
      <c r="AK1191" s="5"/>
      <c r="AL1191" s="2" t="s">
        <v>233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233</v>
      </c>
      <c r="BD1191" s="8" t="s">
        <v>233</v>
      </c>
      <c r="BE1191" s="4" t="s">
        <v>233</v>
      </c>
      <c r="BF1191" s="8" t="s">
        <v>233</v>
      </c>
      <c r="BG1191" s="7" t="s">
        <v>233</v>
      </c>
      <c r="BH1191" s="7" t="s">
        <v>233</v>
      </c>
      <c r="BI1191" s="7"/>
      <c r="BJ1191" s="4">
        <v>2</v>
      </c>
      <c r="BK1191" s="8">
        <v>20.74</v>
      </c>
      <c r="BL1191" s="2" t="s">
        <v>744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5917</v>
      </c>
      <c r="BV1191" s="2" t="s">
        <v>233</v>
      </c>
      <c r="BW1191" s="2" t="s">
        <v>233</v>
      </c>
      <c r="BX1191" s="2" t="s">
        <v>243</v>
      </c>
      <c r="BY1191" s="2" t="s">
        <v>280</v>
      </c>
      <c r="BZ1191" s="2" t="s">
        <v>245</v>
      </c>
      <c r="CA1191" s="2" t="s">
        <v>4815</v>
      </c>
      <c r="CB1191" s="2" t="s">
        <v>233</v>
      </c>
      <c r="CC1191" s="2" t="s">
        <v>246</v>
      </c>
      <c r="CD1191" s="2" t="s">
        <v>233</v>
      </c>
      <c r="CE1191" s="4"/>
      <c r="CF1191" s="4">
        <v>85</v>
      </c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</row>
    <row r="1192">
      <c r="A1192" s="2" t="s">
        <v>5918</v>
      </c>
      <c r="B1192" s="2" t="s">
        <v>928</v>
      </c>
      <c r="C1192" s="2" t="s">
        <v>530</v>
      </c>
      <c r="D1192" s="2" t="s">
        <v>961</v>
      </c>
      <c r="E1192" s="2" t="s">
        <v>2028</v>
      </c>
      <c r="F1192" s="2" t="s">
        <v>5908</v>
      </c>
      <c r="G1192" s="2" t="s">
        <v>5908</v>
      </c>
      <c r="H1192" s="2" t="s">
        <v>5908</v>
      </c>
      <c r="I1192" s="2" t="s">
        <v>5919</v>
      </c>
      <c r="J1192" s="2" t="s">
        <v>892</v>
      </c>
      <c r="K1192" s="2" t="s">
        <v>5920</v>
      </c>
      <c r="L1192" s="3">
        <v>6.66</v>
      </c>
      <c r="M1192" s="3">
        <v>6.99</v>
      </c>
      <c r="N1192" s="3">
        <v>19.99</v>
      </c>
      <c r="O1192" s="2" t="s">
        <v>245</v>
      </c>
      <c r="P1192" s="2" t="s">
        <v>238</v>
      </c>
      <c r="Q1192" s="2" t="s">
        <v>239</v>
      </c>
      <c r="R1192" s="2" t="s">
        <v>233</v>
      </c>
      <c r="S1192" s="2" t="s">
        <v>233</v>
      </c>
      <c r="T1192" s="2" t="s">
        <v>233</v>
      </c>
      <c r="U1192" s="2" t="s">
        <v>396</v>
      </c>
      <c r="V1192" s="2" t="s">
        <v>2225</v>
      </c>
      <c r="W1192" s="2" t="s">
        <v>5911</v>
      </c>
      <c r="X1192" s="2" t="s">
        <v>275</v>
      </c>
      <c r="Y1192" s="2" t="s">
        <v>5912</v>
      </c>
      <c r="Z1192" s="4">
        <v>63</v>
      </c>
      <c r="AA1192" s="4">
        <f>=ROUNDDOWN(105,0)</f>
      </c>
      <c r="AB1192" s="5">
        <v>0.6</v>
      </c>
      <c r="AC1192" s="2" t="s">
        <v>233</v>
      </c>
      <c r="AD1192" s="4"/>
      <c r="AE1192" s="4"/>
      <c r="AF1192" s="6">
        <v>63</v>
      </c>
      <c r="AG1192" s="6"/>
      <c r="AH1192" s="7">
        <v>1</v>
      </c>
      <c r="AI1192" s="4"/>
      <c r="AJ1192" s="4">
        <f>=ROUNDDOWN({0},0)</f>
      </c>
      <c r="AK1192" s="5"/>
      <c r="AL1192" s="2" t="s">
        <v>233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233</v>
      </c>
      <c r="BD1192" s="8" t="s">
        <v>233</v>
      </c>
      <c r="BE1192" s="4" t="s">
        <v>233</v>
      </c>
      <c r="BF1192" s="8" t="s">
        <v>233</v>
      </c>
      <c r="BG1192" s="7" t="s">
        <v>233</v>
      </c>
      <c r="BH1192" s="7" t="s">
        <v>233</v>
      </c>
      <c r="BI1192" s="7"/>
      <c r="BJ1192" s="4">
        <v>2</v>
      </c>
      <c r="BK1192" s="8">
        <v>20.74</v>
      </c>
      <c r="BL1192" s="2" t="s">
        <v>744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5921</v>
      </c>
      <c r="BV1192" s="2" t="s">
        <v>233</v>
      </c>
      <c r="BW1192" s="2" t="s">
        <v>233</v>
      </c>
      <c r="BX1192" s="2" t="s">
        <v>243</v>
      </c>
      <c r="BY1192" s="2" t="s">
        <v>280</v>
      </c>
      <c r="BZ1192" s="2" t="s">
        <v>245</v>
      </c>
      <c r="CA1192" s="2" t="s">
        <v>4815</v>
      </c>
      <c r="CB1192" s="2" t="s">
        <v>233</v>
      </c>
      <c r="CC1192" s="2" t="s">
        <v>246</v>
      </c>
      <c r="CD1192" s="2" t="s">
        <v>233</v>
      </c>
      <c r="CE1192" s="4"/>
      <c r="CF1192" s="4">
        <v>63</v>
      </c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</row>
    <row r="1193">
      <c r="A1193" s="2" t="s">
        <v>5922</v>
      </c>
      <c r="B1193" s="2" t="s">
        <v>928</v>
      </c>
      <c r="C1193" s="2" t="s">
        <v>530</v>
      </c>
      <c r="D1193" s="2" t="s">
        <v>961</v>
      </c>
      <c r="E1193" s="2" t="s">
        <v>2028</v>
      </c>
      <c r="F1193" s="2" t="s">
        <v>5908</v>
      </c>
      <c r="G1193" s="2" t="s">
        <v>5908</v>
      </c>
      <c r="H1193" s="2" t="s">
        <v>5908</v>
      </c>
      <c r="I1193" s="2" t="s">
        <v>5923</v>
      </c>
      <c r="J1193" s="2" t="s">
        <v>892</v>
      </c>
      <c r="K1193" s="2" t="s">
        <v>5924</v>
      </c>
      <c r="L1193" s="3">
        <v>6.66</v>
      </c>
      <c r="M1193" s="3">
        <v>6.99</v>
      </c>
      <c r="N1193" s="3">
        <v>19.99</v>
      </c>
      <c r="O1193" s="2" t="s">
        <v>245</v>
      </c>
      <c r="P1193" s="2" t="s">
        <v>238</v>
      </c>
      <c r="Q1193" s="2" t="s">
        <v>239</v>
      </c>
      <c r="R1193" s="2" t="s">
        <v>233</v>
      </c>
      <c r="S1193" s="2" t="s">
        <v>233</v>
      </c>
      <c r="T1193" s="2" t="s">
        <v>233</v>
      </c>
      <c r="U1193" s="2" t="s">
        <v>396</v>
      </c>
      <c r="V1193" s="2" t="s">
        <v>2225</v>
      </c>
      <c r="W1193" s="2" t="s">
        <v>5911</v>
      </c>
      <c r="X1193" s="2" t="s">
        <v>275</v>
      </c>
      <c r="Y1193" s="2" t="s">
        <v>5912</v>
      </c>
      <c r="Z1193" s="4">
        <v>75</v>
      </c>
      <c r="AA1193" s="4">
        <f>=ROUNDDOWN(25,0)</f>
      </c>
      <c r="AB1193" s="5">
        <v>3</v>
      </c>
      <c r="AC1193" s="2" t="s">
        <v>233</v>
      </c>
      <c r="AD1193" s="4"/>
      <c r="AE1193" s="4"/>
      <c r="AF1193" s="6">
        <v>63</v>
      </c>
      <c r="AG1193" s="6"/>
      <c r="AH1193" s="7">
        <v>1</v>
      </c>
      <c r="AI1193" s="4"/>
      <c r="AJ1193" s="4">
        <f>=ROUNDDOWN({0},0)</f>
      </c>
      <c r="AK1193" s="5"/>
      <c r="AL1193" s="2" t="s">
        <v>233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233</v>
      </c>
      <c r="BD1193" s="8" t="s">
        <v>233</v>
      </c>
      <c r="BE1193" s="4" t="s">
        <v>233</v>
      </c>
      <c r="BF1193" s="8" t="s">
        <v>233</v>
      </c>
      <c r="BG1193" s="7" t="s">
        <v>233</v>
      </c>
      <c r="BH1193" s="7" t="s">
        <v>233</v>
      </c>
      <c r="BI1193" s="7"/>
      <c r="BJ1193" s="4">
        <v>2</v>
      </c>
      <c r="BK1193" s="8">
        <v>20.74</v>
      </c>
      <c r="BL1193" s="2" t="s">
        <v>744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5925</v>
      </c>
      <c r="BV1193" s="2" t="s">
        <v>233</v>
      </c>
      <c r="BW1193" s="2" t="s">
        <v>233</v>
      </c>
      <c r="BX1193" s="2" t="s">
        <v>243</v>
      </c>
      <c r="BY1193" s="2" t="s">
        <v>280</v>
      </c>
      <c r="BZ1193" s="2" t="s">
        <v>245</v>
      </c>
      <c r="CA1193" s="2" t="s">
        <v>4815</v>
      </c>
      <c r="CB1193" s="2" t="s">
        <v>233</v>
      </c>
      <c r="CC1193" s="2" t="s">
        <v>246</v>
      </c>
      <c r="CD1193" s="2" t="s">
        <v>233</v>
      </c>
      <c r="CE1193" s="4"/>
      <c r="CF1193" s="4">
        <v>75</v>
      </c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</row>
    <row r="1194">
      <c r="A1194" s="2" t="s">
        <v>5926</v>
      </c>
      <c r="B1194" s="2" t="s">
        <v>928</v>
      </c>
      <c r="C1194" s="2" t="s">
        <v>530</v>
      </c>
      <c r="D1194" s="2" t="s">
        <v>961</v>
      </c>
      <c r="E1194" s="2" t="s">
        <v>2028</v>
      </c>
      <c r="F1194" s="2" t="s">
        <v>5908</v>
      </c>
      <c r="G1194" s="2" t="s">
        <v>5908</v>
      </c>
      <c r="H1194" s="2" t="s">
        <v>5908</v>
      </c>
      <c r="I1194" s="2" t="s">
        <v>5927</v>
      </c>
      <c r="J1194" s="2" t="s">
        <v>892</v>
      </c>
      <c r="K1194" s="2" t="s">
        <v>5928</v>
      </c>
      <c r="L1194" s="3">
        <v>6.66</v>
      </c>
      <c r="M1194" s="3">
        <v>6.99</v>
      </c>
      <c r="N1194" s="3">
        <v>19.99</v>
      </c>
      <c r="O1194" s="2" t="s">
        <v>245</v>
      </c>
      <c r="P1194" s="2" t="s">
        <v>238</v>
      </c>
      <c r="Q1194" s="2" t="s">
        <v>239</v>
      </c>
      <c r="R1194" s="2" t="s">
        <v>233</v>
      </c>
      <c r="S1194" s="2" t="s">
        <v>233</v>
      </c>
      <c r="T1194" s="2" t="s">
        <v>233</v>
      </c>
      <c r="U1194" s="2" t="s">
        <v>396</v>
      </c>
      <c r="V1194" s="2" t="s">
        <v>2225</v>
      </c>
      <c r="W1194" s="2" t="s">
        <v>5911</v>
      </c>
      <c r="X1194" s="2" t="s">
        <v>275</v>
      </c>
      <c r="Y1194" s="2" t="s">
        <v>5912</v>
      </c>
      <c r="Z1194" s="4">
        <v>49</v>
      </c>
      <c r="AA1194" s="4">
        <f>=ROUNDDOWN(16.3333333333333,0)</f>
      </c>
      <c r="AB1194" s="5">
        <v>3</v>
      </c>
      <c r="AC1194" s="2" t="s">
        <v>547</v>
      </c>
      <c r="AD1194" s="4">
        <v>80</v>
      </c>
      <c r="AE1194" s="4">
        <v>80</v>
      </c>
      <c r="AF1194" s="6">
        <v>63</v>
      </c>
      <c r="AG1194" s="6"/>
      <c r="AH1194" s="7">
        <v>1</v>
      </c>
      <c r="AI1194" s="4"/>
      <c r="AJ1194" s="4">
        <f>=ROUNDDOWN({0},0)</f>
      </c>
      <c r="AK1194" s="5"/>
      <c r="AL1194" s="2" t="s">
        <v>233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233</v>
      </c>
      <c r="BD1194" s="8" t="s">
        <v>233</v>
      </c>
      <c r="BE1194" s="4" t="s">
        <v>233</v>
      </c>
      <c r="BF1194" s="8" t="s">
        <v>233</v>
      </c>
      <c r="BG1194" s="7" t="s">
        <v>233</v>
      </c>
      <c r="BH1194" s="7" t="s">
        <v>233</v>
      </c>
      <c r="BI1194" s="7"/>
      <c r="BJ1194" s="4">
        <v>2</v>
      </c>
      <c r="BK1194" s="8">
        <v>20.74</v>
      </c>
      <c r="BL1194" s="2" t="s">
        <v>744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5929</v>
      </c>
      <c r="BV1194" s="2" t="s">
        <v>233</v>
      </c>
      <c r="BW1194" s="2" t="s">
        <v>233</v>
      </c>
      <c r="BX1194" s="2" t="s">
        <v>243</v>
      </c>
      <c r="BY1194" s="2" t="s">
        <v>280</v>
      </c>
      <c r="BZ1194" s="2" t="s">
        <v>245</v>
      </c>
      <c r="CA1194" s="2" t="s">
        <v>4815</v>
      </c>
      <c r="CB1194" s="2" t="s">
        <v>233</v>
      </c>
      <c r="CC1194" s="2" t="s">
        <v>246</v>
      </c>
      <c r="CD1194" s="2" t="s">
        <v>233</v>
      </c>
      <c r="CE1194" s="4"/>
      <c r="CF1194" s="4">
        <v>49</v>
      </c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>
        <v>80</v>
      </c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</row>
    <row r="1195">
      <c r="A1195" s="2" t="s">
        <v>5930</v>
      </c>
      <c r="B1195" s="2" t="s">
        <v>928</v>
      </c>
      <c r="C1195" s="2" t="s">
        <v>530</v>
      </c>
      <c r="D1195" s="2" t="s">
        <v>961</v>
      </c>
      <c r="E1195" s="2" t="s">
        <v>2028</v>
      </c>
      <c r="F1195" s="2" t="s">
        <v>5908</v>
      </c>
      <c r="G1195" s="2" t="s">
        <v>5908</v>
      </c>
      <c r="H1195" s="2" t="s">
        <v>5908</v>
      </c>
      <c r="I1195" s="2" t="s">
        <v>5931</v>
      </c>
      <c r="J1195" s="2" t="s">
        <v>892</v>
      </c>
      <c r="K1195" s="2" t="s">
        <v>5932</v>
      </c>
      <c r="L1195" s="3">
        <v>6.66</v>
      </c>
      <c r="M1195" s="3">
        <v>6.99</v>
      </c>
      <c r="N1195" s="3">
        <v>19.99</v>
      </c>
      <c r="O1195" s="2" t="s">
        <v>245</v>
      </c>
      <c r="P1195" s="2" t="s">
        <v>238</v>
      </c>
      <c r="Q1195" s="2" t="s">
        <v>239</v>
      </c>
      <c r="R1195" s="2" t="s">
        <v>233</v>
      </c>
      <c r="S1195" s="2" t="s">
        <v>233</v>
      </c>
      <c r="T1195" s="2" t="s">
        <v>233</v>
      </c>
      <c r="U1195" s="2" t="s">
        <v>396</v>
      </c>
      <c r="V1195" s="2" t="s">
        <v>2225</v>
      </c>
      <c r="W1195" s="2" t="s">
        <v>5911</v>
      </c>
      <c r="X1195" s="2" t="s">
        <v>275</v>
      </c>
      <c r="Y1195" s="2" t="s">
        <v>5912</v>
      </c>
      <c r="Z1195" s="4">
        <v>65</v>
      </c>
      <c r="AA1195" s="4">
        <f>=ROUNDDOWN(325,0)</f>
      </c>
      <c r="AB1195" s="5">
        <v>0.2</v>
      </c>
      <c r="AC1195" s="2" t="s">
        <v>233</v>
      </c>
      <c r="AD1195" s="4"/>
      <c r="AE1195" s="4"/>
      <c r="AF1195" s="6">
        <v>63</v>
      </c>
      <c r="AG1195" s="6"/>
      <c r="AH1195" s="7">
        <v>1</v>
      </c>
      <c r="AI1195" s="4"/>
      <c r="AJ1195" s="4">
        <f>=ROUNDDOWN({0},0)</f>
      </c>
      <c r="AK1195" s="5"/>
      <c r="AL1195" s="2" t="s">
        <v>233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233</v>
      </c>
      <c r="BD1195" s="8" t="s">
        <v>233</v>
      </c>
      <c r="BE1195" s="4" t="s">
        <v>233</v>
      </c>
      <c r="BF1195" s="8" t="s">
        <v>233</v>
      </c>
      <c r="BG1195" s="7" t="s">
        <v>233</v>
      </c>
      <c r="BH1195" s="7" t="s">
        <v>233</v>
      </c>
      <c r="BI1195" s="7"/>
      <c r="BJ1195" s="4">
        <v>2</v>
      </c>
      <c r="BK1195" s="8">
        <v>20.74</v>
      </c>
      <c r="BL1195" s="2" t="s">
        <v>744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5933</v>
      </c>
      <c r="BV1195" s="2" t="s">
        <v>233</v>
      </c>
      <c r="BW1195" s="2" t="s">
        <v>233</v>
      </c>
      <c r="BX1195" s="2" t="s">
        <v>243</v>
      </c>
      <c r="BY1195" s="2" t="s">
        <v>280</v>
      </c>
      <c r="BZ1195" s="2" t="s">
        <v>245</v>
      </c>
      <c r="CA1195" s="2" t="s">
        <v>4815</v>
      </c>
      <c r="CB1195" s="2" t="s">
        <v>233</v>
      </c>
      <c r="CC1195" s="2" t="s">
        <v>246</v>
      </c>
      <c r="CD1195" s="2" t="s">
        <v>233</v>
      </c>
      <c r="CE1195" s="4"/>
      <c r="CF1195" s="4">
        <v>65</v>
      </c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</row>
    <row r="1196">
      <c r="A1196" s="2" t="s">
        <v>5934</v>
      </c>
      <c r="B1196" s="2" t="s">
        <v>928</v>
      </c>
      <c r="C1196" s="2" t="s">
        <v>530</v>
      </c>
      <c r="D1196" s="2" t="s">
        <v>961</v>
      </c>
      <c r="E1196" s="2" t="s">
        <v>2028</v>
      </c>
      <c r="F1196" s="2" t="s">
        <v>5908</v>
      </c>
      <c r="G1196" s="2" t="s">
        <v>5908</v>
      </c>
      <c r="H1196" s="2" t="s">
        <v>5908</v>
      </c>
      <c r="I1196" s="2" t="s">
        <v>5935</v>
      </c>
      <c r="J1196" s="2" t="s">
        <v>892</v>
      </c>
      <c r="K1196" s="2" t="s">
        <v>5936</v>
      </c>
      <c r="L1196" s="3">
        <v>6.66</v>
      </c>
      <c r="M1196" s="3">
        <v>6.99</v>
      </c>
      <c r="N1196" s="3">
        <v>19.99</v>
      </c>
      <c r="O1196" s="2" t="s">
        <v>245</v>
      </c>
      <c r="P1196" s="2" t="s">
        <v>238</v>
      </c>
      <c r="Q1196" s="2" t="s">
        <v>239</v>
      </c>
      <c r="R1196" s="2" t="s">
        <v>233</v>
      </c>
      <c r="S1196" s="2" t="s">
        <v>233</v>
      </c>
      <c r="T1196" s="2" t="s">
        <v>233</v>
      </c>
      <c r="U1196" s="2" t="s">
        <v>396</v>
      </c>
      <c r="V1196" s="2" t="s">
        <v>2225</v>
      </c>
      <c r="W1196" s="2" t="s">
        <v>5911</v>
      </c>
      <c r="X1196" s="2" t="s">
        <v>275</v>
      </c>
      <c r="Y1196" s="2" t="s">
        <v>5912</v>
      </c>
      <c r="Z1196" s="4">
        <v>86</v>
      </c>
      <c r="AA1196" s="4">
        <f>=ROUNDDOWN(215,0)</f>
      </c>
      <c r="AB1196" s="5">
        <v>0.4</v>
      </c>
      <c r="AC1196" s="2" t="s">
        <v>233</v>
      </c>
      <c r="AD1196" s="4"/>
      <c r="AE1196" s="4"/>
      <c r="AF1196" s="6">
        <v>63</v>
      </c>
      <c r="AG1196" s="6"/>
      <c r="AH1196" s="7">
        <v>1</v>
      </c>
      <c r="AI1196" s="4"/>
      <c r="AJ1196" s="4">
        <f>=ROUNDDOWN({0},0)</f>
      </c>
      <c r="AK1196" s="5"/>
      <c r="AL1196" s="2" t="s">
        <v>233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233</v>
      </c>
      <c r="BD1196" s="8" t="s">
        <v>233</v>
      </c>
      <c r="BE1196" s="4" t="s">
        <v>233</v>
      </c>
      <c r="BF1196" s="8" t="s">
        <v>233</v>
      </c>
      <c r="BG1196" s="7" t="s">
        <v>233</v>
      </c>
      <c r="BH1196" s="7" t="s">
        <v>233</v>
      </c>
      <c r="BI1196" s="7"/>
      <c r="BJ1196" s="4">
        <v>2</v>
      </c>
      <c r="BK1196" s="8">
        <v>20.74</v>
      </c>
      <c r="BL1196" s="2" t="s">
        <v>744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5937</v>
      </c>
      <c r="BV1196" s="2" t="s">
        <v>233</v>
      </c>
      <c r="BW1196" s="2" t="s">
        <v>233</v>
      </c>
      <c r="BX1196" s="2" t="s">
        <v>243</v>
      </c>
      <c r="BY1196" s="2" t="s">
        <v>280</v>
      </c>
      <c r="BZ1196" s="2" t="s">
        <v>245</v>
      </c>
      <c r="CA1196" s="2" t="s">
        <v>4815</v>
      </c>
      <c r="CB1196" s="2" t="s">
        <v>233</v>
      </c>
      <c r="CC1196" s="2" t="s">
        <v>246</v>
      </c>
      <c r="CD1196" s="2" t="s">
        <v>233</v>
      </c>
      <c r="CE1196" s="4"/>
      <c r="CF1196" s="4">
        <v>86</v>
      </c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</row>
    <row r="1197">
      <c r="A1197" s="2" t="s">
        <v>5938</v>
      </c>
      <c r="B1197" s="2" t="s">
        <v>1242</v>
      </c>
      <c r="C1197" s="2" t="s">
        <v>701</v>
      </c>
      <c r="D1197" s="2" t="s">
        <v>1862</v>
      </c>
      <c r="E1197" s="2" t="s">
        <v>1863</v>
      </c>
      <c r="F1197" s="2" t="s">
        <v>5939</v>
      </c>
      <c r="G1197" s="2" t="s">
        <v>5939</v>
      </c>
      <c r="H1197" s="2" t="s">
        <v>5939</v>
      </c>
      <c r="I1197" s="2" t="s">
        <v>5940</v>
      </c>
      <c r="J1197" s="2" t="s">
        <v>1142</v>
      </c>
      <c r="K1197" s="2" t="s">
        <v>271</v>
      </c>
      <c r="L1197" s="3">
        <v>45.71</v>
      </c>
      <c r="M1197" s="3">
        <v>48</v>
      </c>
      <c r="N1197" s="3">
        <v>99.99</v>
      </c>
      <c r="O1197" s="2" t="s">
        <v>245</v>
      </c>
      <c r="P1197" s="2" t="s">
        <v>311</v>
      </c>
      <c r="Q1197" s="2" t="s">
        <v>239</v>
      </c>
      <c r="R1197" s="2" t="s">
        <v>233</v>
      </c>
      <c r="S1197" s="2" t="s">
        <v>5941</v>
      </c>
      <c r="T1197" s="2" t="s">
        <v>233</v>
      </c>
      <c r="U1197" s="2" t="s">
        <v>475</v>
      </c>
      <c r="V1197" s="2" t="s">
        <v>241</v>
      </c>
      <c r="W1197" s="2" t="s">
        <v>275</v>
      </c>
      <c r="X1197" s="2" t="s">
        <v>233</v>
      </c>
      <c r="Y1197" s="2" t="s">
        <v>1680</v>
      </c>
      <c r="Z1197" s="4">
        <v>15</v>
      </c>
      <c r="AA1197" s="4">
        <f>=ROUNDDOWN(3.75,0)</f>
      </c>
      <c r="AB1197" s="5">
        <v>4</v>
      </c>
      <c r="AC1197" s="2" t="s">
        <v>1492</v>
      </c>
      <c r="AD1197" s="4">
        <v>80</v>
      </c>
      <c r="AE1197" s="4">
        <v>150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233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233</v>
      </c>
      <c r="BD1197" s="8" t="s">
        <v>233</v>
      </c>
      <c r="BE1197" s="4" t="s">
        <v>233</v>
      </c>
      <c r="BF1197" s="8" t="s">
        <v>233</v>
      </c>
      <c r="BG1197" s="7" t="s">
        <v>233</v>
      </c>
      <c r="BH1197" s="7" t="s">
        <v>233</v>
      </c>
      <c r="BI1197" s="7"/>
      <c r="BJ1197" s="4">
        <v>18</v>
      </c>
      <c r="BK1197" s="8">
        <v>901.12</v>
      </c>
      <c r="BL1197" s="2" t="s">
        <v>5942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5943</v>
      </c>
      <c r="BV1197" s="2" t="s">
        <v>233</v>
      </c>
      <c r="BW1197" s="2" t="s">
        <v>233</v>
      </c>
      <c r="BX1197" s="2" t="s">
        <v>233</v>
      </c>
      <c r="BY1197" s="2" t="s">
        <v>280</v>
      </c>
      <c r="BZ1197" s="2" t="s">
        <v>245</v>
      </c>
      <c r="CA1197" s="2" t="s">
        <v>1683</v>
      </c>
      <c r="CB1197" s="2" t="s">
        <v>5406</v>
      </c>
      <c r="CC1197" s="2" t="s">
        <v>246</v>
      </c>
      <c r="CD1197" s="2" t="s">
        <v>233</v>
      </c>
      <c r="CE1197" s="4">
        <v>15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>
        <v>80</v>
      </c>
      <c r="EA1197" s="4"/>
      <c r="EB1197" s="4"/>
      <c r="EC1197" s="4"/>
      <c r="ED1197" s="4"/>
      <c r="EE1197" s="4"/>
      <c r="EF1197" s="4"/>
      <c r="EG1197" s="4">
        <v>70</v>
      </c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</row>
    <row r="1198">
      <c r="A1198" s="2" t="s">
        <v>5944</v>
      </c>
      <c r="B1198" s="2" t="s">
        <v>1242</v>
      </c>
      <c r="C1198" s="2" t="s">
        <v>701</v>
      </c>
      <c r="D1198" s="2" t="s">
        <v>1862</v>
      </c>
      <c r="E1198" s="2" t="s">
        <v>1863</v>
      </c>
      <c r="F1198" s="2" t="s">
        <v>5939</v>
      </c>
      <c r="G1198" s="2" t="s">
        <v>5939</v>
      </c>
      <c r="H1198" s="2" t="s">
        <v>5939</v>
      </c>
      <c r="I1198" s="2" t="s">
        <v>5940</v>
      </c>
      <c r="J1198" s="2" t="s">
        <v>981</v>
      </c>
      <c r="K1198" s="2" t="s">
        <v>1537</v>
      </c>
      <c r="L1198" s="3">
        <v>41.14</v>
      </c>
      <c r="M1198" s="3">
        <v>43.2</v>
      </c>
      <c r="N1198" s="3">
        <v>89.99</v>
      </c>
      <c r="O1198" s="2" t="s">
        <v>245</v>
      </c>
      <c r="P1198" s="2" t="s">
        <v>311</v>
      </c>
      <c r="Q1198" s="2" t="s">
        <v>239</v>
      </c>
      <c r="R1198" s="2" t="s">
        <v>233</v>
      </c>
      <c r="S1198" s="2" t="s">
        <v>5945</v>
      </c>
      <c r="T1198" s="2" t="s">
        <v>233</v>
      </c>
      <c r="U1198" s="2" t="s">
        <v>475</v>
      </c>
      <c r="V1198" s="2" t="s">
        <v>241</v>
      </c>
      <c r="W1198" s="2" t="s">
        <v>275</v>
      </c>
      <c r="X1198" s="2" t="s">
        <v>233</v>
      </c>
      <c r="Y1198" s="2" t="s">
        <v>1680</v>
      </c>
      <c r="Z1198" s="4">
        <v>103</v>
      </c>
      <c r="AA1198" s="4">
        <f>=ROUNDDOWN(51.5,0)</f>
      </c>
      <c r="AB1198" s="5">
        <v>2</v>
      </c>
      <c r="AC1198" s="2" t="s">
        <v>233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233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233</v>
      </c>
      <c r="AW1198" s="8" t="s">
        <v>233</v>
      </c>
      <c r="AX1198" s="4" t="s">
        <v>233</v>
      </c>
      <c r="AY1198" s="8" t="s">
        <v>233</v>
      </c>
      <c r="AZ1198" s="7" t="s">
        <v>233</v>
      </c>
      <c r="BA1198" s="7" t="s">
        <v>233</v>
      </c>
      <c r="BB1198" s="7"/>
      <c r="BC1198" s="4" t="s">
        <v>233</v>
      </c>
      <c r="BD1198" s="8" t="s">
        <v>233</v>
      </c>
      <c r="BE1198" s="4" t="s">
        <v>233</v>
      </c>
      <c r="BF1198" s="8" t="s">
        <v>233</v>
      </c>
      <c r="BG1198" s="7" t="s">
        <v>233</v>
      </c>
      <c r="BH1198" s="7" t="s">
        <v>233</v>
      </c>
      <c r="BI1198" s="7"/>
      <c r="BJ1198" s="4">
        <v>2</v>
      </c>
      <c r="BK1198" s="8">
        <v>77.76</v>
      </c>
      <c r="BL1198" s="2" t="s">
        <v>5814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5946</v>
      </c>
      <c r="BV1198" s="2" t="s">
        <v>233</v>
      </c>
      <c r="BW1198" s="2" t="s">
        <v>233</v>
      </c>
      <c r="BX1198" s="2" t="s">
        <v>233</v>
      </c>
      <c r="BY1198" s="2" t="s">
        <v>280</v>
      </c>
      <c r="BZ1198" s="2" t="s">
        <v>245</v>
      </c>
      <c r="CA1198" s="2" t="s">
        <v>1683</v>
      </c>
      <c r="CB1198" s="2" t="s">
        <v>5947</v>
      </c>
      <c r="CC1198" s="2" t="s">
        <v>246</v>
      </c>
      <c r="CD1198" s="2" t="s">
        <v>233</v>
      </c>
      <c r="CE1198" s="4">
        <v>103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</row>
    <row r="1199">
      <c r="A1199" s="2" t="s">
        <v>5948</v>
      </c>
      <c r="B1199" s="2" t="s">
        <v>1242</v>
      </c>
      <c r="C1199" s="2" t="s">
        <v>701</v>
      </c>
      <c r="D1199" s="2" t="s">
        <v>1862</v>
      </c>
      <c r="E1199" s="2" t="s">
        <v>1863</v>
      </c>
      <c r="F1199" s="2" t="s">
        <v>5939</v>
      </c>
      <c r="G1199" s="2" t="s">
        <v>5939</v>
      </c>
      <c r="H1199" s="2" t="s">
        <v>5939</v>
      </c>
      <c r="I1199" s="2" t="s">
        <v>5940</v>
      </c>
      <c r="J1199" s="2" t="s">
        <v>1142</v>
      </c>
      <c r="K1199" s="2" t="s">
        <v>1537</v>
      </c>
      <c r="L1199" s="3">
        <v>45.71</v>
      </c>
      <c r="M1199" s="3">
        <v>48</v>
      </c>
      <c r="N1199" s="3">
        <v>99.99</v>
      </c>
      <c r="O1199" s="2" t="s">
        <v>245</v>
      </c>
      <c r="P1199" s="2" t="s">
        <v>311</v>
      </c>
      <c r="Q1199" s="2" t="s">
        <v>239</v>
      </c>
      <c r="R1199" s="2" t="s">
        <v>233</v>
      </c>
      <c r="S1199" s="2" t="s">
        <v>5945</v>
      </c>
      <c r="T1199" s="2" t="s">
        <v>233</v>
      </c>
      <c r="U1199" s="2" t="s">
        <v>475</v>
      </c>
      <c r="V1199" s="2" t="s">
        <v>241</v>
      </c>
      <c r="W1199" s="2" t="s">
        <v>275</v>
      </c>
      <c r="X1199" s="2" t="s">
        <v>233</v>
      </c>
      <c r="Y1199" s="2" t="s">
        <v>1680</v>
      </c>
      <c r="Z1199" s="4">
        <v>54</v>
      </c>
      <c r="AA1199" s="4">
        <f>=ROUNDDOWN(18,0)</f>
      </c>
      <c r="AB1199" s="5">
        <v>3</v>
      </c>
      <c r="AC1199" s="2" t="s">
        <v>233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233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233</v>
      </c>
      <c r="AW1199" s="8" t="s">
        <v>233</v>
      </c>
      <c r="AX1199" s="4" t="s">
        <v>233</v>
      </c>
      <c r="AY1199" s="8" t="s">
        <v>233</v>
      </c>
      <c r="AZ1199" s="7" t="s">
        <v>233</v>
      </c>
      <c r="BA1199" s="7" t="s">
        <v>233</v>
      </c>
      <c r="BB1199" s="7"/>
      <c r="BC1199" s="4" t="s">
        <v>233</v>
      </c>
      <c r="BD1199" s="8" t="s">
        <v>233</v>
      </c>
      <c r="BE1199" s="4" t="s">
        <v>233</v>
      </c>
      <c r="BF1199" s="8" t="s">
        <v>233</v>
      </c>
      <c r="BG1199" s="7" t="s">
        <v>233</v>
      </c>
      <c r="BH1199" s="7" t="s">
        <v>233</v>
      </c>
      <c r="BI1199" s="7"/>
      <c r="BJ1199" s="4">
        <v>16</v>
      </c>
      <c r="BK1199" s="8">
        <v>840.21</v>
      </c>
      <c r="BL1199" s="2" t="s">
        <v>814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5949</v>
      </c>
      <c r="BV1199" s="2" t="s">
        <v>233</v>
      </c>
      <c r="BW1199" s="2" t="s">
        <v>233</v>
      </c>
      <c r="BX1199" s="2" t="s">
        <v>233</v>
      </c>
      <c r="BY1199" s="2" t="s">
        <v>280</v>
      </c>
      <c r="BZ1199" s="2" t="s">
        <v>245</v>
      </c>
      <c r="CA1199" s="2" t="s">
        <v>1683</v>
      </c>
      <c r="CB1199" s="2" t="s">
        <v>5950</v>
      </c>
      <c r="CC1199" s="2" t="s">
        <v>246</v>
      </c>
      <c r="CD1199" s="2" t="s">
        <v>233</v>
      </c>
      <c r="CE1199" s="4">
        <v>54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</row>
    <row r="1200">
      <c r="A1200" s="2" t="s">
        <v>5951</v>
      </c>
      <c r="B1200" s="2" t="s">
        <v>910</v>
      </c>
      <c r="C1200" s="2" t="s">
        <v>911</v>
      </c>
      <c r="D1200" s="2" t="s">
        <v>969</v>
      </c>
      <c r="E1200" s="2" t="s">
        <v>1078</v>
      </c>
      <c r="F1200" s="2" t="s">
        <v>5952</v>
      </c>
      <c r="G1200" s="2" t="s">
        <v>5953</v>
      </c>
      <c r="H1200" s="2" t="s">
        <v>5954</v>
      </c>
      <c r="I1200" s="2" t="s">
        <v>5955</v>
      </c>
      <c r="J1200" s="2" t="s">
        <v>918</v>
      </c>
      <c r="K1200" s="2" t="s">
        <v>449</v>
      </c>
      <c r="L1200" s="3">
        <v>23.8</v>
      </c>
      <c r="M1200" s="3">
        <v>24.99</v>
      </c>
      <c r="N1200" s="3">
        <v>49.99</v>
      </c>
      <c r="O1200" s="2" t="s">
        <v>245</v>
      </c>
      <c r="P1200" s="2" t="s">
        <v>238</v>
      </c>
      <c r="Q1200" s="2" t="s">
        <v>239</v>
      </c>
      <c r="R1200" s="2" t="s">
        <v>233</v>
      </c>
      <c r="S1200" s="2" t="s">
        <v>5956</v>
      </c>
      <c r="T1200" s="2" t="s">
        <v>395</v>
      </c>
      <c r="U1200" s="2" t="s">
        <v>475</v>
      </c>
      <c r="V1200" s="2" t="s">
        <v>379</v>
      </c>
      <c r="W1200" s="2" t="s">
        <v>275</v>
      </c>
      <c r="X1200" s="2" t="s">
        <v>233</v>
      </c>
      <c r="Y1200" s="2" t="s">
        <v>1485</v>
      </c>
      <c r="Z1200" s="4">
        <v>106</v>
      </c>
      <c r="AA1200" s="4">
        <f>=ROUNDDOWN(132.5,0)</f>
      </c>
      <c r="AB1200" s="5">
        <v>0.8</v>
      </c>
      <c r="AC1200" s="2" t="s">
        <v>1492</v>
      </c>
      <c r="AD1200" s="4">
        <v>120</v>
      </c>
      <c r="AE1200" s="4">
        <v>120</v>
      </c>
      <c r="AF1200" s="6">
        <v>64</v>
      </c>
      <c r="AG1200" s="6"/>
      <c r="AH1200" s="7">
        <v>1</v>
      </c>
      <c r="AI1200" s="4"/>
      <c r="AJ1200" s="4">
        <f>=ROUNDDOWN({0},0)</f>
      </c>
      <c r="AK1200" s="5"/>
      <c r="AL1200" s="2" t="s">
        <v>233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233</v>
      </c>
      <c r="AW1200" s="8" t="s">
        <v>233</v>
      </c>
      <c r="AX1200" s="4" t="s">
        <v>233</v>
      </c>
      <c r="AY1200" s="8" t="s">
        <v>233</v>
      </c>
      <c r="AZ1200" s="7" t="s">
        <v>233</v>
      </c>
      <c r="BA1200" s="7" t="s">
        <v>233</v>
      </c>
      <c r="BB1200" s="7"/>
      <c r="BC1200" s="4" t="s">
        <v>233</v>
      </c>
      <c r="BD1200" s="8" t="s">
        <v>233</v>
      </c>
      <c r="BE1200" s="4" t="s">
        <v>233</v>
      </c>
      <c r="BF1200" s="8" t="s">
        <v>233</v>
      </c>
      <c r="BG1200" s="7" t="s">
        <v>233</v>
      </c>
      <c r="BH1200" s="7" t="s">
        <v>233</v>
      </c>
      <c r="BI1200" s="7"/>
      <c r="BJ1200" s="4">
        <v>10</v>
      </c>
      <c r="BK1200" s="8">
        <v>249.9</v>
      </c>
      <c r="BL1200" s="2" t="s">
        <v>744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5957</v>
      </c>
      <c r="BV1200" s="2" t="s">
        <v>233</v>
      </c>
      <c r="BW1200" s="2" t="s">
        <v>233</v>
      </c>
      <c r="BX1200" s="2" t="s">
        <v>243</v>
      </c>
      <c r="BY1200" s="2" t="s">
        <v>280</v>
      </c>
      <c r="BZ1200" s="2" t="s">
        <v>245</v>
      </c>
      <c r="CA1200" s="2" t="s">
        <v>3257</v>
      </c>
      <c r="CB1200" s="2" t="s">
        <v>233</v>
      </c>
      <c r="CC1200" s="2" t="s">
        <v>246</v>
      </c>
      <c r="CD1200" s="2" t="s">
        <v>233</v>
      </c>
      <c r="CE1200" s="4">
        <v>102</v>
      </c>
      <c r="CF1200" s="4">
        <v>4</v>
      </c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>
        <v>120</v>
      </c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</row>
    <row r="1201">
      <c r="A1201" s="2" t="s">
        <v>5958</v>
      </c>
      <c r="B1201" s="2" t="s">
        <v>910</v>
      </c>
      <c r="C1201" s="2" t="s">
        <v>911</v>
      </c>
      <c r="D1201" s="2" t="s">
        <v>969</v>
      </c>
      <c r="E1201" s="2" t="s">
        <v>1078</v>
      </c>
      <c r="F1201" s="2" t="s">
        <v>5952</v>
      </c>
      <c r="G1201" s="2" t="s">
        <v>5953</v>
      </c>
      <c r="H1201" s="2" t="s">
        <v>5954</v>
      </c>
      <c r="I1201" s="2" t="s">
        <v>5955</v>
      </c>
      <c r="J1201" s="2" t="s">
        <v>981</v>
      </c>
      <c r="K1201" s="2" t="s">
        <v>449</v>
      </c>
      <c r="L1201" s="3">
        <v>28.57</v>
      </c>
      <c r="M1201" s="3">
        <v>30</v>
      </c>
      <c r="N1201" s="3">
        <v>59.99</v>
      </c>
      <c r="O1201" s="2" t="s">
        <v>245</v>
      </c>
      <c r="P1201" s="2" t="s">
        <v>238</v>
      </c>
      <c r="Q1201" s="2" t="s">
        <v>239</v>
      </c>
      <c r="R1201" s="2" t="s">
        <v>233</v>
      </c>
      <c r="S1201" s="2" t="s">
        <v>5956</v>
      </c>
      <c r="T1201" s="2" t="s">
        <v>395</v>
      </c>
      <c r="U1201" s="2" t="s">
        <v>342</v>
      </c>
      <c r="V1201" s="2" t="s">
        <v>379</v>
      </c>
      <c r="W1201" s="2" t="s">
        <v>275</v>
      </c>
      <c r="X1201" s="2" t="s">
        <v>233</v>
      </c>
      <c r="Y1201" s="2" t="s">
        <v>1580</v>
      </c>
      <c r="Z1201" s="4">
        <v>166</v>
      </c>
      <c r="AA1201" s="4">
        <f>=ROUNDDOWN(207.5,0)</f>
      </c>
      <c r="AB1201" s="5">
        <v>0.8</v>
      </c>
      <c r="AC1201" s="2" t="s">
        <v>1492</v>
      </c>
      <c r="AD1201" s="4">
        <v>180</v>
      </c>
      <c r="AE1201" s="4">
        <v>180</v>
      </c>
      <c r="AF1201" s="6">
        <v>64</v>
      </c>
      <c r="AG1201" s="6"/>
      <c r="AH1201" s="7">
        <v>1</v>
      </c>
      <c r="AI1201" s="4"/>
      <c r="AJ1201" s="4">
        <f>=ROUNDDOWN({0},0)</f>
      </c>
      <c r="AK1201" s="5"/>
      <c r="AL1201" s="2" t="s">
        <v>233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233</v>
      </c>
      <c r="AW1201" s="8" t="s">
        <v>233</v>
      </c>
      <c r="AX1201" s="4" t="s">
        <v>233</v>
      </c>
      <c r="AY1201" s="8" t="s">
        <v>233</v>
      </c>
      <c r="AZ1201" s="7" t="s">
        <v>233</v>
      </c>
      <c r="BA1201" s="7" t="s">
        <v>233</v>
      </c>
      <c r="BB1201" s="7"/>
      <c r="BC1201" s="4" t="s">
        <v>233</v>
      </c>
      <c r="BD1201" s="8" t="s">
        <v>233</v>
      </c>
      <c r="BE1201" s="4" t="s">
        <v>233</v>
      </c>
      <c r="BF1201" s="8" t="s">
        <v>233</v>
      </c>
      <c r="BG1201" s="7" t="s">
        <v>233</v>
      </c>
      <c r="BH1201" s="7" t="s">
        <v>233</v>
      </c>
      <c r="BI1201" s="7"/>
      <c r="BJ1201" s="4">
        <v>10</v>
      </c>
      <c r="BK1201" s="8">
        <v>300</v>
      </c>
      <c r="BL1201" s="2" t="s">
        <v>744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5959</v>
      </c>
      <c r="BV1201" s="2" t="s">
        <v>233</v>
      </c>
      <c r="BW1201" s="2" t="s">
        <v>233</v>
      </c>
      <c r="BX1201" s="2" t="s">
        <v>243</v>
      </c>
      <c r="BY1201" s="2" t="s">
        <v>280</v>
      </c>
      <c r="BZ1201" s="2" t="s">
        <v>245</v>
      </c>
      <c r="CA1201" s="2" t="s">
        <v>3257</v>
      </c>
      <c r="CB1201" s="2" t="s">
        <v>233</v>
      </c>
      <c r="CC1201" s="2" t="s">
        <v>246</v>
      </c>
      <c r="CD1201" s="2" t="s">
        <v>233</v>
      </c>
      <c r="CE1201" s="4">
        <v>162</v>
      </c>
      <c r="CF1201" s="4">
        <v>4</v>
      </c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>
        <v>180</v>
      </c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</row>
    <row r="1202">
      <c r="A1202" s="2" t="s">
        <v>5960</v>
      </c>
      <c r="B1202" s="2" t="s">
        <v>886</v>
      </c>
      <c r="C1202" s="2" t="s">
        <v>1157</v>
      </c>
      <c r="D1202" s="2" t="s">
        <v>1167</v>
      </c>
      <c r="E1202" s="2" t="s">
        <v>1168</v>
      </c>
      <c r="F1202" s="2" t="s">
        <v>5961</v>
      </c>
      <c r="G1202" s="2" t="s">
        <v>5961</v>
      </c>
      <c r="H1202" s="2" t="s">
        <v>5961</v>
      </c>
      <c r="I1202" s="2" t="s">
        <v>5962</v>
      </c>
      <c r="J1202" s="2" t="s">
        <v>892</v>
      </c>
      <c r="K1202" s="2" t="s">
        <v>297</v>
      </c>
      <c r="L1202" s="3">
        <v>26.46</v>
      </c>
      <c r="M1202" s="3">
        <v>27.78</v>
      </c>
      <c r="N1202" s="3">
        <v>59.99</v>
      </c>
      <c r="O1202" s="2" t="s">
        <v>245</v>
      </c>
      <c r="P1202" s="2" t="s">
        <v>763</v>
      </c>
      <c r="Q1202" s="2" t="s">
        <v>239</v>
      </c>
      <c r="R1202" s="2" t="s">
        <v>233</v>
      </c>
      <c r="S1202" s="2" t="s">
        <v>233</v>
      </c>
      <c r="T1202" s="2" t="s">
        <v>233</v>
      </c>
      <c r="U1202" s="2" t="s">
        <v>233</v>
      </c>
      <c r="V1202" s="2" t="s">
        <v>241</v>
      </c>
      <c r="W1202" s="2" t="s">
        <v>275</v>
      </c>
      <c r="X1202" s="2" t="s">
        <v>233</v>
      </c>
      <c r="Y1202" s="2" t="s">
        <v>5963</v>
      </c>
      <c r="Z1202" s="4">
        <v>174</v>
      </c>
      <c r="AA1202" s="4">
        <f>=ROUNDDOWN(17.4,0)</f>
      </c>
      <c r="AB1202" s="5">
        <v>10</v>
      </c>
      <c r="AC1202" s="2" t="s">
        <v>5964</v>
      </c>
      <c r="AD1202" s="4">
        <v>150</v>
      </c>
      <c r="AE1202" s="4">
        <v>150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233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>
        <v>27</v>
      </c>
      <c r="BK1202" s="8">
        <v>830.48</v>
      </c>
      <c r="BL1202" s="2" t="s">
        <v>5965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5966</v>
      </c>
      <c r="BV1202" s="2" t="s">
        <v>233</v>
      </c>
      <c r="BW1202" s="2" t="s">
        <v>233</v>
      </c>
      <c r="BX1202" s="2" t="s">
        <v>233</v>
      </c>
      <c r="BY1202" s="2" t="s">
        <v>280</v>
      </c>
      <c r="BZ1202" s="2" t="s">
        <v>245</v>
      </c>
      <c r="CA1202" s="2" t="s">
        <v>5967</v>
      </c>
      <c r="CB1202" s="2" t="s">
        <v>5968</v>
      </c>
      <c r="CC1202" s="2" t="s">
        <v>246</v>
      </c>
      <c r="CD1202" s="2" t="s">
        <v>233</v>
      </c>
      <c r="CE1202" s="4"/>
      <c r="CF1202" s="4">
        <v>174</v>
      </c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>
        <v>150</v>
      </c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</row>
    <row r="1203">
      <c r="A1203" s="2" t="s">
        <v>5969</v>
      </c>
      <c r="B1203" s="2" t="s">
        <v>264</v>
      </c>
      <c r="C1203" s="2" t="s">
        <v>1050</v>
      </c>
      <c r="D1203" s="2" t="s">
        <v>1616</v>
      </c>
      <c r="E1203" s="2" t="s">
        <v>3058</v>
      </c>
      <c r="F1203" s="2" t="s">
        <v>5970</v>
      </c>
      <c r="G1203" s="2" t="s">
        <v>5970</v>
      </c>
      <c r="H1203" s="2" t="s">
        <v>5970</v>
      </c>
      <c r="I1203" s="2" t="s">
        <v>5971</v>
      </c>
      <c r="J1203" s="2" t="s">
        <v>5972</v>
      </c>
      <c r="K1203" s="2" t="s">
        <v>255</v>
      </c>
      <c r="L1203" s="3">
        <v>25.14</v>
      </c>
      <c r="M1203" s="3">
        <v>26.4</v>
      </c>
      <c r="N1203" s="3">
        <v>54.99</v>
      </c>
      <c r="O1203" s="2" t="s">
        <v>245</v>
      </c>
      <c r="P1203" s="2" t="s">
        <v>741</v>
      </c>
      <c r="Q1203" s="2" t="s">
        <v>239</v>
      </c>
      <c r="R1203" s="2" t="s">
        <v>233</v>
      </c>
      <c r="S1203" s="2" t="s">
        <v>5973</v>
      </c>
      <c r="T1203" s="2" t="s">
        <v>233</v>
      </c>
      <c r="U1203" s="2" t="s">
        <v>233</v>
      </c>
      <c r="V1203" s="2" t="s">
        <v>241</v>
      </c>
      <c r="W1203" s="2" t="s">
        <v>275</v>
      </c>
      <c r="X1203" s="2" t="s">
        <v>233</v>
      </c>
      <c r="Y1203" s="2" t="s">
        <v>1357</v>
      </c>
      <c r="Z1203" s="4">
        <v>400</v>
      </c>
      <c r="AA1203" s="4">
        <f>=ROUNDDOWN(36.3636363636364,0)</f>
      </c>
      <c r="AB1203" s="5">
        <v>11</v>
      </c>
      <c r="AC1203" s="2" t="s">
        <v>2766</v>
      </c>
      <c r="AD1203" s="4">
        <v>400</v>
      </c>
      <c r="AE1203" s="4">
        <v>400</v>
      </c>
      <c r="AF1203" s="6">
        <v>65</v>
      </c>
      <c r="AG1203" s="6"/>
      <c r="AH1203" s="7">
        <v>0.0968</v>
      </c>
      <c r="AI1203" s="4"/>
      <c r="AJ1203" s="4">
        <f>=ROUNDDOWN({0},0)</f>
      </c>
      <c r="AK1203" s="5"/>
      <c r="AL1203" s="2" t="s">
        <v>233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 t="s">
        <v>233</v>
      </c>
      <c r="BD1203" s="8" t="s">
        <v>233</v>
      </c>
      <c r="BE1203" s="4" t="s">
        <v>233</v>
      </c>
      <c r="BF1203" s="8" t="s">
        <v>233</v>
      </c>
      <c r="BG1203" s="7" t="s">
        <v>233</v>
      </c>
      <c r="BH1203" s="7" t="s">
        <v>233</v>
      </c>
      <c r="BI1203" s="7"/>
      <c r="BJ1203" s="4"/>
      <c r="BK1203" s="8"/>
      <c r="BL1203" s="2" t="s">
        <v>5974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5975</v>
      </c>
      <c r="BV1203" s="2" t="s">
        <v>233</v>
      </c>
      <c r="BW1203" s="2" t="s">
        <v>233</v>
      </c>
      <c r="BX1203" s="2" t="s">
        <v>243</v>
      </c>
      <c r="BY1203" s="2" t="s">
        <v>280</v>
      </c>
      <c r="BZ1203" s="2" t="s">
        <v>245</v>
      </c>
      <c r="CA1203" s="2" t="s">
        <v>3465</v>
      </c>
      <c r="CB1203" s="2" t="s">
        <v>1911</v>
      </c>
      <c r="CC1203" s="2" t="s">
        <v>246</v>
      </c>
      <c r="CD1203" s="2" t="s">
        <v>233</v>
      </c>
      <c r="CE1203" s="4">
        <v>400</v>
      </c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>
        <v>400</v>
      </c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</row>
    <row r="1204">
      <c r="A1204" s="2" t="s">
        <v>5976</v>
      </c>
      <c r="B1204" s="2" t="s">
        <v>264</v>
      </c>
      <c r="C1204" s="2" t="s">
        <v>1050</v>
      </c>
      <c r="D1204" s="2" t="s">
        <v>1616</v>
      </c>
      <c r="E1204" s="2" t="s">
        <v>3058</v>
      </c>
      <c r="F1204" s="2" t="s">
        <v>5970</v>
      </c>
      <c r="G1204" s="2" t="s">
        <v>5970</v>
      </c>
      <c r="H1204" s="2" t="s">
        <v>5970</v>
      </c>
      <c r="I1204" s="2" t="s">
        <v>5971</v>
      </c>
      <c r="J1204" s="2" t="s">
        <v>5972</v>
      </c>
      <c r="K1204" s="2" t="s">
        <v>2475</v>
      </c>
      <c r="L1204" s="3">
        <v>25.14</v>
      </c>
      <c r="M1204" s="3">
        <v>26.4</v>
      </c>
      <c r="N1204" s="3">
        <v>54.99</v>
      </c>
      <c r="O1204" s="2" t="s">
        <v>245</v>
      </c>
      <c r="P1204" s="2" t="s">
        <v>272</v>
      </c>
      <c r="Q1204" s="2" t="s">
        <v>239</v>
      </c>
      <c r="R1204" s="2" t="s">
        <v>233</v>
      </c>
      <c r="S1204" s="2" t="s">
        <v>5977</v>
      </c>
      <c r="T1204" s="2" t="s">
        <v>233</v>
      </c>
      <c r="U1204" s="2" t="s">
        <v>233</v>
      </c>
      <c r="V1204" s="2" t="s">
        <v>241</v>
      </c>
      <c r="W1204" s="2" t="s">
        <v>275</v>
      </c>
      <c r="X1204" s="2" t="s">
        <v>233</v>
      </c>
      <c r="Y1204" s="2" t="s">
        <v>1357</v>
      </c>
      <c r="Z1204" s="4">
        <v>294</v>
      </c>
      <c r="AA1204" s="4">
        <f>=ROUNDDOWN(42,0)</f>
      </c>
      <c r="AB1204" s="5">
        <v>7</v>
      </c>
      <c r="AC1204" s="2" t="s">
        <v>2766</v>
      </c>
      <c r="AD1204" s="4">
        <v>300</v>
      </c>
      <c r="AE1204" s="4">
        <v>300</v>
      </c>
      <c r="AF1204" s="6">
        <v>65</v>
      </c>
      <c r="AG1204" s="6"/>
      <c r="AH1204" s="7">
        <v>0.0645</v>
      </c>
      <c r="AI1204" s="4"/>
      <c r="AJ1204" s="4">
        <f>=ROUNDDOWN({0},0)</f>
      </c>
      <c r="AK1204" s="5"/>
      <c r="AL1204" s="2" t="s">
        <v>233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233</v>
      </c>
      <c r="BD1204" s="8" t="s">
        <v>233</v>
      </c>
      <c r="BE1204" s="4" t="s">
        <v>233</v>
      </c>
      <c r="BF1204" s="8" t="s">
        <v>233</v>
      </c>
      <c r="BG1204" s="7" t="s">
        <v>233</v>
      </c>
      <c r="BH1204" s="7" t="s">
        <v>233</v>
      </c>
      <c r="BI1204" s="7"/>
      <c r="BJ1204" s="4"/>
      <c r="BK1204" s="8"/>
      <c r="BL1204" s="2" t="s">
        <v>5978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5979</v>
      </c>
      <c r="BV1204" s="2" t="s">
        <v>233</v>
      </c>
      <c r="BW1204" s="2" t="s">
        <v>233</v>
      </c>
      <c r="BX1204" s="2" t="s">
        <v>233</v>
      </c>
      <c r="BY1204" s="2" t="s">
        <v>280</v>
      </c>
      <c r="BZ1204" s="2" t="s">
        <v>245</v>
      </c>
      <c r="CA1204" s="2" t="s">
        <v>3465</v>
      </c>
      <c r="CB1204" s="2" t="s">
        <v>1500</v>
      </c>
      <c r="CC1204" s="2" t="s">
        <v>246</v>
      </c>
      <c r="CD1204" s="2" t="s">
        <v>233</v>
      </c>
      <c r="CE1204" s="4">
        <v>294</v>
      </c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>
        <v>300</v>
      </c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</row>
    <row r="1205">
      <c r="A1205" s="2" t="s">
        <v>5980</v>
      </c>
      <c r="B1205" s="2" t="s">
        <v>264</v>
      </c>
      <c r="C1205" s="2" t="s">
        <v>1050</v>
      </c>
      <c r="D1205" s="2" t="s">
        <v>1616</v>
      </c>
      <c r="E1205" s="2" t="s">
        <v>3058</v>
      </c>
      <c r="F1205" s="2" t="s">
        <v>5970</v>
      </c>
      <c r="G1205" s="2" t="s">
        <v>5970</v>
      </c>
      <c r="H1205" s="2" t="s">
        <v>5970</v>
      </c>
      <c r="I1205" s="2" t="s">
        <v>5971</v>
      </c>
      <c r="J1205" s="2" t="s">
        <v>5972</v>
      </c>
      <c r="K1205" s="2" t="s">
        <v>1561</v>
      </c>
      <c r="L1205" s="3">
        <v>25.14</v>
      </c>
      <c r="M1205" s="3">
        <v>26.4</v>
      </c>
      <c r="N1205" s="3">
        <v>54.99</v>
      </c>
      <c r="O1205" s="2" t="s">
        <v>245</v>
      </c>
      <c r="P1205" s="2" t="s">
        <v>272</v>
      </c>
      <c r="Q1205" s="2" t="s">
        <v>239</v>
      </c>
      <c r="R1205" s="2" t="s">
        <v>233</v>
      </c>
      <c r="S1205" s="2" t="s">
        <v>5981</v>
      </c>
      <c r="T1205" s="2" t="s">
        <v>233</v>
      </c>
      <c r="U1205" s="2" t="s">
        <v>233</v>
      </c>
      <c r="V1205" s="2" t="s">
        <v>241</v>
      </c>
      <c r="W1205" s="2" t="s">
        <v>275</v>
      </c>
      <c r="X1205" s="2" t="s">
        <v>233</v>
      </c>
      <c r="Y1205" s="2" t="s">
        <v>1357</v>
      </c>
      <c r="Z1205" s="4">
        <v>185</v>
      </c>
      <c r="AA1205" s="4">
        <f>=ROUNDDOWN(37,0)</f>
      </c>
      <c r="AB1205" s="5">
        <v>5</v>
      </c>
      <c r="AC1205" s="2" t="s">
        <v>2766</v>
      </c>
      <c r="AD1205" s="4">
        <v>600</v>
      </c>
      <c r="AE1205" s="4">
        <v>600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233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 t="s">
        <v>233</v>
      </c>
      <c r="BD1205" s="8" t="s">
        <v>233</v>
      </c>
      <c r="BE1205" s="4" t="s">
        <v>233</v>
      </c>
      <c r="BF1205" s="8" t="s">
        <v>233</v>
      </c>
      <c r="BG1205" s="7" t="s">
        <v>233</v>
      </c>
      <c r="BH1205" s="7" t="s">
        <v>233</v>
      </c>
      <c r="BI1205" s="7"/>
      <c r="BJ1205" s="4">
        <v>3</v>
      </c>
      <c r="BK1205" s="8">
        <v>80.52</v>
      </c>
      <c r="BL1205" s="2" t="s">
        <v>5982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5983</v>
      </c>
      <c r="BV1205" s="2" t="s">
        <v>233</v>
      </c>
      <c r="BW1205" s="2" t="s">
        <v>233</v>
      </c>
      <c r="BX1205" s="2" t="s">
        <v>233</v>
      </c>
      <c r="BY1205" s="2" t="s">
        <v>280</v>
      </c>
      <c r="BZ1205" s="2" t="s">
        <v>245</v>
      </c>
      <c r="CA1205" s="2" t="s">
        <v>3465</v>
      </c>
      <c r="CB1205" s="2" t="s">
        <v>908</v>
      </c>
      <c r="CC1205" s="2" t="s">
        <v>246</v>
      </c>
      <c r="CD1205" s="2" t="s">
        <v>233</v>
      </c>
      <c r="CE1205" s="4">
        <v>185</v>
      </c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>
        <v>600</v>
      </c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</row>
    <row r="1206">
      <c r="A1206" s="2" t="s">
        <v>5984</v>
      </c>
      <c r="B1206" s="2" t="s">
        <v>1414</v>
      </c>
      <c r="C1206" s="2" t="s">
        <v>530</v>
      </c>
      <c r="D1206" s="2" t="s">
        <v>1414</v>
      </c>
      <c r="E1206" s="2" t="s">
        <v>1414</v>
      </c>
      <c r="F1206" s="2" t="s">
        <v>5985</v>
      </c>
      <c r="G1206" s="2" t="s">
        <v>5986</v>
      </c>
      <c r="H1206" s="2" t="s">
        <v>5987</v>
      </c>
      <c r="I1206" s="2" t="s">
        <v>5988</v>
      </c>
      <c r="J1206" s="2" t="s">
        <v>1418</v>
      </c>
      <c r="K1206" s="2" t="s">
        <v>5989</v>
      </c>
      <c r="L1206" s="3">
        <v>65.45</v>
      </c>
      <c r="M1206" s="3">
        <v>68.72</v>
      </c>
      <c r="N1206" s="3">
        <v>149.99</v>
      </c>
      <c r="O1206" s="2" t="s">
        <v>245</v>
      </c>
      <c r="P1206" s="2" t="s">
        <v>311</v>
      </c>
      <c r="Q1206" s="2" t="s">
        <v>239</v>
      </c>
      <c r="R1206" s="2" t="s">
        <v>233</v>
      </c>
      <c r="S1206" s="2" t="s">
        <v>233</v>
      </c>
      <c r="T1206" s="2" t="s">
        <v>233</v>
      </c>
      <c r="U1206" s="2" t="s">
        <v>396</v>
      </c>
      <c r="V1206" s="2" t="s">
        <v>921</v>
      </c>
      <c r="W1206" s="2" t="s">
        <v>397</v>
      </c>
      <c r="X1206" s="2" t="s">
        <v>233</v>
      </c>
      <c r="Y1206" s="2" t="s">
        <v>5990</v>
      </c>
      <c r="Z1206" s="4">
        <v>329</v>
      </c>
      <c r="AA1206" s="4">
        <f>=ROUNDDOWN({0},0)</f>
      </c>
      <c r="AB1206" s="5"/>
      <c r="AC1206" s="2" t="s">
        <v>233</v>
      </c>
      <c r="AD1206" s="4"/>
      <c r="AE1206" s="4"/>
      <c r="AF1206" s="6">
        <v>63</v>
      </c>
      <c r="AG1206" s="6"/>
      <c r="AH1206" s="7">
        <v>1</v>
      </c>
      <c r="AI1206" s="4"/>
      <c r="AJ1206" s="4">
        <f>=ROUNDDOWN({0},0)</f>
      </c>
      <c r="AK1206" s="5"/>
      <c r="AL1206" s="2" t="s">
        <v>233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233</v>
      </c>
      <c r="AW1206" s="8" t="s">
        <v>233</v>
      </c>
      <c r="AX1206" s="4" t="s">
        <v>233</v>
      </c>
      <c r="AY1206" s="8" t="s">
        <v>233</v>
      </c>
      <c r="AZ1206" s="7" t="s">
        <v>233</v>
      </c>
      <c r="BA1206" s="7" t="s">
        <v>233</v>
      </c>
      <c r="BB1206" s="7"/>
      <c r="BC1206" s="4" t="s">
        <v>233</v>
      </c>
      <c r="BD1206" s="8" t="s">
        <v>233</v>
      </c>
      <c r="BE1206" s="4" t="s">
        <v>233</v>
      </c>
      <c r="BF1206" s="8" t="s">
        <v>233</v>
      </c>
      <c r="BG1206" s="7" t="s">
        <v>233</v>
      </c>
      <c r="BH1206" s="7" t="s">
        <v>233</v>
      </c>
      <c r="BI1206" s="7"/>
      <c r="BJ1206" s="4"/>
      <c r="BK1206" s="8"/>
      <c r="BL1206" s="2" t="s">
        <v>744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5991</v>
      </c>
      <c r="BV1206" s="2" t="s">
        <v>233</v>
      </c>
      <c r="BW1206" s="2" t="s">
        <v>233</v>
      </c>
      <c r="BX1206" s="2" t="s">
        <v>233</v>
      </c>
      <c r="BY1206" s="2" t="s">
        <v>280</v>
      </c>
      <c r="BZ1206" s="2" t="s">
        <v>245</v>
      </c>
      <c r="CA1206" s="2" t="s">
        <v>1404</v>
      </c>
      <c r="CB1206" s="2" t="s">
        <v>5992</v>
      </c>
      <c r="CC1206" s="2" t="s">
        <v>246</v>
      </c>
      <c r="CD1206" s="2" t="s">
        <v>233</v>
      </c>
      <c r="CE1206" s="4"/>
      <c r="CF1206" s="4">
        <v>329</v>
      </c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</row>
    <row r="1207">
      <c r="A1207" s="2" t="s">
        <v>5993</v>
      </c>
      <c r="B1207" s="2" t="s">
        <v>1414</v>
      </c>
      <c r="C1207" s="2" t="s">
        <v>530</v>
      </c>
      <c r="D1207" s="2" t="s">
        <v>1414</v>
      </c>
      <c r="E1207" s="2" t="s">
        <v>1414</v>
      </c>
      <c r="F1207" s="2" t="s">
        <v>5985</v>
      </c>
      <c r="G1207" s="2" t="s">
        <v>5986</v>
      </c>
      <c r="H1207" s="2" t="s">
        <v>5987</v>
      </c>
      <c r="I1207" s="2" t="s">
        <v>5988</v>
      </c>
      <c r="J1207" s="2" t="s">
        <v>1426</v>
      </c>
      <c r="K1207" s="2" t="s">
        <v>5989</v>
      </c>
      <c r="L1207" s="3">
        <v>99.93</v>
      </c>
      <c r="M1207" s="3">
        <v>104.93</v>
      </c>
      <c r="N1207" s="3">
        <v>224.99</v>
      </c>
      <c r="O1207" s="2" t="s">
        <v>245</v>
      </c>
      <c r="P1207" s="2" t="s">
        <v>311</v>
      </c>
      <c r="Q1207" s="2" t="s">
        <v>239</v>
      </c>
      <c r="R1207" s="2" t="s">
        <v>233</v>
      </c>
      <c r="S1207" s="2" t="s">
        <v>233</v>
      </c>
      <c r="T1207" s="2" t="s">
        <v>233</v>
      </c>
      <c r="U1207" s="2" t="s">
        <v>396</v>
      </c>
      <c r="V1207" s="2" t="s">
        <v>921</v>
      </c>
      <c r="W1207" s="2" t="s">
        <v>397</v>
      </c>
      <c r="X1207" s="2" t="s">
        <v>233</v>
      </c>
      <c r="Y1207" s="2" t="s">
        <v>5990</v>
      </c>
      <c r="Z1207" s="4">
        <v>281</v>
      </c>
      <c r="AA1207" s="4">
        <f>=ROUNDDOWN({0},0)</f>
      </c>
      <c r="AB1207" s="5"/>
      <c r="AC1207" s="2" t="s">
        <v>233</v>
      </c>
      <c r="AD1207" s="4"/>
      <c r="AE1207" s="4"/>
      <c r="AF1207" s="6">
        <v>63</v>
      </c>
      <c r="AG1207" s="6"/>
      <c r="AH1207" s="7">
        <v>1</v>
      </c>
      <c r="AI1207" s="4"/>
      <c r="AJ1207" s="4">
        <f>=ROUNDDOWN({0},0)</f>
      </c>
      <c r="AK1207" s="5"/>
      <c r="AL1207" s="2" t="s">
        <v>233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233</v>
      </c>
      <c r="AW1207" s="8" t="s">
        <v>233</v>
      </c>
      <c r="AX1207" s="4" t="s">
        <v>233</v>
      </c>
      <c r="AY1207" s="8" t="s">
        <v>233</v>
      </c>
      <c r="AZ1207" s="7" t="s">
        <v>233</v>
      </c>
      <c r="BA1207" s="7" t="s">
        <v>233</v>
      </c>
      <c r="BB1207" s="7"/>
      <c r="BC1207" s="4" t="s">
        <v>233</v>
      </c>
      <c r="BD1207" s="8" t="s">
        <v>233</v>
      </c>
      <c r="BE1207" s="4" t="s">
        <v>233</v>
      </c>
      <c r="BF1207" s="8" t="s">
        <v>233</v>
      </c>
      <c r="BG1207" s="7" t="s">
        <v>233</v>
      </c>
      <c r="BH1207" s="7" t="s">
        <v>233</v>
      </c>
      <c r="BI1207" s="7"/>
      <c r="BJ1207" s="4"/>
      <c r="BK1207" s="8"/>
      <c r="BL1207" s="2" t="s">
        <v>233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5994</v>
      </c>
      <c r="BV1207" s="2" t="s">
        <v>233</v>
      </c>
      <c r="BW1207" s="2" t="s">
        <v>233</v>
      </c>
      <c r="BX1207" s="2" t="s">
        <v>233</v>
      </c>
      <c r="BY1207" s="2" t="s">
        <v>280</v>
      </c>
      <c r="BZ1207" s="2" t="s">
        <v>245</v>
      </c>
      <c r="CA1207" s="2" t="s">
        <v>1404</v>
      </c>
      <c r="CB1207" s="2" t="s">
        <v>5995</v>
      </c>
      <c r="CC1207" s="2" t="s">
        <v>246</v>
      </c>
      <c r="CD1207" s="2" t="s">
        <v>233</v>
      </c>
      <c r="CE1207" s="4"/>
      <c r="CF1207" s="4">
        <v>281</v>
      </c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</row>
    <row r="1208">
      <c r="A1208" s="2" t="s">
        <v>5996</v>
      </c>
      <c r="B1208" s="2" t="s">
        <v>1414</v>
      </c>
      <c r="C1208" s="2" t="s">
        <v>530</v>
      </c>
      <c r="D1208" s="2" t="s">
        <v>1414</v>
      </c>
      <c r="E1208" s="2" t="s">
        <v>1414</v>
      </c>
      <c r="F1208" s="2" t="s">
        <v>5985</v>
      </c>
      <c r="G1208" s="2" t="s">
        <v>5986</v>
      </c>
      <c r="H1208" s="2" t="s">
        <v>5987</v>
      </c>
      <c r="I1208" s="2" t="s">
        <v>5988</v>
      </c>
      <c r="J1208" s="2" t="s">
        <v>5997</v>
      </c>
      <c r="K1208" s="2" t="s">
        <v>5989</v>
      </c>
      <c r="L1208" s="3">
        <v>37.65</v>
      </c>
      <c r="M1208" s="3">
        <v>39.53</v>
      </c>
      <c r="N1208" s="3">
        <v>84.99</v>
      </c>
      <c r="O1208" s="2" t="s">
        <v>245</v>
      </c>
      <c r="P1208" s="2" t="s">
        <v>311</v>
      </c>
      <c r="Q1208" s="2" t="s">
        <v>239</v>
      </c>
      <c r="R1208" s="2" t="s">
        <v>233</v>
      </c>
      <c r="S1208" s="2" t="s">
        <v>233</v>
      </c>
      <c r="T1208" s="2" t="s">
        <v>233</v>
      </c>
      <c r="U1208" s="2" t="s">
        <v>396</v>
      </c>
      <c r="V1208" s="2" t="s">
        <v>921</v>
      </c>
      <c r="W1208" s="2" t="s">
        <v>397</v>
      </c>
      <c r="X1208" s="2" t="s">
        <v>233</v>
      </c>
      <c r="Y1208" s="2" t="s">
        <v>5990</v>
      </c>
      <c r="Z1208" s="4">
        <v>58</v>
      </c>
      <c r="AA1208" s="4">
        <f>=ROUNDDOWN(290,0)</f>
      </c>
      <c r="AB1208" s="5">
        <v>0.2</v>
      </c>
      <c r="AC1208" s="2" t="s">
        <v>233</v>
      </c>
      <c r="AD1208" s="4"/>
      <c r="AE1208" s="4"/>
      <c r="AF1208" s="6">
        <v>63</v>
      </c>
      <c r="AG1208" s="6"/>
      <c r="AH1208" s="7">
        <v>1</v>
      </c>
      <c r="AI1208" s="4"/>
      <c r="AJ1208" s="4">
        <f>=ROUNDDOWN({0},0)</f>
      </c>
      <c r="AK1208" s="5"/>
      <c r="AL1208" s="2" t="s">
        <v>233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233</v>
      </c>
      <c r="AW1208" s="8" t="s">
        <v>233</v>
      </c>
      <c r="AX1208" s="4" t="s">
        <v>233</v>
      </c>
      <c r="AY1208" s="8" t="s">
        <v>233</v>
      </c>
      <c r="AZ1208" s="7" t="s">
        <v>233</v>
      </c>
      <c r="BA1208" s="7" t="s">
        <v>233</v>
      </c>
      <c r="BB1208" s="7"/>
      <c r="BC1208" s="4" t="s">
        <v>233</v>
      </c>
      <c r="BD1208" s="8" t="s">
        <v>233</v>
      </c>
      <c r="BE1208" s="4" t="s">
        <v>233</v>
      </c>
      <c r="BF1208" s="8" t="s">
        <v>233</v>
      </c>
      <c r="BG1208" s="7" t="s">
        <v>233</v>
      </c>
      <c r="BH1208" s="7" t="s">
        <v>233</v>
      </c>
      <c r="BI1208" s="7"/>
      <c r="BJ1208" s="4">
        <v>1</v>
      </c>
      <c r="BK1208" s="8">
        <v>24.91</v>
      </c>
      <c r="BL1208" s="2" t="s">
        <v>5998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5999</v>
      </c>
      <c r="BV1208" s="2" t="s">
        <v>233</v>
      </c>
      <c r="BW1208" s="2" t="s">
        <v>233</v>
      </c>
      <c r="BX1208" s="2" t="s">
        <v>233</v>
      </c>
      <c r="BY1208" s="2" t="s">
        <v>280</v>
      </c>
      <c r="BZ1208" s="2" t="s">
        <v>245</v>
      </c>
      <c r="CA1208" s="2" t="s">
        <v>1404</v>
      </c>
      <c r="CB1208" s="2" t="s">
        <v>6000</v>
      </c>
      <c r="CC1208" s="2" t="s">
        <v>246</v>
      </c>
      <c r="CD1208" s="2" t="s">
        <v>233</v>
      </c>
      <c r="CE1208" s="4"/>
      <c r="CF1208" s="4">
        <v>58</v>
      </c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</row>
    <row r="1209">
      <c r="A1209" s="2" t="s">
        <v>6001</v>
      </c>
      <c r="B1209" s="2" t="s">
        <v>1066</v>
      </c>
      <c r="C1209" s="2" t="s">
        <v>947</v>
      </c>
      <c r="D1209" s="2" t="s">
        <v>1067</v>
      </c>
      <c r="E1209" s="2" t="s">
        <v>1068</v>
      </c>
      <c r="F1209" s="2" t="s">
        <v>6002</v>
      </c>
      <c r="G1209" s="2" t="s">
        <v>6002</v>
      </c>
      <c r="H1209" s="2" t="s">
        <v>6002</v>
      </c>
      <c r="I1209" s="2" t="s">
        <v>2650</v>
      </c>
      <c r="J1209" s="2" t="s">
        <v>892</v>
      </c>
      <c r="K1209" s="2" t="s">
        <v>1105</v>
      </c>
      <c r="L1209" s="3">
        <v>207</v>
      </c>
      <c r="M1209" s="3">
        <v>217.35</v>
      </c>
      <c r="N1209" s="3">
        <v>439</v>
      </c>
      <c r="O1209" s="2" t="s">
        <v>245</v>
      </c>
      <c r="P1209" s="2" t="s">
        <v>311</v>
      </c>
      <c r="Q1209" s="2" t="s">
        <v>239</v>
      </c>
      <c r="R1209" s="2" t="s">
        <v>233</v>
      </c>
      <c r="S1209" s="2" t="s">
        <v>233</v>
      </c>
      <c r="T1209" s="2" t="s">
        <v>233</v>
      </c>
      <c r="U1209" s="2" t="s">
        <v>233</v>
      </c>
      <c r="V1209" s="2" t="s">
        <v>241</v>
      </c>
      <c r="W1209" s="2" t="s">
        <v>397</v>
      </c>
      <c r="X1209" s="2" t="s">
        <v>1664</v>
      </c>
      <c r="Y1209" s="2" t="s">
        <v>6003</v>
      </c>
      <c r="Z1209" s="4">
        <v>73</v>
      </c>
      <c r="AA1209" s="4">
        <f>=ROUNDDOWN(18.25,0)</f>
      </c>
      <c r="AB1209" s="5">
        <v>4</v>
      </c>
      <c r="AC1209" s="2" t="s">
        <v>233</v>
      </c>
      <c r="AD1209" s="4"/>
      <c r="AE1209" s="4"/>
      <c r="AF1209" s="6">
        <v>65</v>
      </c>
      <c r="AG1209" s="6">
        <v>48</v>
      </c>
      <c r="AH1209" s="7">
        <v>1</v>
      </c>
      <c r="AI1209" s="4"/>
      <c r="AJ1209" s="4">
        <f>=ROUNDDOWN({0},0)</f>
      </c>
      <c r="AK1209" s="5"/>
      <c r="AL1209" s="2" t="s">
        <v>233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>
        <v>11</v>
      </c>
      <c r="BK1209" s="8">
        <v>2538.81</v>
      </c>
      <c r="BL1209" s="2" t="s">
        <v>6004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6005</v>
      </c>
      <c r="BV1209" s="2" t="s">
        <v>233</v>
      </c>
      <c r="BW1209" s="2" t="s">
        <v>233</v>
      </c>
      <c r="BX1209" s="2" t="s">
        <v>243</v>
      </c>
      <c r="BY1209" s="2" t="s">
        <v>280</v>
      </c>
      <c r="BZ1209" s="2" t="s">
        <v>245</v>
      </c>
      <c r="CA1209" s="2" t="s">
        <v>1097</v>
      </c>
      <c r="CB1209" s="2" t="s">
        <v>6006</v>
      </c>
      <c r="CC1209" s="2" t="s">
        <v>246</v>
      </c>
      <c r="CD1209" s="2" t="s">
        <v>233</v>
      </c>
      <c r="CE1209" s="4"/>
      <c r="CF1209" s="4">
        <v>73</v>
      </c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</row>
    <row r="1210">
      <c r="A1210" s="2" t="s">
        <v>6007</v>
      </c>
      <c r="B1210" s="2" t="s">
        <v>1242</v>
      </c>
      <c r="C1210" s="2" t="s">
        <v>3501</v>
      </c>
      <c r="D1210" s="2" t="s">
        <v>912</v>
      </c>
      <c r="E1210" s="2" t="s">
        <v>913</v>
      </c>
      <c r="F1210" s="2" t="s">
        <v>6008</v>
      </c>
      <c r="G1210" s="2" t="s">
        <v>6008</v>
      </c>
      <c r="H1210" s="2" t="s">
        <v>6008</v>
      </c>
      <c r="I1210" s="2" t="s">
        <v>6009</v>
      </c>
      <c r="J1210" s="2" t="s">
        <v>328</v>
      </c>
      <c r="K1210" s="2" t="s">
        <v>255</v>
      </c>
      <c r="L1210" s="3">
        <v>84.6</v>
      </c>
      <c r="M1210" s="3">
        <v>88.83</v>
      </c>
      <c r="N1210" s="3">
        <v>179.99</v>
      </c>
      <c r="O1210" s="2" t="s">
        <v>245</v>
      </c>
      <c r="P1210" s="2" t="s">
        <v>763</v>
      </c>
      <c r="Q1210" s="2" t="s">
        <v>239</v>
      </c>
      <c r="R1210" s="2" t="s">
        <v>233</v>
      </c>
      <c r="S1210" s="2" t="s">
        <v>6010</v>
      </c>
      <c r="T1210" s="2" t="s">
        <v>341</v>
      </c>
      <c r="U1210" s="2" t="s">
        <v>475</v>
      </c>
      <c r="V1210" s="2" t="s">
        <v>241</v>
      </c>
      <c r="W1210" s="2" t="s">
        <v>451</v>
      </c>
      <c r="X1210" s="2" t="s">
        <v>397</v>
      </c>
      <c r="Y1210" s="2" t="s">
        <v>2331</v>
      </c>
      <c r="Z1210" s="4">
        <v>11</v>
      </c>
      <c r="AA1210" s="4">
        <f>=ROUNDDOWN(2.2,0)</f>
      </c>
      <c r="AB1210" s="5">
        <v>5</v>
      </c>
      <c r="AC1210" s="2" t="s">
        <v>1701</v>
      </c>
      <c r="AD1210" s="4">
        <v>35</v>
      </c>
      <c r="AE1210" s="4">
        <v>140</v>
      </c>
      <c r="AF1210" s="6">
        <v>65</v>
      </c>
      <c r="AG1210" s="6"/>
      <c r="AH1210" s="7">
        <v>0.2903</v>
      </c>
      <c r="AI1210" s="4"/>
      <c r="AJ1210" s="4">
        <f>=ROUNDDOWN({0},0)</f>
      </c>
      <c r="AK1210" s="5"/>
      <c r="AL1210" s="2" t="s">
        <v>233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>
        <v>7</v>
      </c>
      <c r="BK1210" s="8">
        <v>597.5</v>
      </c>
      <c r="BL1210" s="2" t="s">
        <v>6011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6012</v>
      </c>
      <c r="BV1210" s="2" t="s">
        <v>233</v>
      </c>
      <c r="BW1210" s="2" t="s">
        <v>233</v>
      </c>
      <c r="BX1210" s="2" t="s">
        <v>233</v>
      </c>
      <c r="BY1210" s="2" t="s">
        <v>280</v>
      </c>
      <c r="BZ1210" s="2" t="s">
        <v>245</v>
      </c>
      <c r="CA1210" s="2" t="s">
        <v>4093</v>
      </c>
      <c r="CB1210" s="2" t="s">
        <v>6013</v>
      </c>
      <c r="CC1210" s="2" t="s">
        <v>246</v>
      </c>
      <c r="CD1210" s="2" t="s">
        <v>233</v>
      </c>
      <c r="CE1210" s="4">
        <v>11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>
        <v>35</v>
      </c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>
        <v>50</v>
      </c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>
        <v>55</v>
      </c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</row>
    <row r="1211">
      <c r="A1211" s="2" t="s">
        <v>6014</v>
      </c>
      <c r="B1211" s="2" t="s">
        <v>1066</v>
      </c>
      <c r="C1211" s="2" t="s">
        <v>530</v>
      </c>
      <c r="D1211" s="2" t="s">
        <v>1919</v>
      </c>
      <c r="E1211" s="2" t="s">
        <v>3467</v>
      </c>
      <c r="F1211" s="2" t="s">
        <v>6015</v>
      </c>
      <c r="G1211" s="2" t="s">
        <v>6016</v>
      </c>
      <c r="H1211" s="2" t="s">
        <v>6017</v>
      </c>
      <c r="I1211" s="2" t="s">
        <v>6018</v>
      </c>
      <c r="J1211" s="2" t="s">
        <v>892</v>
      </c>
      <c r="K1211" s="2" t="s">
        <v>6019</v>
      </c>
      <c r="L1211" s="3">
        <v>192.5</v>
      </c>
      <c r="M1211" s="3">
        <v>202.12</v>
      </c>
      <c r="N1211" s="3">
        <v>409</v>
      </c>
      <c r="O1211" s="2" t="s">
        <v>237</v>
      </c>
      <c r="P1211" s="2" t="s">
        <v>311</v>
      </c>
      <c r="Q1211" s="2" t="s">
        <v>239</v>
      </c>
      <c r="R1211" s="2" t="s">
        <v>233</v>
      </c>
      <c r="S1211" s="2" t="s">
        <v>6020</v>
      </c>
      <c r="T1211" s="2" t="s">
        <v>233</v>
      </c>
      <c r="U1211" s="2" t="s">
        <v>233</v>
      </c>
      <c r="V1211" s="2" t="s">
        <v>241</v>
      </c>
      <c r="W1211" s="2" t="s">
        <v>451</v>
      </c>
      <c r="X1211" s="2" t="s">
        <v>233</v>
      </c>
      <c r="Y1211" s="2" t="s">
        <v>1150</v>
      </c>
      <c r="Z1211" s="4">
        <v>28</v>
      </c>
      <c r="AA1211" s="4">
        <f>=ROUNDDOWN(17.5,0)</f>
      </c>
      <c r="AB1211" s="5">
        <v>1.6</v>
      </c>
      <c r="AC1211" s="2" t="s">
        <v>233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233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>
        <v>4</v>
      </c>
      <c r="BK1211" s="8">
        <v>873.2</v>
      </c>
      <c r="BL1211" s="2" t="s">
        <v>6021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6022</v>
      </c>
      <c r="BV1211" s="2" t="s">
        <v>233</v>
      </c>
      <c r="BW1211" s="2" t="s">
        <v>233</v>
      </c>
      <c r="BX1211" s="2" t="s">
        <v>233</v>
      </c>
      <c r="BY1211" s="2" t="s">
        <v>280</v>
      </c>
      <c r="BZ1211" s="2" t="s">
        <v>245</v>
      </c>
      <c r="CA1211" s="2" t="s">
        <v>1306</v>
      </c>
      <c r="CB1211" s="2" t="s">
        <v>6023</v>
      </c>
      <c r="CC1211" s="2" t="s">
        <v>246</v>
      </c>
      <c r="CD1211" s="2" t="s">
        <v>233</v>
      </c>
      <c r="CE1211" s="4"/>
      <c r="CF1211" s="4">
        <v>28</v>
      </c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</row>
    <row r="1212">
      <c r="A1212" s="2" t="s">
        <v>6024</v>
      </c>
      <c r="B1212" s="2" t="s">
        <v>1414</v>
      </c>
      <c r="C1212" s="2" t="s">
        <v>530</v>
      </c>
      <c r="D1212" s="2" t="s">
        <v>1414</v>
      </c>
      <c r="E1212" s="2" t="s">
        <v>1414</v>
      </c>
      <c r="F1212" s="2" t="s">
        <v>1828</v>
      </c>
      <c r="G1212" s="2" t="s">
        <v>6025</v>
      </c>
      <c r="H1212" s="2" t="s">
        <v>6026</v>
      </c>
      <c r="I1212" s="2" t="s">
        <v>6027</v>
      </c>
      <c r="J1212" s="2" t="s">
        <v>3086</v>
      </c>
      <c r="K1212" s="2" t="s">
        <v>4768</v>
      </c>
      <c r="L1212" s="3">
        <v>32.66</v>
      </c>
      <c r="M1212" s="3">
        <v>34.29</v>
      </c>
      <c r="N1212" s="3">
        <v>74.99</v>
      </c>
      <c r="O1212" s="2" t="s">
        <v>245</v>
      </c>
      <c r="P1212" s="2" t="s">
        <v>311</v>
      </c>
      <c r="Q1212" s="2" t="s">
        <v>239</v>
      </c>
      <c r="R1212" s="2" t="s">
        <v>233</v>
      </c>
      <c r="S1212" s="2" t="s">
        <v>233</v>
      </c>
      <c r="T1212" s="2" t="s">
        <v>233</v>
      </c>
      <c r="U1212" s="2" t="s">
        <v>396</v>
      </c>
      <c r="V1212" s="2" t="s">
        <v>3103</v>
      </c>
      <c r="W1212" s="2" t="s">
        <v>1763</v>
      </c>
      <c r="X1212" s="2" t="s">
        <v>233</v>
      </c>
      <c r="Y1212" s="2" t="s">
        <v>3075</v>
      </c>
      <c r="Z1212" s="4">
        <v>59</v>
      </c>
      <c r="AA1212" s="4">
        <f>=ROUNDDOWN(53.6363636363636,0)</f>
      </c>
      <c r="AB1212" s="5">
        <v>1.1</v>
      </c>
      <c r="AC1212" s="2" t="s">
        <v>233</v>
      </c>
      <c r="AD1212" s="4"/>
      <c r="AE1212" s="4"/>
      <c r="AF1212" s="6">
        <v>63</v>
      </c>
      <c r="AG1212" s="6"/>
      <c r="AH1212" s="7">
        <v>1</v>
      </c>
      <c r="AI1212" s="4"/>
      <c r="AJ1212" s="4">
        <f>=ROUNDDOWN({0},0)</f>
      </c>
      <c r="AK1212" s="5"/>
      <c r="AL1212" s="2" t="s">
        <v>233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233</v>
      </c>
      <c r="AW1212" s="8" t="s">
        <v>233</v>
      </c>
      <c r="AX1212" s="4" t="s">
        <v>233</v>
      </c>
      <c r="AY1212" s="8" t="s">
        <v>233</v>
      </c>
      <c r="AZ1212" s="7" t="s">
        <v>233</v>
      </c>
      <c r="BA1212" s="7" t="s">
        <v>233</v>
      </c>
      <c r="BB1212" s="7"/>
      <c r="BC1212" s="4" t="s">
        <v>233</v>
      </c>
      <c r="BD1212" s="8" t="s">
        <v>233</v>
      </c>
      <c r="BE1212" s="4" t="s">
        <v>233</v>
      </c>
      <c r="BF1212" s="8" t="s">
        <v>233</v>
      </c>
      <c r="BG1212" s="7" t="s">
        <v>233</v>
      </c>
      <c r="BH1212" s="7" t="s">
        <v>233</v>
      </c>
      <c r="BI1212" s="7"/>
      <c r="BJ1212" s="4">
        <v>6</v>
      </c>
      <c r="BK1212" s="8">
        <v>146.79</v>
      </c>
      <c r="BL1212" s="2" t="s">
        <v>6028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6029</v>
      </c>
      <c r="BV1212" s="2" t="s">
        <v>233</v>
      </c>
      <c r="BW1212" s="2" t="s">
        <v>233</v>
      </c>
      <c r="BX1212" s="2" t="s">
        <v>233</v>
      </c>
      <c r="BY1212" s="2" t="s">
        <v>280</v>
      </c>
      <c r="BZ1212" s="2" t="s">
        <v>245</v>
      </c>
      <c r="CA1212" s="2" t="s">
        <v>1423</v>
      </c>
      <c r="CB1212" s="2" t="s">
        <v>233</v>
      </c>
      <c r="CC1212" s="2" t="s">
        <v>246</v>
      </c>
      <c r="CD1212" s="2" t="s">
        <v>233</v>
      </c>
      <c r="CE1212" s="4"/>
      <c r="CF1212" s="4">
        <v>59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</row>
    <row r="1213">
      <c r="A1213" s="2" t="s">
        <v>6030</v>
      </c>
      <c r="B1213" s="2" t="s">
        <v>1414</v>
      </c>
      <c r="C1213" s="2" t="s">
        <v>530</v>
      </c>
      <c r="D1213" s="2" t="s">
        <v>1414</v>
      </c>
      <c r="E1213" s="2" t="s">
        <v>1414</v>
      </c>
      <c r="F1213" s="2" t="s">
        <v>1828</v>
      </c>
      <c r="G1213" s="2" t="s">
        <v>6025</v>
      </c>
      <c r="H1213" s="2" t="s">
        <v>6026</v>
      </c>
      <c r="I1213" s="2" t="s">
        <v>6027</v>
      </c>
      <c r="J1213" s="2" t="s">
        <v>1418</v>
      </c>
      <c r="K1213" s="2" t="s">
        <v>4768</v>
      </c>
      <c r="L1213" s="3">
        <v>49.11</v>
      </c>
      <c r="M1213" s="3">
        <v>51.57</v>
      </c>
      <c r="N1213" s="3">
        <v>109.99</v>
      </c>
      <c r="O1213" s="2" t="s">
        <v>245</v>
      </c>
      <c r="P1213" s="2" t="s">
        <v>311</v>
      </c>
      <c r="Q1213" s="2" t="s">
        <v>239</v>
      </c>
      <c r="R1213" s="2" t="s">
        <v>233</v>
      </c>
      <c r="S1213" s="2" t="s">
        <v>233</v>
      </c>
      <c r="T1213" s="2" t="s">
        <v>233</v>
      </c>
      <c r="U1213" s="2" t="s">
        <v>396</v>
      </c>
      <c r="V1213" s="2" t="s">
        <v>3103</v>
      </c>
      <c r="W1213" s="2" t="s">
        <v>1763</v>
      </c>
      <c r="X1213" s="2" t="s">
        <v>233</v>
      </c>
      <c r="Y1213" s="2" t="s">
        <v>3075</v>
      </c>
      <c r="Z1213" s="4">
        <v>249</v>
      </c>
      <c r="AA1213" s="4">
        <f>=ROUNDDOWN(38.90625,0)</f>
      </c>
      <c r="AB1213" s="5">
        <v>6.4</v>
      </c>
      <c r="AC1213" s="2" t="s">
        <v>233</v>
      </c>
      <c r="AD1213" s="4"/>
      <c r="AE1213" s="4"/>
      <c r="AF1213" s="6">
        <v>63</v>
      </c>
      <c r="AG1213" s="6"/>
      <c r="AH1213" s="7">
        <v>1</v>
      </c>
      <c r="AI1213" s="4"/>
      <c r="AJ1213" s="4">
        <f>=ROUNDDOWN({0},0)</f>
      </c>
      <c r="AK1213" s="5"/>
      <c r="AL1213" s="2" t="s">
        <v>233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233</v>
      </c>
      <c r="AW1213" s="8" t="s">
        <v>233</v>
      </c>
      <c r="AX1213" s="4" t="s">
        <v>233</v>
      </c>
      <c r="AY1213" s="8" t="s">
        <v>233</v>
      </c>
      <c r="AZ1213" s="7" t="s">
        <v>233</v>
      </c>
      <c r="BA1213" s="7" t="s">
        <v>233</v>
      </c>
      <c r="BB1213" s="7"/>
      <c r="BC1213" s="4" t="s">
        <v>233</v>
      </c>
      <c r="BD1213" s="8" t="s">
        <v>233</v>
      </c>
      <c r="BE1213" s="4" t="s">
        <v>233</v>
      </c>
      <c r="BF1213" s="8" t="s">
        <v>233</v>
      </c>
      <c r="BG1213" s="7" t="s">
        <v>233</v>
      </c>
      <c r="BH1213" s="7" t="s">
        <v>233</v>
      </c>
      <c r="BI1213" s="7"/>
      <c r="BJ1213" s="4">
        <v>25</v>
      </c>
      <c r="BK1213" s="8">
        <v>703.82</v>
      </c>
      <c r="BL1213" s="2" t="s">
        <v>6031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6032</v>
      </c>
      <c r="BV1213" s="2" t="s">
        <v>233</v>
      </c>
      <c r="BW1213" s="2" t="s">
        <v>233</v>
      </c>
      <c r="BX1213" s="2" t="s">
        <v>233</v>
      </c>
      <c r="BY1213" s="2" t="s">
        <v>280</v>
      </c>
      <c r="BZ1213" s="2" t="s">
        <v>245</v>
      </c>
      <c r="CA1213" s="2" t="s">
        <v>1423</v>
      </c>
      <c r="CB1213" s="2" t="s">
        <v>233</v>
      </c>
      <c r="CC1213" s="2" t="s">
        <v>246</v>
      </c>
      <c r="CD1213" s="2" t="s">
        <v>233</v>
      </c>
      <c r="CE1213" s="4"/>
      <c r="CF1213" s="4">
        <v>249</v>
      </c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</row>
    <row r="1214">
      <c r="A1214" s="2" t="s">
        <v>6033</v>
      </c>
      <c r="B1214" s="2" t="s">
        <v>1414</v>
      </c>
      <c r="C1214" s="2" t="s">
        <v>530</v>
      </c>
      <c r="D1214" s="2" t="s">
        <v>1414</v>
      </c>
      <c r="E1214" s="2" t="s">
        <v>1414</v>
      </c>
      <c r="F1214" s="2" t="s">
        <v>1828</v>
      </c>
      <c r="G1214" s="2" t="s">
        <v>6025</v>
      </c>
      <c r="H1214" s="2" t="s">
        <v>6026</v>
      </c>
      <c r="I1214" s="2" t="s">
        <v>6027</v>
      </c>
      <c r="J1214" s="2" t="s">
        <v>1426</v>
      </c>
      <c r="K1214" s="2" t="s">
        <v>4768</v>
      </c>
      <c r="L1214" s="3">
        <v>71.5</v>
      </c>
      <c r="M1214" s="3">
        <v>75.08</v>
      </c>
      <c r="N1214" s="3">
        <v>159.99</v>
      </c>
      <c r="O1214" s="2" t="s">
        <v>245</v>
      </c>
      <c r="P1214" s="2" t="s">
        <v>311</v>
      </c>
      <c r="Q1214" s="2" t="s">
        <v>239</v>
      </c>
      <c r="R1214" s="2" t="s">
        <v>233</v>
      </c>
      <c r="S1214" s="2" t="s">
        <v>233</v>
      </c>
      <c r="T1214" s="2" t="s">
        <v>233</v>
      </c>
      <c r="U1214" s="2" t="s">
        <v>396</v>
      </c>
      <c r="V1214" s="2" t="s">
        <v>3103</v>
      </c>
      <c r="W1214" s="2" t="s">
        <v>1763</v>
      </c>
      <c r="X1214" s="2" t="s">
        <v>233</v>
      </c>
      <c r="Y1214" s="2" t="s">
        <v>3075</v>
      </c>
      <c r="Z1214" s="4">
        <v>204</v>
      </c>
      <c r="AA1214" s="4">
        <f>=ROUNDDOWN(145.714285714286,0)</f>
      </c>
      <c r="AB1214" s="5">
        <v>1.4</v>
      </c>
      <c r="AC1214" s="2" t="s">
        <v>233</v>
      </c>
      <c r="AD1214" s="4"/>
      <c r="AE1214" s="4"/>
      <c r="AF1214" s="6">
        <v>63</v>
      </c>
      <c r="AG1214" s="6"/>
      <c r="AH1214" s="7">
        <v>1</v>
      </c>
      <c r="AI1214" s="4"/>
      <c r="AJ1214" s="4">
        <f>=ROUNDDOWN({0},0)</f>
      </c>
      <c r="AK1214" s="5"/>
      <c r="AL1214" s="2" t="s">
        <v>233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233</v>
      </c>
      <c r="AW1214" s="8" t="s">
        <v>233</v>
      </c>
      <c r="AX1214" s="4" t="s">
        <v>233</v>
      </c>
      <c r="AY1214" s="8" t="s">
        <v>233</v>
      </c>
      <c r="AZ1214" s="7" t="s">
        <v>233</v>
      </c>
      <c r="BA1214" s="7" t="s">
        <v>233</v>
      </c>
      <c r="BB1214" s="7"/>
      <c r="BC1214" s="4" t="s">
        <v>233</v>
      </c>
      <c r="BD1214" s="8" t="s">
        <v>233</v>
      </c>
      <c r="BE1214" s="4" t="s">
        <v>233</v>
      </c>
      <c r="BF1214" s="8" t="s">
        <v>233</v>
      </c>
      <c r="BG1214" s="7" t="s">
        <v>233</v>
      </c>
      <c r="BH1214" s="7" t="s">
        <v>233</v>
      </c>
      <c r="BI1214" s="7"/>
      <c r="BJ1214" s="4">
        <v>6</v>
      </c>
      <c r="BK1214" s="8">
        <v>433.57</v>
      </c>
      <c r="BL1214" s="2" t="s">
        <v>6034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6035</v>
      </c>
      <c r="BV1214" s="2" t="s">
        <v>233</v>
      </c>
      <c r="BW1214" s="2" t="s">
        <v>233</v>
      </c>
      <c r="BX1214" s="2" t="s">
        <v>233</v>
      </c>
      <c r="BY1214" s="2" t="s">
        <v>280</v>
      </c>
      <c r="BZ1214" s="2" t="s">
        <v>245</v>
      </c>
      <c r="CA1214" s="2" t="s">
        <v>1423</v>
      </c>
      <c r="CB1214" s="2" t="s">
        <v>5102</v>
      </c>
      <c r="CC1214" s="2" t="s">
        <v>246</v>
      </c>
      <c r="CD1214" s="2" t="s">
        <v>233</v>
      </c>
      <c r="CE1214" s="4"/>
      <c r="CF1214" s="4">
        <v>204</v>
      </c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</row>
    <row r="1215">
      <c r="A1215" s="2" t="s">
        <v>6036</v>
      </c>
      <c r="B1215" s="2" t="s">
        <v>1414</v>
      </c>
      <c r="C1215" s="2" t="s">
        <v>530</v>
      </c>
      <c r="D1215" s="2" t="s">
        <v>1414</v>
      </c>
      <c r="E1215" s="2" t="s">
        <v>1414</v>
      </c>
      <c r="F1215" s="2" t="s">
        <v>1828</v>
      </c>
      <c r="G1215" s="2" t="s">
        <v>6025</v>
      </c>
      <c r="H1215" s="2" t="s">
        <v>6026</v>
      </c>
      <c r="I1215" s="2" t="s">
        <v>6027</v>
      </c>
      <c r="J1215" s="2" t="s">
        <v>1808</v>
      </c>
      <c r="K1215" s="2" t="s">
        <v>4768</v>
      </c>
      <c r="L1215" s="3">
        <v>103.08</v>
      </c>
      <c r="M1215" s="3">
        <v>108.23</v>
      </c>
      <c r="N1215" s="3">
        <v>229.99</v>
      </c>
      <c r="O1215" s="2" t="s">
        <v>245</v>
      </c>
      <c r="P1215" s="2" t="s">
        <v>311</v>
      </c>
      <c r="Q1215" s="2" t="s">
        <v>239</v>
      </c>
      <c r="R1215" s="2" t="s">
        <v>233</v>
      </c>
      <c r="S1215" s="2" t="s">
        <v>233</v>
      </c>
      <c r="T1215" s="2" t="s">
        <v>233</v>
      </c>
      <c r="U1215" s="2" t="s">
        <v>396</v>
      </c>
      <c r="V1215" s="2" t="s">
        <v>3103</v>
      </c>
      <c r="W1215" s="2" t="s">
        <v>1763</v>
      </c>
      <c r="X1215" s="2" t="s">
        <v>233</v>
      </c>
      <c r="Y1215" s="2" t="s">
        <v>3075</v>
      </c>
      <c r="Z1215" s="4">
        <v>2</v>
      </c>
      <c r="AA1215" s="4">
        <f>=ROUNDDOWN(0.192307692307692,0)</f>
      </c>
      <c r="AB1215" s="5">
        <v>10.4</v>
      </c>
      <c r="AC1215" s="2" t="s">
        <v>233</v>
      </c>
      <c r="AD1215" s="4"/>
      <c r="AE1215" s="4"/>
      <c r="AF1215" s="6">
        <v>63</v>
      </c>
      <c r="AG1215" s="6"/>
      <c r="AH1215" s="7">
        <v>1</v>
      </c>
      <c r="AI1215" s="4"/>
      <c r="AJ1215" s="4">
        <f>=ROUNDDOWN({0},0)</f>
      </c>
      <c r="AK1215" s="5"/>
      <c r="AL1215" s="2" t="s">
        <v>233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233</v>
      </c>
      <c r="AW1215" s="8" t="s">
        <v>233</v>
      </c>
      <c r="AX1215" s="4" t="s">
        <v>233</v>
      </c>
      <c r="AY1215" s="8" t="s">
        <v>233</v>
      </c>
      <c r="AZ1215" s="7" t="s">
        <v>233</v>
      </c>
      <c r="BA1215" s="7" t="s">
        <v>233</v>
      </c>
      <c r="BB1215" s="7"/>
      <c r="BC1215" s="4" t="s">
        <v>233</v>
      </c>
      <c r="BD1215" s="8" t="s">
        <v>233</v>
      </c>
      <c r="BE1215" s="4" t="s">
        <v>233</v>
      </c>
      <c r="BF1215" s="8" t="s">
        <v>233</v>
      </c>
      <c r="BG1215" s="7" t="s">
        <v>233</v>
      </c>
      <c r="BH1215" s="7" t="s">
        <v>233</v>
      </c>
      <c r="BI1215" s="7"/>
      <c r="BJ1215" s="4">
        <v>47</v>
      </c>
      <c r="BK1215" s="8">
        <v>2903.7</v>
      </c>
      <c r="BL1215" s="2" t="s">
        <v>2057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6037</v>
      </c>
      <c r="BV1215" s="2" t="s">
        <v>233</v>
      </c>
      <c r="BW1215" s="2" t="s">
        <v>233</v>
      </c>
      <c r="BX1215" s="2" t="s">
        <v>233</v>
      </c>
      <c r="BY1215" s="2" t="s">
        <v>280</v>
      </c>
      <c r="BZ1215" s="2" t="s">
        <v>245</v>
      </c>
      <c r="CA1215" s="2" t="s">
        <v>1423</v>
      </c>
      <c r="CB1215" s="2" t="s">
        <v>4777</v>
      </c>
      <c r="CC1215" s="2" t="s">
        <v>246</v>
      </c>
      <c r="CD1215" s="2" t="s">
        <v>233</v>
      </c>
      <c r="CE1215" s="4"/>
      <c r="CF1215" s="4">
        <v>2</v>
      </c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</row>
    <row r="1216">
      <c r="A1216" s="2" t="s">
        <v>6038</v>
      </c>
      <c r="B1216" s="2" t="s">
        <v>1414</v>
      </c>
      <c r="C1216" s="2" t="s">
        <v>530</v>
      </c>
      <c r="D1216" s="2" t="s">
        <v>1414</v>
      </c>
      <c r="E1216" s="2" t="s">
        <v>1414</v>
      </c>
      <c r="F1216" s="2" t="s">
        <v>1828</v>
      </c>
      <c r="G1216" s="2" t="s">
        <v>6025</v>
      </c>
      <c r="H1216" s="2" t="s">
        <v>6026</v>
      </c>
      <c r="I1216" s="2" t="s">
        <v>6027</v>
      </c>
      <c r="J1216" s="2" t="s">
        <v>1793</v>
      </c>
      <c r="K1216" s="2" t="s">
        <v>773</v>
      </c>
      <c r="L1216" s="3">
        <v>26.33</v>
      </c>
      <c r="M1216" s="3">
        <v>27.65</v>
      </c>
      <c r="N1216" s="3">
        <v>59.99</v>
      </c>
      <c r="O1216" s="2" t="s">
        <v>245</v>
      </c>
      <c r="P1216" s="2" t="s">
        <v>311</v>
      </c>
      <c r="Q1216" s="2" t="s">
        <v>239</v>
      </c>
      <c r="R1216" s="2" t="s">
        <v>233</v>
      </c>
      <c r="S1216" s="2" t="s">
        <v>6039</v>
      </c>
      <c r="T1216" s="2" t="s">
        <v>233</v>
      </c>
      <c r="U1216" s="2" t="s">
        <v>396</v>
      </c>
      <c r="V1216" s="2" t="s">
        <v>3103</v>
      </c>
      <c r="W1216" s="2" t="s">
        <v>1763</v>
      </c>
      <c r="X1216" s="2" t="s">
        <v>233</v>
      </c>
      <c r="Y1216" s="2" t="s">
        <v>1796</v>
      </c>
      <c r="Z1216" s="4">
        <v>18</v>
      </c>
      <c r="AA1216" s="4">
        <f>=ROUNDDOWN(90,0)</f>
      </c>
      <c r="AB1216" s="5">
        <v>0.2</v>
      </c>
      <c r="AC1216" s="2" t="s">
        <v>233</v>
      </c>
      <c r="AD1216" s="4"/>
      <c r="AE1216" s="4"/>
      <c r="AF1216" s="6">
        <v>63</v>
      </c>
      <c r="AG1216" s="6"/>
      <c r="AH1216" s="7">
        <v>1</v>
      </c>
      <c r="AI1216" s="4"/>
      <c r="AJ1216" s="4">
        <f>=ROUNDDOWN({0},0)</f>
      </c>
      <c r="AK1216" s="5"/>
      <c r="AL1216" s="2" t="s">
        <v>233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233</v>
      </c>
      <c r="AW1216" s="8" t="s">
        <v>233</v>
      </c>
      <c r="AX1216" s="4" t="s">
        <v>233</v>
      </c>
      <c r="AY1216" s="8" t="s">
        <v>233</v>
      </c>
      <c r="AZ1216" s="7" t="s">
        <v>233</v>
      </c>
      <c r="BA1216" s="7" t="s">
        <v>233</v>
      </c>
      <c r="BB1216" s="7"/>
      <c r="BC1216" s="4" t="s">
        <v>233</v>
      </c>
      <c r="BD1216" s="8" t="s">
        <v>233</v>
      </c>
      <c r="BE1216" s="4" t="s">
        <v>233</v>
      </c>
      <c r="BF1216" s="8" t="s">
        <v>233</v>
      </c>
      <c r="BG1216" s="7" t="s">
        <v>233</v>
      </c>
      <c r="BH1216" s="7" t="s">
        <v>233</v>
      </c>
      <c r="BI1216" s="7"/>
      <c r="BJ1216" s="4">
        <v>2</v>
      </c>
      <c r="BK1216" s="8">
        <v>29.04</v>
      </c>
      <c r="BL1216" s="2" t="s">
        <v>3080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6040</v>
      </c>
      <c r="BV1216" s="2" t="s">
        <v>233</v>
      </c>
      <c r="BW1216" s="2" t="s">
        <v>233</v>
      </c>
      <c r="BX1216" s="2" t="s">
        <v>233</v>
      </c>
      <c r="BY1216" s="2" t="s">
        <v>280</v>
      </c>
      <c r="BZ1216" s="2" t="s">
        <v>245</v>
      </c>
      <c r="CA1216" s="2" t="s">
        <v>5398</v>
      </c>
      <c r="CB1216" s="2" t="s">
        <v>233</v>
      </c>
      <c r="CC1216" s="2" t="s">
        <v>246</v>
      </c>
      <c r="CD1216" s="2" t="s">
        <v>233</v>
      </c>
      <c r="CE1216" s="4"/>
      <c r="CF1216" s="4">
        <v>18</v>
      </c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</row>
    <row r="1217">
      <c r="A1217" s="2" t="s">
        <v>6041</v>
      </c>
      <c r="B1217" s="2" t="s">
        <v>1414</v>
      </c>
      <c r="C1217" s="2" t="s">
        <v>530</v>
      </c>
      <c r="D1217" s="2" t="s">
        <v>1414</v>
      </c>
      <c r="E1217" s="2" t="s">
        <v>1414</v>
      </c>
      <c r="F1217" s="2" t="s">
        <v>1828</v>
      </c>
      <c r="G1217" s="2" t="s">
        <v>6025</v>
      </c>
      <c r="H1217" s="2" t="s">
        <v>6026</v>
      </c>
      <c r="I1217" s="2" t="s">
        <v>6027</v>
      </c>
      <c r="J1217" s="2" t="s">
        <v>3086</v>
      </c>
      <c r="K1217" s="2" t="s">
        <v>773</v>
      </c>
      <c r="L1217" s="3">
        <v>32.66</v>
      </c>
      <c r="M1217" s="3">
        <v>34.29</v>
      </c>
      <c r="N1217" s="3">
        <v>74.99</v>
      </c>
      <c r="O1217" s="2" t="s">
        <v>245</v>
      </c>
      <c r="P1217" s="2" t="s">
        <v>311</v>
      </c>
      <c r="Q1217" s="2" t="s">
        <v>239</v>
      </c>
      <c r="R1217" s="2" t="s">
        <v>233</v>
      </c>
      <c r="S1217" s="2" t="s">
        <v>6039</v>
      </c>
      <c r="T1217" s="2" t="s">
        <v>233</v>
      </c>
      <c r="U1217" s="2" t="s">
        <v>396</v>
      </c>
      <c r="V1217" s="2" t="s">
        <v>3103</v>
      </c>
      <c r="W1217" s="2" t="s">
        <v>1763</v>
      </c>
      <c r="X1217" s="2" t="s">
        <v>233</v>
      </c>
      <c r="Y1217" s="2" t="s">
        <v>1796</v>
      </c>
      <c r="Z1217" s="4">
        <v>36</v>
      </c>
      <c r="AA1217" s="4">
        <f>=ROUNDDOWN({0},0)</f>
      </c>
      <c r="AB1217" s="5"/>
      <c r="AC1217" s="2" t="s">
        <v>233</v>
      </c>
      <c r="AD1217" s="4"/>
      <c r="AE1217" s="4"/>
      <c r="AF1217" s="6">
        <v>63</v>
      </c>
      <c r="AG1217" s="6"/>
      <c r="AH1217" s="7">
        <v>1</v>
      </c>
      <c r="AI1217" s="4"/>
      <c r="AJ1217" s="4">
        <f>=ROUNDDOWN({0},0)</f>
      </c>
      <c r="AK1217" s="5"/>
      <c r="AL1217" s="2" t="s">
        <v>233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233</v>
      </c>
      <c r="AW1217" s="8" t="s">
        <v>233</v>
      </c>
      <c r="AX1217" s="4" t="s">
        <v>233</v>
      </c>
      <c r="AY1217" s="8" t="s">
        <v>233</v>
      </c>
      <c r="AZ1217" s="7" t="s">
        <v>233</v>
      </c>
      <c r="BA1217" s="7" t="s">
        <v>233</v>
      </c>
      <c r="BB1217" s="7"/>
      <c r="BC1217" s="4" t="s">
        <v>233</v>
      </c>
      <c r="BD1217" s="8" t="s">
        <v>233</v>
      </c>
      <c r="BE1217" s="4" t="s">
        <v>233</v>
      </c>
      <c r="BF1217" s="8" t="s">
        <v>233</v>
      </c>
      <c r="BG1217" s="7" t="s">
        <v>233</v>
      </c>
      <c r="BH1217" s="7" t="s">
        <v>233</v>
      </c>
      <c r="BI1217" s="7"/>
      <c r="BJ1217" s="4">
        <v>1</v>
      </c>
      <c r="BK1217" s="8">
        <v>37.72</v>
      </c>
      <c r="BL1217" s="2" t="s">
        <v>2064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6042</v>
      </c>
      <c r="BV1217" s="2" t="s">
        <v>233</v>
      </c>
      <c r="BW1217" s="2" t="s">
        <v>233</v>
      </c>
      <c r="BX1217" s="2" t="s">
        <v>233</v>
      </c>
      <c r="BY1217" s="2" t="s">
        <v>280</v>
      </c>
      <c r="BZ1217" s="2" t="s">
        <v>245</v>
      </c>
      <c r="CA1217" s="2" t="s">
        <v>5398</v>
      </c>
      <c r="CB1217" s="2" t="s">
        <v>233</v>
      </c>
      <c r="CC1217" s="2" t="s">
        <v>246</v>
      </c>
      <c r="CD1217" s="2" t="s">
        <v>233</v>
      </c>
      <c r="CE1217" s="4"/>
      <c r="CF1217" s="4">
        <v>36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</row>
    <row r="1218">
      <c r="A1218" s="2" t="s">
        <v>6043</v>
      </c>
      <c r="B1218" s="2" t="s">
        <v>1414</v>
      </c>
      <c r="C1218" s="2" t="s">
        <v>530</v>
      </c>
      <c r="D1218" s="2" t="s">
        <v>1414</v>
      </c>
      <c r="E1218" s="2" t="s">
        <v>1414</v>
      </c>
      <c r="F1218" s="2" t="s">
        <v>1828</v>
      </c>
      <c r="G1218" s="2" t="s">
        <v>6025</v>
      </c>
      <c r="H1218" s="2" t="s">
        <v>6026</v>
      </c>
      <c r="I1218" s="2" t="s">
        <v>6027</v>
      </c>
      <c r="J1218" s="2" t="s">
        <v>1418</v>
      </c>
      <c r="K1218" s="2" t="s">
        <v>773</v>
      </c>
      <c r="L1218" s="3">
        <v>49.11</v>
      </c>
      <c r="M1218" s="3">
        <v>51.57</v>
      </c>
      <c r="N1218" s="3">
        <v>109.99</v>
      </c>
      <c r="O1218" s="2" t="s">
        <v>245</v>
      </c>
      <c r="P1218" s="2" t="s">
        <v>311</v>
      </c>
      <c r="Q1218" s="2" t="s">
        <v>239</v>
      </c>
      <c r="R1218" s="2" t="s">
        <v>233</v>
      </c>
      <c r="S1218" s="2" t="s">
        <v>6039</v>
      </c>
      <c r="T1218" s="2" t="s">
        <v>233</v>
      </c>
      <c r="U1218" s="2" t="s">
        <v>396</v>
      </c>
      <c r="V1218" s="2" t="s">
        <v>3103</v>
      </c>
      <c r="W1218" s="2" t="s">
        <v>1763</v>
      </c>
      <c r="X1218" s="2" t="s">
        <v>233</v>
      </c>
      <c r="Y1218" s="2" t="s">
        <v>1796</v>
      </c>
      <c r="Z1218" s="4">
        <v>54</v>
      </c>
      <c r="AA1218" s="4">
        <f>=ROUNDDOWN(540,0)</f>
      </c>
      <c r="AB1218" s="5">
        <v>0.1</v>
      </c>
      <c r="AC1218" s="2" t="s">
        <v>233</v>
      </c>
      <c r="AD1218" s="4"/>
      <c r="AE1218" s="4"/>
      <c r="AF1218" s="6">
        <v>63</v>
      </c>
      <c r="AG1218" s="6"/>
      <c r="AH1218" s="7">
        <v>1</v>
      </c>
      <c r="AI1218" s="4"/>
      <c r="AJ1218" s="4">
        <f>=ROUNDDOWN({0},0)</f>
      </c>
      <c r="AK1218" s="5"/>
      <c r="AL1218" s="2" t="s">
        <v>233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233</v>
      </c>
      <c r="AW1218" s="8" t="s">
        <v>233</v>
      </c>
      <c r="AX1218" s="4" t="s">
        <v>233</v>
      </c>
      <c r="AY1218" s="8" t="s">
        <v>233</v>
      </c>
      <c r="AZ1218" s="7" t="s">
        <v>233</v>
      </c>
      <c r="BA1218" s="7" t="s">
        <v>233</v>
      </c>
      <c r="BB1218" s="7"/>
      <c r="BC1218" s="4" t="s">
        <v>233</v>
      </c>
      <c r="BD1218" s="8" t="s">
        <v>233</v>
      </c>
      <c r="BE1218" s="4" t="s">
        <v>233</v>
      </c>
      <c r="BF1218" s="8" t="s">
        <v>233</v>
      </c>
      <c r="BG1218" s="7" t="s">
        <v>233</v>
      </c>
      <c r="BH1218" s="7" t="s">
        <v>233</v>
      </c>
      <c r="BI1218" s="7"/>
      <c r="BJ1218" s="4">
        <v>1</v>
      </c>
      <c r="BK1218" s="8">
        <v>58.27</v>
      </c>
      <c r="BL1218" s="2" t="s">
        <v>744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6044</v>
      </c>
      <c r="BV1218" s="2" t="s">
        <v>233</v>
      </c>
      <c r="BW1218" s="2" t="s">
        <v>233</v>
      </c>
      <c r="BX1218" s="2" t="s">
        <v>233</v>
      </c>
      <c r="BY1218" s="2" t="s">
        <v>280</v>
      </c>
      <c r="BZ1218" s="2" t="s">
        <v>245</v>
      </c>
      <c r="CA1218" s="2" t="s">
        <v>5398</v>
      </c>
      <c r="CB1218" s="2" t="s">
        <v>233</v>
      </c>
      <c r="CC1218" s="2" t="s">
        <v>246</v>
      </c>
      <c r="CD1218" s="2" t="s">
        <v>233</v>
      </c>
      <c r="CE1218" s="4"/>
      <c r="CF1218" s="4">
        <v>54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</row>
    <row r="1219">
      <c r="A1219" s="2" t="s">
        <v>6045</v>
      </c>
      <c r="B1219" s="2" t="s">
        <v>1414</v>
      </c>
      <c r="C1219" s="2" t="s">
        <v>530</v>
      </c>
      <c r="D1219" s="2" t="s">
        <v>1414</v>
      </c>
      <c r="E1219" s="2" t="s">
        <v>1414</v>
      </c>
      <c r="F1219" s="2" t="s">
        <v>1828</v>
      </c>
      <c r="G1219" s="2" t="s">
        <v>6025</v>
      </c>
      <c r="H1219" s="2" t="s">
        <v>6026</v>
      </c>
      <c r="I1219" s="2" t="s">
        <v>6027</v>
      </c>
      <c r="J1219" s="2" t="s">
        <v>1426</v>
      </c>
      <c r="K1219" s="2" t="s">
        <v>773</v>
      </c>
      <c r="L1219" s="3">
        <v>71.5</v>
      </c>
      <c r="M1219" s="3">
        <v>75.08</v>
      </c>
      <c r="N1219" s="3">
        <v>159.99</v>
      </c>
      <c r="O1219" s="2" t="s">
        <v>245</v>
      </c>
      <c r="P1219" s="2" t="s">
        <v>311</v>
      </c>
      <c r="Q1219" s="2" t="s">
        <v>239</v>
      </c>
      <c r="R1219" s="2" t="s">
        <v>233</v>
      </c>
      <c r="S1219" s="2" t="s">
        <v>6039</v>
      </c>
      <c r="T1219" s="2" t="s">
        <v>233</v>
      </c>
      <c r="U1219" s="2" t="s">
        <v>396</v>
      </c>
      <c r="V1219" s="2" t="s">
        <v>3103</v>
      </c>
      <c r="W1219" s="2" t="s">
        <v>1763</v>
      </c>
      <c r="X1219" s="2" t="s">
        <v>233</v>
      </c>
      <c r="Y1219" s="2" t="s">
        <v>1796</v>
      </c>
      <c r="Z1219" s="4">
        <v>35</v>
      </c>
      <c r="AA1219" s="4">
        <f>=ROUNDDOWN(15.9090909090909,0)</f>
      </c>
      <c r="AB1219" s="5">
        <v>2.2</v>
      </c>
      <c r="AC1219" s="2" t="s">
        <v>233</v>
      </c>
      <c r="AD1219" s="4"/>
      <c r="AE1219" s="4"/>
      <c r="AF1219" s="6">
        <v>63</v>
      </c>
      <c r="AG1219" s="6"/>
      <c r="AH1219" s="7">
        <v>1</v>
      </c>
      <c r="AI1219" s="4"/>
      <c r="AJ1219" s="4">
        <f>=ROUNDDOWN({0},0)</f>
      </c>
      <c r="AK1219" s="5"/>
      <c r="AL1219" s="2" t="s">
        <v>233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233</v>
      </c>
      <c r="AW1219" s="8" t="s">
        <v>233</v>
      </c>
      <c r="AX1219" s="4" t="s">
        <v>233</v>
      </c>
      <c r="AY1219" s="8" t="s">
        <v>233</v>
      </c>
      <c r="AZ1219" s="7" t="s">
        <v>233</v>
      </c>
      <c r="BA1219" s="7" t="s">
        <v>233</v>
      </c>
      <c r="BB1219" s="7"/>
      <c r="BC1219" s="4" t="s">
        <v>233</v>
      </c>
      <c r="BD1219" s="8" t="s">
        <v>233</v>
      </c>
      <c r="BE1219" s="4" t="s">
        <v>233</v>
      </c>
      <c r="BF1219" s="8" t="s">
        <v>233</v>
      </c>
      <c r="BG1219" s="7" t="s">
        <v>233</v>
      </c>
      <c r="BH1219" s="7" t="s">
        <v>233</v>
      </c>
      <c r="BI1219" s="7"/>
      <c r="BJ1219" s="4">
        <v>1</v>
      </c>
      <c r="BK1219" s="8">
        <v>70.95</v>
      </c>
      <c r="BL1219" s="2" t="s">
        <v>1028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6046</v>
      </c>
      <c r="BV1219" s="2" t="s">
        <v>233</v>
      </c>
      <c r="BW1219" s="2" t="s">
        <v>233</v>
      </c>
      <c r="BX1219" s="2" t="s">
        <v>233</v>
      </c>
      <c r="BY1219" s="2" t="s">
        <v>280</v>
      </c>
      <c r="BZ1219" s="2" t="s">
        <v>245</v>
      </c>
      <c r="CA1219" s="2" t="s">
        <v>5398</v>
      </c>
      <c r="CB1219" s="2" t="s">
        <v>827</v>
      </c>
      <c r="CC1219" s="2" t="s">
        <v>246</v>
      </c>
      <c r="CD1219" s="2" t="s">
        <v>233</v>
      </c>
      <c r="CE1219" s="4"/>
      <c r="CF1219" s="4">
        <v>35</v>
      </c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</row>
    <row r="1220">
      <c r="A1220" s="2" t="s">
        <v>6047</v>
      </c>
      <c r="B1220" s="2" t="s">
        <v>1414</v>
      </c>
      <c r="C1220" s="2" t="s">
        <v>530</v>
      </c>
      <c r="D1220" s="2" t="s">
        <v>1414</v>
      </c>
      <c r="E1220" s="2" t="s">
        <v>1414</v>
      </c>
      <c r="F1220" s="2" t="s">
        <v>1828</v>
      </c>
      <c r="G1220" s="2" t="s">
        <v>6025</v>
      </c>
      <c r="H1220" s="2" t="s">
        <v>6026</v>
      </c>
      <c r="I1220" s="2" t="s">
        <v>6027</v>
      </c>
      <c r="J1220" s="2" t="s">
        <v>1808</v>
      </c>
      <c r="K1220" s="2" t="s">
        <v>773</v>
      </c>
      <c r="L1220" s="3">
        <v>103.08</v>
      </c>
      <c r="M1220" s="3">
        <v>108.23</v>
      </c>
      <c r="N1220" s="3">
        <v>229.99</v>
      </c>
      <c r="O1220" s="2" t="s">
        <v>245</v>
      </c>
      <c r="P1220" s="2" t="s">
        <v>311</v>
      </c>
      <c r="Q1220" s="2" t="s">
        <v>239</v>
      </c>
      <c r="R1220" s="2" t="s">
        <v>233</v>
      </c>
      <c r="S1220" s="2" t="s">
        <v>6039</v>
      </c>
      <c r="T1220" s="2" t="s">
        <v>233</v>
      </c>
      <c r="U1220" s="2" t="s">
        <v>396</v>
      </c>
      <c r="V1220" s="2" t="s">
        <v>3103</v>
      </c>
      <c r="W1220" s="2" t="s">
        <v>1763</v>
      </c>
      <c r="X1220" s="2" t="s">
        <v>233</v>
      </c>
      <c r="Y1220" s="2" t="s">
        <v>1796</v>
      </c>
      <c r="Z1220" s="4">
        <v>56</v>
      </c>
      <c r="AA1220" s="4">
        <f>=ROUNDDOWN(80,0)</f>
      </c>
      <c r="AB1220" s="5">
        <v>0.7</v>
      </c>
      <c r="AC1220" s="2" t="s">
        <v>233</v>
      </c>
      <c r="AD1220" s="4"/>
      <c r="AE1220" s="4"/>
      <c r="AF1220" s="6">
        <v>63</v>
      </c>
      <c r="AG1220" s="6"/>
      <c r="AH1220" s="7">
        <v>1</v>
      </c>
      <c r="AI1220" s="4"/>
      <c r="AJ1220" s="4">
        <f>=ROUNDDOWN({0},0)</f>
      </c>
      <c r="AK1220" s="5"/>
      <c r="AL1220" s="2" t="s">
        <v>233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233</v>
      </c>
      <c r="AW1220" s="8" t="s">
        <v>233</v>
      </c>
      <c r="AX1220" s="4" t="s">
        <v>233</v>
      </c>
      <c r="AY1220" s="8" t="s">
        <v>233</v>
      </c>
      <c r="AZ1220" s="7" t="s">
        <v>233</v>
      </c>
      <c r="BA1220" s="7" t="s">
        <v>233</v>
      </c>
      <c r="BB1220" s="7"/>
      <c r="BC1220" s="4" t="s">
        <v>233</v>
      </c>
      <c r="BD1220" s="8" t="s">
        <v>233</v>
      </c>
      <c r="BE1220" s="4" t="s">
        <v>233</v>
      </c>
      <c r="BF1220" s="8" t="s">
        <v>233</v>
      </c>
      <c r="BG1220" s="7" t="s">
        <v>233</v>
      </c>
      <c r="BH1220" s="7" t="s">
        <v>233</v>
      </c>
      <c r="BI1220" s="7"/>
      <c r="BJ1220" s="4">
        <v>3</v>
      </c>
      <c r="BK1220" s="8">
        <v>433.1</v>
      </c>
      <c r="BL1220" s="2" t="s">
        <v>744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6048</v>
      </c>
      <c r="BV1220" s="2" t="s">
        <v>233</v>
      </c>
      <c r="BW1220" s="2" t="s">
        <v>233</v>
      </c>
      <c r="BX1220" s="2" t="s">
        <v>233</v>
      </c>
      <c r="BY1220" s="2" t="s">
        <v>280</v>
      </c>
      <c r="BZ1220" s="2" t="s">
        <v>245</v>
      </c>
      <c r="CA1220" s="2" t="s">
        <v>5398</v>
      </c>
      <c r="CB1220" s="2" t="s">
        <v>6049</v>
      </c>
      <c r="CC1220" s="2" t="s">
        <v>246</v>
      </c>
      <c r="CD1220" s="2" t="s">
        <v>233</v>
      </c>
      <c r="CE1220" s="4"/>
      <c r="CF1220" s="4">
        <v>56</v>
      </c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</row>
    <row r="1221">
      <c r="A1221" s="2" t="s">
        <v>6050</v>
      </c>
      <c r="B1221" s="2" t="s">
        <v>1414</v>
      </c>
      <c r="C1221" s="2" t="s">
        <v>530</v>
      </c>
      <c r="D1221" s="2" t="s">
        <v>1414</v>
      </c>
      <c r="E1221" s="2" t="s">
        <v>1414</v>
      </c>
      <c r="F1221" s="2" t="s">
        <v>1828</v>
      </c>
      <c r="G1221" s="2" t="s">
        <v>6025</v>
      </c>
      <c r="H1221" s="2" t="s">
        <v>6026</v>
      </c>
      <c r="I1221" s="2" t="s">
        <v>6027</v>
      </c>
      <c r="J1221" s="2" t="s">
        <v>1793</v>
      </c>
      <c r="K1221" s="2" t="s">
        <v>6051</v>
      </c>
      <c r="L1221" s="3">
        <v>26.33</v>
      </c>
      <c r="M1221" s="3">
        <v>27.65</v>
      </c>
      <c r="N1221" s="3">
        <v>59.99</v>
      </c>
      <c r="O1221" s="2" t="s">
        <v>245</v>
      </c>
      <c r="P1221" s="2" t="s">
        <v>311</v>
      </c>
      <c r="Q1221" s="2" t="s">
        <v>239</v>
      </c>
      <c r="R1221" s="2" t="s">
        <v>233</v>
      </c>
      <c r="S1221" s="2" t="s">
        <v>6052</v>
      </c>
      <c r="T1221" s="2" t="s">
        <v>233</v>
      </c>
      <c r="U1221" s="2" t="s">
        <v>396</v>
      </c>
      <c r="V1221" s="2" t="s">
        <v>3103</v>
      </c>
      <c r="W1221" s="2" t="s">
        <v>1763</v>
      </c>
      <c r="X1221" s="2" t="s">
        <v>233</v>
      </c>
      <c r="Y1221" s="2" t="s">
        <v>1796</v>
      </c>
      <c r="Z1221" s="4">
        <v>34</v>
      </c>
      <c r="AA1221" s="4">
        <f>=ROUNDDOWN(28.3333333333333,0)</f>
      </c>
      <c r="AB1221" s="5">
        <v>1.2</v>
      </c>
      <c r="AC1221" s="2" t="s">
        <v>233</v>
      </c>
      <c r="AD1221" s="4"/>
      <c r="AE1221" s="4"/>
      <c r="AF1221" s="6">
        <v>63</v>
      </c>
      <c r="AG1221" s="6"/>
      <c r="AH1221" s="7">
        <v>1</v>
      </c>
      <c r="AI1221" s="4"/>
      <c r="AJ1221" s="4">
        <f>=ROUNDDOWN({0},0)</f>
      </c>
      <c r="AK1221" s="5"/>
      <c r="AL1221" s="2" t="s">
        <v>233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233</v>
      </c>
      <c r="AW1221" s="8" t="s">
        <v>233</v>
      </c>
      <c r="AX1221" s="4" t="s">
        <v>233</v>
      </c>
      <c r="AY1221" s="8" t="s">
        <v>233</v>
      </c>
      <c r="AZ1221" s="7" t="s">
        <v>233</v>
      </c>
      <c r="BA1221" s="7" t="s">
        <v>233</v>
      </c>
      <c r="BB1221" s="7"/>
      <c r="BC1221" s="4" t="s">
        <v>233</v>
      </c>
      <c r="BD1221" s="8" t="s">
        <v>233</v>
      </c>
      <c r="BE1221" s="4" t="s">
        <v>233</v>
      </c>
      <c r="BF1221" s="8" t="s">
        <v>233</v>
      </c>
      <c r="BG1221" s="7" t="s">
        <v>233</v>
      </c>
      <c r="BH1221" s="7" t="s">
        <v>233</v>
      </c>
      <c r="BI1221" s="7"/>
      <c r="BJ1221" s="4">
        <v>5</v>
      </c>
      <c r="BK1221" s="8">
        <v>123.97</v>
      </c>
      <c r="BL1221" s="2" t="s">
        <v>6053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6054</v>
      </c>
      <c r="BV1221" s="2" t="s">
        <v>233</v>
      </c>
      <c r="BW1221" s="2" t="s">
        <v>233</v>
      </c>
      <c r="BX1221" s="2" t="s">
        <v>233</v>
      </c>
      <c r="BY1221" s="2" t="s">
        <v>280</v>
      </c>
      <c r="BZ1221" s="2" t="s">
        <v>245</v>
      </c>
      <c r="CA1221" s="2" t="s">
        <v>5398</v>
      </c>
      <c r="CB1221" s="2" t="s">
        <v>233</v>
      </c>
      <c r="CC1221" s="2" t="s">
        <v>246</v>
      </c>
      <c r="CD1221" s="2" t="s">
        <v>233</v>
      </c>
      <c r="CE1221" s="4"/>
      <c r="CF1221" s="4">
        <v>34</v>
      </c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</row>
    <row r="1222">
      <c r="A1222" s="2" t="s">
        <v>6055</v>
      </c>
      <c r="B1222" s="2" t="s">
        <v>1414</v>
      </c>
      <c r="C1222" s="2" t="s">
        <v>530</v>
      </c>
      <c r="D1222" s="2" t="s">
        <v>1414</v>
      </c>
      <c r="E1222" s="2" t="s">
        <v>1414</v>
      </c>
      <c r="F1222" s="2" t="s">
        <v>1828</v>
      </c>
      <c r="G1222" s="2" t="s">
        <v>6025</v>
      </c>
      <c r="H1222" s="2" t="s">
        <v>6026</v>
      </c>
      <c r="I1222" s="2" t="s">
        <v>6027</v>
      </c>
      <c r="J1222" s="2" t="s">
        <v>3086</v>
      </c>
      <c r="K1222" s="2" t="s">
        <v>6051</v>
      </c>
      <c r="L1222" s="3">
        <v>32.66</v>
      </c>
      <c r="M1222" s="3">
        <v>34.29</v>
      </c>
      <c r="N1222" s="3">
        <v>74.99</v>
      </c>
      <c r="O1222" s="2" t="s">
        <v>245</v>
      </c>
      <c r="P1222" s="2" t="s">
        <v>311</v>
      </c>
      <c r="Q1222" s="2" t="s">
        <v>239</v>
      </c>
      <c r="R1222" s="2" t="s">
        <v>233</v>
      </c>
      <c r="S1222" s="2" t="s">
        <v>6052</v>
      </c>
      <c r="T1222" s="2" t="s">
        <v>233</v>
      </c>
      <c r="U1222" s="2" t="s">
        <v>396</v>
      </c>
      <c r="V1222" s="2" t="s">
        <v>3103</v>
      </c>
      <c r="W1222" s="2" t="s">
        <v>1763</v>
      </c>
      <c r="X1222" s="2" t="s">
        <v>233</v>
      </c>
      <c r="Y1222" s="2" t="s">
        <v>1796</v>
      </c>
      <c r="Z1222" s="4">
        <v>7</v>
      </c>
      <c r="AA1222" s="4">
        <f>=ROUNDDOWN(17.5,0)</f>
      </c>
      <c r="AB1222" s="5">
        <v>0.4</v>
      </c>
      <c r="AC1222" s="2" t="s">
        <v>233</v>
      </c>
      <c r="AD1222" s="4"/>
      <c r="AE1222" s="4"/>
      <c r="AF1222" s="6">
        <v>63</v>
      </c>
      <c r="AG1222" s="6"/>
      <c r="AH1222" s="7">
        <v>1</v>
      </c>
      <c r="AI1222" s="4"/>
      <c r="AJ1222" s="4">
        <f>=ROUNDDOWN({0},0)</f>
      </c>
      <c r="AK1222" s="5"/>
      <c r="AL1222" s="2" t="s">
        <v>233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233</v>
      </c>
      <c r="AW1222" s="8" t="s">
        <v>233</v>
      </c>
      <c r="AX1222" s="4" t="s">
        <v>233</v>
      </c>
      <c r="AY1222" s="8" t="s">
        <v>233</v>
      </c>
      <c r="AZ1222" s="7" t="s">
        <v>233</v>
      </c>
      <c r="BA1222" s="7" t="s">
        <v>233</v>
      </c>
      <c r="BB1222" s="7"/>
      <c r="BC1222" s="4" t="s">
        <v>233</v>
      </c>
      <c r="BD1222" s="8" t="s">
        <v>233</v>
      </c>
      <c r="BE1222" s="4" t="s">
        <v>233</v>
      </c>
      <c r="BF1222" s="8" t="s">
        <v>233</v>
      </c>
      <c r="BG1222" s="7" t="s">
        <v>233</v>
      </c>
      <c r="BH1222" s="7" t="s">
        <v>233</v>
      </c>
      <c r="BI1222" s="7"/>
      <c r="BJ1222" s="4">
        <v>2</v>
      </c>
      <c r="BK1222" s="8">
        <v>75.44</v>
      </c>
      <c r="BL1222" s="2" t="s">
        <v>6056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6057</v>
      </c>
      <c r="BV1222" s="2" t="s">
        <v>233</v>
      </c>
      <c r="BW1222" s="2" t="s">
        <v>233</v>
      </c>
      <c r="BX1222" s="2" t="s">
        <v>233</v>
      </c>
      <c r="BY1222" s="2" t="s">
        <v>280</v>
      </c>
      <c r="BZ1222" s="2" t="s">
        <v>245</v>
      </c>
      <c r="CA1222" s="2" t="s">
        <v>5398</v>
      </c>
      <c r="CB1222" s="2" t="s">
        <v>233</v>
      </c>
      <c r="CC1222" s="2" t="s">
        <v>246</v>
      </c>
      <c r="CD1222" s="2" t="s">
        <v>233</v>
      </c>
      <c r="CE1222" s="4"/>
      <c r="CF1222" s="4">
        <v>7</v>
      </c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</row>
    <row r="1223">
      <c r="A1223" s="2" t="s">
        <v>6058</v>
      </c>
      <c r="B1223" s="2" t="s">
        <v>1414</v>
      </c>
      <c r="C1223" s="2" t="s">
        <v>530</v>
      </c>
      <c r="D1223" s="2" t="s">
        <v>1414</v>
      </c>
      <c r="E1223" s="2" t="s">
        <v>1414</v>
      </c>
      <c r="F1223" s="2" t="s">
        <v>1828</v>
      </c>
      <c r="G1223" s="2" t="s">
        <v>6025</v>
      </c>
      <c r="H1223" s="2" t="s">
        <v>6026</v>
      </c>
      <c r="I1223" s="2" t="s">
        <v>6027</v>
      </c>
      <c r="J1223" s="2" t="s">
        <v>1418</v>
      </c>
      <c r="K1223" s="2" t="s">
        <v>6051</v>
      </c>
      <c r="L1223" s="3">
        <v>49.11</v>
      </c>
      <c r="M1223" s="3">
        <v>51.57</v>
      </c>
      <c r="N1223" s="3">
        <v>109.99</v>
      </c>
      <c r="O1223" s="2" t="s">
        <v>245</v>
      </c>
      <c r="P1223" s="2" t="s">
        <v>311</v>
      </c>
      <c r="Q1223" s="2" t="s">
        <v>239</v>
      </c>
      <c r="R1223" s="2" t="s">
        <v>233</v>
      </c>
      <c r="S1223" s="2" t="s">
        <v>6052</v>
      </c>
      <c r="T1223" s="2" t="s">
        <v>233</v>
      </c>
      <c r="U1223" s="2" t="s">
        <v>396</v>
      </c>
      <c r="V1223" s="2" t="s">
        <v>3103</v>
      </c>
      <c r="W1223" s="2" t="s">
        <v>1763</v>
      </c>
      <c r="X1223" s="2" t="s">
        <v>233</v>
      </c>
      <c r="Y1223" s="2" t="s">
        <v>1796</v>
      </c>
      <c r="Z1223" s="4">
        <v>22</v>
      </c>
      <c r="AA1223" s="4">
        <f>=ROUNDDOWN(110,0)</f>
      </c>
      <c r="AB1223" s="5">
        <v>0.2</v>
      </c>
      <c r="AC1223" s="2" t="s">
        <v>233</v>
      </c>
      <c r="AD1223" s="4"/>
      <c r="AE1223" s="4"/>
      <c r="AF1223" s="6">
        <v>63</v>
      </c>
      <c r="AG1223" s="6"/>
      <c r="AH1223" s="7">
        <v>1</v>
      </c>
      <c r="AI1223" s="4"/>
      <c r="AJ1223" s="4">
        <f>=ROUNDDOWN({0},0)</f>
      </c>
      <c r="AK1223" s="5"/>
      <c r="AL1223" s="2" t="s">
        <v>233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233</v>
      </c>
      <c r="AW1223" s="8" t="s">
        <v>233</v>
      </c>
      <c r="AX1223" s="4" t="s">
        <v>233</v>
      </c>
      <c r="AY1223" s="8" t="s">
        <v>233</v>
      </c>
      <c r="AZ1223" s="7" t="s">
        <v>233</v>
      </c>
      <c r="BA1223" s="7" t="s">
        <v>233</v>
      </c>
      <c r="BB1223" s="7"/>
      <c r="BC1223" s="4" t="s">
        <v>233</v>
      </c>
      <c r="BD1223" s="8" t="s">
        <v>233</v>
      </c>
      <c r="BE1223" s="4" t="s">
        <v>233</v>
      </c>
      <c r="BF1223" s="8" t="s">
        <v>233</v>
      </c>
      <c r="BG1223" s="7" t="s">
        <v>233</v>
      </c>
      <c r="BH1223" s="7" t="s">
        <v>233</v>
      </c>
      <c r="BI1223" s="7"/>
      <c r="BJ1223" s="4">
        <v>1</v>
      </c>
      <c r="BK1223" s="8">
        <v>79.99</v>
      </c>
      <c r="BL1223" s="2" t="s">
        <v>6059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6060</v>
      </c>
      <c r="BV1223" s="2" t="s">
        <v>233</v>
      </c>
      <c r="BW1223" s="2" t="s">
        <v>233</v>
      </c>
      <c r="BX1223" s="2" t="s">
        <v>233</v>
      </c>
      <c r="BY1223" s="2" t="s">
        <v>280</v>
      </c>
      <c r="BZ1223" s="2" t="s">
        <v>245</v>
      </c>
      <c r="CA1223" s="2" t="s">
        <v>5398</v>
      </c>
      <c r="CB1223" s="2" t="s">
        <v>3892</v>
      </c>
      <c r="CC1223" s="2" t="s">
        <v>246</v>
      </c>
      <c r="CD1223" s="2" t="s">
        <v>233</v>
      </c>
      <c r="CE1223" s="4"/>
      <c r="CF1223" s="4">
        <v>22</v>
      </c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</row>
    <row r="1224">
      <c r="A1224" s="2" t="s">
        <v>6061</v>
      </c>
      <c r="B1224" s="2" t="s">
        <v>1414</v>
      </c>
      <c r="C1224" s="2" t="s">
        <v>530</v>
      </c>
      <c r="D1224" s="2" t="s">
        <v>1414</v>
      </c>
      <c r="E1224" s="2" t="s">
        <v>1414</v>
      </c>
      <c r="F1224" s="2" t="s">
        <v>1828</v>
      </c>
      <c r="G1224" s="2" t="s">
        <v>6025</v>
      </c>
      <c r="H1224" s="2" t="s">
        <v>6026</v>
      </c>
      <c r="I1224" s="2" t="s">
        <v>6027</v>
      </c>
      <c r="J1224" s="2" t="s">
        <v>1426</v>
      </c>
      <c r="K1224" s="2" t="s">
        <v>6051</v>
      </c>
      <c r="L1224" s="3">
        <v>71.5</v>
      </c>
      <c r="M1224" s="3">
        <v>75.08</v>
      </c>
      <c r="N1224" s="3">
        <v>159.99</v>
      </c>
      <c r="O1224" s="2" t="s">
        <v>245</v>
      </c>
      <c r="P1224" s="2" t="s">
        <v>311</v>
      </c>
      <c r="Q1224" s="2" t="s">
        <v>239</v>
      </c>
      <c r="R1224" s="2" t="s">
        <v>233</v>
      </c>
      <c r="S1224" s="2" t="s">
        <v>6052</v>
      </c>
      <c r="T1224" s="2" t="s">
        <v>233</v>
      </c>
      <c r="U1224" s="2" t="s">
        <v>396</v>
      </c>
      <c r="V1224" s="2" t="s">
        <v>3103</v>
      </c>
      <c r="W1224" s="2" t="s">
        <v>1763</v>
      </c>
      <c r="X1224" s="2" t="s">
        <v>233</v>
      </c>
      <c r="Y1224" s="2" t="s">
        <v>1796</v>
      </c>
      <c r="Z1224" s="4">
        <v>36</v>
      </c>
      <c r="AA1224" s="4">
        <f>=ROUNDDOWN(22.5,0)</f>
      </c>
      <c r="AB1224" s="5">
        <v>1.6</v>
      </c>
      <c r="AC1224" s="2" t="s">
        <v>233</v>
      </c>
      <c r="AD1224" s="4"/>
      <c r="AE1224" s="4"/>
      <c r="AF1224" s="6">
        <v>63</v>
      </c>
      <c r="AG1224" s="6"/>
      <c r="AH1224" s="7">
        <v>1</v>
      </c>
      <c r="AI1224" s="4"/>
      <c r="AJ1224" s="4">
        <f>=ROUNDDOWN({0},0)</f>
      </c>
      <c r="AK1224" s="5"/>
      <c r="AL1224" s="2" t="s">
        <v>233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233</v>
      </c>
      <c r="AW1224" s="8" t="s">
        <v>233</v>
      </c>
      <c r="AX1224" s="4" t="s">
        <v>233</v>
      </c>
      <c r="AY1224" s="8" t="s">
        <v>233</v>
      </c>
      <c r="AZ1224" s="7" t="s">
        <v>233</v>
      </c>
      <c r="BA1224" s="7" t="s">
        <v>233</v>
      </c>
      <c r="BB1224" s="7"/>
      <c r="BC1224" s="4" t="s">
        <v>233</v>
      </c>
      <c r="BD1224" s="8" t="s">
        <v>233</v>
      </c>
      <c r="BE1224" s="4" t="s">
        <v>233</v>
      </c>
      <c r="BF1224" s="8" t="s">
        <v>233</v>
      </c>
      <c r="BG1224" s="7" t="s">
        <v>233</v>
      </c>
      <c r="BH1224" s="7" t="s">
        <v>233</v>
      </c>
      <c r="BI1224" s="7"/>
      <c r="BJ1224" s="4">
        <v>3</v>
      </c>
      <c r="BK1224" s="8">
        <v>263.65</v>
      </c>
      <c r="BL1224" s="2" t="s">
        <v>6062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6063</v>
      </c>
      <c r="BV1224" s="2" t="s">
        <v>233</v>
      </c>
      <c r="BW1224" s="2" t="s">
        <v>233</v>
      </c>
      <c r="BX1224" s="2" t="s">
        <v>233</v>
      </c>
      <c r="BY1224" s="2" t="s">
        <v>280</v>
      </c>
      <c r="BZ1224" s="2" t="s">
        <v>245</v>
      </c>
      <c r="CA1224" s="2" t="s">
        <v>5398</v>
      </c>
      <c r="CB1224" s="2" t="s">
        <v>233</v>
      </c>
      <c r="CC1224" s="2" t="s">
        <v>246</v>
      </c>
      <c r="CD1224" s="2" t="s">
        <v>233</v>
      </c>
      <c r="CE1224" s="4"/>
      <c r="CF1224" s="4">
        <v>36</v>
      </c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</row>
    <row r="1225">
      <c r="A1225" s="2" t="s">
        <v>6064</v>
      </c>
      <c r="B1225" s="2" t="s">
        <v>1414</v>
      </c>
      <c r="C1225" s="2" t="s">
        <v>530</v>
      </c>
      <c r="D1225" s="2" t="s">
        <v>1414</v>
      </c>
      <c r="E1225" s="2" t="s">
        <v>1414</v>
      </c>
      <c r="F1225" s="2" t="s">
        <v>1828</v>
      </c>
      <c r="G1225" s="2" t="s">
        <v>6025</v>
      </c>
      <c r="H1225" s="2" t="s">
        <v>6026</v>
      </c>
      <c r="I1225" s="2" t="s">
        <v>6027</v>
      </c>
      <c r="J1225" s="2" t="s">
        <v>1808</v>
      </c>
      <c r="K1225" s="2" t="s">
        <v>6051</v>
      </c>
      <c r="L1225" s="3">
        <v>103.08</v>
      </c>
      <c r="M1225" s="3">
        <v>108.23</v>
      </c>
      <c r="N1225" s="3">
        <v>229.99</v>
      </c>
      <c r="O1225" s="2" t="s">
        <v>245</v>
      </c>
      <c r="P1225" s="2" t="s">
        <v>311</v>
      </c>
      <c r="Q1225" s="2" t="s">
        <v>239</v>
      </c>
      <c r="R1225" s="2" t="s">
        <v>233</v>
      </c>
      <c r="S1225" s="2" t="s">
        <v>6052</v>
      </c>
      <c r="T1225" s="2" t="s">
        <v>233</v>
      </c>
      <c r="U1225" s="2" t="s">
        <v>396</v>
      </c>
      <c r="V1225" s="2" t="s">
        <v>3103</v>
      </c>
      <c r="W1225" s="2" t="s">
        <v>1763</v>
      </c>
      <c r="X1225" s="2" t="s">
        <v>233</v>
      </c>
      <c r="Y1225" s="2" t="s">
        <v>1796</v>
      </c>
      <c r="Z1225" s="4">
        <v>6</v>
      </c>
      <c r="AA1225" s="4">
        <f>=ROUNDDOWN(3,0)</f>
      </c>
      <c r="AB1225" s="5">
        <v>2</v>
      </c>
      <c r="AC1225" s="2" t="s">
        <v>233</v>
      </c>
      <c r="AD1225" s="4"/>
      <c r="AE1225" s="4"/>
      <c r="AF1225" s="6">
        <v>63</v>
      </c>
      <c r="AG1225" s="6"/>
      <c r="AH1225" s="7">
        <v>1</v>
      </c>
      <c r="AI1225" s="4"/>
      <c r="AJ1225" s="4">
        <f>=ROUNDDOWN({0},0)</f>
      </c>
      <c r="AK1225" s="5"/>
      <c r="AL1225" s="2" t="s">
        <v>233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233</v>
      </c>
      <c r="AW1225" s="8" t="s">
        <v>233</v>
      </c>
      <c r="AX1225" s="4" t="s">
        <v>233</v>
      </c>
      <c r="AY1225" s="8" t="s">
        <v>233</v>
      </c>
      <c r="AZ1225" s="7" t="s">
        <v>233</v>
      </c>
      <c r="BA1225" s="7" t="s">
        <v>233</v>
      </c>
      <c r="BB1225" s="7"/>
      <c r="BC1225" s="4" t="s">
        <v>233</v>
      </c>
      <c r="BD1225" s="8" t="s">
        <v>233</v>
      </c>
      <c r="BE1225" s="4" t="s">
        <v>233</v>
      </c>
      <c r="BF1225" s="8" t="s">
        <v>233</v>
      </c>
      <c r="BG1225" s="7" t="s">
        <v>233</v>
      </c>
      <c r="BH1225" s="7" t="s">
        <v>233</v>
      </c>
      <c r="BI1225" s="7"/>
      <c r="BJ1225" s="4">
        <v>6</v>
      </c>
      <c r="BK1225" s="8">
        <v>703.54</v>
      </c>
      <c r="BL1225" s="2" t="s">
        <v>6065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6066</v>
      </c>
      <c r="BV1225" s="2" t="s">
        <v>233</v>
      </c>
      <c r="BW1225" s="2" t="s">
        <v>233</v>
      </c>
      <c r="BX1225" s="2" t="s">
        <v>233</v>
      </c>
      <c r="BY1225" s="2" t="s">
        <v>280</v>
      </c>
      <c r="BZ1225" s="2" t="s">
        <v>245</v>
      </c>
      <c r="CA1225" s="2" t="s">
        <v>5398</v>
      </c>
      <c r="CB1225" s="2" t="s">
        <v>4736</v>
      </c>
      <c r="CC1225" s="2" t="s">
        <v>246</v>
      </c>
      <c r="CD1225" s="2" t="s">
        <v>233</v>
      </c>
      <c r="CE1225" s="4"/>
      <c r="CF1225" s="4">
        <v>6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</row>
    <row r="1226">
      <c r="A1226" s="2" t="s">
        <v>6067</v>
      </c>
      <c r="B1226" s="2" t="s">
        <v>1414</v>
      </c>
      <c r="C1226" s="2" t="s">
        <v>530</v>
      </c>
      <c r="D1226" s="2" t="s">
        <v>1414</v>
      </c>
      <c r="E1226" s="2" t="s">
        <v>1414</v>
      </c>
      <c r="F1226" s="2" t="s">
        <v>6068</v>
      </c>
      <c r="G1226" s="2" t="s">
        <v>6069</v>
      </c>
      <c r="H1226" s="2" t="s">
        <v>6070</v>
      </c>
      <c r="I1226" s="2" t="s">
        <v>6071</v>
      </c>
      <c r="J1226" s="2" t="s">
        <v>3086</v>
      </c>
      <c r="K1226" s="2" t="s">
        <v>4768</v>
      </c>
      <c r="L1226" s="3">
        <v>32.66</v>
      </c>
      <c r="M1226" s="3">
        <v>34.29</v>
      </c>
      <c r="N1226" s="3">
        <v>74.99</v>
      </c>
      <c r="O1226" s="2" t="s">
        <v>245</v>
      </c>
      <c r="P1226" s="2" t="s">
        <v>311</v>
      </c>
      <c r="Q1226" s="2" t="s">
        <v>239</v>
      </c>
      <c r="R1226" s="2" t="s">
        <v>233</v>
      </c>
      <c r="S1226" s="2" t="s">
        <v>233</v>
      </c>
      <c r="T1226" s="2" t="s">
        <v>233</v>
      </c>
      <c r="U1226" s="2" t="s">
        <v>396</v>
      </c>
      <c r="V1226" s="2" t="s">
        <v>921</v>
      </c>
      <c r="W1226" s="2" t="s">
        <v>397</v>
      </c>
      <c r="X1226" s="2" t="s">
        <v>233</v>
      </c>
      <c r="Y1226" s="2" t="s">
        <v>3075</v>
      </c>
      <c r="Z1226" s="4">
        <v>34</v>
      </c>
      <c r="AA1226" s="4">
        <f>=ROUNDDOWN(13.0769230769231,0)</f>
      </c>
      <c r="AB1226" s="5">
        <v>2.6</v>
      </c>
      <c r="AC1226" s="2" t="s">
        <v>233</v>
      </c>
      <c r="AD1226" s="4"/>
      <c r="AE1226" s="4"/>
      <c r="AF1226" s="6">
        <v>63</v>
      </c>
      <c r="AG1226" s="6"/>
      <c r="AH1226" s="7">
        <v>1</v>
      </c>
      <c r="AI1226" s="4"/>
      <c r="AJ1226" s="4">
        <f>=ROUNDDOWN({0},0)</f>
      </c>
      <c r="AK1226" s="5"/>
      <c r="AL1226" s="2" t="s">
        <v>233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>
        <v>2</v>
      </c>
      <c r="BK1226" s="8">
        <v>70.3</v>
      </c>
      <c r="BL1226" s="2" t="s">
        <v>4764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6072</v>
      </c>
      <c r="BV1226" s="2" t="s">
        <v>233</v>
      </c>
      <c r="BW1226" s="2" t="s">
        <v>233</v>
      </c>
      <c r="BX1226" s="2" t="s">
        <v>233</v>
      </c>
      <c r="BY1226" s="2" t="s">
        <v>280</v>
      </c>
      <c r="BZ1226" s="2" t="s">
        <v>245</v>
      </c>
      <c r="CA1226" s="2" t="s">
        <v>6073</v>
      </c>
      <c r="CB1226" s="2" t="s">
        <v>350</v>
      </c>
      <c r="CC1226" s="2" t="s">
        <v>246</v>
      </c>
      <c r="CD1226" s="2" t="s">
        <v>233</v>
      </c>
      <c r="CE1226" s="4"/>
      <c r="CF1226" s="4">
        <v>34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</row>
    <row r="1227">
      <c r="A1227" s="2" t="s">
        <v>6074</v>
      </c>
      <c r="B1227" s="2" t="s">
        <v>1242</v>
      </c>
      <c r="C1227" s="2" t="s">
        <v>530</v>
      </c>
      <c r="D1227" s="2" t="s">
        <v>1862</v>
      </c>
      <c r="E1227" s="2" t="s">
        <v>1863</v>
      </c>
      <c r="F1227" s="2" t="s">
        <v>6075</v>
      </c>
      <c r="G1227" s="2" t="s">
        <v>6076</v>
      </c>
      <c r="H1227" s="2" t="s">
        <v>6077</v>
      </c>
      <c r="I1227" s="2" t="s">
        <v>6078</v>
      </c>
      <c r="J1227" s="2" t="s">
        <v>981</v>
      </c>
      <c r="K1227" s="2" t="s">
        <v>255</v>
      </c>
      <c r="L1227" s="3">
        <v>36.57</v>
      </c>
      <c r="M1227" s="3">
        <v>38.4</v>
      </c>
      <c r="N1227" s="3">
        <v>79.99</v>
      </c>
      <c r="O1227" s="2" t="s">
        <v>245</v>
      </c>
      <c r="P1227" s="2" t="s">
        <v>238</v>
      </c>
      <c r="Q1227" s="2" t="s">
        <v>239</v>
      </c>
      <c r="R1227" s="2" t="s">
        <v>233</v>
      </c>
      <c r="S1227" s="2" t="s">
        <v>6079</v>
      </c>
      <c r="T1227" s="2" t="s">
        <v>1481</v>
      </c>
      <c r="U1227" s="2" t="s">
        <v>475</v>
      </c>
      <c r="V1227" s="2" t="s">
        <v>1085</v>
      </c>
      <c r="W1227" s="2" t="s">
        <v>275</v>
      </c>
      <c r="X1227" s="2" t="s">
        <v>233</v>
      </c>
      <c r="Y1227" s="2" t="s">
        <v>1026</v>
      </c>
      <c r="Z1227" s="4">
        <v>344</v>
      </c>
      <c r="AA1227" s="4">
        <f>=ROUNDDOWN(114.666666666667,0)</f>
      </c>
      <c r="AB1227" s="5">
        <v>3</v>
      </c>
      <c r="AC1227" s="2" t="s">
        <v>233</v>
      </c>
      <c r="AD1227" s="4"/>
      <c r="AE1227" s="4"/>
      <c r="AF1227" s="6">
        <v>64</v>
      </c>
      <c r="AG1227" s="6"/>
      <c r="AH1227" s="7">
        <v>1</v>
      </c>
      <c r="AI1227" s="4"/>
      <c r="AJ1227" s="4">
        <f>=ROUNDDOWN({0},0)</f>
      </c>
      <c r="AK1227" s="5"/>
      <c r="AL1227" s="2" t="s">
        <v>233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233</v>
      </c>
      <c r="AW1227" s="8" t="s">
        <v>233</v>
      </c>
      <c r="AX1227" s="4" t="s">
        <v>233</v>
      </c>
      <c r="AY1227" s="8" t="s">
        <v>233</v>
      </c>
      <c r="AZ1227" s="7" t="s">
        <v>233</v>
      </c>
      <c r="BA1227" s="7" t="s">
        <v>233</v>
      </c>
      <c r="BB1227" s="7"/>
      <c r="BC1227" s="4" t="s">
        <v>233</v>
      </c>
      <c r="BD1227" s="8" t="s">
        <v>233</v>
      </c>
      <c r="BE1227" s="4" t="s">
        <v>233</v>
      </c>
      <c r="BF1227" s="8" t="s">
        <v>233</v>
      </c>
      <c r="BG1227" s="7" t="s">
        <v>233</v>
      </c>
      <c r="BH1227" s="7" t="s">
        <v>233</v>
      </c>
      <c r="BI1227" s="7"/>
      <c r="BJ1227" s="4">
        <v>4</v>
      </c>
      <c r="BK1227" s="8">
        <v>153.6</v>
      </c>
      <c r="BL1227" s="2" t="s">
        <v>744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6080</v>
      </c>
      <c r="BV1227" s="2" t="s">
        <v>233</v>
      </c>
      <c r="BW1227" s="2" t="s">
        <v>233</v>
      </c>
      <c r="BX1227" s="2" t="s">
        <v>243</v>
      </c>
      <c r="BY1227" s="2" t="s">
        <v>280</v>
      </c>
      <c r="BZ1227" s="2" t="s">
        <v>245</v>
      </c>
      <c r="CA1227" s="2" t="s">
        <v>1106</v>
      </c>
      <c r="CB1227" s="2" t="s">
        <v>233</v>
      </c>
      <c r="CC1227" s="2" t="s">
        <v>246</v>
      </c>
      <c r="CD1227" s="2" t="s">
        <v>233</v>
      </c>
      <c r="CE1227" s="4">
        <v>340</v>
      </c>
      <c r="CF1227" s="4">
        <v>4</v>
      </c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</row>
    <row r="1228">
      <c r="A1228" s="2" t="s">
        <v>6081</v>
      </c>
      <c r="B1228" s="2" t="s">
        <v>1242</v>
      </c>
      <c r="C1228" s="2" t="s">
        <v>530</v>
      </c>
      <c r="D1228" s="2" t="s">
        <v>1862</v>
      </c>
      <c r="E1228" s="2" t="s">
        <v>1863</v>
      </c>
      <c r="F1228" s="2" t="s">
        <v>6075</v>
      </c>
      <c r="G1228" s="2" t="s">
        <v>6076</v>
      </c>
      <c r="H1228" s="2" t="s">
        <v>6077</v>
      </c>
      <c r="I1228" s="2" t="s">
        <v>6078</v>
      </c>
      <c r="J1228" s="2" t="s">
        <v>1142</v>
      </c>
      <c r="K1228" s="2" t="s">
        <v>255</v>
      </c>
      <c r="L1228" s="3">
        <v>41.14</v>
      </c>
      <c r="M1228" s="3">
        <v>43.2</v>
      </c>
      <c r="N1228" s="3">
        <v>89.99</v>
      </c>
      <c r="O1228" s="2" t="s">
        <v>245</v>
      </c>
      <c r="P1228" s="2" t="s">
        <v>238</v>
      </c>
      <c r="Q1228" s="2" t="s">
        <v>239</v>
      </c>
      <c r="R1228" s="2" t="s">
        <v>233</v>
      </c>
      <c r="S1228" s="2" t="s">
        <v>6079</v>
      </c>
      <c r="T1228" s="2" t="s">
        <v>1481</v>
      </c>
      <c r="U1228" s="2" t="s">
        <v>475</v>
      </c>
      <c r="V1228" s="2" t="s">
        <v>1085</v>
      </c>
      <c r="W1228" s="2" t="s">
        <v>275</v>
      </c>
      <c r="X1228" s="2" t="s">
        <v>233</v>
      </c>
      <c r="Y1228" s="2" t="s">
        <v>1009</v>
      </c>
      <c r="Z1228" s="4">
        <v>424</v>
      </c>
      <c r="AA1228" s="4">
        <f>=ROUNDDOWN(141.333333333333,0)</f>
      </c>
      <c r="AB1228" s="5">
        <v>3</v>
      </c>
      <c r="AC1228" s="2" t="s">
        <v>233</v>
      </c>
      <c r="AD1228" s="4"/>
      <c r="AE1228" s="4"/>
      <c r="AF1228" s="6">
        <v>64</v>
      </c>
      <c r="AG1228" s="6"/>
      <c r="AH1228" s="7">
        <v>1</v>
      </c>
      <c r="AI1228" s="4"/>
      <c r="AJ1228" s="4">
        <f>=ROUNDDOWN({0},0)</f>
      </c>
      <c r="AK1228" s="5"/>
      <c r="AL1228" s="2" t="s">
        <v>233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233</v>
      </c>
      <c r="AW1228" s="8" t="s">
        <v>233</v>
      </c>
      <c r="AX1228" s="4" t="s">
        <v>233</v>
      </c>
      <c r="AY1228" s="8" t="s">
        <v>233</v>
      </c>
      <c r="AZ1228" s="7" t="s">
        <v>233</v>
      </c>
      <c r="BA1228" s="7" t="s">
        <v>233</v>
      </c>
      <c r="BB1228" s="7"/>
      <c r="BC1228" s="4" t="s">
        <v>233</v>
      </c>
      <c r="BD1228" s="8" t="s">
        <v>233</v>
      </c>
      <c r="BE1228" s="4" t="s">
        <v>233</v>
      </c>
      <c r="BF1228" s="8" t="s">
        <v>233</v>
      </c>
      <c r="BG1228" s="7" t="s">
        <v>233</v>
      </c>
      <c r="BH1228" s="7" t="s">
        <v>233</v>
      </c>
      <c r="BI1228" s="7"/>
      <c r="BJ1228" s="4">
        <v>4</v>
      </c>
      <c r="BK1228" s="8">
        <v>183.15</v>
      </c>
      <c r="BL1228" s="2" t="s">
        <v>6082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6083</v>
      </c>
      <c r="BV1228" s="2" t="s">
        <v>233</v>
      </c>
      <c r="BW1228" s="2" t="s">
        <v>233</v>
      </c>
      <c r="BX1228" s="2" t="s">
        <v>243</v>
      </c>
      <c r="BY1228" s="2" t="s">
        <v>280</v>
      </c>
      <c r="BZ1228" s="2" t="s">
        <v>245</v>
      </c>
      <c r="CA1228" s="2" t="s">
        <v>1106</v>
      </c>
      <c r="CB1228" s="2" t="s">
        <v>1882</v>
      </c>
      <c r="CC1228" s="2" t="s">
        <v>246</v>
      </c>
      <c r="CD1228" s="2" t="s">
        <v>233</v>
      </c>
      <c r="CE1228" s="4">
        <v>424</v>
      </c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</row>
    <row r="1229">
      <c r="A1229" s="2" t="s">
        <v>6084</v>
      </c>
      <c r="B1229" s="2" t="s">
        <v>1242</v>
      </c>
      <c r="C1229" s="2" t="s">
        <v>530</v>
      </c>
      <c r="D1229" s="2" t="s">
        <v>1862</v>
      </c>
      <c r="E1229" s="2" t="s">
        <v>1863</v>
      </c>
      <c r="F1229" s="2" t="s">
        <v>6075</v>
      </c>
      <c r="G1229" s="2" t="s">
        <v>6076</v>
      </c>
      <c r="H1229" s="2" t="s">
        <v>6077</v>
      </c>
      <c r="I1229" s="2" t="s">
        <v>6078</v>
      </c>
      <c r="J1229" s="2" t="s">
        <v>981</v>
      </c>
      <c r="K1229" s="2" t="s">
        <v>2475</v>
      </c>
      <c r="L1229" s="3">
        <v>36.57</v>
      </c>
      <c r="M1229" s="3">
        <v>38.4</v>
      </c>
      <c r="N1229" s="3">
        <v>79.99</v>
      </c>
      <c r="O1229" s="2" t="s">
        <v>245</v>
      </c>
      <c r="P1229" s="2" t="s">
        <v>238</v>
      </c>
      <c r="Q1229" s="2" t="s">
        <v>239</v>
      </c>
      <c r="R1229" s="2" t="s">
        <v>233</v>
      </c>
      <c r="S1229" s="2" t="s">
        <v>6085</v>
      </c>
      <c r="T1229" s="2" t="s">
        <v>1481</v>
      </c>
      <c r="U1229" s="2" t="s">
        <v>475</v>
      </c>
      <c r="V1229" s="2" t="s">
        <v>1085</v>
      </c>
      <c r="W1229" s="2" t="s">
        <v>275</v>
      </c>
      <c r="X1229" s="2" t="s">
        <v>233</v>
      </c>
      <c r="Y1229" s="2" t="s">
        <v>6086</v>
      </c>
      <c r="Z1229" s="4">
        <v>335</v>
      </c>
      <c r="AA1229" s="4">
        <f>=ROUNDDOWN(167.5,0)</f>
      </c>
      <c r="AB1229" s="5">
        <v>2</v>
      </c>
      <c r="AC1229" s="2" t="s">
        <v>233</v>
      </c>
      <c r="AD1229" s="4"/>
      <c r="AE1229" s="4"/>
      <c r="AF1229" s="6">
        <v>64</v>
      </c>
      <c r="AG1229" s="6"/>
      <c r="AH1229" s="7">
        <v>1</v>
      </c>
      <c r="AI1229" s="4"/>
      <c r="AJ1229" s="4">
        <f>=ROUNDDOWN({0},0)</f>
      </c>
      <c r="AK1229" s="5"/>
      <c r="AL1229" s="2" t="s">
        <v>233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233</v>
      </c>
      <c r="AW1229" s="8" t="s">
        <v>233</v>
      </c>
      <c r="AX1229" s="4" t="s">
        <v>233</v>
      </c>
      <c r="AY1229" s="8" t="s">
        <v>233</v>
      </c>
      <c r="AZ1229" s="7" t="s">
        <v>233</v>
      </c>
      <c r="BA1229" s="7" t="s">
        <v>233</v>
      </c>
      <c r="BB1229" s="7"/>
      <c r="BC1229" s="4" t="s">
        <v>233</v>
      </c>
      <c r="BD1229" s="8" t="s">
        <v>233</v>
      </c>
      <c r="BE1229" s="4" t="s">
        <v>233</v>
      </c>
      <c r="BF1229" s="8" t="s">
        <v>233</v>
      </c>
      <c r="BG1229" s="7" t="s">
        <v>233</v>
      </c>
      <c r="BH1229" s="7" t="s">
        <v>233</v>
      </c>
      <c r="BI1229" s="7"/>
      <c r="BJ1229" s="4">
        <v>10</v>
      </c>
      <c r="BK1229" s="8">
        <v>393.02</v>
      </c>
      <c r="BL1229" s="2" t="s">
        <v>6087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6088</v>
      </c>
      <c r="BV1229" s="2" t="s">
        <v>233</v>
      </c>
      <c r="BW1229" s="2" t="s">
        <v>233</v>
      </c>
      <c r="BX1229" s="2" t="s">
        <v>243</v>
      </c>
      <c r="BY1229" s="2" t="s">
        <v>280</v>
      </c>
      <c r="BZ1229" s="2" t="s">
        <v>245</v>
      </c>
      <c r="CA1229" s="2" t="s">
        <v>1106</v>
      </c>
      <c r="CB1229" s="2" t="s">
        <v>233</v>
      </c>
      <c r="CC1229" s="2" t="s">
        <v>246</v>
      </c>
      <c r="CD1229" s="2" t="s">
        <v>233</v>
      </c>
      <c r="CE1229" s="4">
        <v>333</v>
      </c>
      <c r="CF1229" s="4">
        <v>2</v>
      </c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</row>
    <row r="1230">
      <c r="A1230" s="2" t="s">
        <v>6089</v>
      </c>
      <c r="B1230" s="2" t="s">
        <v>1242</v>
      </c>
      <c r="C1230" s="2" t="s">
        <v>530</v>
      </c>
      <c r="D1230" s="2" t="s">
        <v>1862</v>
      </c>
      <c r="E1230" s="2" t="s">
        <v>1863</v>
      </c>
      <c r="F1230" s="2" t="s">
        <v>6075</v>
      </c>
      <c r="G1230" s="2" t="s">
        <v>6076</v>
      </c>
      <c r="H1230" s="2" t="s">
        <v>6077</v>
      </c>
      <c r="I1230" s="2" t="s">
        <v>6078</v>
      </c>
      <c r="J1230" s="2" t="s">
        <v>1142</v>
      </c>
      <c r="K1230" s="2" t="s">
        <v>2475</v>
      </c>
      <c r="L1230" s="3">
        <v>41.14</v>
      </c>
      <c r="M1230" s="3">
        <v>43.2</v>
      </c>
      <c r="N1230" s="3">
        <v>89.99</v>
      </c>
      <c r="O1230" s="2" t="s">
        <v>245</v>
      </c>
      <c r="P1230" s="2" t="s">
        <v>238</v>
      </c>
      <c r="Q1230" s="2" t="s">
        <v>239</v>
      </c>
      <c r="R1230" s="2" t="s">
        <v>233</v>
      </c>
      <c r="S1230" s="2" t="s">
        <v>6085</v>
      </c>
      <c r="T1230" s="2" t="s">
        <v>1481</v>
      </c>
      <c r="U1230" s="2" t="s">
        <v>475</v>
      </c>
      <c r="V1230" s="2" t="s">
        <v>1085</v>
      </c>
      <c r="W1230" s="2" t="s">
        <v>275</v>
      </c>
      <c r="X1230" s="2" t="s">
        <v>233</v>
      </c>
      <c r="Y1230" s="2" t="s">
        <v>6086</v>
      </c>
      <c r="Z1230" s="4">
        <v>414</v>
      </c>
      <c r="AA1230" s="4">
        <f>=ROUNDDOWN(82.8,0)</f>
      </c>
      <c r="AB1230" s="5">
        <v>5</v>
      </c>
      <c r="AC1230" s="2" t="s">
        <v>233</v>
      </c>
      <c r="AD1230" s="4"/>
      <c r="AE1230" s="4"/>
      <c r="AF1230" s="6">
        <v>64</v>
      </c>
      <c r="AG1230" s="6"/>
      <c r="AH1230" s="7">
        <v>1</v>
      </c>
      <c r="AI1230" s="4"/>
      <c r="AJ1230" s="4">
        <f>=ROUNDDOWN({0},0)</f>
      </c>
      <c r="AK1230" s="5"/>
      <c r="AL1230" s="2" t="s">
        <v>233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233</v>
      </c>
      <c r="AW1230" s="8" t="s">
        <v>233</v>
      </c>
      <c r="AX1230" s="4" t="s">
        <v>233</v>
      </c>
      <c r="AY1230" s="8" t="s">
        <v>233</v>
      </c>
      <c r="AZ1230" s="7" t="s">
        <v>233</v>
      </c>
      <c r="BA1230" s="7" t="s">
        <v>233</v>
      </c>
      <c r="BB1230" s="7"/>
      <c r="BC1230" s="4" t="s">
        <v>233</v>
      </c>
      <c r="BD1230" s="8" t="s">
        <v>233</v>
      </c>
      <c r="BE1230" s="4" t="s">
        <v>233</v>
      </c>
      <c r="BF1230" s="8" t="s">
        <v>233</v>
      </c>
      <c r="BG1230" s="7" t="s">
        <v>233</v>
      </c>
      <c r="BH1230" s="7" t="s">
        <v>233</v>
      </c>
      <c r="BI1230" s="7"/>
      <c r="BJ1230" s="4">
        <v>9</v>
      </c>
      <c r="BK1230" s="8">
        <v>409.29</v>
      </c>
      <c r="BL1230" s="2" t="s">
        <v>6090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6091</v>
      </c>
      <c r="BV1230" s="2" t="s">
        <v>233</v>
      </c>
      <c r="BW1230" s="2" t="s">
        <v>233</v>
      </c>
      <c r="BX1230" s="2" t="s">
        <v>243</v>
      </c>
      <c r="BY1230" s="2" t="s">
        <v>280</v>
      </c>
      <c r="BZ1230" s="2" t="s">
        <v>245</v>
      </c>
      <c r="CA1230" s="2" t="s">
        <v>1106</v>
      </c>
      <c r="CB1230" s="2" t="s">
        <v>233</v>
      </c>
      <c r="CC1230" s="2" t="s">
        <v>246</v>
      </c>
      <c r="CD1230" s="2" t="s">
        <v>233</v>
      </c>
      <c r="CE1230" s="4">
        <v>414</v>
      </c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</row>
    <row r="1231">
      <c r="A1231" s="2" t="s">
        <v>6092</v>
      </c>
      <c r="B1231" s="2" t="s">
        <v>1174</v>
      </c>
      <c r="C1231" s="2" t="s">
        <v>530</v>
      </c>
      <c r="D1231" s="2" t="s">
        <v>1175</v>
      </c>
      <c r="E1231" s="2" t="s">
        <v>1176</v>
      </c>
      <c r="F1231" s="2" t="s">
        <v>2997</v>
      </c>
      <c r="G1231" s="2" t="s">
        <v>6093</v>
      </c>
      <c r="H1231" s="2" t="s">
        <v>2070</v>
      </c>
      <c r="I1231" s="2" t="s">
        <v>6094</v>
      </c>
      <c r="J1231" s="2" t="s">
        <v>3687</v>
      </c>
      <c r="K1231" s="2" t="s">
        <v>255</v>
      </c>
      <c r="L1231" s="3">
        <v>20.25</v>
      </c>
      <c r="M1231" s="3">
        <v>21.26</v>
      </c>
      <c r="N1231" s="3">
        <v>44.99</v>
      </c>
      <c r="O1231" s="2" t="s">
        <v>245</v>
      </c>
      <c r="P1231" s="2" t="s">
        <v>272</v>
      </c>
      <c r="Q1231" s="2" t="s">
        <v>239</v>
      </c>
      <c r="R1231" s="2" t="s">
        <v>233</v>
      </c>
      <c r="S1231" s="2" t="s">
        <v>6095</v>
      </c>
      <c r="T1231" s="2" t="s">
        <v>233</v>
      </c>
      <c r="U1231" s="2" t="s">
        <v>233</v>
      </c>
      <c r="V1231" s="2" t="s">
        <v>241</v>
      </c>
      <c r="W1231" s="2" t="s">
        <v>397</v>
      </c>
      <c r="X1231" s="2" t="s">
        <v>2069</v>
      </c>
      <c r="Y1231" s="2" t="s">
        <v>6096</v>
      </c>
      <c r="Z1231" s="4">
        <v>66</v>
      </c>
      <c r="AA1231" s="4">
        <f>=ROUNDDOWN(30,0)</f>
      </c>
      <c r="AB1231" s="5">
        <v>2.2</v>
      </c>
      <c r="AC1231" s="2" t="s">
        <v>233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233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 t="s">
        <v>233</v>
      </c>
      <c r="BD1231" s="8" t="s">
        <v>233</v>
      </c>
      <c r="BE1231" s="4" t="s">
        <v>233</v>
      </c>
      <c r="BF1231" s="8" t="s">
        <v>233</v>
      </c>
      <c r="BG1231" s="7" t="s">
        <v>233</v>
      </c>
      <c r="BH1231" s="7" t="s">
        <v>233</v>
      </c>
      <c r="BI1231" s="7"/>
      <c r="BJ1231" s="4">
        <v>6</v>
      </c>
      <c r="BK1231" s="8">
        <v>141.43</v>
      </c>
      <c r="BL1231" s="2" t="s">
        <v>6097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6098</v>
      </c>
      <c r="BV1231" s="2" t="s">
        <v>233</v>
      </c>
      <c r="BW1231" s="2" t="s">
        <v>233</v>
      </c>
      <c r="BX1231" s="2" t="s">
        <v>233</v>
      </c>
      <c r="BY1231" s="2" t="s">
        <v>280</v>
      </c>
      <c r="BZ1231" s="2" t="s">
        <v>245</v>
      </c>
      <c r="CA1231" s="2" t="s">
        <v>1475</v>
      </c>
      <c r="CB1231" s="2" t="s">
        <v>6099</v>
      </c>
      <c r="CC1231" s="2" t="s">
        <v>246</v>
      </c>
      <c r="CD1231" s="2" t="s">
        <v>233</v>
      </c>
      <c r="CE1231" s="4">
        <v>66</v>
      </c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</row>
    <row r="1232">
      <c r="A1232" s="2" t="s">
        <v>6100</v>
      </c>
      <c r="B1232" s="2" t="s">
        <v>1242</v>
      </c>
      <c r="C1232" s="2" t="s">
        <v>1750</v>
      </c>
      <c r="D1232" s="2" t="s">
        <v>969</v>
      </c>
      <c r="E1232" s="2" t="s">
        <v>970</v>
      </c>
      <c r="F1232" s="2" t="s">
        <v>2997</v>
      </c>
      <c r="G1232" s="2" t="s">
        <v>2997</v>
      </c>
      <c r="H1232" s="2" t="s">
        <v>2997</v>
      </c>
      <c r="I1232" s="2" t="s">
        <v>6101</v>
      </c>
      <c r="J1232" s="2" t="s">
        <v>981</v>
      </c>
      <c r="K1232" s="2" t="s">
        <v>1537</v>
      </c>
      <c r="L1232" s="3">
        <v>102.14</v>
      </c>
      <c r="M1232" s="3">
        <v>107.25</v>
      </c>
      <c r="N1232" s="3">
        <v>299.99</v>
      </c>
      <c r="O1232" s="2" t="s">
        <v>245</v>
      </c>
      <c r="P1232" s="2" t="s">
        <v>974</v>
      </c>
      <c r="Q1232" s="2" t="s">
        <v>239</v>
      </c>
      <c r="R1232" s="2" t="s">
        <v>233</v>
      </c>
      <c r="S1232" s="2" t="s">
        <v>6102</v>
      </c>
      <c r="T1232" s="2" t="s">
        <v>341</v>
      </c>
      <c r="U1232" s="2" t="s">
        <v>475</v>
      </c>
      <c r="V1232" s="2" t="s">
        <v>1085</v>
      </c>
      <c r="W1232" s="2" t="s">
        <v>451</v>
      </c>
      <c r="X1232" s="2" t="s">
        <v>275</v>
      </c>
      <c r="Y1232" s="2" t="s">
        <v>233</v>
      </c>
      <c r="Z1232" s="4"/>
      <c r="AA1232" s="4">
        <f>=ROUNDDOWN({0},0)</f>
      </c>
      <c r="AB1232" s="5"/>
      <c r="AC1232" s="2" t="s">
        <v>1754</v>
      </c>
      <c r="AD1232" s="4">
        <v>130</v>
      </c>
      <c r="AE1232" s="4">
        <v>130</v>
      </c>
      <c r="AF1232" s="6">
        <v>65</v>
      </c>
      <c r="AG1232" s="6"/>
      <c r="AH1232" s="7">
        <v>0</v>
      </c>
      <c r="AI1232" s="4"/>
      <c r="AJ1232" s="4">
        <f>=ROUNDDOWN({0},0)</f>
      </c>
      <c r="AK1232" s="5"/>
      <c r="AL1232" s="2" t="s">
        <v>233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233</v>
      </c>
      <c r="AW1232" s="8" t="s">
        <v>233</v>
      </c>
      <c r="AX1232" s="4" t="s">
        <v>233</v>
      </c>
      <c r="AY1232" s="8" t="s">
        <v>233</v>
      </c>
      <c r="AZ1232" s="7" t="s">
        <v>233</v>
      </c>
      <c r="BA1232" s="7" t="s">
        <v>233</v>
      </c>
      <c r="BB1232" s="7"/>
      <c r="BC1232" s="4" t="s">
        <v>233</v>
      </c>
      <c r="BD1232" s="8" t="s">
        <v>233</v>
      </c>
      <c r="BE1232" s="4" t="s">
        <v>233</v>
      </c>
      <c r="BF1232" s="8" t="s">
        <v>233</v>
      </c>
      <c r="BG1232" s="7" t="s">
        <v>233</v>
      </c>
      <c r="BH1232" s="7" t="s">
        <v>233</v>
      </c>
      <c r="BI1232" s="7"/>
      <c r="BJ1232" s="4"/>
      <c r="BK1232" s="8"/>
      <c r="BL1232" s="2" t="s">
        <v>233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243</v>
      </c>
      <c r="BV1232" s="2" t="s">
        <v>233</v>
      </c>
      <c r="BW1232" s="2" t="s">
        <v>233</v>
      </c>
      <c r="BX1232" s="2" t="s">
        <v>243</v>
      </c>
      <c r="BY1232" s="2" t="s">
        <v>244</v>
      </c>
      <c r="BZ1232" s="2" t="s">
        <v>245</v>
      </c>
      <c r="CA1232" s="2" t="s">
        <v>233</v>
      </c>
      <c r="CB1232" s="2" t="s">
        <v>233</v>
      </c>
      <c r="CC1232" s="2" t="s">
        <v>246</v>
      </c>
      <c r="CD1232" s="2" t="s">
        <v>233</v>
      </c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>
        <v>130</v>
      </c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</row>
    <row r="1233">
      <c r="A1233" s="2" t="s">
        <v>6103</v>
      </c>
      <c r="B1233" s="2" t="s">
        <v>1242</v>
      </c>
      <c r="C1233" s="2" t="s">
        <v>1750</v>
      </c>
      <c r="D1233" s="2" t="s">
        <v>969</v>
      </c>
      <c r="E1233" s="2" t="s">
        <v>970</v>
      </c>
      <c r="F1233" s="2" t="s">
        <v>2997</v>
      </c>
      <c r="G1233" s="2" t="s">
        <v>2997</v>
      </c>
      <c r="H1233" s="2" t="s">
        <v>2997</v>
      </c>
      <c r="I1233" s="2" t="s">
        <v>6101</v>
      </c>
      <c r="J1233" s="2" t="s">
        <v>1142</v>
      </c>
      <c r="K1233" s="2" t="s">
        <v>1537</v>
      </c>
      <c r="L1233" s="3">
        <v>119.16</v>
      </c>
      <c r="M1233" s="3">
        <v>125.12</v>
      </c>
      <c r="N1233" s="3">
        <v>349.99</v>
      </c>
      <c r="O1233" s="2" t="s">
        <v>245</v>
      </c>
      <c r="P1233" s="2" t="s">
        <v>974</v>
      </c>
      <c r="Q1233" s="2" t="s">
        <v>239</v>
      </c>
      <c r="R1233" s="2" t="s">
        <v>233</v>
      </c>
      <c r="S1233" s="2" t="s">
        <v>6102</v>
      </c>
      <c r="T1233" s="2" t="s">
        <v>341</v>
      </c>
      <c r="U1233" s="2" t="s">
        <v>475</v>
      </c>
      <c r="V1233" s="2" t="s">
        <v>1085</v>
      </c>
      <c r="W1233" s="2" t="s">
        <v>451</v>
      </c>
      <c r="X1233" s="2" t="s">
        <v>275</v>
      </c>
      <c r="Y1233" s="2" t="s">
        <v>233</v>
      </c>
      <c r="Z1233" s="4"/>
      <c r="AA1233" s="4">
        <f>=ROUNDDOWN({0},0)</f>
      </c>
      <c r="AB1233" s="5"/>
      <c r="AC1233" s="2" t="s">
        <v>1754</v>
      </c>
      <c r="AD1233" s="4">
        <v>120</v>
      </c>
      <c r="AE1233" s="4">
        <v>120</v>
      </c>
      <c r="AF1233" s="6">
        <v>65</v>
      </c>
      <c r="AG1233" s="6"/>
      <c r="AH1233" s="7">
        <v>0</v>
      </c>
      <c r="AI1233" s="4"/>
      <c r="AJ1233" s="4">
        <f>=ROUNDDOWN({0},0)</f>
      </c>
      <c r="AK1233" s="5"/>
      <c r="AL1233" s="2" t="s">
        <v>233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233</v>
      </c>
      <c r="AW1233" s="8" t="s">
        <v>233</v>
      </c>
      <c r="AX1233" s="4" t="s">
        <v>233</v>
      </c>
      <c r="AY1233" s="8" t="s">
        <v>233</v>
      </c>
      <c r="AZ1233" s="7" t="s">
        <v>233</v>
      </c>
      <c r="BA1233" s="7" t="s">
        <v>233</v>
      </c>
      <c r="BB1233" s="7"/>
      <c r="BC1233" s="4" t="s">
        <v>233</v>
      </c>
      <c r="BD1233" s="8" t="s">
        <v>233</v>
      </c>
      <c r="BE1233" s="4" t="s">
        <v>233</v>
      </c>
      <c r="BF1233" s="8" t="s">
        <v>233</v>
      </c>
      <c r="BG1233" s="7" t="s">
        <v>233</v>
      </c>
      <c r="BH1233" s="7" t="s">
        <v>233</v>
      </c>
      <c r="BI1233" s="7"/>
      <c r="BJ1233" s="4"/>
      <c r="BK1233" s="8"/>
      <c r="BL1233" s="2" t="s">
        <v>233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243</v>
      </c>
      <c r="BV1233" s="2" t="s">
        <v>233</v>
      </c>
      <c r="BW1233" s="2" t="s">
        <v>233</v>
      </c>
      <c r="BX1233" s="2" t="s">
        <v>243</v>
      </c>
      <c r="BY1233" s="2" t="s">
        <v>244</v>
      </c>
      <c r="BZ1233" s="2" t="s">
        <v>245</v>
      </c>
      <c r="CA1233" s="2" t="s">
        <v>233</v>
      </c>
      <c r="CB1233" s="2" t="s">
        <v>233</v>
      </c>
      <c r="CC1233" s="2" t="s">
        <v>246</v>
      </c>
      <c r="CD1233" s="2" t="s">
        <v>233</v>
      </c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>
        <v>120</v>
      </c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</row>
    <row r="1234">
      <c r="A1234" s="2" t="s">
        <v>6104</v>
      </c>
      <c r="B1234" s="2" t="s">
        <v>1174</v>
      </c>
      <c r="C1234" s="2" t="s">
        <v>530</v>
      </c>
      <c r="D1234" s="2" t="s">
        <v>1175</v>
      </c>
      <c r="E1234" s="2" t="s">
        <v>1176</v>
      </c>
      <c r="F1234" s="2" t="s">
        <v>2997</v>
      </c>
      <c r="G1234" s="2" t="s">
        <v>6093</v>
      </c>
      <c r="H1234" s="2" t="s">
        <v>2070</v>
      </c>
      <c r="I1234" s="2" t="s">
        <v>6094</v>
      </c>
      <c r="J1234" s="2" t="s">
        <v>1211</v>
      </c>
      <c r="K1234" s="2" t="s">
        <v>2197</v>
      </c>
      <c r="L1234" s="3">
        <v>17.6</v>
      </c>
      <c r="M1234" s="3">
        <v>18.48</v>
      </c>
      <c r="N1234" s="3">
        <v>39.99</v>
      </c>
      <c r="O1234" s="2" t="s">
        <v>245</v>
      </c>
      <c r="P1234" s="2" t="s">
        <v>272</v>
      </c>
      <c r="Q1234" s="2" t="s">
        <v>239</v>
      </c>
      <c r="R1234" s="2" t="s">
        <v>233</v>
      </c>
      <c r="S1234" s="2" t="s">
        <v>6105</v>
      </c>
      <c r="T1234" s="2" t="s">
        <v>233</v>
      </c>
      <c r="U1234" s="2" t="s">
        <v>233</v>
      </c>
      <c r="V1234" s="2" t="s">
        <v>241</v>
      </c>
      <c r="W1234" s="2" t="s">
        <v>397</v>
      </c>
      <c r="X1234" s="2" t="s">
        <v>2069</v>
      </c>
      <c r="Y1234" s="2" t="s">
        <v>6096</v>
      </c>
      <c r="Z1234" s="4">
        <v>169</v>
      </c>
      <c r="AA1234" s="4">
        <f>=ROUNDDOWN(16.9,0)</f>
      </c>
      <c r="AB1234" s="5">
        <v>10</v>
      </c>
      <c r="AC1234" s="2" t="s">
        <v>1107</v>
      </c>
      <c r="AD1234" s="4">
        <v>180</v>
      </c>
      <c r="AE1234" s="4">
        <v>180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233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 t="s">
        <v>233</v>
      </c>
      <c r="BD1234" s="8" t="s">
        <v>233</v>
      </c>
      <c r="BE1234" s="4" t="s">
        <v>233</v>
      </c>
      <c r="BF1234" s="8" t="s">
        <v>233</v>
      </c>
      <c r="BG1234" s="7" t="s">
        <v>233</v>
      </c>
      <c r="BH1234" s="7" t="s">
        <v>233</v>
      </c>
      <c r="BI1234" s="7"/>
      <c r="BJ1234" s="4">
        <v>51</v>
      </c>
      <c r="BK1234" s="8">
        <v>924.45</v>
      </c>
      <c r="BL1234" s="2" t="s">
        <v>6106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6107</v>
      </c>
      <c r="BV1234" s="2" t="s">
        <v>233</v>
      </c>
      <c r="BW1234" s="2" t="s">
        <v>233</v>
      </c>
      <c r="BX1234" s="2" t="s">
        <v>233</v>
      </c>
      <c r="BY1234" s="2" t="s">
        <v>280</v>
      </c>
      <c r="BZ1234" s="2" t="s">
        <v>245</v>
      </c>
      <c r="CA1234" s="2" t="s">
        <v>1475</v>
      </c>
      <c r="CB1234" s="2" t="s">
        <v>1535</v>
      </c>
      <c r="CC1234" s="2" t="s">
        <v>246</v>
      </c>
      <c r="CD1234" s="2" t="s">
        <v>233</v>
      </c>
      <c r="CE1234" s="4">
        <v>169</v>
      </c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>
        <v>180</v>
      </c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</row>
    <row r="1235">
      <c r="A1235" s="2" t="s">
        <v>6108</v>
      </c>
      <c r="B1235" s="2" t="s">
        <v>1174</v>
      </c>
      <c r="C1235" s="2" t="s">
        <v>530</v>
      </c>
      <c r="D1235" s="2" t="s">
        <v>1175</v>
      </c>
      <c r="E1235" s="2" t="s">
        <v>1176</v>
      </c>
      <c r="F1235" s="2" t="s">
        <v>2997</v>
      </c>
      <c r="G1235" s="2" t="s">
        <v>6093</v>
      </c>
      <c r="H1235" s="2" t="s">
        <v>2070</v>
      </c>
      <c r="I1235" s="2" t="s">
        <v>6094</v>
      </c>
      <c r="J1235" s="2" t="s">
        <v>1217</v>
      </c>
      <c r="K1235" s="2" t="s">
        <v>297</v>
      </c>
      <c r="L1235" s="3">
        <v>15.05</v>
      </c>
      <c r="M1235" s="3">
        <v>15.8</v>
      </c>
      <c r="N1235" s="3">
        <v>34.99</v>
      </c>
      <c r="O1235" s="2" t="s">
        <v>252</v>
      </c>
      <c r="P1235" s="2" t="s">
        <v>311</v>
      </c>
      <c r="Q1235" s="2" t="s">
        <v>239</v>
      </c>
      <c r="R1235" s="2" t="s">
        <v>233</v>
      </c>
      <c r="S1235" s="2" t="s">
        <v>6109</v>
      </c>
      <c r="T1235" s="2" t="s">
        <v>233</v>
      </c>
      <c r="U1235" s="2" t="s">
        <v>233</v>
      </c>
      <c r="V1235" s="2" t="s">
        <v>241</v>
      </c>
      <c r="W1235" s="2" t="s">
        <v>397</v>
      </c>
      <c r="X1235" s="2" t="s">
        <v>233</v>
      </c>
      <c r="Y1235" s="2" t="s">
        <v>6096</v>
      </c>
      <c r="Z1235" s="4"/>
      <c r="AA1235" s="4">
        <f>=ROUNDDOWN({0},0)</f>
      </c>
      <c r="AB1235" s="5"/>
      <c r="AC1235" s="2" t="s">
        <v>233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233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233</v>
      </c>
      <c r="AW1235" s="8" t="s">
        <v>233</v>
      </c>
      <c r="AX1235" s="4" t="s">
        <v>233</v>
      </c>
      <c r="AY1235" s="8" t="s">
        <v>233</v>
      </c>
      <c r="AZ1235" s="7" t="s">
        <v>233</v>
      </c>
      <c r="BA1235" s="7" t="s">
        <v>233</v>
      </c>
      <c r="BB1235" s="7"/>
      <c r="BC1235" s="4" t="s">
        <v>233</v>
      </c>
      <c r="BD1235" s="8" t="s">
        <v>233</v>
      </c>
      <c r="BE1235" s="4" t="s">
        <v>233</v>
      </c>
      <c r="BF1235" s="8" t="s">
        <v>233</v>
      </c>
      <c r="BG1235" s="7" t="s">
        <v>233</v>
      </c>
      <c r="BH1235" s="7" t="s">
        <v>233</v>
      </c>
      <c r="BI1235" s="7"/>
      <c r="BJ1235" s="4"/>
      <c r="BK1235" s="8"/>
      <c r="BL1235" s="2" t="s">
        <v>233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6110</v>
      </c>
      <c r="BV1235" s="2" t="s">
        <v>233</v>
      </c>
      <c r="BW1235" s="2" t="s">
        <v>233</v>
      </c>
      <c r="BX1235" s="2" t="s">
        <v>233</v>
      </c>
      <c r="BY1235" s="2" t="s">
        <v>280</v>
      </c>
      <c r="BZ1235" s="2" t="s">
        <v>245</v>
      </c>
      <c r="CA1235" s="2" t="s">
        <v>1475</v>
      </c>
      <c r="CB1235" s="2" t="s">
        <v>6111</v>
      </c>
      <c r="CC1235" s="2" t="s">
        <v>246</v>
      </c>
      <c r="CD1235" s="2" t="s">
        <v>233</v>
      </c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</row>
    <row r="1236">
      <c r="A1236" s="2" t="s">
        <v>6112</v>
      </c>
      <c r="B1236" s="2" t="s">
        <v>1174</v>
      </c>
      <c r="C1236" s="2" t="s">
        <v>530</v>
      </c>
      <c r="D1236" s="2" t="s">
        <v>1175</v>
      </c>
      <c r="E1236" s="2" t="s">
        <v>1176</v>
      </c>
      <c r="F1236" s="2" t="s">
        <v>2997</v>
      </c>
      <c r="G1236" s="2" t="s">
        <v>6093</v>
      </c>
      <c r="H1236" s="2" t="s">
        <v>2070</v>
      </c>
      <c r="I1236" s="2" t="s">
        <v>6094</v>
      </c>
      <c r="J1236" s="2" t="s">
        <v>1211</v>
      </c>
      <c r="K1236" s="2" t="s">
        <v>297</v>
      </c>
      <c r="L1236" s="3">
        <v>17.6</v>
      </c>
      <c r="M1236" s="3">
        <v>18.48</v>
      </c>
      <c r="N1236" s="3">
        <v>39.99</v>
      </c>
      <c r="O1236" s="2" t="s">
        <v>245</v>
      </c>
      <c r="P1236" s="2" t="s">
        <v>272</v>
      </c>
      <c r="Q1236" s="2" t="s">
        <v>239</v>
      </c>
      <c r="R1236" s="2" t="s">
        <v>233</v>
      </c>
      <c r="S1236" s="2" t="s">
        <v>6109</v>
      </c>
      <c r="T1236" s="2" t="s">
        <v>233</v>
      </c>
      <c r="U1236" s="2" t="s">
        <v>233</v>
      </c>
      <c r="V1236" s="2" t="s">
        <v>241</v>
      </c>
      <c r="W1236" s="2" t="s">
        <v>397</v>
      </c>
      <c r="X1236" s="2" t="s">
        <v>2069</v>
      </c>
      <c r="Y1236" s="2" t="s">
        <v>6096</v>
      </c>
      <c r="Z1236" s="4">
        <v>329</v>
      </c>
      <c r="AA1236" s="4">
        <f>=ROUNDDOWN(33.5714285714286,0)</f>
      </c>
      <c r="AB1236" s="5">
        <v>9.8</v>
      </c>
      <c r="AC1236" s="2" t="s">
        <v>2721</v>
      </c>
      <c r="AD1236" s="4">
        <v>108</v>
      </c>
      <c r="AE1236" s="4">
        <v>108</v>
      </c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233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233</v>
      </c>
      <c r="AW1236" s="8" t="s">
        <v>233</v>
      </c>
      <c r="AX1236" s="4" t="s">
        <v>233</v>
      </c>
      <c r="AY1236" s="8" t="s">
        <v>233</v>
      </c>
      <c r="AZ1236" s="7" t="s">
        <v>233</v>
      </c>
      <c r="BA1236" s="7" t="s">
        <v>233</v>
      </c>
      <c r="BB1236" s="7"/>
      <c r="BC1236" s="4" t="s">
        <v>233</v>
      </c>
      <c r="BD1236" s="8" t="s">
        <v>233</v>
      </c>
      <c r="BE1236" s="4" t="s">
        <v>233</v>
      </c>
      <c r="BF1236" s="8" t="s">
        <v>233</v>
      </c>
      <c r="BG1236" s="7" t="s">
        <v>233</v>
      </c>
      <c r="BH1236" s="7" t="s">
        <v>233</v>
      </c>
      <c r="BI1236" s="7"/>
      <c r="BJ1236" s="4">
        <v>38</v>
      </c>
      <c r="BK1236" s="8">
        <v>711.55</v>
      </c>
      <c r="BL1236" s="2" t="s">
        <v>5845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6113</v>
      </c>
      <c r="BV1236" s="2" t="s">
        <v>233</v>
      </c>
      <c r="BW1236" s="2" t="s">
        <v>233</v>
      </c>
      <c r="BX1236" s="2" t="s">
        <v>233</v>
      </c>
      <c r="BY1236" s="2" t="s">
        <v>280</v>
      </c>
      <c r="BZ1236" s="2" t="s">
        <v>245</v>
      </c>
      <c r="CA1236" s="2" t="s">
        <v>1475</v>
      </c>
      <c r="CB1236" s="2" t="s">
        <v>1371</v>
      </c>
      <c r="CC1236" s="2" t="s">
        <v>246</v>
      </c>
      <c r="CD1236" s="2" t="s">
        <v>233</v>
      </c>
      <c r="CE1236" s="4">
        <v>329</v>
      </c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>
        <v>108</v>
      </c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</row>
    <row r="1237">
      <c r="A1237" s="2" t="s">
        <v>6114</v>
      </c>
      <c r="B1237" s="2" t="s">
        <v>1066</v>
      </c>
      <c r="C1237" s="2" t="s">
        <v>530</v>
      </c>
      <c r="D1237" s="2" t="s">
        <v>1111</v>
      </c>
      <c r="E1237" s="2" t="s">
        <v>1112</v>
      </c>
      <c r="F1237" s="2" t="s">
        <v>6115</v>
      </c>
      <c r="G1237" s="2" t="s">
        <v>6116</v>
      </c>
      <c r="H1237" s="2" t="s">
        <v>6117</v>
      </c>
      <c r="I1237" s="2" t="s">
        <v>1116</v>
      </c>
      <c r="J1237" s="2" t="s">
        <v>892</v>
      </c>
      <c r="K1237" s="2" t="s">
        <v>1191</v>
      </c>
      <c r="L1237" s="3">
        <v>443.16</v>
      </c>
      <c r="M1237" s="3">
        <v>465.32</v>
      </c>
      <c r="N1237" s="3">
        <v>939</v>
      </c>
      <c r="O1237" s="2" t="s">
        <v>245</v>
      </c>
      <c r="P1237" s="2" t="s">
        <v>1118</v>
      </c>
      <c r="Q1237" s="2" t="s">
        <v>239</v>
      </c>
      <c r="R1237" s="2" t="s">
        <v>16</v>
      </c>
      <c r="S1237" s="2" t="s">
        <v>6118</v>
      </c>
      <c r="T1237" s="2" t="s">
        <v>233</v>
      </c>
      <c r="U1237" s="2" t="s">
        <v>491</v>
      </c>
      <c r="V1237" s="2" t="s">
        <v>241</v>
      </c>
      <c r="W1237" s="2" t="s">
        <v>451</v>
      </c>
      <c r="X1237" s="2" t="s">
        <v>233</v>
      </c>
      <c r="Y1237" s="2" t="s">
        <v>6119</v>
      </c>
      <c r="Z1237" s="4">
        <v>57</v>
      </c>
      <c r="AA1237" s="4">
        <f>=ROUNDDOWN({0},0)</f>
      </c>
      <c r="AB1237" s="5"/>
      <c r="AC1237" s="2" t="s">
        <v>1514</v>
      </c>
      <c r="AD1237" s="4">
        <v>15</v>
      </c>
      <c r="AE1237" s="4">
        <v>15</v>
      </c>
      <c r="AF1237" s="6"/>
      <c r="AG1237" s="6"/>
      <c r="AH1237" s="7">
        <v>1</v>
      </c>
      <c r="AI1237" s="4"/>
      <c r="AJ1237" s="4">
        <f>=ROUNDDOWN({0},0)</f>
      </c>
      <c r="AK1237" s="5"/>
      <c r="AL1237" s="2" t="s">
        <v>6120</v>
      </c>
      <c r="AM1237" s="4">
        <v>13</v>
      </c>
      <c r="AN1237" s="4">
        <v>80</v>
      </c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233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243</v>
      </c>
      <c r="BV1237" s="2" t="s">
        <v>233</v>
      </c>
      <c r="BW1237" s="2" t="s">
        <v>233</v>
      </c>
      <c r="BX1237" s="2" t="s">
        <v>243</v>
      </c>
      <c r="BY1237" s="2" t="s">
        <v>346</v>
      </c>
      <c r="BZ1237" s="2" t="s">
        <v>245</v>
      </c>
      <c r="CA1237" s="2" t="s">
        <v>233</v>
      </c>
      <c r="CB1237" s="2" t="s">
        <v>233</v>
      </c>
      <c r="CC1237" s="2" t="s">
        <v>246</v>
      </c>
      <c r="CD1237" s="2" t="s">
        <v>233</v>
      </c>
      <c r="CE1237" s="4"/>
      <c r="CF1237" s="4">
        <v>57</v>
      </c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>
        <v>15</v>
      </c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>
        <v>13</v>
      </c>
      <c r="HI1237" s="4"/>
      <c r="HJ1237" s="4"/>
      <c r="HK1237" s="4"/>
      <c r="HL1237" s="4"/>
      <c r="HM1237" s="4">
        <v>67</v>
      </c>
      <c r="HN1237" s="4"/>
      <c r="HO1237" s="4"/>
      <c r="HP1237" s="4"/>
      <c r="HQ1237" s="4"/>
      <c r="HR1237" s="4"/>
    </row>
    <row r="1238">
      <c r="A1238" s="2" t="s">
        <v>6121</v>
      </c>
      <c r="B1238" s="2" t="s">
        <v>1066</v>
      </c>
      <c r="C1238" s="2" t="s">
        <v>947</v>
      </c>
      <c r="D1238" s="2" t="s">
        <v>1713</v>
      </c>
      <c r="E1238" s="2" t="s">
        <v>1913</v>
      </c>
      <c r="F1238" s="2" t="s">
        <v>6122</v>
      </c>
      <c r="G1238" s="2" t="s">
        <v>6122</v>
      </c>
      <c r="H1238" s="2" t="s">
        <v>6122</v>
      </c>
      <c r="I1238" s="2" t="s">
        <v>6123</v>
      </c>
      <c r="J1238" s="2" t="s">
        <v>892</v>
      </c>
      <c r="K1238" s="2" t="s">
        <v>2358</v>
      </c>
      <c r="L1238" s="3">
        <v>171</v>
      </c>
      <c r="M1238" s="3">
        <v>179.55</v>
      </c>
      <c r="N1238" s="3">
        <v>359</v>
      </c>
      <c r="O1238" s="2" t="s">
        <v>245</v>
      </c>
      <c r="P1238" s="2" t="s">
        <v>1916</v>
      </c>
      <c r="Q1238" s="2" t="s">
        <v>239</v>
      </c>
      <c r="R1238" s="2" t="s">
        <v>233</v>
      </c>
      <c r="S1238" s="2" t="s">
        <v>233</v>
      </c>
      <c r="T1238" s="2" t="s">
        <v>233</v>
      </c>
      <c r="U1238" s="2" t="s">
        <v>396</v>
      </c>
      <c r="V1238" s="2" t="s">
        <v>359</v>
      </c>
      <c r="W1238" s="2" t="s">
        <v>977</v>
      </c>
      <c r="X1238" s="2" t="s">
        <v>953</v>
      </c>
      <c r="Y1238" s="2" t="s">
        <v>233</v>
      </c>
      <c r="Z1238" s="4"/>
      <c r="AA1238" s="4">
        <f>=ROUNDDOWN({0},0)</f>
      </c>
      <c r="AB1238" s="5">
        <v>2</v>
      </c>
      <c r="AC1238" s="2" t="s">
        <v>233</v>
      </c>
      <c r="AD1238" s="4"/>
      <c r="AE1238" s="4"/>
      <c r="AF1238" s="6">
        <v>65</v>
      </c>
      <c r="AG1238" s="6"/>
      <c r="AH1238" s="7">
        <v>0</v>
      </c>
      <c r="AI1238" s="4"/>
      <c r="AJ1238" s="4">
        <f>=ROUNDDOWN({0},0)</f>
      </c>
      <c r="AK1238" s="5"/>
      <c r="AL1238" s="2" t="s">
        <v>233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/>
      <c r="BK1238" s="8"/>
      <c r="BL1238" s="2" t="s">
        <v>233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243</v>
      </c>
      <c r="BV1238" s="2" t="s">
        <v>233</v>
      </c>
      <c r="BW1238" s="2" t="s">
        <v>233</v>
      </c>
      <c r="BX1238" s="2" t="s">
        <v>243</v>
      </c>
      <c r="BY1238" s="2" t="s">
        <v>244</v>
      </c>
      <c r="BZ1238" s="2" t="s">
        <v>245</v>
      </c>
      <c r="CA1238" s="2" t="s">
        <v>233</v>
      </c>
      <c r="CB1238" s="2" t="s">
        <v>233</v>
      </c>
      <c r="CC1238" s="2" t="s">
        <v>246</v>
      </c>
      <c r="CD1238" s="2" t="s">
        <v>233</v>
      </c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</row>
    <row r="1239">
      <c r="A1239" s="2" t="s">
        <v>6124</v>
      </c>
      <c r="B1239" s="2" t="s">
        <v>228</v>
      </c>
      <c r="C1239" s="2" t="s">
        <v>530</v>
      </c>
      <c r="D1239" s="2" t="s">
        <v>1616</v>
      </c>
      <c r="E1239" s="2" t="s">
        <v>2599</v>
      </c>
      <c r="F1239" s="2" t="s">
        <v>6125</v>
      </c>
      <c r="G1239" s="2" t="s">
        <v>6126</v>
      </c>
      <c r="H1239" s="2" t="s">
        <v>6126</v>
      </c>
      <c r="I1239" s="2" t="s">
        <v>6127</v>
      </c>
      <c r="J1239" s="2" t="s">
        <v>1736</v>
      </c>
      <c r="K1239" s="2" t="s">
        <v>984</v>
      </c>
      <c r="L1239" s="3">
        <v>15.85</v>
      </c>
      <c r="M1239" s="3">
        <v>16.64</v>
      </c>
      <c r="N1239" s="3">
        <v>36.99</v>
      </c>
      <c r="O1239" s="2" t="s">
        <v>245</v>
      </c>
      <c r="P1239" s="2" t="s">
        <v>238</v>
      </c>
      <c r="Q1239" s="2" t="s">
        <v>239</v>
      </c>
      <c r="R1239" s="2" t="s">
        <v>233</v>
      </c>
      <c r="S1239" s="2" t="s">
        <v>6128</v>
      </c>
      <c r="T1239" s="2" t="s">
        <v>976</v>
      </c>
      <c r="U1239" s="2" t="s">
        <v>396</v>
      </c>
      <c r="V1239" s="2" t="s">
        <v>241</v>
      </c>
      <c r="W1239" s="2" t="s">
        <v>705</v>
      </c>
      <c r="X1239" s="2" t="s">
        <v>233</v>
      </c>
      <c r="Y1239" s="2" t="s">
        <v>6129</v>
      </c>
      <c r="Z1239" s="4">
        <v>228</v>
      </c>
      <c r="AA1239" s="4">
        <f>=ROUNDDOWN(38,0)</f>
      </c>
      <c r="AB1239" s="5">
        <v>6</v>
      </c>
      <c r="AC1239" s="2" t="s">
        <v>233</v>
      </c>
      <c r="AD1239" s="4"/>
      <c r="AE1239" s="4"/>
      <c r="AF1239" s="6">
        <v>64</v>
      </c>
      <c r="AG1239" s="6"/>
      <c r="AH1239" s="7">
        <v>1</v>
      </c>
      <c r="AI1239" s="4"/>
      <c r="AJ1239" s="4">
        <f>=ROUNDDOWN({0},0)</f>
      </c>
      <c r="AK1239" s="5"/>
      <c r="AL1239" s="2" t="s">
        <v>233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 t="s">
        <v>233</v>
      </c>
      <c r="BD1239" s="8" t="s">
        <v>233</v>
      </c>
      <c r="BE1239" s="4" t="s">
        <v>233</v>
      </c>
      <c r="BF1239" s="8" t="s">
        <v>233</v>
      </c>
      <c r="BG1239" s="7" t="s">
        <v>233</v>
      </c>
      <c r="BH1239" s="7" t="s">
        <v>233</v>
      </c>
      <c r="BI1239" s="7"/>
      <c r="BJ1239" s="4">
        <v>7</v>
      </c>
      <c r="BK1239" s="8">
        <v>128.01</v>
      </c>
      <c r="BL1239" s="2" t="s">
        <v>786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6130</v>
      </c>
      <c r="BV1239" s="2" t="s">
        <v>233</v>
      </c>
      <c r="BW1239" s="2" t="s">
        <v>233</v>
      </c>
      <c r="BX1239" s="2" t="s">
        <v>233</v>
      </c>
      <c r="BY1239" s="2" t="s">
        <v>280</v>
      </c>
      <c r="BZ1239" s="2" t="s">
        <v>245</v>
      </c>
      <c r="CA1239" s="2" t="s">
        <v>3379</v>
      </c>
      <c r="CB1239" s="2" t="s">
        <v>6131</v>
      </c>
      <c r="CC1239" s="2" t="s">
        <v>246</v>
      </c>
      <c r="CD1239" s="2" t="s">
        <v>233</v>
      </c>
      <c r="CE1239" s="4">
        <v>228</v>
      </c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</row>
    <row r="1240">
      <c r="A1240" s="2" t="s">
        <v>6132</v>
      </c>
      <c r="B1240" s="2" t="s">
        <v>228</v>
      </c>
      <c r="C1240" s="2" t="s">
        <v>530</v>
      </c>
      <c r="D1240" s="2" t="s">
        <v>1616</v>
      </c>
      <c r="E1240" s="2" t="s">
        <v>2599</v>
      </c>
      <c r="F1240" s="2" t="s">
        <v>6125</v>
      </c>
      <c r="G1240" s="2" t="s">
        <v>6126</v>
      </c>
      <c r="H1240" s="2" t="s">
        <v>6126</v>
      </c>
      <c r="I1240" s="2" t="s">
        <v>6127</v>
      </c>
      <c r="J1240" s="2" t="s">
        <v>1736</v>
      </c>
      <c r="K1240" s="2" t="s">
        <v>569</v>
      </c>
      <c r="L1240" s="3">
        <v>15.85</v>
      </c>
      <c r="M1240" s="3">
        <v>16.64</v>
      </c>
      <c r="N1240" s="3">
        <v>36.99</v>
      </c>
      <c r="O1240" s="2" t="s">
        <v>245</v>
      </c>
      <c r="P1240" s="2" t="s">
        <v>272</v>
      </c>
      <c r="Q1240" s="2" t="s">
        <v>239</v>
      </c>
      <c r="R1240" s="2" t="s">
        <v>233</v>
      </c>
      <c r="S1240" s="2" t="s">
        <v>6128</v>
      </c>
      <c r="T1240" s="2" t="s">
        <v>976</v>
      </c>
      <c r="U1240" s="2" t="s">
        <v>396</v>
      </c>
      <c r="V1240" s="2" t="s">
        <v>241</v>
      </c>
      <c r="W1240" s="2" t="s">
        <v>705</v>
      </c>
      <c r="X1240" s="2" t="s">
        <v>233</v>
      </c>
      <c r="Y1240" s="2" t="s">
        <v>6129</v>
      </c>
      <c r="Z1240" s="4">
        <v>247</v>
      </c>
      <c r="AA1240" s="4">
        <f>=ROUNDDOWN(24.7,0)</f>
      </c>
      <c r="AB1240" s="5">
        <v>10</v>
      </c>
      <c r="AC1240" s="2" t="s">
        <v>2183</v>
      </c>
      <c r="AD1240" s="4">
        <v>250</v>
      </c>
      <c r="AE1240" s="4">
        <v>250</v>
      </c>
      <c r="AF1240" s="6">
        <v>64</v>
      </c>
      <c r="AG1240" s="6"/>
      <c r="AH1240" s="7">
        <v>0.7742</v>
      </c>
      <c r="AI1240" s="4"/>
      <c r="AJ1240" s="4">
        <f>=ROUNDDOWN({0},0)</f>
      </c>
      <c r="AK1240" s="5"/>
      <c r="AL1240" s="2" t="s">
        <v>233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 t="s">
        <v>233</v>
      </c>
      <c r="BD1240" s="8" t="s">
        <v>233</v>
      </c>
      <c r="BE1240" s="4" t="s">
        <v>233</v>
      </c>
      <c r="BF1240" s="8" t="s">
        <v>233</v>
      </c>
      <c r="BG1240" s="7" t="s">
        <v>233</v>
      </c>
      <c r="BH1240" s="7" t="s">
        <v>233</v>
      </c>
      <c r="BI1240" s="7"/>
      <c r="BJ1240" s="4">
        <v>14</v>
      </c>
      <c r="BK1240" s="8">
        <v>243.42</v>
      </c>
      <c r="BL1240" s="2" t="s">
        <v>6133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6134</v>
      </c>
      <c r="BV1240" s="2" t="s">
        <v>233</v>
      </c>
      <c r="BW1240" s="2" t="s">
        <v>233</v>
      </c>
      <c r="BX1240" s="2" t="s">
        <v>233</v>
      </c>
      <c r="BY1240" s="2" t="s">
        <v>280</v>
      </c>
      <c r="BZ1240" s="2" t="s">
        <v>245</v>
      </c>
      <c r="CA1240" s="2" t="s">
        <v>3379</v>
      </c>
      <c r="CB1240" s="2" t="s">
        <v>4316</v>
      </c>
      <c r="CC1240" s="2" t="s">
        <v>246</v>
      </c>
      <c r="CD1240" s="2" t="s">
        <v>233</v>
      </c>
      <c r="CE1240" s="4">
        <v>247</v>
      </c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>
        <v>250</v>
      </c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</row>
    <row r="1241">
      <c r="A1241" s="2" t="s">
        <v>6135</v>
      </c>
      <c r="B1241" s="2" t="s">
        <v>1174</v>
      </c>
      <c r="C1241" s="2" t="s">
        <v>530</v>
      </c>
      <c r="D1241" s="2" t="s">
        <v>1175</v>
      </c>
      <c r="E1241" s="2" t="s">
        <v>2069</v>
      </c>
      <c r="F1241" s="2" t="s">
        <v>6136</v>
      </c>
      <c r="G1241" s="2" t="s">
        <v>2264</v>
      </c>
      <c r="H1241" s="2" t="s">
        <v>6137</v>
      </c>
      <c r="I1241" s="2" t="s">
        <v>6138</v>
      </c>
      <c r="J1241" s="2" t="s">
        <v>1490</v>
      </c>
      <c r="K1241" s="2" t="s">
        <v>255</v>
      </c>
      <c r="L1241" s="3">
        <v>13.5</v>
      </c>
      <c r="M1241" s="3">
        <v>14.18</v>
      </c>
      <c r="N1241" s="3">
        <v>29.99</v>
      </c>
      <c r="O1241" s="2" t="s">
        <v>237</v>
      </c>
      <c r="P1241" s="2" t="s">
        <v>996</v>
      </c>
      <c r="Q1241" s="2" t="s">
        <v>239</v>
      </c>
      <c r="R1241" s="2" t="s">
        <v>233</v>
      </c>
      <c r="S1241" s="2" t="s">
        <v>6139</v>
      </c>
      <c r="T1241" s="2" t="s">
        <v>233</v>
      </c>
      <c r="U1241" s="2" t="s">
        <v>233</v>
      </c>
      <c r="V1241" s="2" t="s">
        <v>359</v>
      </c>
      <c r="W1241" s="2" t="s">
        <v>397</v>
      </c>
      <c r="X1241" s="2" t="s">
        <v>233</v>
      </c>
      <c r="Y1241" s="2" t="s">
        <v>1532</v>
      </c>
      <c r="Z1241" s="4">
        <v>19</v>
      </c>
      <c r="AA1241" s="4">
        <f>=ROUNDDOWN(19,0)</f>
      </c>
      <c r="AB1241" s="5">
        <v>1</v>
      </c>
      <c r="AC1241" s="2" t="s">
        <v>233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233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 t="s">
        <v>233</v>
      </c>
      <c r="BD1241" s="8" t="s">
        <v>233</v>
      </c>
      <c r="BE1241" s="4" t="s">
        <v>233</v>
      </c>
      <c r="BF1241" s="8" t="s">
        <v>233</v>
      </c>
      <c r="BG1241" s="7" t="s">
        <v>233</v>
      </c>
      <c r="BH1241" s="7" t="s">
        <v>233</v>
      </c>
      <c r="BI1241" s="7"/>
      <c r="BJ1241" s="4"/>
      <c r="BK1241" s="8"/>
      <c r="BL1241" s="2" t="s">
        <v>6140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6141</v>
      </c>
      <c r="BV1241" s="2" t="s">
        <v>233</v>
      </c>
      <c r="BW1241" s="2" t="s">
        <v>233</v>
      </c>
      <c r="BX1241" s="2" t="s">
        <v>243</v>
      </c>
      <c r="BY1241" s="2" t="s">
        <v>280</v>
      </c>
      <c r="BZ1241" s="2" t="s">
        <v>245</v>
      </c>
      <c r="CA1241" s="2" t="s">
        <v>5215</v>
      </c>
      <c r="CB1241" s="2" t="s">
        <v>3000</v>
      </c>
      <c r="CC1241" s="2" t="s">
        <v>246</v>
      </c>
      <c r="CD1241" s="2" t="s">
        <v>233</v>
      </c>
      <c r="CE1241" s="4">
        <v>19</v>
      </c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</row>
    <row r="1242">
      <c r="A1242" s="2" t="s">
        <v>6142</v>
      </c>
      <c r="B1242" s="2" t="s">
        <v>1174</v>
      </c>
      <c r="C1242" s="2" t="s">
        <v>530</v>
      </c>
      <c r="D1242" s="2" t="s">
        <v>1175</v>
      </c>
      <c r="E1242" s="2" t="s">
        <v>2069</v>
      </c>
      <c r="F1242" s="2" t="s">
        <v>6136</v>
      </c>
      <c r="G1242" s="2" t="s">
        <v>2264</v>
      </c>
      <c r="H1242" s="2" t="s">
        <v>6137</v>
      </c>
      <c r="I1242" s="2" t="s">
        <v>6138</v>
      </c>
      <c r="J1242" s="2" t="s">
        <v>1490</v>
      </c>
      <c r="K1242" s="2" t="s">
        <v>257</v>
      </c>
      <c r="L1242" s="3">
        <v>11.25</v>
      </c>
      <c r="M1242" s="3">
        <v>11.81</v>
      </c>
      <c r="N1242" s="3">
        <v>24.99</v>
      </c>
      <c r="O1242" s="2" t="s">
        <v>252</v>
      </c>
      <c r="P1242" s="2" t="s">
        <v>996</v>
      </c>
      <c r="Q1242" s="2" t="s">
        <v>239</v>
      </c>
      <c r="R1242" s="2" t="s">
        <v>233</v>
      </c>
      <c r="S1242" s="2" t="s">
        <v>6143</v>
      </c>
      <c r="T1242" s="2" t="s">
        <v>233</v>
      </c>
      <c r="U1242" s="2" t="s">
        <v>233</v>
      </c>
      <c r="V1242" s="2" t="s">
        <v>359</v>
      </c>
      <c r="W1242" s="2" t="s">
        <v>397</v>
      </c>
      <c r="X1242" s="2" t="s">
        <v>233</v>
      </c>
      <c r="Y1242" s="2" t="s">
        <v>1532</v>
      </c>
      <c r="Z1242" s="4"/>
      <c r="AA1242" s="4">
        <f>=ROUNDDOWN({0},0)</f>
      </c>
      <c r="AB1242" s="5"/>
      <c r="AC1242" s="2" t="s">
        <v>233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233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 t="s">
        <v>233</v>
      </c>
      <c r="BD1242" s="8" t="s">
        <v>233</v>
      </c>
      <c r="BE1242" s="4" t="s">
        <v>233</v>
      </c>
      <c r="BF1242" s="8" t="s">
        <v>233</v>
      </c>
      <c r="BG1242" s="7" t="s">
        <v>233</v>
      </c>
      <c r="BH1242" s="7" t="s">
        <v>233</v>
      </c>
      <c r="BI1242" s="7"/>
      <c r="BJ1242" s="4"/>
      <c r="BK1242" s="8"/>
      <c r="BL1242" s="2" t="s">
        <v>233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6144</v>
      </c>
      <c r="BV1242" s="2" t="s">
        <v>233</v>
      </c>
      <c r="BW1242" s="2" t="s">
        <v>233</v>
      </c>
      <c r="BX1242" s="2" t="s">
        <v>233</v>
      </c>
      <c r="BY1242" s="2" t="s">
        <v>280</v>
      </c>
      <c r="BZ1242" s="2" t="s">
        <v>245</v>
      </c>
      <c r="CA1242" s="2" t="s">
        <v>5215</v>
      </c>
      <c r="CB1242" s="2" t="s">
        <v>4179</v>
      </c>
      <c r="CC1242" s="2" t="s">
        <v>246</v>
      </c>
      <c r="CD1242" s="2" t="s">
        <v>233</v>
      </c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</row>
    <row r="1243">
      <c r="A1243" s="2" t="s">
        <v>6145</v>
      </c>
      <c r="B1243" s="2" t="s">
        <v>1242</v>
      </c>
      <c r="C1243" s="2" t="s">
        <v>901</v>
      </c>
      <c r="D1243" s="2" t="s">
        <v>912</v>
      </c>
      <c r="E1243" s="2" t="s">
        <v>1139</v>
      </c>
      <c r="F1243" s="2" t="s">
        <v>1198</v>
      </c>
      <c r="G1243" s="2" t="s">
        <v>1198</v>
      </c>
      <c r="H1243" s="2" t="s">
        <v>1198</v>
      </c>
      <c r="I1243" s="2" t="s">
        <v>6146</v>
      </c>
      <c r="J1243" s="2" t="s">
        <v>1142</v>
      </c>
      <c r="K1243" s="2" t="s">
        <v>236</v>
      </c>
      <c r="L1243" s="3">
        <v>71.57</v>
      </c>
      <c r="M1243" s="3">
        <v>75.15</v>
      </c>
      <c r="N1243" s="3">
        <v>159.99</v>
      </c>
      <c r="O1243" s="2" t="s">
        <v>237</v>
      </c>
      <c r="P1243" s="2" t="s">
        <v>311</v>
      </c>
      <c r="Q1243" s="2" t="s">
        <v>239</v>
      </c>
      <c r="R1243" s="2" t="s">
        <v>233</v>
      </c>
      <c r="S1243" s="2" t="s">
        <v>6147</v>
      </c>
      <c r="T1243" s="2" t="s">
        <v>341</v>
      </c>
      <c r="U1243" s="2" t="s">
        <v>475</v>
      </c>
      <c r="V1243" s="2" t="s">
        <v>5239</v>
      </c>
      <c r="W1243" s="2" t="s">
        <v>1763</v>
      </c>
      <c r="X1243" s="2" t="s">
        <v>451</v>
      </c>
      <c r="Y1243" s="2" t="s">
        <v>2597</v>
      </c>
      <c r="Z1243" s="4">
        <v>121</v>
      </c>
      <c r="AA1243" s="4">
        <f>=ROUNDDOWN(63.6842105263158,0)</f>
      </c>
      <c r="AB1243" s="5">
        <v>1.9</v>
      </c>
      <c r="AC1243" s="2" t="s">
        <v>233</v>
      </c>
      <c r="AD1243" s="4"/>
      <c r="AE1243" s="4"/>
      <c r="AF1243" s="6">
        <v>69</v>
      </c>
      <c r="AG1243" s="6"/>
      <c r="AH1243" s="7">
        <v>1</v>
      </c>
      <c r="AI1243" s="4"/>
      <c r="AJ1243" s="4">
        <f>=ROUNDDOWN({0},0)</f>
      </c>
      <c r="AK1243" s="5"/>
      <c r="AL1243" s="2" t="s">
        <v>233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 t="s">
        <v>233</v>
      </c>
      <c r="BD1243" s="8" t="s">
        <v>233</v>
      </c>
      <c r="BE1243" s="4" t="s">
        <v>233</v>
      </c>
      <c r="BF1243" s="8" t="s">
        <v>233</v>
      </c>
      <c r="BG1243" s="7" t="s">
        <v>233</v>
      </c>
      <c r="BH1243" s="7" t="s">
        <v>233</v>
      </c>
      <c r="BI1243" s="7"/>
      <c r="BJ1243" s="4">
        <v>9</v>
      </c>
      <c r="BK1243" s="8">
        <v>522.67</v>
      </c>
      <c r="BL1243" s="2" t="s">
        <v>6148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6149</v>
      </c>
      <c r="BV1243" s="2" t="s">
        <v>233</v>
      </c>
      <c r="BW1243" s="2" t="s">
        <v>233</v>
      </c>
      <c r="BX1243" s="2" t="s">
        <v>233</v>
      </c>
      <c r="BY1243" s="2" t="s">
        <v>280</v>
      </c>
      <c r="BZ1243" s="2" t="s">
        <v>245</v>
      </c>
      <c r="CA1243" s="2" t="s">
        <v>2597</v>
      </c>
      <c r="CB1243" s="2" t="s">
        <v>1120</v>
      </c>
      <c r="CC1243" s="2" t="s">
        <v>246</v>
      </c>
      <c r="CD1243" s="2" t="s">
        <v>233</v>
      </c>
      <c r="CE1243" s="4">
        <v>121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</row>
    <row r="1244">
      <c r="A1244" s="2" t="s">
        <v>6150</v>
      </c>
      <c r="B1244" s="2" t="s">
        <v>1174</v>
      </c>
      <c r="C1244" s="2" t="s">
        <v>530</v>
      </c>
      <c r="D1244" s="2" t="s">
        <v>1175</v>
      </c>
      <c r="E1244" s="2" t="s">
        <v>1206</v>
      </c>
      <c r="F1244" s="2" t="s">
        <v>1198</v>
      </c>
      <c r="G1244" s="2" t="s">
        <v>6151</v>
      </c>
      <c r="H1244" s="2" t="s">
        <v>6152</v>
      </c>
      <c r="I1244" s="2" t="s">
        <v>6153</v>
      </c>
      <c r="J1244" s="2" t="s">
        <v>1217</v>
      </c>
      <c r="K1244" s="2" t="s">
        <v>255</v>
      </c>
      <c r="L1244" s="3">
        <v>18.06</v>
      </c>
      <c r="M1244" s="3">
        <v>18.96</v>
      </c>
      <c r="N1244" s="3">
        <v>42.99</v>
      </c>
      <c r="O1244" s="2" t="s">
        <v>252</v>
      </c>
      <c r="P1244" s="2" t="s">
        <v>311</v>
      </c>
      <c r="Q1244" s="2" t="s">
        <v>239</v>
      </c>
      <c r="R1244" s="2" t="s">
        <v>233</v>
      </c>
      <c r="S1244" s="2" t="s">
        <v>6154</v>
      </c>
      <c r="T1244" s="2" t="s">
        <v>341</v>
      </c>
      <c r="U1244" s="2" t="s">
        <v>491</v>
      </c>
      <c r="V1244" s="2" t="s">
        <v>1658</v>
      </c>
      <c r="W1244" s="2" t="s">
        <v>397</v>
      </c>
      <c r="X1244" s="2" t="s">
        <v>233</v>
      </c>
      <c r="Y1244" s="2" t="s">
        <v>6155</v>
      </c>
      <c r="Z1244" s="4"/>
      <c r="AA1244" s="4">
        <f>=ROUNDDOWN({0},0)</f>
      </c>
      <c r="AB1244" s="5">
        <v>4.9</v>
      </c>
      <c r="AC1244" s="2" t="s">
        <v>233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233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 t="s">
        <v>233</v>
      </c>
      <c r="BD1244" s="8" t="s">
        <v>233</v>
      </c>
      <c r="BE1244" s="4" t="s">
        <v>233</v>
      </c>
      <c r="BF1244" s="8" t="s">
        <v>233</v>
      </c>
      <c r="BG1244" s="7" t="s">
        <v>233</v>
      </c>
      <c r="BH1244" s="7" t="s">
        <v>233</v>
      </c>
      <c r="BI1244" s="7"/>
      <c r="BJ1244" s="4"/>
      <c r="BK1244" s="8"/>
      <c r="BL1244" s="2" t="s">
        <v>6156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6157</v>
      </c>
      <c r="BV1244" s="2" t="s">
        <v>233</v>
      </c>
      <c r="BW1244" s="2" t="s">
        <v>233</v>
      </c>
      <c r="BX1244" s="2" t="s">
        <v>233</v>
      </c>
      <c r="BY1244" s="2" t="s">
        <v>280</v>
      </c>
      <c r="BZ1244" s="2" t="s">
        <v>245</v>
      </c>
      <c r="CA1244" s="2" t="s">
        <v>6158</v>
      </c>
      <c r="CB1244" s="2" t="s">
        <v>6159</v>
      </c>
      <c r="CC1244" s="2" t="s">
        <v>246</v>
      </c>
      <c r="CD1244" s="2" t="s">
        <v>233</v>
      </c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</row>
    <row r="1245">
      <c r="A1245" s="2" t="s">
        <v>6160</v>
      </c>
      <c r="B1245" s="2" t="s">
        <v>228</v>
      </c>
      <c r="C1245" s="2" t="s">
        <v>701</v>
      </c>
      <c r="D1245" s="2" t="s">
        <v>3847</v>
      </c>
      <c r="E1245" s="2" t="s">
        <v>6161</v>
      </c>
      <c r="F1245" s="2" t="s">
        <v>6162</v>
      </c>
      <c r="G1245" s="2" t="s">
        <v>233</v>
      </c>
      <c r="H1245" s="2" t="s">
        <v>233</v>
      </c>
      <c r="I1245" s="2" t="s">
        <v>6163</v>
      </c>
      <c r="J1245" s="2" t="s">
        <v>6164</v>
      </c>
      <c r="K1245" s="2" t="s">
        <v>3284</v>
      </c>
      <c r="L1245" s="3">
        <v>35.42</v>
      </c>
      <c r="M1245" s="3">
        <v>18.97</v>
      </c>
      <c r="N1245" s="3"/>
      <c r="O1245" s="2" t="s">
        <v>245</v>
      </c>
      <c r="P1245" s="2" t="s">
        <v>238</v>
      </c>
      <c r="Q1245" s="2" t="s">
        <v>239</v>
      </c>
      <c r="R1245" s="2" t="s">
        <v>240</v>
      </c>
      <c r="S1245" s="2" t="s">
        <v>233</v>
      </c>
      <c r="T1245" s="2" t="s">
        <v>233</v>
      </c>
      <c r="U1245" s="2" t="s">
        <v>396</v>
      </c>
      <c r="V1245" s="2" t="s">
        <v>1085</v>
      </c>
      <c r="W1245" s="2" t="s">
        <v>233</v>
      </c>
      <c r="X1245" s="2" t="s">
        <v>233</v>
      </c>
      <c r="Y1245" s="2" t="s">
        <v>6165</v>
      </c>
      <c r="Z1245" s="4">
        <v>841</v>
      </c>
      <c r="AA1245" s="4">
        <f>=ROUNDDOWN(52.5625,0)</f>
      </c>
      <c r="AB1245" s="5">
        <v>16</v>
      </c>
      <c r="AC1245" s="2" t="s">
        <v>233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233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/>
      <c r="BD1245" s="8"/>
      <c r="BE1245" s="4"/>
      <c r="BF1245" s="8"/>
      <c r="BG1245" s="7"/>
      <c r="BH1245" s="7"/>
      <c r="BI1245" s="7"/>
      <c r="BJ1245" s="4">
        <v>17</v>
      </c>
      <c r="BK1245" s="8">
        <v>602.14</v>
      </c>
      <c r="BL1245" s="2" t="s">
        <v>2513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243</v>
      </c>
      <c r="BV1245" s="2" t="s">
        <v>233</v>
      </c>
      <c r="BW1245" s="2" t="s">
        <v>233</v>
      </c>
      <c r="BX1245" s="2" t="s">
        <v>233</v>
      </c>
      <c r="BY1245" s="2" t="s">
        <v>244</v>
      </c>
      <c r="BZ1245" s="2" t="s">
        <v>245</v>
      </c>
      <c r="CA1245" s="2" t="s">
        <v>233</v>
      </c>
      <c r="CB1245" s="2" t="s">
        <v>233</v>
      </c>
      <c r="CC1245" s="2" t="s">
        <v>246</v>
      </c>
      <c r="CD1245" s="2" t="s">
        <v>233</v>
      </c>
      <c r="CE1245" s="4">
        <v>4</v>
      </c>
      <c r="CF1245" s="4"/>
      <c r="CG1245" s="4"/>
      <c r="CH1245" s="4"/>
      <c r="CI1245" s="4">
        <v>837</v>
      </c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</row>
    <row r="1246">
      <c r="A1246" s="2" t="s">
        <v>6166</v>
      </c>
      <c r="B1246" s="2" t="s">
        <v>228</v>
      </c>
      <c r="C1246" s="2" t="s">
        <v>701</v>
      </c>
      <c r="D1246" s="2" t="s">
        <v>3847</v>
      </c>
      <c r="E1246" s="2" t="s">
        <v>3848</v>
      </c>
      <c r="F1246" s="2" t="s">
        <v>6167</v>
      </c>
      <c r="G1246" s="2" t="s">
        <v>6167</v>
      </c>
      <c r="H1246" s="2" t="s">
        <v>233</v>
      </c>
      <c r="I1246" s="2" t="s">
        <v>231</v>
      </c>
      <c r="J1246" s="2" t="s">
        <v>270</v>
      </c>
      <c r="K1246" s="2" t="s">
        <v>271</v>
      </c>
      <c r="L1246" s="3">
        <v>54.64</v>
      </c>
      <c r="M1246" s="3">
        <v>57.37</v>
      </c>
      <c r="N1246" s="3">
        <v>104.99</v>
      </c>
      <c r="O1246" s="2" t="s">
        <v>245</v>
      </c>
      <c r="P1246" s="2" t="s">
        <v>272</v>
      </c>
      <c r="Q1246" s="2" t="s">
        <v>239</v>
      </c>
      <c r="R1246" s="2" t="s">
        <v>233</v>
      </c>
      <c r="S1246" s="2" t="s">
        <v>6168</v>
      </c>
      <c r="T1246" s="2" t="s">
        <v>1055</v>
      </c>
      <c r="U1246" s="2" t="s">
        <v>233</v>
      </c>
      <c r="V1246" s="2" t="s">
        <v>241</v>
      </c>
      <c r="W1246" s="2" t="s">
        <v>275</v>
      </c>
      <c r="X1246" s="2" t="s">
        <v>233</v>
      </c>
      <c r="Y1246" s="2" t="s">
        <v>276</v>
      </c>
      <c r="Z1246" s="4"/>
      <c r="AA1246" s="4">
        <f>=ROUNDDOWN({0},0)</f>
      </c>
      <c r="AB1246" s="5">
        <v>17</v>
      </c>
      <c r="AC1246" s="2" t="s">
        <v>825</v>
      </c>
      <c r="AD1246" s="4">
        <v>150</v>
      </c>
      <c r="AE1246" s="4">
        <v>150</v>
      </c>
      <c r="AF1246" s="6">
        <v>65</v>
      </c>
      <c r="AG1246" s="6"/>
      <c r="AH1246" s="7">
        <v>0</v>
      </c>
      <c r="AI1246" s="4"/>
      <c r="AJ1246" s="4">
        <f>=ROUNDDOWN({0},0)</f>
      </c>
      <c r="AK1246" s="5"/>
      <c r="AL1246" s="2" t="s">
        <v>233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233</v>
      </c>
      <c r="AW1246" s="8" t="s">
        <v>233</v>
      </c>
      <c r="AX1246" s="4" t="s">
        <v>233</v>
      </c>
      <c r="AY1246" s="8" t="s">
        <v>233</v>
      </c>
      <c r="AZ1246" s="7" t="s">
        <v>233</v>
      </c>
      <c r="BA1246" s="7" t="s">
        <v>233</v>
      </c>
      <c r="BB1246" s="7"/>
      <c r="BC1246" s="4" t="s">
        <v>233</v>
      </c>
      <c r="BD1246" s="8" t="s">
        <v>233</v>
      </c>
      <c r="BE1246" s="4" t="s">
        <v>233</v>
      </c>
      <c r="BF1246" s="8" t="s">
        <v>233</v>
      </c>
      <c r="BG1246" s="7" t="s">
        <v>233</v>
      </c>
      <c r="BH1246" s="7" t="s">
        <v>233</v>
      </c>
      <c r="BI1246" s="7"/>
      <c r="BJ1246" s="4"/>
      <c r="BK1246" s="8"/>
      <c r="BL1246" s="2" t="s">
        <v>6169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6170</v>
      </c>
      <c r="BV1246" s="2" t="s">
        <v>233</v>
      </c>
      <c r="BW1246" s="2" t="s">
        <v>233</v>
      </c>
      <c r="BX1246" s="2" t="s">
        <v>233</v>
      </c>
      <c r="BY1246" s="2" t="s">
        <v>280</v>
      </c>
      <c r="BZ1246" s="2" t="s">
        <v>245</v>
      </c>
      <c r="CA1246" s="2" t="s">
        <v>1625</v>
      </c>
      <c r="CB1246" s="2" t="s">
        <v>696</v>
      </c>
      <c r="CC1246" s="2" t="s">
        <v>246</v>
      </c>
      <c r="CD1246" s="2" t="s">
        <v>233</v>
      </c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>
        <v>150</v>
      </c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</row>
    <row r="1247">
      <c r="A1247" s="2" t="s">
        <v>6171</v>
      </c>
      <c r="B1247" s="2" t="s">
        <v>228</v>
      </c>
      <c r="C1247" s="2" t="s">
        <v>701</v>
      </c>
      <c r="D1247" s="2" t="s">
        <v>3847</v>
      </c>
      <c r="E1247" s="2" t="s">
        <v>3848</v>
      </c>
      <c r="F1247" s="2" t="s">
        <v>6167</v>
      </c>
      <c r="G1247" s="2" t="s">
        <v>6167</v>
      </c>
      <c r="H1247" s="2" t="s">
        <v>233</v>
      </c>
      <c r="I1247" s="2" t="s">
        <v>231</v>
      </c>
      <c r="J1247" s="2" t="s">
        <v>290</v>
      </c>
      <c r="K1247" s="2" t="s">
        <v>271</v>
      </c>
      <c r="L1247" s="3">
        <v>59.61</v>
      </c>
      <c r="M1247" s="3">
        <v>62.59</v>
      </c>
      <c r="N1247" s="3">
        <v>114.99</v>
      </c>
      <c r="O1247" s="2" t="s">
        <v>245</v>
      </c>
      <c r="P1247" s="2" t="s">
        <v>272</v>
      </c>
      <c r="Q1247" s="2" t="s">
        <v>239</v>
      </c>
      <c r="R1247" s="2" t="s">
        <v>233</v>
      </c>
      <c r="S1247" s="2" t="s">
        <v>6168</v>
      </c>
      <c r="T1247" s="2" t="s">
        <v>1055</v>
      </c>
      <c r="U1247" s="2" t="s">
        <v>233</v>
      </c>
      <c r="V1247" s="2" t="s">
        <v>241</v>
      </c>
      <c r="W1247" s="2" t="s">
        <v>275</v>
      </c>
      <c r="X1247" s="2" t="s">
        <v>233</v>
      </c>
      <c r="Y1247" s="2" t="s">
        <v>276</v>
      </c>
      <c r="Z1247" s="4">
        <v>22</v>
      </c>
      <c r="AA1247" s="4">
        <f>=ROUNDDOWN(2,0)</f>
      </c>
      <c r="AB1247" s="5">
        <v>11</v>
      </c>
      <c r="AC1247" s="2" t="s">
        <v>825</v>
      </c>
      <c r="AD1247" s="4">
        <v>150</v>
      </c>
      <c r="AE1247" s="4">
        <v>150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233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233</v>
      </c>
      <c r="AW1247" s="8" t="s">
        <v>233</v>
      </c>
      <c r="AX1247" s="4" t="s">
        <v>233</v>
      </c>
      <c r="AY1247" s="8" t="s">
        <v>233</v>
      </c>
      <c r="AZ1247" s="7" t="s">
        <v>233</v>
      </c>
      <c r="BA1247" s="7" t="s">
        <v>233</v>
      </c>
      <c r="BB1247" s="7"/>
      <c r="BC1247" s="4" t="s">
        <v>233</v>
      </c>
      <c r="BD1247" s="8" t="s">
        <v>233</v>
      </c>
      <c r="BE1247" s="4" t="s">
        <v>233</v>
      </c>
      <c r="BF1247" s="8" t="s">
        <v>233</v>
      </c>
      <c r="BG1247" s="7" t="s">
        <v>233</v>
      </c>
      <c r="BH1247" s="7" t="s">
        <v>233</v>
      </c>
      <c r="BI1247" s="7"/>
      <c r="BJ1247" s="4">
        <v>22</v>
      </c>
      <c r="BK1247" s="8">
        <v>1512.02</v>
      </c>
      <c r="BL1247" s="2" t="s">
        <v>6172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6173</v>
      </c>
      <c r="BV1247" s="2" t="s">
        <v>233</v>
      </c>
      <c r="BW1247" s="2" t="s">
        <v>233</v>
      </c>
      <c r="BX1247" s="2" t="s">
        <v>233</v>
      </c>
      <c r="BY1247" s="2" t="s">
        <v>280</v>
      </c>
      <c r="BZ1247" s="2" t="s">
        <v>245</v>
      </c>
      <c r="CA1247" s="2" t="s">
        <v>1625</v>
      </c>
      <c r="CB1247" s="2" t="s">
        <v>651</v>
      </c>
      <c r="CC1247" s="2" t="s">
        <v>246</v>
      </c>
      <c r="CD1247" s="2" t="s">
        <v>233</v>
      </c>
      <c r="CE1247" s="4">
        <v>22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>
        <v>150</v>
      </c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</row>
    <row r="1248">
      <c r="A1248" s="2" t="s">
        <v>6174</v>
      </c>
      <c r="B1248" s="2" t="s">
        <v>228</v>
      </c>
      <c r="C1248" s="2" t="s">
        <v>701</v>
      </c>
      <c r="D1248" s="2" t="s">
        <v>3847</v>
      </c>
      <c r="E1248" s="2" t="s">
        <v>3848</v>
      </c>
      <c r="F1248" s="2" t="s">
        <v>6167</v>
      </c>
      <c r="G1248" s="2" t="s">
        <v>6167</v>
      </c>
      <c r="H1248" s="2" t="s">
        <v>233</v>
      </c>
      <c r="I1248" s="2" t="s">
        <v>231</v>
      </c>
      <c r="J1248" s="2" t="s">
        <v>328</v>
      </c>
      <c r="K1248" s="2" t="s">
        <v>271</v>
      </c>
      <c r="L1248" s="3">
        <v>89.41</v>
      </c>
      <c r="M1248" s="3">
        <v>93.88</v>
      </c>
      <c r="N1248" s="3">
        <v>174.99</v>
      </c>
      <c r="O1248" s="2" t="s">
        <v>245</v>
      </c>
      <c r="P1248" s="2" t="s">
        <v>272</v>
      </c>
      <c r="Q1248" s="2" t="s">
        <v>239</v>
      </c>
      <c r="R1248" s="2" t="s">
        <v>233</v>
      </c>
      <c r="S1248" s="2" t="s">
        <v>6168</v>
      </c>
      <c r="T1248" s="2" t="s">
        <v>1055</v>
      </c>
      <c r="U1248" s="2" t="s">
        <v>233</v>
      </c>
      <c r="V1248" s="2" t="s">
        <v>241</v>
      </c>
      <c r="W1248" s="2" t="s">
        <v>275</v>
      </c>
      <c r="X1248" s="2" t="s">
        <v>233</v>
      </c>
      <c r="Y1248" s="2" t="s">
        <v>6175</v>
      </c>
      <c r="Z1248" s="4">
        <v>528</v>
      </c>
      <c r="AA1248" s="4">
        <f>=ROUNDDOWN(27.7894736842105,0)</f>
      </c>
      <c r="AB1248" s="5">
        <v>19</v>
      </c>
      <c r="AC1248" s="2" t="s">
        <v>233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233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233</v>
      </c>
      <c r="AW1248" s="8" t="s">
        <v>233</v>
      </c>
      <c r="AX1248" s="4" t="s">
        <v>233</v>
      </c>
      <c r="AY1248" s="8" t="s">
        <v>233</v>
      </c>
      <c r="AZ1248" s="7" t="s">
        <v>233</v>
      </c>
      <c r="BA1248" s="7" t="s">
        <v>233</v>
      </c>
      <c r="BB1248" s="7"/>
      <c r="BC1248" s="4" t="s">
        <v>233</v>
      </c>
      <c r="BD1248" s="8" t="s">
        <v>233</v>
      </c>
      <c r="BE1248" s="4" t="s">
        <v>233</v>
      </c>
      <c r="BF1248" s="8" t="s">
        <v>233</v>
      </c>
      <c r="BG1248" s="7" t="s">
        <v>233</v>
      </c>
      <c r="BH1248" s="7" t="s">
        <v>233</v>
      </c>
      <c r="BI1248" s="7"/>
      <c r="BJ1248" s="4">
        <v>87</v>
      </c>
      <c r="BK1248" s="8">
        <v>9217.46</v>
      </c>
      <c r="BL1248" s="2" t="s">
        <v>6176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6177</v>
      </c>
      <c r="BV1248" s="2" t="s">
        <v>233</v>
      </c>
      <c r="BW1248" s="2" t="s">
        <v>233</v>
      </c>
      <c r="BX1248" s="2" t="s">
        <v>233</v>
      </c>
      <c r="BY1248" s="2" t="s">
        <v>280</v>
      </c>
      <c r="BZ1248" s="2" t="s">
        <v>245</v>
      </c>
      <c r="CA1248" s="2" t="s">
        <v>1625</v>
      </c>
      <c r="CB1248" s="2" t="s">
        <v>528</v>
      </c>
      <c r="CC1248" s="2" t="s">
        <v>246</v>
      </c>
      <c r="CD1248" s="2" t="s">
        <v>233</v>
      </c>
      <c r="CE1248" s="4">
        <v>528</v>
      </c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</row>
    <row r="1249">
      <c r="A1249" s="2" t="s">
        <v>6178</v>
      </c>
      <c r="B1249" s="2" t="s">
        <v>228</v>
      </c>
      <c r="C1249" s="2" t="s">
        <v>701</v>
      </c>
      <c r="D1249" s="2" t="s">
        <v>3847</v>
      </c>
      <c r="E1249" s="2" t="s">
        <v>3848</v>
      </c>
      <c r="F1249" s="2" t="s">
        <v>6167</v>
      </c>
      <c r="G1249" s="2" t="s">
        <v>6167</v>
      </c>
      <c r="H1249" s="2" t="s">
        <v>233</v>
      </c>
      <c r="I1249" s="2" t="s">
        <v>231</v>
      </c>
      <c r="J1249" s="2" t="s">
        <v>270</v>
      </c>
      <c r="K1249" s="2" t="s">
        <v>1631</v>
      </c>
      <c r="L1249" s="3">
        <v>54.64</v>
      </c>
      <c r="M1249" s="3">
        <v>57.37</v>
      </c>
      <c r="N1249" s="3">
        <v>104.99</v>
      </c>
      <c r="O1249" s="2" t="s">
        <v>245</v>
      </c>
      <c r="P1249" s="2" t="s">
        <v>311</v>
      </c>
      <c r="Q1249" s="2" t="s">
        <v>239</v>
      </c>
      <c r="R1249" s="2" t="s">
        <v>233</v>
      </c>
      <c r="S1249" s="2" t="s">
        <v>6179</v>
      </c>
      <c r="T1249" s="2" t="s">
        <v>1055</v>
      </c>
      <c r="U1249" s="2" t="s">
        <v>233</v>
      </c>
      <c r="V1249" s="2" t="s">
        <v>241</v>
      </c>
      <c r="W1249" s="2" t="s">
        <v>275</v>
      </c>
      <c r="X1249" s="2" t="s">
        <v>233</v>
      </c>
      <c r="Y1249" s="2" t="s">
        <v>2629</v>
      </c>
      <c r="Z1249" s="4"/>
      <c r="AA1249" s="4">
        <f>=ROUNDDOWN({0},0)</f>
      </c>
      <c r="AB1249" s="5">
        <v>4</v>
      </c>
      <c r="AC1249" s="2" t="s">
        <v>233</v>
      </c>
      <c r="AD1249" s="4"/>
      <c r="AE1249" s="4"/>
      <c r="AF1249" s="6">
        <v>65</v>
      </c>
      <c r="AG1249" s="6"/>
      <c r="AH1249" s="7">
        <v>0</v>
      </c>
      <c r="AI1249" s="4"/>
      <c r="AJ1249" s="4">
        <f>=ROUNDDOWN({0},0)</f>
      </c>
      <c r="AK1249" s="5"/>
      <c r="AL1249" s="2" t="s">
        <v>233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233</v>
      </c>
      <c r="BD1249" s="8" t="s">
        <v>233</v>
      </c>
      <c r="BE1249" s="4" t="s">
        <v>233</v>
      </c>
      <c r="BF1249" s="8" t="s">
        <v>233</v>
      </c>
      <c r="BG1249" s="7" t="s">
        <v>233</v>
      </c>
      <c r="BH1249" s="7" t="s">
        <v>233</v>
      </c>
      <c r="BI1249" s="7"/>
      <c r="BJ1249" s="4"/>
      <c r="BK1249" s="8"/>
      <c r="BL1249" s="2" t="s">
        <v>6180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6181</v>
      </c>
      <c r="BV1249" s="2" t="s">
        <v>233</v>
      </c>
      <c r="BW1249" s="2" t="s">
        <v>233</v>
      </c>
      <c r="BX1249" s="2" t="s">
        <v>595</v>
      </c>
      <c r="BY1249" s="2" t="s">
        <v>280</v>
      </c>
      <c r="BZ1249" s="2" t="s">
        <v>245</v>
      </c>
      <c r="CA1249" s="2" t="s">
        <v>1625</v>
      </c>
      <c r="CB1249" s="2" t="s">
        <v>528</v>
      </c>
      <c r="CC1249" s="2" t="s">
        <v>246</v>
      </c>
      <c r="CD1249" s="2" t="s">
        <v>233</v>
      </c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</row>
    <row r="1250">
      <c r="A1250" s="2" t="s">
        <v>6182</v>
      </c>
      <c r="B1250" s="2" t="s">
        <v>228</v>
      </c>
      <c r="C1250" s="2" t="s">
        <v>701</v>
      </c>
      <c r="D1250" s="2" t="s">
        <v>3847</v>
      </c>
      <c r="E1250" s="2" t="s">
        <v>3848</v>
      </c>
      <c r="F1250" s="2" t="s">
        <v>6167</v>
      </c>
      <c r="G1250" s="2" t="s">
        <v>6167</v>
      </c>
      <c r="H1250" s="2" t="s">
        <v>233</v>
      </c>
      <c r="I1250" s="2" t="s">
        <v>231</v>
      </c>
      <c r="J1250" s="2" t="s">
        <v>290</v>
      </c>
      <c r="K1250" s="2" t="s">
        <v>2475</v>
      </c>
      <c r="L1250" s="3">
        <v>59.61</v>
      </c>
      <c r="M1250" s="3">
        <v>62.59</v>
      </c>
      <c r="N1250" s="3">
        <v>114.99</v>
      </c>
      <c r="O1250" s="2" t="s">
        <v>245</v>
      </c>
      <c r="P1250" s="2" t="s">
        <v>272</v>
      </c>
      <c r="Q1250" s="2" t="s">
        <v>239</v>
      </c>
      <c r="R1250" s="2" t="s">
        <v>233</v>
      </c>
      <c r="S1250" s="2" t="s">
        <v>6183</v>
      </c>
      <c r="T1250" s="2" t="s">
        <v>1055</v>
      </c>
      <c r="U1250" s="2" t="s">
        <v>233</v>
      </c>
      <c r="V1250" s="2" t="s">
        <v>241</v>
      </c>
      <c r="W1250" s="2" t="s">
        <v>275</v>
      </c>
      <c r="X1250" s="2" t="s">
        <v>233</v>
      </c>
      <c r="Y1250" s="2" t="s">
        <v>6184</v>
      </c>
      <c r="Z1250" s="4"/>
      <c r="AA1250" s="4">
        <f>=ROUNDDOWN({0},0)</f>
      </c>
      <c r="AB1250" s="5">
        <v>20</v>
      </c>
      <c r="AC1250" s="2" t="s">
        <v>825</v>
      </c>
      <c r="AD1250" s="4">
        <v>150</v>
      </c>
      <c r="AE1250" s="4">
        <v>150</v>
      </c>
      <c r="AF1250" s="6">
        <v>65</v>
      </c>
      <c r="AG1250" s="6"/>
      <c r="AH1250" s="7">
        <v>0</v>
      </c>
      <c r="AI1250" s="4"/>
      <c r="AJ1250" s="4">
        <f>=ROUNDDOWN({0},0)</f>
      </c>
      <c r="AK1250" s="5"/>
      <c r="AL1250" s="2" t="s">
        <v>233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 t="s">
        <v>233</v>
      </c>
      <c r="BD1250" s="8" t="s">
        <v>233</v>
      </c>
      <c r="BE1250" s="4" t="s">
        <v>233</v>
      </c>
      <c r="BF1250" s="8" t="s">
        <v>233</v>
      </c>
      <c r="BG1250" s="7" t="s">
        <v>233</v>
      </c>
      <c r="BH1250" s="7" t="s">
        <v>233</v>
      </c>
      <c r="BI1250" s="7"/>
      <c r="BJ1250" s="4"/>
      <c r="BK1250" s="8"/>
      <c r="BL1250" s="2" t="s">
        <v>6185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6186</v>
      </c>
      <c r="BV1250" s="2" t="s">
        <v>233</v>
      </c>
      <c r="BW1250" s="2" t="s">
        <v>233</v>
      </c>
      <c r="BX1250" s="2" t="s">
        <v>233</v>
      </c>
      <c r="BY1250" s="2" t="s">
        <v>280</v>
      </c>
      <c r="BZ1250" s="2" t="s">
        <v>245</v>
      </c>
      <c r="CA1250" s="2" t="s">
        <v>5636</v>
      </c>
      <c r="CB1250" s="2" t="s">
        <v>4011</v>
      </c>
      <c r="CC1250" s="2" t="s">
        <v>246</v>
      </c>
      <c r="CD1250" s="2" t="s">
        <v>233</v>
      </c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>
        <v>150</v>
      </c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</row>
    <row r="1251">
      <c r="A1251" s="2" t="s">
        <v>6187</v>
      </c>
      <c r="B1251" s="2" t="s">
        <v>228</v>
      </c>
      <c r="C1251" s="2" t="s">
        <v>701</v>
      </c>
      <c r="D1251" s="2" t="s">
        <v>3847</v>
      </c>
      <c r="E1251" s="2" t="s">
        <v>3848</v>
      </c>
      <c r="F1251" s="2" t="s">
        <v>6167</v>
      </c>
      <c r="G1251" s="2" t="s">
        <v>6167</v>
      </c>
      <c r="H1251" s="2" t="s">
        <v>233</v>
      </c>
      <c r="I1251" s="2" t="s">
        <v>231</v>
      </c>
      <c r="J1251" s="2" t="s">
        <v>270</v>
      </c>
      <c r="K1251" s="2" t="s">
        <v>569</v>
      </c>
      <c r="L1251" s="3">
        <v>54.64</v>
      </c>
      <c r="M1251" s="3">
        <v>57.37</v>
      </c>
      <c r="N1251" s="3">
        <v>104.99</v>
      </c>
      <c r="O1251" s="2" t="s">
        <v>245</v>
      </c>
      <c r="P1251" s="2" t="s">
        <v>741</v>
      </c>
      <c r="Q1251" s="2" t="s">
        <v>239</v>
      </c>
      <c r="R1251" s="2" t="s">
        <v>233</v>
      </c>
      <c r="S1251" s="2" t="s">
        <v>6188</v>
      </c>
      <c r="T1251" s="2" t="s">
        <v>1055</v>
      </c>
      <c r="U1251" s="2" t="s">
        <v>233</v>
      </c>
      <c r="V1251" s="2" t="s">
        <v>241</v>
      </c>
      <c r="W1251" s="2" t="s">
        <v>275</v>
      </c>
      <c r="X1251" s="2" t="s">
        <v>233</v>
      </c>
      <c r="Y1251" s="2" t="s">
        <v>276</v>
      </c>
      <c r="Z1251" s="4"/>
      <c r="AA1251" s="4">
        <f>=ROUNDDOWN({0},0)</f>
      </c>
      <c r="AB1251" s="5">
        <v>9</v>
      </c>
      <c r="AC1251" s="2" t="s">
        <v>825</v>
      </c>
      <c r="AD1251" s="4">
        <v>160</v>
      </c>
      <c r="AE1251" s="4">
        <v>160</v>
      </c>
      <c r="AF1251" s="6">
        <v>65</v>
      </c>
      <c r="AG1251" s="6"/>
      <c r="AH1251" s="7">
        <v>0</v>
      </c>
      <c r="AI1251" s="4"/>
      <c r="AJ1251" s="4">
        <f>=ROUNDDOWN({0},0)</f>
      </c>
      <c r="AK1251" s="5"/>
      <c r="AL1251" s="2" t="s">
        <v>233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 t="s">
        <v>233</v>
      </c>
      <c r="BD1251" s="8" t="s">
        <v>233</v>
      </c>
      <c r="BE1251" s="4" t="s">
        <v>233</v>
      </c>
      <c r="BF1251" s="8" t="s">
        <v>233</v>
      </c>
      <c r="BG1251" s="7" t="s">
        <v>233</v>
      </c>
      <c r="BH1251" s="7" t="s">
        <v>233</v>
      </c>
      <c r="BI1251" s="7"/>
      <c r="BJ1251" s="4"/>
      <c r="BK1251" s="8"/>
      <c r="BL1251" s="2" t="s">
        <v>6189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6190</v>
      </c>
      <c r="BV1251" s="2" t="s">
        <v>233</v>
      </c>
      <c r="BW1251" s="2" t="s">
        <v>233</v>
      </c>
      <c r="BX1251" s="2" t="s">
        <v>233</v>
      </c>
      <c r="BY1251" s="2" t="s">
        <v>280</v>
      </c>
      <c r="BZ1251" s="2" t="s">
        <v>245</v>
      </c>
      <c r="CA1251" s="2" t="s">
        <v>5636</v>
      </c>
      <c r="CB1251" s="2" t="s">
        <v>6191</v>
      </c>
      <c r="CC1251" s="2" t="s">
        <v>246</v>
      </c>
      <c r="CD1251" s="2" t="s">
        <v>233</v>
      </c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>
        <v>160</v>
      </c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</row>
    <row r="1252">
      <c r="A1252" s="2" t="s">
        <v>6192</v>
      </c>
      <c r="B1252" s="2" t="s">
        <v>228</v>
      </c>
      <c r="C1252" s="2" t="s">
        <v>701</v>
      </c>
      <c r="D1252" s="2" t="s">
        <v>3847</v>
      </c>
      <c r="E1252" s="2" t="s">
        <v>3848</v>
      </c>
      <c r="F1252" s="2" t="s">
        <v>6167</v>
      </c>
      <c r="G1252" s="2" t="s">
        <v>6167</v>
      </c>
      <c r="H1252" s="2" t="s">
        <v>233</v>
      </c>
      <c r="I1252" s="2" t="s">
        <v>231</v>
      </c>
      <c r="J1252" s="2" t="s">
        <v>348</v>
      </c>
      <c r="K1252" s="2" t="s">
        <v>590</v>
      </c>
      <c r="L1252" s="3">
        <v>79.48</v>
      </c>
      <c r="M1252" s="3">
        <v>83.45</v>
      </c>
      <c r="N1252" s="3">
        <v>154.99</v>
      </c>
      <c r="O1252" s="2" t="s">
        <v>245</v>
      </c>
      <c r="P1252" s="2" t="s">
        <v>272</v>
      </c>
      <c r="Q1252" s="2" t="s">
        <v>239</v>
      </c>
      <c r="R1252" s="2" t="s">
        <v>233</v>
      </c>
      <c r="S1252" s="2" t="s">
        <v>6193</v>
      </c>
      <c r="T1252" s="2" t="s">
        <v>1622</v>
      </c>
      <c r="U1252" s="2" t="s">
        <v>396</v>
      </c>
      <c r="V1252" s="2" t="s">
        <v>241</v>
      </c>
      <c r="W1252" s="2" t="s">
        <v>275</v>
      </c>
      <c r="X1252" s="2" t="s">
        <v>233</v>
      </c>
      <c r="Y1252" s="2" t="s">
        <v>3051</v>
      </c>
      <c r="Z1252" s="4"/>
      <c r="AA1252" s="4">
        <f>=ROUNDDOWN({0},0)</f>
      </c>
      <c r="AB1252" s="5">
        <v>19</v>
      </c>
      <c r="AC1252" s="2" t="s">
        <v>825</v>
      </c>
      <c r="AD1252" s="4">
        <v>150</v>
      </c>
      <c r="AE1252" s="4">
        <v>150</v>
      </c>
      <c r="AF1252" s="6">
        <v>65</v>
      </c>
      <c r="AG1252" s="6"/>
      <c r="AH1252" s="7">
        <v>0</v>
      </c>
      <c r="AI1252" s="4"/>
      <c r="AJ1252" s="4">
        <f>=ROUNDDOWN({0},0)</f>
      </c>
      <c r="AK1252" s="5"/>
      <c r="AL1252" s="2" t="s">
        <v>233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233</v>
      </c>
      <c r="AW1252" s="8" t="s">
        <v>233</v>
      </c>
      <c r="AX1252" s="4" t="s">
        <v>233</v>
      </c>
      <c r="AY1252" s="8" t="s">
        <v>233</v>
      </c>
      <c r="AZ1252" s="7" t="s">
        <v>233</v>
      </c>
      <c r="BA1252" s="7" t="s">
        <v>233</v>
      </c>
      <c r="BB1252" s="7"/>
      <c r="BC1252" s="4" t="s">
        <v>233</v>
      </c>
      <c r="BD1252" s="8" t="s">
        <v>233</v>
      </c>
      <c r="BE1252" s="4" t="s">
        <v>233</v>
      </c>
      <c r="BF1252" s="8" t="s">
        <v>233</v>
      </c>
      <c r="BG1252" s="7" t="s">
        <v>233</v>
      </c>
      <c r="BH1252" s="7" t="s">
        <v>233</v>
      </c>
      <c r="BI1252" s="7"/>
      <c r="BJ1252" s="4"/>
      <c r="BK1252" s="8"/>
      <c r="BL1252" s="2" t="s">
        <v>6194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6195</v>
      </c>
      <c r="BV1252" s="2" t="s">
        <v>233</v>
      </c>
      <c r="BW1252" s="2" t="s">
        <v>233</v>
      </c>
      <c r="BX1252" s="2" t="s">
        <v>233</v>
      </c>
      <c r="BY1252" s="2" t="s">
        <v>280</v>
      </c>
      <c r="BZ1252" s="2" t="s">
        <v>245</v>
      </c>
      <c r="CA1252" s="2" t="s">
        <v>3051</v>
      </c>
      <c r="CB1252" s="2" t="s">
        <v>6196</v>
      </c>
      <c r="CC1252" s="2" t="s">
        <v>246</v>
      </c>
      <c r="CD1252" s="2" t="s">
        <v>233</v>
      </c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>
        <v>150</v>
      </c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</row>
    <row r="1253">
      <c r="A1253" s="2" t="s">
        <v>6197</v>
      </c>
      <c r="B1253" s="2" t="s">
        <v>228</v>
      </c>
      <c r="C1253" s="2" t="s">
        <v>701</v>
      </c>
      <c r="D1253" s="2" t="s">
        <v>3847</v>
      </c>
      <c r="E1253" s="2" t="s">
        <v>3848</v>
      </c>
      <c r="F1253" s="2" t="s">
        <v>6167</v>
      </c>
      <c r="G1253" s="2" t="s">
        <v>6167</v>
      </c>
      <c r="H1253" s="2" t="s">
        <v>233</v>
      </c>
      <c r="I1253" s="2" t="s">
        <v>231</v>
      </c>
      <c r="J1253" s="2" t="s">
        <v>328</v>
      </c>
      <c r="K1253" s="2" t="s">
        <v>590</v>
      </c>
      <c r="L1253" s="3">
        <v>89.41</v>
      </c>
      <c r="M1253" s="3">
        <v>93.88</v>
      </c>
      <c r="N1253" s="3">
        <v>174.99</v>
      </c>
      <c r="O1253" s="2" t="s">
        <v>245</v>
      </c>
      <c r="P1253" s="2" t="s">
        <v>272</v>
      </c>
      <c r="Q1253" s="2" t="s">
        <v>239</v>
      </c>
      <c r="R1253" s="2" t="s">
        <v>233</v>
      </c>
      <c r="S1253" s="2" t="s">
        <v>6193</v>
      </c>
      <c r="T1253" s="2" t="s">
        <v>1622</v>
      </c>
      <c r="U1253" s="2" t="s">
        <v>396</v>
      </c>
      <c r="V1253" s="2" t="s">
        <v>241</v>
      </c>
      <c r="W1253" s="2" t="s">
        <v>275</v>
      </c>
      <c r="X1253" s="2" t="s">
        <v>233</v>
      </c>
      <c r="Y1253" s="2" t="s">
        <v>3051</v>
      </c>
      <c r="Z1253" s="4">
        <v>320</v>
      </c>
      <c r="AA1253" s="4">
        <f>=ROUNDDOWN(26.6666666666667,0)</f>
      </c>
      <c r="AB1253" s="5">
        <v>12</v>
      </c>
      <c r="AC1253" s="2" t="s">
        <v>233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233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233</v>
      </c>
      <c r="AW1253" s="8" t="s">
        <v>233</v>
      </c>
      <c r="AX1253" s="4" t="s">
        <v>233</v>
      </c>
      <c r="AY1253" s="8" t="s">
        <v>233</v>
      </c>
      <c r="AZ1253" s="7" t="s">
        <v>233</v>
      </c>
      <c r="BA1253" s="7" t="s">
        <v>233</v>
      </c>
      <c r="BB1253" s="7"/>
      <c r="BC1253" s="4" t="s">
        <v>233</v>
      </c>
      <c r="BD1253" s="8" t="s">
        <v>233</v>
      </c>
      <c r="BE1253" s="4" t="s">
        <v>233</v>
      </c>
      <c r="BF1253" s="8" t="s">
        <v>233</v>
      </c>
      <c r="BG1253" s="7" t="s">
        <v>233</v>
      </c>
      <c r="BH1253" s="7" t="s">
        <v>233</v>
      </c>
      <c r="BI1253" s="7"/>
      <c r="BJ1253" s="4">
        <v>10</v>
      </c>
      <c r="BK1253" s="8">
        <v>1041.39</v>
      </c>
      <c r="BL1253" s="2" t="s">
        <v>6198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6199</v>
      </c>
      <c r="BV1253" s="2" t="s">
        <v>233</v>
      </c>
      <c r="BW1253" s="2" t="s">
        <v>233</v>
      </c>
      <c r="BX1253" s="2" t="s">
        <v>233</v>
      </c>
      <c r="BY1253" s="2" t="s">
        <v>280</v>
      </c>
      <c r="BZ1253" s="2" t="s">
        <v>245</v>
      </c>
      <c r="CA1253" s="2" t="s">
        <v>3051</v>
      </c>
      <c r="CB1253" s="2" t="s">
        <v>6200</v>
      </c>
      <c r="CC1253" s="2" t="s">
        <v>246</v>
      </c>
      <c r="CD1253" s="2" t="s">
        <v>233</v>
      </c>
      <c r="CE1253" s="4">
        <v>320</v>
      </c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</row>
    <row r="1254">
      <c r="A1254" s="2" t="s">
        <v>6201</v>
      </c>
      <c r="B1254" s="2" t="s">
        <v>228</v>
      </c>
      <c r="C1254" s="2" t="s">
        <v>701</v>
      </c>
      <c r="D1254" s="2" t="s">
        <v>3847</v>
      </c>
      <c r="E1254" s="2" t="s">
        <v>3848</v>
      </c>
      <c r="F1254" s="2" t="s">
        <v>6167</v>
      </c>
      <c r="G1254" s="2" t="s">
        <v>6167</v>
      </c>
      <c r="H1254" s="2" t="s">
        <v>233</v>
      </c>
      <c r="I1254" s="2" t="s">
        <v>231</v>
      </c>
      <c r="J1254" s="2" t="s">
        <v>270</v>
      </c>
      <c r="K1254" s="2" t="s">
        <v>1561</v>
      </c>
      <c r="L1254" s="3">
        <v>54.64</v>
      </c>
      <c r="M1254" s="3">
        <v>57.37</v>
      </c>
      <c r="N1254" s="3">
        <v>104.99</v>
      </c>
      <c r="O1254" s="2" t="s">
        <v>245</v>
      </c>
      <c r="P1254" s="2" t="s">
        <v>311</v>
      </c>
      <c r="Q1254" s="2" t="s">
        <v>239</v>
      </c>
      <c r="R1254" s="2" t="s">
        <v>233</v>
      </c>
      <c r="S1254" s="2" t="s">
        <v>6202</v>
      </c>
      <c r="T1254" s="2" t="s">
        <v>1055</v>
      </c>
      <c r="U1254" s="2" t="s">
        <v>233</v>
      </c>
      <c r="V1254" s="2" t="s">
        <v>241</v>
      </c>
      <c r="W1254" s="2" t="s">
        <v>275</v>
      </c>
      <c r="X1254" s="2" t="s">
        <v>233</v>
      </c>
      <c r="Y1254" s="2" t="s">
        <v>1474</v>
      </c>
      <c r="Z1254" s="4">
        <v>308</v>
      </c>
      <c r="AA1254" s="4">
        <f>=ROUNDDOWN(61.6,0)</f>
      </c>
      <c r="AB1254" s="5">
        <v>5</v>
      </c>
      <c r="AC1254" s="2" t="s">
        <v>233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233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233</v>
      </c>
      <c r="AW1254" s="8" t="s">
        <v>233</v>
      </c>
      <c r="AX1254" s="4" t="s">
        <v>233</v>
      </c>
      <c r="AY1254" s="8" t="s">
        <v>233</v>
      </c>
      <c r="AZ1254" s="7" t="s">
        <v>233</v>
      </c>
      <c r="BA1254" s="7" t="s">
        <v>233</v>
      </c>
      <c r="BB1254" s="7"/>
      <c r="BC1254" s="4" t="s">
        <v>233</v>
      </c>
      <c r="BD1254" s="8" t="s">
        <v>233</v>
      </c>
      <c r="BE1254" s="4" t="s">
        <v>233</v>
      </c>
      <c r="BF1254" s="8" t="s">
        <v>233</v>
      </c>
      <c r="BG1254" s="7" t="s">
        <v>233</v>
      </c>
      <c r="BH1254" s="7" t="s">
        <v>233</v>
      </c>
      <c r="BI1254" s="7"/>
      <c r="BJ1254" s="4">
        <v>5</v>
      </c>
      <c r="BK1254" s="8">
        <v>320.37</v>
      </c>
      <c r="BL1254" s="2" t="s">
        <v>6203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6204</v>
      </c>
      <c r="BV1254" s="2" t="s">
        <v>233</v>
      </c>
      <c r="BW1254" s="2" t="s">
        <v>233</v>
      </c>
      <c r="BX1254" s="2" t="s">
        <v>595</v>
      </c>
      <c r="BY1254" s="2" t="s">
        <v>280</v>
      </c>
      <c r="BZ1254" s="2" t="s">
        <v>245</v>
      </c>
      <c r="CA1254" s="2" t="s">
        <v>1625</v>
      </c>
      <c r="CB1254" s="2" t="s">
        <v>528</v>
      </c>
      <c r="CC1254" s="2" t="s">
        <v>246</v>
      </c>
      <c r="CD1254" s="2" t="s">
        <v>233</v>
      </c>
      <c r="CE1254" s="4">
        <v>60</v>
      </c>
      <c r="CF1254" s="4"/>
      <c r="CG1254" s="4"/>
      <c r="CH1254" s="4"/>
      <c r="CI1254" s="4">
        <v>248</v>
      </c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</row>
    <row r="1255">
      <c r="A1255" s="2" t="s">
        <v>6205</v>
      </c>
      <c r="B1255" s="2" t="s">
        <v>228</v>
      </c>
      <c r="C1255" s="2" t="s">
        <v>701</v>
      </c>
      <c r="D1255" s="2" t="s">
        <v>3847</v>
      </c>
      <c r="E1255" s="2" t="s">
        <v>3848</v>
      </c>
      <c r="F1255" s="2" t="s">
        <v>6167</v>
      </c>
      <c r="G1255" s="2" t="s">
        <v>6167</v>
      </c>
      <c r="H1255" s="2" t="s">
        <v>233</v>
      </c>
      <c r="I1255" s="2" t="s">
        <v>231</v>
      </c>
      <c r="J1255" s="2" t="s">
        <v>290</v>
      </c>
      <c r="K1255" s="2" t="s">
        <v>1561</v>
      </c>
      <c r="L1255" s="3">
        <v>59.61</v>
      </c>
      <c r="M1255" s="3">
        <v>62.59</v>
      </c>
      <c r="N1255" s="3">
        <v>114.99</v>
      </c>
      <c r="O1255" s="2" t="s">
        <v>245</v>
      </c>
      <c r="P1255" s="2" t="s">
        <v>272</v>
      </c>
      <c r="Q1255" s="2" t="s">
        <v>239</v>
      </c>
      <c r="R1255" s="2" t="s">
        <v>233</v>
      </c>
      <c r="S1255" s="2" t="s">
        <v>6202</v>
      </c>
      <c r="T1255" s="2" t="s">
        <v>1055</v>
      </c>
      <c r="U1255" s="2" t="s">
        <v>233</v>
      </c>
      <c r="V1255" s="2" t="s">
        <v>241</v>
      </c>
      <c r="W1255" s="2" t="s">
        <v>275</v>
      </c>
      <c r="X1255" s="2" t="s">
        <v>233</v>
      </c>
      <c r="Y1255" s="2" t="s">
        <v>6175</v>
      </c>
      <c r="Z1255" s="4">
        <v>22</v>
      </c>
      <c r="AA1255" s="4">
        <f>=ROUNDDOWN(2.44444444444444,0)</f>
      </c>
      <c r="AB1255" s="5">
        <v>9</v>
      </c>
      <c r="AC1255" s="2" t="s">
        <v>825</v>
      </c>
      <c r="AD1255" s="4">
        <v>160</v>
      </c>
      <c r="AE1255" s="4">
        <v>160</v>
      </c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233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233</v>
      </c>
      <c r="AW1255" s="8" t="s">
        <v>233</v>
      </c>
      <c r="AX1255" s="4" t="s">
        <v>233</v>
      </c>
      <c r="AY1255" s="8" t="s">
        <v>233</v>
      </c>
      <c r="AZ1255" s="7" t="s">
        <v>233</v>
      </c>
      <c r="BA1255" s="7" t="s">
        <v>233</v>
      </c>
      <c r="BB1255" s="7"/>
      <c r="BC1255" s="4" t="s">
        <v>233</v>
      </c>
      <c r="BD1255" s="8" t="s">
        <v>233</v>
      </c>
      <c r="BE1255" s="4" t="s">
        <v>233</v>
      </c>
      <c r="BF1255" s="8" t="s">
        <v>233</v>
      </c>
      <c r="BG1255" s="7" t="s">
        <v>233</v>
      </c>
      <c r="BH1255" s="7" t="s">
        <v>233</v>
      </c>
      <c r="BI1255" s="7"/>
      <c r="BJ1255" s="4">
        <v>6</v>
      </c>
      <c r="BK1255" s="8">
        <v>395.43</v>
      </c>
      <c r="BL1255" s="2" t="s">
        <v>6206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6207</v>
      </c>
      <c r="BV1255" s="2" t="s">
        <v>233</v>
      </c>
      <c r="BW1255" s="2" t="s">
        <v>233</v>
      </c>
      <c r="BX1255" s="2" t="s">
        <v>233</v>
      </c>
      <c r="BY1255" s="2" t="s">
        <v>280</v>
      </c>
      <c r="BZ1255" s="2" t="s">
        <v>245</v>
      </c>
      <c r="CA1255" s="2" t="s">
        <v>1625</v>
      </c>
      <c r="CB1255" s="2" t="s">
        <v>6208</v>
      </c>
      <c r="CC1255" s="2" t="s">
        <v>246</v>
      </c>
      <c r="CD1255" s="2" t="s">
        <v>233</v>
      </c>
      <c r="CE1255" s="4">
        <v>22</v>
      </c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>
        <v>160</v>
      </c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</row>
    <row r="1256">
      <c r="A1256" s="2" t="s">
        <v>6209</v>
      </c>
      <c r="B1256" s="2" t="s">
        <v>228</v>
      </c>
      <c r="C1256" s="2" t="s">
        <v>701</v>
      </c>
      <c r="D1256" s="2" t="s">
        <v>3847</v>
      </c>
      <c r="E1256" s="2" t="s">
        <v>3848</v>
      </c>
      <c r="F1256" s="2" t="s">
        <v>6167</v>
      </c>
      <c r="G1256" s="2" t="s">
        <v>6167</v>
      </c>
      <c r="H1256" s="2" t="s">
        <v>233</v>
      </c>
      <c r="I1256" s="2" t="s">
        <v>231</v>
      </c>
      <c r="J1256" s="2" t="s">
        <v>348</v>
      </c>
      <c r="K1256" s="2" t="s">
        <v>1561</v>
      </c>
      <c r="L1256" s="3">
        <v>79.48</v>
      </c>
      <c r="M1256" s="3">
        <v>83.45</v>
      </c>
      <c r="N1256" s="3">
        <v>154.99</v>
      </c>
      <c r="O1256" s="2" t="s">
        <v>245</v>
      </c>
      <c r="P1256" s="2" t="s">
        <v>272</v>
      </c>
      <c r="Q1256" s="2" t="s">
        <v>239</v>
      </c>
      <c r="R1256" s="2" t="s">
        <v>233</v>
      </c>
      <c r="S1256" s="2" t="s">
        <v>6202</v>
      </c>
      <c r="T1256" s="2" t="s">
        <v>1055</v>
      </c>
      <c r="U1256" s="2" t="s">
        <v>233</v>
      </c>
      <c r="V1256" s="2" t="s">
        <v>241</v>
      </c>
      <c r="W1256" s="2" t="s">
        <v>275</v>
      </c>
      <c r="X1256" s="2" t="s">
        <v>233</v>
      </c>
      <c r="Y1256" s="2" t="s">
        <v>276</v>
      </c>
      <c r="Z1256" s="4">
        <v>222</v>
      </c>
      <c r="AA1256" s="4">
        <f>=ROUNDDOWN(27.75,0)</f>
      </c>
      <c r="AB1256" s="5">
        <v>8</v>
      </c>
      <c r="AC1256" s="2" t="s">
        <v>233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233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233</v>
      </c>
      <c r="AW1256" s="8" t="s">
        <v>233</v>
      </c>
      <c r="AX1256" s="4" t="s">
        <v>233</v>
      </c>
      <c r="AY1256" s="8" t="s">
        <v>233</v>
      </c>
      <c r="AZ1256" s="7" t="s">
        <v>233</v>
      </c>
      <c r="BA1256" s="7" t="s">
        <v>233</v>
      </c>
      <c r="BB1256" s="7"/>
      <c r="BC1256" s="4" t="s">
        <v>233</v>
      </c>
      <c r="BD1256" s="8" t="s">
        <v>233</v>
      </c>
      <c r="BE1256" s="4" t="s">
        <v>233</v>
      </c>
      <c r="BF1256" s="8" t="s">
        <v>233</v>
      </c>
      <c r="BG1256" s="7" t="s">
        <v>233</v>
      </c>
      <c r="BH1256" s="7" t="s">
        <v>233</v>
      </c>
      <c r="BI1256" s="7"/>
      <c r="BJ1256" s="4">
        <v>4</v>
      </c>
      <c r="BK1256" s="8">
        <v>380.12</v>
      </c>
      <c r="BL1256" s="2" t="s">
        <v>6210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6211</v>
      </c>
      <c r="BV1256" s="2" t="s">
        <v>233</v>
      </c>
      <c r="BW1256" s="2" t="s">
        <v>233</v>
      </c>
      <c r="BX1256" s="2" t="s">
        <v>233</v>
      </c>
      <c r="BY1256" s="2" t="s">
        <v>280</v>
      </c>
      <c r="BZ1256" s="2" t="s">
        <v>245</v>
      </c>
      <c r="CA1256" s="2" t="s">
        <v>1625</v>
      </c>
      <c r="CB1256" s="2" t="s">
        <v>528</v>
      </c>
      <c r="CC1256" s="2" t="s">
        <v>246</v>
      </c>
      <c r="CD1256" s="2" t="s">
        <v>233</v>
      </c>
      <c r="CE1256" s="4">
        <v>222</v>
      </c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</row>
    <row r="1257">
      <c r="A1257" s="2" t="s">
        <v>6212</v>
      </c>
      <c r="B1257" s="2" t="s">
        <v>228</v>
      </c>
      <c r="C1257" s="2" t="s">
        <v>701</v>
      </c>
      <c r="D1257" s="2" t="s">
        <v>3847</v>
      </c>
      <c r="E1257" s="2" t="s">
        <v>3848</v>
      </c>
      <c r="F1257" s="2" t="s">
        <v>6167</v>
      </c>
      <c r="G1257" s="2" t="s">
        <v>6167</v>
      </c>
      <c r="H1257" s="2" t="s">
        <v>233</v>
      </c>
      <c r="I1257" s="2" t="s">
        <v>231</v>
      </c>
      <c r="J1257" s="2" t="s">
        <v>328</v>
      </c>
      <c r="K1257" s="2" t="s">
        <v>1561</v>
      </c>
      <c r="L1257" s="3">
        <v>89.41</v>
      </c>
      <c r="M1257" s="3">
        <v>93.88</v>
      </c>
      <c r="N1257" s="3">
        <v>174.99</v>
      </c>
      <c r="O1257" s="2" t="s">
        <v>245</v>
      </c>
      <c r="P1257" s="2" t="s">
        <v>272</v>
      </c>
      <c r="Q1257" s="2" t="s">
        <v>239</v>
      </c>
      <c r="R1257" s="2" t="s">
        <v>233</v>
      </c>
      <c r="S1257" s="2" t="s">
        <v>6202</v>
      </c>
      <c r="T1257" s="2" t="s">
        <v>1055</v>
      </c>
      <c r="U1257" s="2" t="s">
        <v>233</v>
      </c>
      <c r="V1257" s="2" t="s">
        <v>241</v>
      </c>
      <c r="W1257" s="2" t="s">
        <v>275</v>
      </c>
      <c r="X1257" s="2" t="s">
        <v>233</v>
      </c>
      <c r="Y1257" s="2" t="s">
        <v>6213</v>
      </c>
      <c r="Z1257" s="4">
        <v>357</v>
      </c>
      <c r="AA1257" s="4">
        <f>=ROUNDDOWN(29.75,0)</f>
      </c>
      <c r="AB1257" s="5">
        <v>12</v>
      </c>
      <c r="AC1257" s="2" t="s">
        <v>233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233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233</v>
      </c>
      <c r="AW1257" s="8" t="s">
        <v>233</v>
      </c>
      <c r="AX1257" s="4" t="s">
        <v>233</v>
      </c>
      <c r="AY1257" s="8" t="s">
        <v>233</v>
      </c>
      <c r="AZ1257" s="7" t="s">
        <v>233</v>
      </c>
      <c r="BA1257" s="7" t="s">
        <v>233</v>
      </c>
      <c r="BB1257" s="7"/>
      <c r="BC1257" s="4" t="s">
        <v>233</v>
      </c>
      <c r="BD1257" s="8" t="s">
        <v>233</v>
      </c>
      <c r="BE1257" s="4" t="s">
        <v>233</v>
      </c>
      <c r="BF1257" s="8" t="s">
        <v>233</v>
      </c>
      <c r="BG1257" s="7" t="s">
        <v>233</v>
      </c>
      <c r="BH1257" s="7" t="s">
        <v>233</v>
      </c>
      <c r="BI1257" s="7"/>
      <c r="BJ1257" s="4">
        <v>32</v>
      </c>
      <c r="BK1257" s="8">
        <v>3365.56</v>
      </c>
      <c r="BL1257" s="2" t="s">
        <v>6214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6215</v>
      </c>
      <c r="BV1257" s="2" t="s">
        <v>233</v>
      </c>
      <c r="BW1257" s="2" t="s">
        <v>233</v>
      </c>
      <c r="BX1257" s="2" t="s">
        <v>233</v>
      </c>
      <c r="BY1257" s="2" t="s">
        <v>280</v>
      </c>
      <c r="BZ1257" s="2" t="s">
        <v>245</v>
      </c>
      <c r="CA1257" s="2" t="s">
        <v>1625</v>
      </c>
      <c r="CB1257" s="2" t="s">
        <v>528</v>
      </c>
      <c r="CC1257" s="2" t="s">
        <v>246</v>
      </c>
      <c r="CD1257" s="2" t="s">
        <v>233</v>
      </c>
      <c r="CE1257" s="4">
        <v>357</v>
      </c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</row>
    <row r="1258">
      <c r="A1258" s="2" t="s">
        <v>6216</v>
      </c>
      <c r="B1258" s="2" t="s">
        <v>228</v>
      </c>
      <c r="C1258" s="2" t="s">
        <v>701</v>
      </c>
      <c r="D1258" s="2" t="s">
        <v>3847</v>
      </c>
      <c r="E1258" s="2" t="s">
        <v>3848</v>
      </c>
      <c r="F1258" s="2" t="s">
        <v>6167</v>
      </c>
      <c r="G1258" s="2" t="s">
        <v>6167</v>
      </c>
      <c r="H1258" s="2" t="s">
        <v>233</v>
      </c>
      <c r="I1258" s="2" t="s">
        <v>231</v>
      </c>
      <c r="J1258" s="2" t="s">
        <v>270</v>
      </c>
      <c r="K1258" s="2" t="s">
        <v>1201</v>
      </c>
      <c r="L1258" s="3">
        <v>54.64</v>
      </c>
      <c r="M1258" s="3">
        <v>57.37</v>
      </c>
      <c r="N1258" s="3">
        <v>104.99</v>
      </c>
      <c r="O1258" s="2" t="s">
        <v>245</v>
      </c>
      <c r="P1258" s="2" t="s">
        <v>741</v>
      </c>
      <c r="Q1258" s="2" t="s">
        <v>239</v>
      </c>
      <c r="R1258" s="2" t="s">
        <v>233</v>
      </c>
      <c r="S1258" s="2" t="s">
        <v>6217</v>
      </c>
      <c r="T1258" s="2" t="s">
        <v>1055</v>
      </c>
      <c r="U1258" s="2" t="s">
        <v>233</v>
      </c>
      <c r="V1258" s="2" t="s">
        <v>241</v>
      </c>
      <c r="W1258" s="2" t="s">
        <v>275</v>
      </c>
      <c r="X1258" s="2" t="s">
        <v>233</v>
      </c>
      <c r="Y1258" s="2" t="s">
        <v>6175</v>
      </c>
      <c r="Z1258" s="4"/>
      <c r="AA1258" s="4">
        <f>=ROUNDDOWN({0},0)</f>
      </c>
      <c r="AB1258" s="5">
        <v>14</v>
      </c>
      <c r="AC1258" s="2" t="s">
        <v>825</v>
      </c>
      <c r="AD1258" s="4">
        <v>150</v>
      </c>
      <c r="AE1258" s="4">
        <v>150</v>
      </c>
      <c r="AF1258" s="6">
        <v>65</v>
      </c>
      <c r="AG1258" s="6"/>
      <c r="AH1258" s="7">
        <v>0</v>
      </c>
      <c r="AI1258" s="4"/>
      <c r="AJ1258" s="4">
        <f>=ROUNDDOWN({0},0)</f>
      </c>
      <c r="AK1258" s="5"/>
      <c r="AL1258" s="2" t="s">
        <v>233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 t="s">
        <v>233</v>
      </c>
      <c r="BD1258" s="8" t="s">
        <v>233</v>
      </c>
      <c r="BE1258" s="4" t="s">
        <v>233</v>
      </c>
      <c r="BF1258" s="8" t="s">
        <v>233</v>
      </c>
      <c r="BG1258" s="7" t="s">
        <v>233</v>
      </c>
      <c r="BH1258" s="7" t="s">
        <v>233</v>
      </c>
      <c r="BI1258" s="7"/>
      <c r="BJ1258" s="4"/>
      <c r="BK1258" s="8"/>
      <c r="BL1258" s="2" t="s">
        <v>6218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6219</v>
      </c>
      <c r="BV1258" s="2" t="s">
        <v>233</v>
      </c>
      <c r="BW1258" s="2" t="s">
        <v>233</v>
      </c>
      <c r="BX1258" s="2" t="s">
        <v>233</v>
      </c>
      <c r="BY1258" s="2" t="s">
        <v>280</v>
      </c>
      <c r="BZ1258" s="2" t="s">
        <v>245</v>
      </c>
      <c r="CA1258" s="2" t="s">
        <v>1625</v>
      </c>
      <c r="CB1258" s="2" t="s">
        <v>528</v>
      </c>
      <c r="CC1258" s="2" t="s">
        <v>246</v>
      </c>
      <c r="CD1258" s="2" t="s">
        <v>233</v>
      </c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>
        <v>150</v>
      </c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</row>
    <row r="1259">
      <c r="A1259" s="2" t="s">
        <v>6220</v>
      </c>
      <c r="B1259" s="2" t="s">
        <v>228</v>
      </c>
      <c r="C1259" s="2" t="s">
        <v>701</v>
      </c>
      <c r="D1259" s="2" t="s">
        <v>3847</v>
      </c>
      <c r="E1259" s="2" t="s">
        <v>6221</v>
      </c>
      <c r="F1259" s="2" t="s">
        <v>6222</v>
      </c>
      <c r="G1259" s="2" t="s">
        <v>6222</v>
      </c>
      <c r="H1259" s="2" t="s">
        <v>6222</v>
      </c>
      <c r="I1259" s="2" t="s">
        <v>2599</v>
      </c>
      <c r="J1259" s="2" t="s">
        <v>6223</v>
      </c>
      <c r="K1259" s="2" t="s">
        <v>1083</v>
      </c>
      <c r="L1259" s="3">
        <v>38.4</v>
      </c>
      <c r="M1259" s="3">
        <v>40.32</v>
      </c>
      <c r="N1259" s="3">
        <v>79.99</v>
      </c>
      <c r="O1259" s="2" t="s">
        <v>245</v>
      </c>
      <c r="P1259" s="2" t="s">
        <v>2943</v>
      </c>
      <c r="Q1259" s="2" t="s">
        <v>239</v>
      </c>
      <c r="R1259" s="2" t="s">
        <v>233</v>
      </c>
      <c r="S1259" s="2" t="s">
        <v>6224</v>
      </c>
      <c r="T1259" s="2" t="s">
        <v>1622</v>
      </c>
      <c r="U1259" s="2" t="s">
        <v>233</v>
      </c>
      <c r="V1259" s="2" t="s">
        <v>1085</v>
      </c>
      <c r="W1259" s="2" t="s">
        <v>275</v>
      </c>
      <c r="X1259" s="2" t="s">
        <v>451</v>
      </c>
      <c r="Y1259" s="2" t="s">
        <v>276</v>
      </c>
      <c r="Z1259" s="4"/>
      <c r="AA1259" s="4">
        <f>=ROUNDDOWN({0},0)</f>
      </c>
      <c r="AB1259" s="5">
        <v>111</v>
      </c>
      <c r="AC1259" s="2" t="s">
        <v>825</v>
      </c>
      <c r="AD1259" s="4">
        <v>760</v>
      </c>
      <c r="AE1259" s="4">
        <v>1120</v>
      </c>
      <c r="AF1259" s="6">
        <v>65</v>
      </c>
      <c r="AG1259" s="6"/>
      <c r="AH1259" s="7">
        <v>0</v>
      </c>
      <c r="AI1259" s="4"/>
      <c r="AJ1259" s="4">
        <f>=ROUNDDOWN({0},0)</f>
      </c>
      <c r="AK1259" s="5"/>
      <c r="AL1259" s="2" t="s">
        <v>233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233</v>
      </c>
      <c r="BD1259" s="8" t="s">
        <v>233</v>
      </c>
      <c r="BE1259" s="4" t="s">
        <v>233</v>
      </c>
      <c r="BF1259" s="8" t="s">
        <v>233</v>
      </c>
      <c r="BG1259" s="7" t="s">
        <v>233</v>
      </c>
      <c r="BH1259" s="7" t="s">
        <v>233</v>
      </c>
      <c r="BI1259" s="7"/>
      <c r="BJ1259" s="4"/>
      <c r="BK1259" s="8"/>
      <c r="BL1259" s="2" t="s">
        <v>6225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6226</v>
      </c>
      <c r="BV1259" s="2" t="s">
        <v>233</v>
      </c>
      <c r="BW1259" s="2" t="s">
        <v>233</v>
      </c>
      <c r="BX1259" s="2" t="s">
        <v>233</v>
      </c>
      <c r="BY1259" s="2" t="s">
        <v>280</v>
      </c>
      <c r="BZ1259" s="2" t="s">
        <v>245</v>
      </c>
      <c r="CA1259" s="2" t="s">
        <v>1625</v>
      </c>
      <c r="CB1259" s="2" t="s">
        <v>6227</v>
      </c>
      <c r="CC1259" s="2" t="s">
        <v>246</v>
      </c>
      <c r="CD1259" s="2" t="s">
        <v>233</v>
      </c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>
        <v>760</v>
      </c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>
        <v>360</v>
      </c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</row>
    <row r="1260">
      <c r="A1260" s="2" t="s">
        <v>6228</v>
      </c>
      <c r="B1260" s="2" t="s">
        <v>228</v>
      </c>
      <c r="C1260" s="2" t="s">
        <v>701</v>
      </c>
      <c r="D1260" s="2" t="s">
        <v>3847</v>
      </c>
      <c r="E1260" s="2" t="s">
        <v>6221</v>
      </c>
      <c r="F1260" s="2" t="s">
        <v>6222</v>
      </c>
      <c r="G1260" s="2" t="s">
        <v>6222</v>
      </c>
      <c r="H1260" s="2" t="s">
        <v>6222</v>
      </c>
      <c r="I1260" s="2" t="s">
        <v>2599</v>
      </c>
      <c r="J1260" s="2" t="s">
        <v>6223</v>
      </c>
      <c r="K1260" s="2" t="s">
        <v>984</v>
      </c>
      <c r="L1260" s="3">
        <v>38.4</v>
      </c>
      <c r="M1260" s="3">
        <v>40.32</v>
      </c>
      <c r="N1260" s="3">
        <v>79.99</v>
      </c>
      <c r="O1260" s="2" t="s">
        <v>237</v>
      </c>
      <c r="P1260" s="2" t="s">
        <v>311</v>
      </c>
      <c r="Q1260" s="2" t="s">
        <v>239</v>
      </c>
      <c r="R1260" s="2" t="s">
        <v>233</v>
      </c>
      <c r="S1260" s="2" t="s">
        <v>6229</v>
      </c>
      <c r="T1260" s="2" t="s">
        <v>1622</v>
      </c>
      <c r="U1260" s="2" t="s">
        <v>233</v>
      </c>
      <c r="V1260" s="2" t="s">
        <v>1085</v>
      </c>
      <c r="W1260" s="2" t="s">
        <v>275</v>
      </c>
      <c r="X1260" s="2" t="s">
        <v>451</v>
      </c>
      <c r="Y1260" s="2" t="s">
        <v>276</v>
      </c>
      <c r="Z1260" s="4">
        <v>1488</v>
      </c>
      <c r="AA1260" s="4">
        <f>=ROUNDDOWN(265.714285714286,0)</f>
      </c>
      <c r="AB1260" s="5">
        <v>5.6</v>
      </c>
      <c r="AC1260" s="2" t="s">
        <v>233</v>
      </c>
      <c r="AD1260" s="4"/>
      <c r="AE1260" s="4"/>
      <c r="AF1260" s="6">
        <v>58</v>
      </c>
      <c r="AG1260" s="6"/>
      <c r="AH1260" s="7">
        <v>1</v>
      </c>
      <c r="AI1260" s="4"/>
      <c r="AJ1260" s="4">
        <f>=ROUNDDOWN({0},0)</f>
      </c>
      <c r="AK1260" s="5"/>
      <c r="AL1260" s="2" t="s">
        <v>233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233</v>
      </c>
      <c r="BD1260" s="8" t="s">
        <v>233</v>
      </c>
      <c r="BE1260" s="4" t="s">
        <v>233</v>
      </c>
      <c r="BF1260" s="8" t="s">
        <v>233</v>
      </c>
      <c r="BG1260" s="7" t="s">
        <v>233</v>
      </c>
      <c r="BH1260" s="7" t="s">
        <v>233</v>
      </c>
      <c r="BI1260" s="7"/>
      <c r="BJ1260" s="4">
        <v>10</v>
      </c>
      <c r="BK1260" s="8">
        <v>388.78</v>
      </c>
      <c r="BL1260" s="2" t="s">
        <v>4476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6230</v>
      </c>
      <c r="BV1260" s="2" t="s">
        <v>233</v>
      </c>
      <c r="BW1260" s="2" t="s">
        <v>233</v>
      </c>
      <c r="BX1260" s="2" t="s">
        <v>233</v>
      </c>
      <c r="BY1260" s="2" t="s">
        <v>280</v>
      </c>
      <c r="BZ1260" s="2" t="s">
        <v>245</v>
      </c>
      <c r="CA1260" s="2" t="s">
        <v>1625</v>
      </c>
      <c r="CB1260" s="2" t="s">
        <v>6231</v>
      </c>
      <c r="CC1260" s="2" t="s">
        <v>246</v>
      </c>
      <c r="CD1260" s="2" t="s">
        <v>233</v>
      </c>
      <c r="CE1260" s="4">
        <v>1488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</row>
    <row r="1261">
      <c r="A1261" s="2" t="s">
        <v>6232</v>
      </c>
      <c r="B1261" s="2" t="s">
        <v>228</v>
      </c>
      <c r="C1261" s="2" t="s">
        <v>701</v>
      </c>
      <c r="D1261" s="2" t="s">
        <v>3847</v>
      </c>
      <c r="E1261" s="2" t="s">
        <v>6221</v>
      </c>
      <c r="F1261" s="2" t="s">
        <v>6222</v>
      </c>
      <c r="G1261" s="2" t="s">
        <v>6222</v>
      </c>
      <c r="H1261" s="2" t="s">
        <v>6222</v>
      </c>
      <c r="I1261" s="2" t="s">
        <v>2599</v>
      </c>
      <c r="J1261" s="2" t="s">
        <v>6223</v>
      </c>
      <c r="K1261" s="2" t="s">
        <v>590</v>
      </c>
      <c r="L1261" s="3">
        <v>38.4</v>
      </c>
      <c r="M1261" s="3">
        <v>40.32</v>
      </c>
      <c r="N1261" s="3">
        <v>79.99</v>
      </c>
      <c r="O1261" s="2" t="s">
        <v>245</v>
      </c>
      <c r="P1261" s="2" t="s">
        <v>311</v>
      </c>
      <c r="Q1261" s="2" t="s">
        <v>239</v>
      </c>
      <c r="R1261" s="2" t="s">
        <v>233</v>
      </c>
      <c r="S1261" s="2" t="s">
        <v>6233</v>
      </c>
      <c r="T1261" s="2" t="s">
        <v>1622</v>
      </c>
      <c r="U1261" s="2" t="s">
        <v>233</v>
      </c>
      <c r="V1261" s="2" t="s">
        <v>1085</v>
      </c>
      <c r="W1261" s="2" t="s">
        <v>275</v>
      </c>
      <c r="X1261" s="2" t="s">
        <v>451</v>
      </c>
      <c r="Y1261" s="2" t="s">
        <v>276</v>
      </c>
      <c r="Z1261" s="4">
        <v>645</v>
      </c>
      <c r="AA1261" s="4">
        <f>=ROUNDDOWN(71.6666666666667,0)</f>
      </c>
      <c r="AB1261" s="5">
        <v>9</v>
      </c>
      <c r="AC1261" s="2" t="s">
        <v>233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233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233</v>
      </c>
      <c r="BD1261" s="8" t="s">
        <v>233</v>
      </c>
      <c r="BE1261" s="4" t="s">
        <v>233</v>
      </c>
      <c r="BF1261" s="8" t="s">
        <v>233</v>
      </c>
      <c r="BG1261" s="7" t="s">
        <v>233</v>
      </c>
      <c r="BH1261" s="7" t="s">
        <v>233</v>
      </c>
      <c r="BI1261" s="7"/>
      <c r="BJ1261" s="4">
        <v>13</v>
      </c>
      <c r="BK1261" s="8">
        <v>519.46</v>
      </c>
      <c r="BL1261" s="2" t="s">
        <v>6234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6235</v>
      </c>
      <c r="BV1261" s="2" t="s">
        <v>233</v>
      </c>
      <c r="BW1261" s="2" t="s">
        <v>233</v>
      </c>
      <c r="BX1261" s="2" t="s">
        <v>595</v>
      </c>
      <c r="BY1261" s="2" t="s">
        <v>280</v>
      </c>
      <c r="BZ1261" s="2" t="s">
        <v>245</v>
      </c>
      <c r="CA1261" s="2" t="s">
        <v>5636</v>
      </c>
      <c r="CB1261" s="2" t="s">
        <v>4255</v>
      </c>
      <c r="CC1261" s="2" t="s">
        <v>246</v>
      </c>
      <c r="CD1261" s="2" t="s">
        <v>233</v>
      </c>
      <c r="CE1261" s="4">
        <v>645</v>
      </c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</row>
    <row r="1262">
      <c r="A1262" s="2" t="s">
        <v>6236</v>
      </c>
      <c r="B1262" s="2" t="s">
        <v>228</v>
      </c>
      <c r="C1262" s="2" t="s">
        <v>701</v>
      </c>
      <c r="D1262" s="2" t="s">
        <v>3847</v>
      </c>
      <c r="E1262" s="2" t="s">
        <v>6221</v>
      </c>
      <c r="F1262" s="2" t="s">
        <v>6222</v>
      </c>
      <c r="G1262" s="2" t="s">
        <v>6222</v>
      </c>
      <c r="H1262" s="2" t="s">
        <v>6222</v>
      </c>
      <c r="I1262" s="2" t="s">
        <v>2599</v>
      </c>
      <c r="J1262" s="2" t="s">
        <v>6223</v>
      </c>
      <c r="K1262" s="2" t="s">
        <v>1201</v>
      </c>
      <c r="L1262" s="3">
        <v>38.4</v>
      </c>
      <c r="M1262" s="3">
        <v>40.32</v>
      </c>
      <c r="N1262" s="3">
        <v>79.99</v>
      </c>
      <c r="O1262" s="2" t="s">
        <v>245</v>
      </c>
      <c r="P1262" s="2" t="s">
        <v>311</v>
      </c>
      <c r="Q1262" s="2" t="s">
        <v>239</v>
      </c>
      <c r="R1262" s="2" t="s">
        <v>233</v>
      </c>
      <c r="S1262" s="2" t="s">
        <v>6237</v>
      </c>
      <c r="T1262" s="2" t="s">
        <v>1622</v>
      </c>
      <c r="U1262" s="2" t="s">
        <v>233</v>
      </c>
      <c r="V1262" s="2" t="s">
        <v>1085</v>
      </c>
      <c r="W1262" s="2" t="s">
        <v>275</v>
      </c>
      <c r="X1262" s="2" t="s">
        <v>451</v>
      </c>
      <c r="Y1262" s="2" t="s">
        <v>276</v>
      </c>
      <c r="Z1262" s="4">
        <v>1447</v>
      </c>
      <c r="AA1262" s="4">
        <f>=ROUNDDOWN(111.307692307692,0)</f>
      </c>
      <c r="AB1262" s="5">
        <v>13</v>
      </c>
      <c r="AC1262" s="2" t="s">
        <v>233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233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 t="s">
        <v>233</v>
      </c>
      <c r="BD1262" s="8" t="s">
        <v>233</v>
      </c>
      <c r="BE1262" s="4" t="s">
        <v>233</v>
      </c>
      <c r="BF1262" s="8" t="s">
        <v>233</v>
      </c>
      <c r="BG1262" s="7" t="s">
        <v>233</v>
      </c>
      <c r="BH1262" s="7" t="s">
        <v>233</v>
      </c>
      <c r="BI1262" s="7"/>
      <c r="BJ1262" s="4">
        <v>4</v>
      </c>
      <c r="BK1262" s="8">
        <v>158.56</v>
      </c>
      <c r="BL1262" s="2" t="s">
        <v>6238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6239</v>
      </c>
      <c r="BV1262" s="2" t="s">
        <v>233</v>
      </c>
      <c r="BW1262" s="2" t="s">
        <v>233</v>
      </c>
      <c r="BX1262" s="2" t="s">
        <v>595</v>
      </c>
      <c r="BY1262" s="2" t="s">
        <v>280</v>
      </c>
      <c r="BZ1262" s="2" t="s">
        <v>245</v>
      </c>
      <c r="CA1262" s="2" t="s">
        <v>1625</v>
      </c>
      <c r="CB1262" s="2" t="s">
        <v>6227</v>
      </c>
      <c r="CC1262" s="2" t="s">
        <v>246</v>
      </c>
      <c r="CD1262" s="2" t="s">
        <v>233</v>
      </c>
      <c r="CE1262" s="4">
        <v>1447</v>
      </c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</row>
    <row r="1263">
      <c r="A1263" s="2" t="s">
        <v>6240</v>
      </c>
      <c r="B1263" s="2" t="s">
        <v>228</v>
      </c>
      <c r="C1263" s="2" t="s">
        <v>701</v>
      </c>
      <c r="D1263" s="2" t="s">
        <v>3847</v>
      </c>
      <c r="E1263" s="2" t="s">
        <v>3848</v>
      </c>
      <c r="F1263" s="2" t="s">
        <v>6241</v>
      </c>
      <c r="G1263" s="2" t="s">
        <v>6241</v>
      </c>
      <c r="H1263" s="2" t="s">
        <v>6241</v>
      </c>
      <c r="I1263" s="2" t="s">
        <v>231</v>
      </c>
      <c r="J1263" s="2" t="s">
        <v>270</v>
      </c>
      <c r="K1263" s="2" t="s">
        <v>255</v>
      </c>
      <c r="L1263" s="3">
        <v>47</v>
      </c>
      <c r="M1263" s="3">
        <v>49.35</v>
      </c>
      <c r="N1263" s="3">
        <v>99.99</v>
      </c>
      <c r="O1263" s="2" t="s">
        <v>245</v>
      </c>
      <c r="P1263" s="2" t="s">
        <v>2943</v>
      </c>
      <c r="Q1263" s="2" t="s">
        <v>239</v>
      </c>
      <c r="R1263" s="2" t="s">
        <v>233</v>
      </c>
      <c r="S1263" s="2" t="s">
        <v>6242</v>
      </c>
      <c r="T1263" s="2" t="s">
        <v>1622</v>
      </c>
      <c r="U1263" s="2" t="s">
        <v>233</v>
      </c>
      <c r="V1263" s="2" t="s">
        <v>241</v>
      </c>
      <c r="W1263" s="2" t="s">
        <v>275</v>
      </c>
      <c r="X1263" s="2" t="s">
        <v>233</v>
      </c>
      <c r="Y1263" s="2" t="s">
        <v>276</v>
      </c>
      <c r="Z1263" s="4"/>
      <c r="AA1263" s="4">
        <f>=ROUNDDOWN({0},0)</f>
      </c>
      <c r="AB1263" s="5">
        <v>30</v>
      </c>
      <c r="AC1263" s="2" t="s">
        <v>825</v>
      </c>
      <c r="AD1263" s="4">
        <v>180</v>
      </c>
      <c r="AE1263" s="4">
        <v>180</v>
      </c>
      <c r="AF1263" s="6">
        <v>65</v>
      </c>
      <c r="AG1263" s="6"/>
      <c r="AH1263" s="7">
        <v>0</v>
      </c>
      <c r="AI1263" s="4"/>
      <c r="AJ1263" s="4">
        <f>=ROUNDDOWN({0},0)</f>
      </c>
      <c r="AK1263" s="5"/>
      <c r="AL1263" s="2" t="s">
        <v>233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 t="s">
        <v>233</v>
      </c>
      <c r="BD1263" s="8" t="s">
        <v>233</v>
      </c>
      <c r="BE1263" s="4" t="s">
        <v>233</v>
      </c>
      <c r="BF1263" s="8" t="s">
        <v>233</v>
      </c>
      <c r="BG1263" s="7" t="s">
        <v>233</v>
      </c>
      <c r="BH1263" s="7" t="s">
        <v>233</v>
      </c>
      <c r="BI1263" s="7"/>
      <c r="BJ1263" s="4"/>
      <c r="BK1263" s="8"/>
      <c r="BL1263" s="2" t="s">
        <v>233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6243</v>
      </c>
      <c r="BV1263" s="2" t="s">
        <v>233</v>
      </c>
      <c r="BW1263" s="2" t="s">
        <v>233</v>
      </c>
      <c r="BX1263" s="2" t="s">
        <v>233</v>
      </c>
      <c r="BY1263" s="2" t="s">
        <v>280</v>
      </c>
      <c r="BZ1263" s="2" t="s">
        <v>245</v>
      </c>
      <c r="CA1263" s="2" t="s">
        <v>1625</v>
      </c>
      <c r="CB1263" s="2" t="s">
        <v>6244</v>
      </c>
      <c r="CC1263" s="2" t="s">
        <v>246</v>
      </c>
      <c r="CD1263" s="2" t="s">
        <v>233</v>
      </c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>
        <v>180</v>
      </c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</row>
    <row r="1264">
      <c r="A1264" s="2" t="s">
        <v>6245</v>
      </c>
      <c r="B1264" s="2" t="s">
        <v>228</v>
      </c>
      <c r="C1264" s="2" t="s">
        <v>701</v>
      </c>
      <c r="D1264" s="2" t="s">
        <v>3847</v>
      </c>
      <c r="E1264" s="2" t="s">
        <v>3848</v>
      </c>
      <c r="F1264" s="2" t="s">
        <v>6241</v>
      </c>
      <c r="G1264" s="2" t="s">
        <v>6241</v>
      </c>
      <c r="H1264" s="2" t="s">
        <v>6241</v>
      </c>
      <c r="I1264" s="2" t="s">
        <v>231</v>
      </c>
      <c r="J1264" s="2" t="s">
        <v>270</v>
      </c>
      <c r="K1264" s="2" t="s">
        <v>569</v>
      </c>
      <c r="L1264" s="3">
        <v>47</v>
      </c>
      <c r="M1264" s="3">
        <v>49.35</v>
      </c>
      <c r="N1264" s="3">
        <v>99.99</v>
      </c>
      <c r="O1264" s="2" t="s">
        <v>245</v>
      </c>
      <c r="P1264" s="2" t="s">
        <v>2943</v>
      </c>
      <c r="Q1264" s="2" t="s">
        <v>239</v>
      </c>
      <c r="R1264" s="2" t="s">
        <v>233</v>
      </c>
      <c r="S1264" s="2" t="s">
        <v>6246</v>
      </c>
      <c r="T1264" s="2" t="s">
        <v>1622</v>
      </c>
      <c r="U1264" s="2" t="s">
        <v>233</v>
      </c>
      <c r="V1264" s="2" t="s">
        <v>241</v>
      </c>
      <c r="W1264" s="2" t="s">
        <v>275</v>
      </c>
      <c r="X1264" s="2" t="s">
        <v>233</v>
      </c>
      <c r="Y1264" s="2" t="s">
        <v>276</v>
      </c>
      <c r="Z1264" s="4"/>
      <c r="AA1264" s="4">
        <f>=ROUNDDOWN({0},0)</f>
      </c>
      <c r="AB1264" s="5">
        <v>26</v>
      </c>
      <c r="AC1264" s="2" t="s">
        <v>825</v>
      </c>
      <c r="AD1264" s="4">
        <v>160</v>
      </c>
      <c r="AE1264" s="4">
        <v>160</v>
      </c>
      <c r="AF1264" s="6">
        <v>65</v>
      </c>
      <c r="AG1264" s="6"/>
      <c r="AH1264" s="7">
        <v>0</v>
      </c>
      <c r="AI1264" s="4"/>
      <c r="AJ1264" s="4">
        <f>=ROUNDDOWN({0},0)</f>
      </c>
      <c r="AK1264" s="5"/>
      <c r="AL1264" s="2" t="s">
        <v>233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233</v>
      </c>
      <c r="AW1264" s="8" t="s">
        <v>233</v>
      </c>
      <c r="AX1264" s="4" t="s">
        <v>233</v>
      </c>
      <c r="AY1264" s="8" t="s">
        <v>233</v>
      </c>
      <c r="AZ1264" s="7" t="s">
        <v>233</v>
      </c>
      <c r="BA1264" s="7" t="s">
        <v>233</v>
      </c>
      <c r="BB1264" s="7"/>
      <c r="BC1264" s="4" t="s">
        <v>233</v>
      </c>
      <c r="BD1264" s="8" t="s">
        <v>233</v>
      </c>
      <c r="BE1264" s="4" t="s">
        <v>233</v>
      </c>
      <c r="BF1264" s="8" t="s">
        <v>233</v>
      </c>
      <c r="BG1264" s="7" t="s">
        <v>233</v>
      </c>
      <c r="BH1264" s="7" t="s">
        <v>233</v>
      </c>
      <c r="BI1264" s="7"/>
      <c r="BJ1264" s="4">
        <v>2</v>
      </c>
      <c r="BK1264" s="8">
        <v>89.98</v>
      </c>
      <c r="BL1264" s="2" t="s">
        <v>1292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6247</v>
      </c>
      <c r="BV1264" s="2" t="s">
        <v>233</v>
      </c>
      <c r="BW1264" s="2" t="s">
        <v>233</v>
      </c>
      <c r="BX1264" s="2" t="s">
        <v>233</v>
      </c>
      <c r="BY1264" s="2" t="s">
        <v>280</v>
      </c>
      <c r="BZ1264" s="2" t="s">
        <v>245</v>
      </c>
      <c r="CA1264" s="2" t="s">
        <v>1625</v>
      </c>
      <c r="CB1264" s="2" t="s">
        <v>550</v>
      </c>
      <c r="CC1264" s="2" t="s">
        <v>246</v>
      </c>
      <c r="CD1264" s="2" t="s">
        <v>233</v>
      </c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>
        <v>160</v>
      </c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</row>
    <row r="1265">
      <c r="A1265" s="2" t="s">
        <v>6248</v>
      </c>
      <c r="B1265" s="2" t="s">
        <v>228</v>
      </c>
      <c r="C1265" s="2" t="s">
        <v>701</v>
      </c>
      <c r="D1265" s="2" t="s">
        <v>3847</v>
      </c>
      <c r="E1265" s="2" t="s">
        <v>3848</v>
      </c>
      <c r="F1265" s="2" t="s">
        <v>6241</v>
      </c>
      <c r="G1265" s="2" t="s">
        <v>6241</v>
      </c>
      <c r="H1265" s="2" t="s">
        <v>6241</v>
      </c>
      <c r="I1265" s="2" t="s">
        <v>231</v>
      </c>
      <c r="J1265" s="2" t="s">
        <v>290</v>
      </c>
      <c r="K1265" s="2" t="s">
        <v>569</v>
      </c>
      <c r="L1265" s="3">
        <v>52.8</v>
      </c>
      <c r="M1265" s="3">
        <v>55.44</v>
      </c>
      <c r="N1265" s="3">
        <v>109.99</v>
      </c>
      <c r="O1265" s="2" t="s">
        <v>245</v>
      </c>
      <c r="P1265" s="2" t="s">
        <v>2943</v>
      </c>
      <c r="Q1265" s="2" t="s">
        <v>239</v>
      </c>
      <c r="R1265" s="2" t="s">
        <v>233</v>
      </c>
      <c r="S1265" s="2" t="s">
        <v>6246</v>
      </c>
      <c r="T1265" s="2" t="s">
        <v>1622</v>
      </c>
      <c r="U1265" s="2" t="s">
        <v>233</v>
      </c>
      <c r="V1265" s="2" t="s">
        <v>241</v>
      </c>
      <c r="W1265" s="2" t="s">
        <v>275</v>
      </c>
      <c r="X1265" s="2" t="s">
        <v>233</v>
      </c>
      <c r="Y1265" s="2" t="s">
        <v>276</v>
      </c>
      <c r="Z1265" s="4">
        <v>1</v>
      </c>
      <c r="AA1265" s="4">
        <f>=ROUNDDOWN(0.0263157894736842,0)</f>
      </c>
      <c r="AB1265" s="5">
        <v>38</v>
      </c>
      <c r="AC1265" s="2" t="s">
        <v>825</v>
      </c>
      <c r="AD1265" s="4">
        <v>240</v>
      </c>
      <c r="AE1265" s="4">
        <v>240</v>
      </c>
      <c r="AF1265" s="6">
        <v>65</v>
      </c>
      <c r="AG1265" s="6"/>
      <c r="AH1265" s="7">
        <v>0</v>
      </c>
      <c r="AI1265" s="4"/>
      <c r="AJ1265" s="4">
        <f>=ROUNDDOWN({0},0)</f>
      </c>
      <c r="AK1265" s="5"/>
      <c r="AL1265" s="2" t="s">
        <v>233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233</v>
      </c>
      <c r="AW1265" s="8" t="s">
        <v>233</v>
      </c>
      <c r="AX1265" s="4" t="s">
        <v>233</v>
      </c>
      <c r="AY1265" s="8" t="s">
        <v>233</v>
      </c>
      <c r="AZ1265" s="7" t="s">
        <v>233</v>
      </c>
      <c r="BA1265" s="7" t="s">
        <v>233</v>
      </c>
      <c r="BB1265" s="7"/>
      <c r="BC1265" s="4" t="s">
        <v>233</v>
      </c>
      <c r="BD1265" s="8" t="s">
        <v>233</v>
      </c>
      <c r="BE1265" s="4" t="s">
        <v>233</v>
      </c>
      <c r="BF1265" s="8" t="s">
        <v>233</v>
      </c>
      <c r="BG1265" s="7" t="s">
        <v>233</v>
      </c>
      <c r="BH1265" s="7" t="s">
        <v>233</v>
      </c>
      <c r="BI1265" s="7"/>
      <c r="BJ1265" s="4"/>
      <c r="BK1265" s="8"/>
      <c r="BL1265" s="2" t="s">
        <v>4772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6249</v>
      </c>
      <c r="BV1265" s="2" t="s">
        <v>233</v>
      </c>
      <c r="BW1265" s="2" t="s">
        <v>233</v>
      </c>
      <c r="BX1265" s="2" t="s">
        <v>233</v>
      </c>
      <c r="BY1265" s="2" t="s">
        <v>280</v>
      </c>
      <c r="BZ1265" s="2" t="s">
        <v>245</v>
      </c>
      <c r="CA1265" s="2" t="s">
        <v>1625</v>
      </c>
      <c r="CB1265" s="2" t="s">
        <v>6250</v>
      </c>
      <c r="CC1265" s="2" t="s">
        <v>246</v>
      </c>
      <c r="CD1265" s="2" t="s">
        <v>233</v>
      </c>
      <c r="CE1265" s="4"/>
      <c r="CF1265" s="4">
        <v>1</v>
      </c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>
        <v>240</v>
      </c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</row>
    <row r="1266">
      <c r="A1266" s="2" t="s">
        <v>6251</v>
      </c>
      <c r="B1266" s="2" t="s">
        <v>228</v>
      </c>
      <c r="C1266" s="2" t="s">
        <v>701</v>
      </c>
      <c r="D1266" s="2" t="s">
        <v>3847</v>
      </c>
      <c r="E1266" s="2" t="s">
        <v>3848</v>
      </c>
      <c r="F1266" s="2" t="s">
        <v>6241</v>
      </c>
      <c r="G1266" s="2" t="s">
        <v>6241</v>
      </c>
      <c r="H1266" s="2" t="s">
        <v>6241</v>
      </c>
      <c r="I1266" s="2" t="s">
        <v>231</v>
      </c>
      <c r="J1266" s="2" t="s">
        <v>270</v>
      </c>
      <c r="K1266" s="2" t="s">
        <v>672</v>
      </c>
      <c r="L1266" s="3">
        <v>47</v>
      </c>
      <c r="M1266" s="3">
        <v>49.35</v>
      </c>
      <c r="N1266" s="3">
        <v>99.99</v>
      </c>
      <c r="O1266" s="2" t="s">
        <v>245</v>
      </c>
      <c r="P1266" s="2" t="s">
        <v>1366</v>
      </c>
      <c r="Q1266" s="2" t="s">
        <v>239</v>
      </c>
      <c r="R1266" s="2" t="s">
        <v>233</v>
      </c>
      <c r="S1266" s="2" t="s">
        <v>6252</v>
      </c>
      <c r="T1266" s="2" t="s">
        <v>1622</v>
      </c>
      <c r="U1266" s="2" t="s">
        <v>233</v>
      </c>
      <c r="V1266" s="2" t="s">
        <v>241</v>
      </c>
      <c r="W1266" s="2" t="s">
        <v>275</v>
      </c>
      <c r="X1266" s="2" t="s">
        <v>233</v>
      </c>
      <c r="Y1266" s="2" t="s">
        <v>3973</v>
      </c>
      <c r="Z1266" s="4"/>
      <c r="AA1266" s="4">
        <f>=ROUNDDOWN({0},0)</f>
      </c>
      <c r="AB1266" s="5">
        <v>23</v>
      </c>
      <c r="AC1266" s="2" t="s">
        <v>825</v>
      </c>
      <c r="AD1266" s="4">
        <v>150</v>
      </c>
      <c r="AE1266" s="4">
        <v>150</v>
      </c>
      <c r="AF1266" s="6">
        <v>65</v>
      </c>
      <c r="AG1266" s="6"/>
      <c r="AH1266" s="7">
        <v>0</v>
      </c>
      <c r="AI1266" s="4"/>
      <c r="AJ1266" s="4">
        <f>=ROUNDDOWN({0},0)</f>
      </c>
      <c r="AK1266" s="5"/>
      <c r="AL1266" s="2" t="s">
        <v>233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233</v>
      </c>
      <c r="BD1266" s="8" t="s">
        <v>233</v>
      </c>
      <c r="BE1266" s="4" t="s">
        <v>233</v>
      </c>
      <c r="BF1266" s="8" t="s">
        <v>233</v>
      </c>
      <c r="BG1266" s="7" t="s">
        <v>233</v>
      </c>
      <c r="BH1266" s="7" t="s">
        <v>233</v>
      </c>
      <c r="BI1266" s="7"/>
      <c r="BJ1266" s="4"/>
      <c r="BK1266" s="8"/>
      <c r="BL1266" s="2" t="s">
        <v>233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6253</v>
      </c>
      <c r="BV1266" s="2" t="s">
        <v>233</v>
      </c>
      <c r="BW1266" s="2" t="s">
        <v>233</v>
      </c>
      <c r="BX1266" s="2" t="s">
        <v>233</v>
      </c>
      <c r="BY1266" s="2" t="s">
        <v>280</v>
      </c>
      <c r="BZ1266" s="2" t="s">
        <v>245</v>
      </c>
      <c r="CA1266" s="2" t="s">
        <v>1625</v>
      </c>
      <c r="CB1266" s="2" t="s">
        <v>6254</v>
      </c>
      <c r="CC1266" s="2" t="s">
        <v>246</v>
      </c>
      <c r="CD1266" s="2" t="s">
        <v>233</v>
      </c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>
        <v>150</v>
      </c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</row>
    <row r="1267">
      <c r="A1267" s="2" t="s">
        <v>6255</v>
      </c>
      <c r="B1267" s="2" t="s">
        <v>228</v>
      </c>
      <c r="C1267" s="2" t="s">
        <v>1335</v>
      </c>
      <c r="D1267" s="2" t="s">
        <v>3847</v>
      </c>
      <c r="E1267" s="2" t="s">
        <v>3848</v>
      </c>
      <c r="F1267" s="2" t="s">
        <v>6256</v>
      </c>
      <c r="G1267" s="2" t="s">
        <v>6256</v>
      </c>
      <c r="H1267" s="2" t="s">
        <v>233</v>
      </c>
      <c r="I1267" s="2" t="s">
        <v>231</v>
      </c>
      <c r="J1267" s="2" t="s">
        <v>290</v>
      </c>
      <c r="K1267" s="2" t="s">
        <v>6257</v>
      </c>
      <c r="L1267" s="3">
        <v>59.61</v>
      </c>
      <c r="M1267" s="3">
        <v>62.59</v>
      </c>
      <c r="N1267" s="3">
        <v>119.99</v>
      </c>
      <c r="O1267" s="2" t="s">
        <v>245</v>
      </c>
      <c r="P1267" s="2" t="s">
        <v>272</v>
      </c>
      <c r="Q1267" s="2" t="s">
        <v>239</v>
      </c>
      <c r="R1267" s="2" t="s">
        <v>233</v>
      </c>
      <c r="S1267" s="2" t="s">
        <v>6258</v>
      </c>
      <c r="T1267" s="2" t="s">
        <v>1055</v>
      </c>
      <c r="U1267" s="2" t="s">
        <v>233</v>
      </c>
      <c r="V1267" s="2" t="s">
        <v>241</v>
      </c>
      <c r="W1267" s="2" t="s">
        <v>275</v>
      </c>
      <c r="X1267" s="2" t="s">
        <v>233</v>
      </c>
      <c r="Y1267" s="2" t="s">
        <v>276</v>
      </c>
      <c r="Z1267" s="4">
        <v>117</v>
      </c>
      <c r="AA1267" s="4">
        <f>=ROUNDDOWN(58.5,0)</f>
      </c>
      <c r="AB1267" s="5">
        <v>2</v>
      </c>
      <c r="AC1267" s="2" t="s">
        <v>233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233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233</v>
      </c>
      <c r="AW1267" s="8" t="s">
        <v>233</v>
      </c>
      <c r="AX1267" s="4" t="s">
        <v>233</v>
      </c>
      <c r="AY1267" s="8" t="s">
        <v>233</v>
      </c>
      <c r="AZ1267" s="7" t="s">
        <v>233</v>
      </c>
      <c r="BA1267" s="7" t="s">
        <v>233</v>
      </c>
      <c r="BB1267" s="7"/>
      <c r="BC1267" s="4" t="s">
        <v>233</v>
      </c>
      <c r="BD1267" s="8" t="s">
        <v>233</v>
      </c>
      <c r="BE1267" s="4" t="s">
        <v>233</v>
      </c>
      <c r="BF1267" s="8" t="s">
        <v>233</v>
      </c>
      <c r="BG1267" s="7" t="s">
        <v>233</v>
      </c>
      <c r="BH1267" s="7" t="s">
        <v>233</v>
      </c>
      <c r="BI1267" s="7"/>
      <c r="BJ1267" s="4">
        <v>2</v>
      </c>
      <c r="BK1267" s="8">
        <v>120.5</v>
      </c>
      <c r="BL1267" s="2" t="s">
        <v>6259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6260</v>
      </c>
      <c r="BV1267" s="2" t="s">
        <v>233</v>
      </c>
      <c r="BW1267" s="2" t="s">
        <v>233</v>
      </c>
      <c r="BX1267" s="2" t="s">
        <v>3953</v>
      </c>
      <c r="BY1267" s="2" t="s">
        <v>280</v>
      </c>
      <c r="BZ1267" s="2" t="s">
        <v>245</v>
      </c>
      <c r="CA1267" s="2" t="s">
        <v>6261</v>
      </c>
      <c r="CB1267" s="2" t="s">
        <v>6262</v>
      </c>
      <c r="CC1267" s="2" t="s">
        <v>246</v>
      </c>
      <c r="CD1267" s="2" t="s">
        <v>233</v>
      </c>
      <c r="CE1267" s="4">
        <v>117</v>
      </c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</row>
    <row r="1268">
      <c r="A1268" s="2" t="s">
        <v>6263</v>
      </c>
      <c r="B1268" s="2" t="s">
        <v>228</v>
      </c>
      <c r="C1268" s="2" t="s">
        <v>1335</v>
      </c>
      <c r="D1268" s="2" t="s">
        <v>3847</v>
      </c>
      <c r="E1268" s="2" t="s">
        <v>3848</v>
      </c>
      <c r="F1268" s="2" t="s">
        <v>6256</v>
      </c>
      <c r="G1268" s="2" t="s">
        <v>6256</v>
      </c>
      <c r="H1268" s="2" t="s">
        <v>233</v>
      </c>
      <c r="I1268" s="2" t="s">
        <v>231</v>
      </c>
      <c r="J1268" s="2" t="s">
        <v>348</v>
      </c>
      <c r="K1268" s="2" t="s">
        <v>6257</v>
      </c>
      <c r="L1268" s="3">
        <v>79.48</v>
      </c>
      <c r="M1268" s="3">
        <v>83.45</v>
      </c>
      <c r="N1268" s="3">
        <v>159.99</v>
      </c>
      <c r="O1268" s="2" t="s">
        <v>245</v>
      </c>
      <c r="P1268" s="2" t="s">
        <v>272</v>
      </c>
      <c r="Q1268" s="2" t="s">
        <v>239</v>
      </c>
      <c r="R1268" s="2" t="s">
        <v>233</v>
      </c>
      <c r="S1268" s="2" t="s">
        <v>6258</v>
      </c>
      <c r="T1268" s="2" t="s">
        <v>1055</v>
      </c>
      <c r="U1268" s="2" t="s">
        <v>233</v>
      </c>
      <c r="V1268" s="2" t="s">
        <v>241</v>
      </c>
      <c r="W1268" s="2" t="s">
        <v>275</v>
      </c>
      <c r="X1268" s="2" t="s">
        <v>233</v>
      </c>
      <c r="Y1268" s="2" t="s">
        <v>276</v>
      </c>
      <c r="Z1268" s="4">
        <v>248</v>
      </c>
      <c r="AA1268" s="4">
        <f>=ROUNDDOWN(41.3333333333333,0)</f>
      </c>
      <c r="AB1268" s="5">
        <v>6</v>
      </c>
      <c r="AC1268" s="2" t="s">
        <v>233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233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233</v>
      </c>
      <c r="AW1268" s="8" t="s">
        <v>233</v>
      </c>
      <c r="AX1268" s="4" t="s">
        <v>233</v>
      </c>
      <c r="AY1268" s="8" t="s">
        <v>233</v>
      </c>
      <c r="AZ1268" s="7" t="s">
        <v>233</v>
      </c>
      <c r="BA1268" s="7" t="s">
        <v>233</v>
      </c>
      <c r="BB1268" s="7"/>
      <c r="BC1268" s="4" t="s">
        <v>233</v>
      </c>
      <c r="BD1268" s="8" t="s">
        <v>233</v>
      </c>
      <c r="BE1268" s="4" t="s">
        <v>233</v>
      </c>
      <c r="BF1268" s="8" t="s">
        <v>233</v>
      </c>
      <c r="BG1268" s="7" t="s">
        <v>233</v>
      </c>
      <c r="BH1268" s="7" t="s">
        <v>233</v>
      </c>
      <c r="BI1268" s="7"/>
      <c r="BJ1268" s="4">
        <v>2</v>
      </c>
      <c r="BK1268" s="8">
        <v>181.5</v>
      </c>
      <c r="BL1268" s="2" t="s">
        <v>6264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6265</v>
      </c>
      <c r="BV1268" s="2" t="s">
        <v>233</v>
      </c>
      <c r="BW1268" s="2" t="s">
        <v>233</v>
      </c>
      <c r="BX1268" s="2" t="s">
        <v>3953</v>
      </c>
      <c r="BY1268" s="2" t="s">
        <v>280</v>
      </c>
      <c r="BZ1268" s="2" t="s">
        <v>245</v>
      </c>
      <c r="CA1268" s="2" t="s">
        <v>6261</v>
      </c>
      <c r="CB1268" s="2" t="s">
        <v>6266</v>
      </c>
      <c r="CC1268" s="2" t="s">
        <v>246</v>
      </c>
      <c r="CD1268" s="2" t="s">
        <v>233</v>
      </c>
      <c r="CE1268" s="4">
        <v>248</v>
      </c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</row>
    <row r="1269">
      <c r="A1269" s="2" t="s">
        <v>6267</v>
      </c>
      <c r="B1269" s="2" t="s">
        <v>228</v>
      </c>
      <c r="C1269" s="2" t="s">
        <v>1335</v>
      </c>
      <c r="D1269" s="2" t="s">
        <v>3847</v>
      </c>
      <c r="E1269" s="2" t="s">
        <v>3848</v>
      </c>
      <c r="F1269" s="2" t="s">
        <v>6256</v>
      </c>
      <c r="G1269" s="2" t="s">
        <v>6256</v>
      </c>
      <c r="H1269" s="2" t="s">
        <v>233</v>
      </c>
      <c r="I1269" s="2" t="s">
        <v>231</v>
      </c>
      <c r="J1269" s="2" t="s">
        <v>328</v>
      </c>
      <c r="K1269" s="2" t="s">
        <v>6257</v>
      </c>
      <c r="L1269" s="3">
        <v>89.42</v>
      </c>
      <c r="M1269" s="3">
        <v>93.89</v>
      </c>
      <c r="N1269" s="3">
        <v>179.99</v>
      </c>
      <c r="O1269" s="2" t="s">
        <v>245</v>
      </c>
      <c r="P1269" s="2" t="s">
        <v>272</v>
      </c>
      <c r="Q1269" s="2" t="s">
        <v>239</v>
      </c>
      <c r="R1269" s="2" t="s">
        <v>233</v>
      </c>
      <c r="S1269" s="2" t="s">
        <v>6258</v>
      </c>
      <c r="T1269" s="2" t="s">
        <v>1055</v>
      </c>
      <c r="U1269" s="2" t="s">
        <v>233</v>
      </c>
      <c r="V1269" s="2" t="s">
        <v>241</v>
      </c>
      <c r="W1269" s="2" t="s">
        <v>275</v>
      </c>
      <c r="X1269" s="2" t="s">
        <v>233</v>
      </c>
      <c r="Y1269" s="2" t="s">
        <v>276</v>
      </c>
      <c r="Z1269" s="4">
        <v>244</v>
      </c>
      <c r="AA1269" s="4">
        <f>=ROUNDDOWN(61,0)</f>
      </c>
      <c r="AB1269" s="5">
        <v>4</v>
      </c>
      <c r="AC1269" s="2" t="s">
        <v>233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233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233</v>
      </c>
      <c r="AW1269" s="8" t="s">
        <v>233</v>
      </c>
      <c r="AX1269" s="4" t="s">
        <v>233</v>
      </c>
      <c r="AY1269" s="8" t="s">
        <v>233</v>
      </c>
      <c r="AZ1269" s="7" t="s">
        <v>233</v>
      </c>
      <c r="BA1269" s="7" t="s">
        <v>233</v>
      </c>
      <c r="BB1269" s="7"/>
      <c r="BC1269" s="4" t="s">
        <v>233</v>
      </c>
      <c r="BD1269" s="8" t="s">
        <v>233</v>
      </c>
      <c r="BE1269" s="4" t="s">
        <v>233</v>
      </c>
      <c r="BF1269" s="8" t="s">
        <v>233</v>
      </c>
      <c r="BG1269" s="7" t="s">
        <v>233</v>
      </c>
      <c r="BH1269" s="7" t="s">
        <v>233</v>
      </c>
      <c r="BI1269" s="7"/>
      <c r="BJ1269" s="4"/>
      <c r="BK1269" s="8"/>
      <c r="BL1269" s="2" t="s">
        <v>649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6268</v>
      </c>
      <c r="BV1269" s="2" t="s">
        <v>233</v>
      </c>
      <c r="BW1269" s="2" t="s">
        <v>233</v>
      </c>
      <c r="BX1269" s="2" t="s">
        <v>3953</v>
      </c>
      <c r="BY1269" s="2" t="s">
        <v>280</v>
      </c>
      <c r="BZ1269" s="2" t="s">
        <v>245</v>
      </c>
      <c r="CA1269" s="2" t="s">
        <v>6261</v>
      </c>
      <c r="CB1269" s="2" t="s">
        <v>6269</v>
      </c>
      <c r="CC1269" s="2" t="s">
        <v>246</v>
      </c>
      <c r="CD1269" s="2" t="s">
        <v>233</v>
      </c>
      <c r="CE1269" s="4">
        <v>244</v>
      </c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</row>
    <row r="1270">
      <c r="A1270" s="2" t="s">
        <v>6270</v>
      </c>
      <c r="B1270" s="2" t="s">
        <v>228</v>
      </c>
      <c r="C1270" s="2" t="s">
        <v>1335</v>
      </c>
      <c r="D1270" s="2" t="s">
        <v>3847</v>
      </c>
      <c r="E1270" s="2" t="s">
        <v>6221</v>
      </c>
      <c r="F1270" s="2" t="s">
        <v>6256</v>
      </c>
      <c r="G1270" s="2" t="s">
        <v>6256</v>
      </c>
      <c r="H1270" s="2" t="s">
        <v>233</v>
      </c>
      <c r="I1270" s="2" t="s">
        <v>2599</v>
      </c>
      <c r="J1270" s="2" t="s">
        <v>6223</v>
      </c>
      <c r="K1270" s="2" t="s">
        <v>255</v>
      </c>
      <c r="L1270" s="3">
        <v>37.72</v>
      </c>
      <c r="M1270" s="3">
        <v>39.61</v>
      </c>
      <c r="N1270" s="3">
        <v>81.99</v>
      </c>
      <c r="O1270" s="2" t="s">
        <v>245</v>
      </c>
      <c r="P1270" s="2" t="s">
        <v>272</v>
      </c>
      <c r="Q1270" s="2" t="s">
        <v>239</v>
      </c>
      <c r="R1270" s="2" t="s">
        <v>233</v>
      </c>
      <c r="S1270" s="2" t="s">
        <v>6271</v>
      </c>
      <c r="T1270" s="2" t="s">
        <v>1055</v>
      </c>
      <c r="U1270" s="2" t="s">
        <v>233</v>
      </c>
      <c r="V1270" s="2" t="s">
        <v>241</v>
      </c>
      <c r="W1270" s="2" t="s">
        <v>275</v>
      </c>
      <c r="X1270" s="2" t="s">
        <v>233</v>
      </c>
      <c r="Y1270" s="2" t="s">
        <v>276</v>
      </c>
      <c r="Z1270" s="4"/>
      <c r="AA1270" s="4">
        <f>=ROUNDDOWN({0},0)</f>
      </c>
      <c r="AB1270" s="5">
        <v>48</v>
      </c>
      <c r="AC1270" s="2" t="s">
        <v>825</v>
      </c>
      <c r="AD1270" s="4">
        <v>310</v>
      </c>
      <c r="AE1270" s="4">
        <v>310</v>
      </c>
      <c r="AF1270" s="6">
        <v>65</v>
      </c>
      <c r="AG1270" s="6"/>
      <c r="AH1270" s="7">
        <v>0</v>
      </c>
      <c r="AI1270" s="4"/>
      <c r="AJ1270" s="4">
        <f>=ROUNDDOWN({0},0)</f>
      </c>
      <c r="AK1270" s="5"/>
      <c r="AL1270" s="2" t="s">
        <v>233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233</v>
      </c>
      <c r="BD1270" s="8" t="s">
        <v>233</v>
      </c>
      <c r="BE1270" s="4" t="s">
        <v>233</v>
      </c>
      <c r="BF1270" s="8" t="s">
        <v>233</v>
      </c>
      <c r="BG1270" s="7" t="s">
        <v>233</v>
      </c>
      <c r="BH1270" s="7" t="s">
        <v>233</v>
      </c>
      <c r="BI1270" s="7"/>
      <c r="BJ1270" s="4"/>
      <c r="BK1270" s="8"/>
      <c r="BL1270" s="2" t="s">
        <v>1292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6272</v>
      </c>
      <c r="BV1270" s="2" t="s">
        <v>233</v>
      </c>
      <c r="BW1270" s="2" t="s">
        <v>233</v>
      </c>
      <c r="BX1270" s="2" t="s">
        <v>243</v>
      </c>
      <c r="BY1270" s="2" t="s">
        <v>280</v>
      </c>
      <c r="BZ1270" s="2" t="s">
        <v>245</v>
      </c>
      <c r="CA1270" s="2" t="s">
        <v>6261</v>
      </c>
      <c r="CB1270" s="2" t="s">
        <v>6273</v>
      </c>
      <c r="CC1270" s="2" t="s">
        <v>246</v>
      </c>
      <c r="CD1270" s="2" t="s">
        <v>233</v>
      </c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>
        <v>310</v>
      </c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</row>
    <row r="1271">
      <c r="A1271" s="2" t="s">
        <v>6274</v>
      </c>
      <c r="B1271" s="2" t="s">
        <v>228</v>
      </c>
      <c r="C1271" s="2" t="s">
        <v>1335</v>
      </c>
      <c r="D1271" s="2" t="s">
        <v>3847</v>
      </c>
      <c r="E1271" s="2" t="s">
        <v>3848</v>
      </c>
      <c r="F1271" s="2" t="s">
        <v>6256</v>
      </c>
      <c r="G1271" s="2" t="s">
        <v>6256</v>
      </c>
      <c r="H1271" s="2" t="s">
        <v>233</v>
      </c>
      <c r="I1271" s="2" t="s">
        <v>231</v>
      </c>
      <c r="J1271" s="2" t="s">
        <v>348</v>
      </c>
      <c r="K1271" s="2" t="s">
        <v>2475</v>
      </c>
      <c r="L1271" s="3">
        <v>79.48</v>
      </c>
      <c r="M1271" s="3">
        <v>83.45</v>
      </c>
      <c r="N1271" s="3">
        <v>159.99</v>
      </c>
      <c r="O1271" s="2" t="s">
        <v>245</v>
      </c>
      <c r="P1271" s="2" t="s">
        <v>272</v>
      </c>
      <c r="Q1271" s="2" t="s">
        <v>239</v>
      </c>
      <c r="R1271" s="2" t="s">
        <v>233</v>
      </c>
      <c r="S1271" s="2" t="s">
        <v>6275</v>
      </c>
      <c r="T1271" s="2" t="s">
        <v>1055</v>
      </c>
      <c r="U1271" s="2" t="s">
        <v>233</v>
      </c>
      <c r="V1271" s="2" t="s">
        <v>241</v>
      </c>
      <c r="W1271" s="2" t="s">
        <v>275</v>
      </c>
      <c r="X1271" s="2" t="s">
        <v>233</v>
      </c>
      <c r="Y1271" s="2" t="s">
        <v>276</v>
      </c>
      <c r="Z1271" s="4">
        <v>373</v>
      </c>
      <c r="AA1271" s="4">
        <f>=ROUNDDOWN(62.1666666666667,0)</f>
      </c>
      <c r="AB1271" s="5">
        <v>6</v>
      </c>
      <c r="AC1271" s="2" t="s">
        <v>233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233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 t="s">
        <v>233</v>
      </c>
      <c r="BD1271" s="8" t="s">
        <v>233</v>
      </c>
      <c r="BE1271" s="4" t="s">
        <v>233</v>
      </c>
      <c r="BF1271" s="8" t="s">
        <v>233</v>
      </c>
      <c r="BG1271" s="7" t="s">
        <v>233</v>
      </c>
      <c r="BH1271" s="7" t="s">
        <v>233</v>
      </c>
      <c r="BI1271" s="7"/>
      <c r="BJ1271" s="4">
        <v>1</v>
      </c>
      <c r="BK1271" s="8">
        <v>77.21</v>
      </c>
      <c r="BL1271" s="2" t="s">
        <v>6276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6277</v>
      </c>
      <c r="BV1271" s="2" t="s">
        <v>233</v>
      </c>
      <c r="BW1271" s="2" t="s">
        <v>233</v>
      </c>
      <c r="BX1271" s="2" t="s">
        <v>3953</v>
      </c>
      <c r="BY1271" s="2" t="s">
        <v>280</v>
      </c>
      <c r="BZ1271" s="2" t="s">
        <v>245</v>
      </c>
      <c r="CA1271" s="2" t="s">
        <v>6261</v>
      </c>
      <c r="CB1271" s="2" t="s">
        <v>6278</v>
      </c>
      <c r="CC1271" s="2" t="s">
        <v>246</v>
      </c>
      <c r="CD1271" s="2" t="s">
        <v>233</v>
      </c>
      <c r="CE1271" s="4">
        <v>373</v>
      </c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</row>
    <row r="1272">
      <c r="A1272" s="2" t="s">
        <v>6279</v>
      </c>
      <c r="B1272" s="2" t="s">
        <v>228</v>
      </c>
      <c r="C1272" s="2" t="s">
        <v>1335</v>
      </c>
      <c r="D1272" s="2" t="s">
        <v>3847</v>
      </c>
      <c r="E1272" s="2" t="s">
        <v>6221</v>
      </c>
      <c r="F1272" s="2" t="s">
        <v>6256</v>
      </c>
      <c r="G1272" s="2" t="s">
        <v>6256</v>
      </c>
      <c r="H1272" s="2" t="s">
        <v>233</v>
      </c>
      <c r="I1272" s="2" t="s">
        <v>2599</v>
      </c>
      <c r="J1272" s="2" t="s">
        <v>6223</v>
      </c>
      <c r="K1272" s="2" t="s">
        <v>6280</v>
      </c>
      <c r="L1272" s="3">
        <v>37.72</v>
      </c>
      <c r="M1272" s="3">
        <v>39.61</v>
      </c>
      <c r="N1272" s="3">
        <v>81.99</v>
      </c>
      <c r="O1272" s="2" t="s">
        <v>245</v>
      </c>
      <c r="P1272" s="2" t="s">
        <v>272</v>
      </c>
      <c r="Q1272" s="2" t="s">
        <v>239</v>
      </c>
      <c r="R1272" s="2" t="s">
        <v>233</v>
      </c>
      <c r="S1272" s="2" t="s">
        <v>6281</v>
      </c>
      <c r="T1272" s="2" t="s">
        <v>1055</v>
      </c>
      <c r="U1272" s="2" t="s">
        <v>233</v>
      </c>
      <c r="V1272" s="2" t="s">
        <v>241</v>
      </c>
      <c r="W1272" s="2" t="s">
        <v>275</v>
      </c>
      <c r="X1272" s="2" t="s">
        <v>233</v>
      </c>
      <c r="Y1272" s="2" t="s">
        <v>276</v>
      </c>
      <c r="Z1272" s="4"/>
      <c r="AA1272" s="4">
        <f>=ROUNDDOWN({0},0)</f>
      </c>
      <c r="AB1272" s="5">
        <v>32</v>
      </c>
      <c r="AC1272" s="2" t="s">
        <v>825</v>
      </c>
      <c r="AD1272" s="4">
        <v>210</v>
      </c>
      <c r="AE1272" s="4">
        <v>210</v>
      </c>
      <c r="AF1272" s="6">
        <v>65</v>
      </c>
      <c r="AG1272" s="6"/>
      <c r="AH1272" s="7">
        <v>0</v>
      </c>
      <c r="AI1272" s="4"/>
      <c r="AJ1272" s="4">
        <f>=ROUNDDOWN({0},0)</f>
      </c>
      <c r="AK1272" s="5"/>
      <c r="AL1272" s="2" t="s">
        <v>233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233</v>
      </c>
      <c r="BD1272" s="8" t="s">
        <v>233</v>
      </c>
      <c r="BE1272" s="4" t="s">
        <v>233</v>
      </c>
      <c r="BF1272" s="8" t="s">
        <v>233</v>
      </c>
      <c r="BG1272" s="7" t="s">
        <v>233</v>
      </c>
      <c r="BH1272" s="7" t="s">
        <v>233</v>
      </c>
      <c r="BI1272" s="7"/>
      <c r="BJ1272" s="4"/>
      <c r="BK1272" s="8"/>
      <c r="BL1272" s="2" t="s">
        <v>6282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6283</v>
      </c>
      <c r="BV1272" s="2" t="s">
        <v>233</v>
      </c>
      <c r="BW1272" s="2" t="s">
        <v>233</v>
      </c>
      <c r="BX1272" s="2" t="s">
        <v>243</v>
      </c>
      <c r="BY1272" s="2" t="s">
        <v>280</v>
      </c>
      <c r="BZ1272" s="2" t="s">
        <v>245</v>
      </c>
      <c r="CA1272" s="2" t="s">
        <v>6261</v>
      </c>
      <c r="CB1272" s="2" t="s">
        <v>6191</v>
      </c>
      <c r="CC1272" s="2" t="s">
        <v>246</v>
      </c>
      <c r="CD1272" s="2" t="s">
        <v>233</v>
      </c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>
        <v>210</v>
      </c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</row>
    <row r="1273">
      <c r="A1273" s="2" t="s">
        <v>6284</v>
      </c>
      <c r="B1273" s="2" t="s">
        <v>228</v>
      </c>
      <c r="C1273" s="2" t="s">
        <v>1335</v>
      </c>
      <c r="D1273" s="2" t="s">
        <v>3847</v>
      </c>
      <c r="E1273" s="2" t="s">
        <v>3848</v>
      </c>
      <c r="F1273" s="2" t="s">
        <v>6256</v>
      </c>
      <c r="G1273" s="2" t="s">
        <v>6256</v>
      </c>
      <c r="H1273" s="2" t="s">
        <v>233</v>
      </c>
      <c r="I1273" s="2" t="s">
        <v>231</v>
      </c>
      <c r="J1273" s="2" t="s">
        <v>270</v>
      </c>
      <c r="K1273" s="2" t="s">
        <v>1201</v>
      </c>
      <c r="L1273" s="3">
        <v>54.64</v>
      </c>
      <c r="M1273" s="3">
        <v>57.37</v>
      </c>
      <c r="N1273" s="3">
        <v>109.99</v>
      </c>
      <c r="O1273" s="2" t="s">
        <v>245</v>
      </c>
      <c r="P1273" s="2" t="s">
        <v>272</v>
      </c>
      <c r="Q1273" s="2" t="s">
        <v>239</v>
      </c>
      <c r="R1273" s="2" t="s">
        <v>233</v>
      </c>
      <c r="S1273" s="2" t="s">
        <v>6285</v>
      </c>
      <c r="T1273" s="2" t="s">
        <v>1055</v>
      </c>
      <c r="U1273" s="2" t="s">
        <v>233</v>
      </c>
      <c r="V1273" s="2" t="s">
        <v>241</v>
      </c>
      <c r="W1273" s="2" t="s">
        <v>275</v>
      </c>
      <c r="X1273" s="2" t="s">
        <v>233</v>
      </c>
      <c r="Y1273" s="2" t="s">
        <v>276</v>
      </c>
      <c r="Z1273" s="4">
        <v>238</v>
      </c>
      <c r="AA1273" s="4">
        <f>=ROUNDDOWN(79.3333333333333,0)</f>
      </c>
      <c r="AB1273" s="5">
        <v>3</v>
      </c>
      <c r="AC1273" s="2" t="s">
        <v>233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233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233</v>
      </c>
      <c r="BD1273" s="8" t="s">
        <v>233</v>
      </c>
      <c r="BE1273" s="4" t="s">
        <v>233</v>
      </c>
      <c r="BF1273" s="8" t="s">
        <v>233</v>
      </c>
      <c r="BG1273" s="7" t="s">
        <v>233</v>
      </c>
      <c r="BH1273" s="7" t="s">
        <v>233</v>
      </c>
      <c r="BI1273" s="7"/>
      <c r="BJ1273" s="4">
        <v>2</v>
      </c>
      <c r="BK1273" s="8">
        <v>121.56</v>
      </c>
      <c r="BL1273" s="2" t="s">
        <v>6286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6287</v>
      </c>
      <c r="BV1273" s="2" t="s">
        <v>233</v>
      </c>
      <c r="BW1273" s="2" t="s">
        <v>233</v>
      </c>
      <c r="BX1273" s="2" t="s">
        <v>3953</v>
      </c>
      <c r="BY1273" s="2" t="s">
        <v>280</v>
      </c>
      <c r="BZ1273" s="2" t="s">
        <v>245</v>
      </c>
      <c r="CA1273" s="2" t="s">
        <v>6261</v>
      </c>
      <c r="CB1273" s="2" t="s">
        <v>6288</v>
      </c>
      <c r="CC1273" s="2" t="s">
        <v>246</v>
      </c>
      <c r="CD1273" s="2" t="s">
        <v>233</v>
      </c>
      <c r="CE1273" s="4">
        <v>238</v>
      </c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</row>
    <row r="1274">
      <c r="A1274" s="2" t="s">
        <v>6289</v>
      </c>
      <c r="B1274" s="2" t="s">
        <v>264</v>
      </c>
      <c r="C1274" s="2" t="s">
        <v>1050</v>
      </c>
      <c r="D1274" s="2" t="s">
        <v>969</v>
      </c>
      <c r="E1274" s="2" t="s">
        <v>1231</v>
      </c>
      <c r="F1274" s="2" t="s">
        <v>6290</v>
      </c>
      <c r="G1274" s="2" t="s">
        <v>6290</v>
      </c>
      <c r="H1274" s="2" t="s">
        <v>6290</v>
      </c>
      <c r="I1274" s="2" t="s">
        <v>6291</v>
      </c>
      <c r="J1274" s="2" t="s">
        <v>918</v>
      </c>
      <c r="K1274" s="2" t="s">
        <v>1191</v>
      </c>
      <c r="L1274" s="3">
        <v>35.71</v>
      </c>
      <c r="M1274" s="3">
        <v>37.5</v>
      </c>
      <c r="N1274" s="3">
        <v>74.99</v>
      </c>
      <c r="O1274" s="2" t="s">
        <v>245</v>
      </c>
      <c r="P1274" s="2" t="s">
        <v>272</v>
      </c>
      <c r="Q1274" s="2" t="s">
        <v>239</v>
      </c>
      <c r="R1274" s="2" t="s">
        <v>233</v>
      </c>
      <c r="S1274" s="2" t="s">
        <v>6292</v>
      </c>
      <c r="T1274" s="2" t="s">
        <v>395</v>
      </c>
      <c r="U1274" s="2" t="s">
        <v>396</v>
      </c>
      <c r="V1274" s="2" t="s">
        <v>241</v>
      </c>
      <c r="W1274" s="2" t="s">
        <v>275</v>
      </c>
      <c r="X1274" s="2" t="s">
        <v>233</v>
      </c>
      <c r="Y1274" s="2" t="s">
        <v>1001</v>
      </c>
      <c r="Z1274" s="4">
        <v>182</v>
      </c>
      <c r="AA1274" s="4">
        <f>=ROUNDDOWN(36.4,0)</f>
      </c>
      <c r="AB1274" s="5">
        <v>5</v>
      </c>
      <c r="AC1274" s="2" t="s">
        <v>2183</v>
      </c>
      <c r="AD1274" s="4">
        <v>170</v>
      </c>
      <c r="AE1274" s="4">
        <v>240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233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233</v>
      </c>
      <c r="AW1274" s="8" t="s">
        <v>233</v>
      </c>
      <c r="AX1274" s="4" t="s">
        <v>233</v>
      </c>
      <c r="AY1274" s="8" t="s">
        <v>233</v>
      </c>
      <c r="AZ1274" s="7" t="s">
        <v>233</v>
      </c>
      <c r="BA1274" s="7" t="s">
        <v>233</v>
      </c>
      <c r="BB1274" s="7"/>
      <c r="BC1274" s="4" t="s">
        <v>233</v>
      </c>
      <c r="BD1274" s="8" t="s">
        <v>233</v>
      </c>
      <c r="BE1274" s="4" t="s">
        <v>233</v>
      </c>
      <c r="BF1274" s="8" t="s">
        <v>233</v>
      </c>
      <c r="BG1274" s="7" t="s">
        <v>233</v>
      </c>
      <c r="BH1274" s="7" t="s">
        <v>233</v>
      </c>
      <c r="BI1274" s="7"/>
      <c r="BJ1274" s="4">
        <v>4</v>
      </c>
      <c r="BK1274" s="8">
        <v>159.57</v>
      </c>
      <c r="BL1274" s="2" t="s">
        <v>6293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6294</v>
      </c>
      <c r="BV1274" s="2" t="s">
        <v>233</v>
      </c>
      <c r="BW1274" s="2" t="s">
        <v>233</v>
      </c>
      <c r="BX1274" s="2" t="s">
        <v>243</v>
      </c>
      <c r="BY1274" s="2" t="s">
        <v>280</v>
      </c>
      <c r="BZ1274" s="2" t="s">
        <v>245</v>
      </c>
      <c r="CA1274" s="2" t="s">
        <v>3479</v>
      </c>
      <c r="CB1274" s="2" t="s">
        <v>478</v>
      </c>
      <c r="CC1274" s="2" t="s">
        <v>246</v>
      </c>
      <c r="CD1274" s="2" t="s">
        <v>233</v>
      </c>
      <c r="CE1274" s="4">
        <v>182</v>
      </c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>
        <v>170</v>
      </c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>
        <v>70</v>
      </c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</row>
    <row r="1275">
      <c r="A1275" s="2" t="s">
        <v>6295</v>
      </c>
      <c r="B1275" s="2" t="s">
        <v>264</v>
      </c>
      <c r="C1275" s="2" t="s">
        <v>1050</v>
      </c>
      <c r="D1275" s="2" t="s">
        <v>969</v>
      </c>
      <c r="E1275" s="2" t="s">
        <v>1231</v>
      </c>
      <c r="F1275" s="2" t="s">
        <v>6290</v>
      </c>
      <c r="G1275" s="2" t="s">
        <v>6290</v>
      </c>
      <c r="H1275" s="2" t="s">
        <v>6290</v>
      </c>
      <c r="I1275" s="2" t="s">
        <v>6291</v>
      </c>
      <c r="J1275" s="2" t="s">
        <v>1142</v>
      </c>
      <c r="K1275" s="2" t="s">
        <v>1191</v>
      </c>
      <c r="L1275" s="3">
        <v>52.38</v>
      </c>
      <c r="M1275" s="3">
        <v>55</v>
      </c>
      <c r="N1275" s="3">
        <v>109.99</v>
      </c>
      <c r="O1275" s="2" t="s">
        <v>245</v>
      </c>
      <c r="P1275" s="2" t="s">
        <v>272</v>
      </c>
      <c r="Q1275" s="2" t="s">
        <v>239</v>
      </c>
      <c r="R1275" s="2" t="s">
        <v>233</v>
      </c>
      <c r="S1275" s="2" t="s">
        <v>6292</v>
      </c>
      <c r="T1275" s="2" t="s">
        <v>395</v>
      </c>
      <c r="U1275" s="2" t="s">
        <v>396</v>
      </c>
      <c r="V1275" s="2" t="s">
        <v>241</v>
      </c>
      <c r="W1275" s="2" t="s">
        <v>275</v>
      </c>
      <c r="X1275" s="2" t="s">
        <v>233</v>
      </c>
      <c r="Y1275" s="2" t="s">
        <v>1001</v>
      </c>
      <c r="Z1275" s="4">
        <v>301</v>
      </c>
      <c r="AA1275" s="4">
        <f>=ROUNDDOWN(75.25,0)</f>
      </c>
      <c r="AB1275" s="5">
        <v>4</v>
      </c>
      <c r="AC1275" s="2" t="s">
        <v>2183</v>
      </c>
      <c r="AD1275" s="4">
        <v>90</v>
      </c>
      <c r="AE1275" s="4">
        <v>360</v>
      </c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233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233</v>
      </c>
      <c r="AW1275" s="8" t="s">
        <v>233</v>
      </c>
      <c r="AX1275" s="4" t="s">
        <v>233</v>
      </c>
      <c r="AY1275" s="8" t="s">
        <v>233</v>
      </c>
      <c r="AZ1275" s="7" t="s">
        <v>233</v>
      </c>
      <c r="BA1275" s="7" t="s">
        <v>233</v>
      </c>
      <c r="BB1275" s="7"/>
      <c r="BC1275" s="4" t="s">
        <v>233</v>
      </c>
      <c r="BD1275" s="8" t="s">
        <v>233</v>
      </c>
      <c r="BE1275" s="4" t="s">
        <v>233</v>
      </c>
      <c r="BF1275" s="8" t="s">
        <v>233</v>
      </c>
      <c r="BG1275" s="7" t="s">
        <v>233</v>
      </c>
      <c r="BH1275" s="7" t="s">
        <v>233</v>
      </c>
      <c r="BI1275" s="7"/>
      <c r="BJ1275" s="4">
        <v>20</v>
      </c>
      <c r="BK1275" s="8">
        <v>1164.93</v>
      </c>
      <c r="BL1275" s="2" t="s">
        <v>4224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6296</v>
      </c>
      <c r="BV1275" s="2" t="s">
        <v>233</v>
      </c>
      <c r="BW1275" s="2" t="s">
        <v>233</v>
      </c>
      <c r="BX1275" s="2" t="s">
        <v>243</v>
      </c>
      <c r="BY1275" s="2" t="s">
        <v>280</v>
      </c>
      <c r="BZ1275" s="2" t="s">
        <v>245</v>
      </c>
      <c r="CA1275" s="2" t="s">
        <v>3479</v>
      </c>
      <c r="CB1275" s="2" t="s">
        <v>481</v>
      </c>
      <c r="CC1275" s="2" t="s">
        <v>246</v>
      </c>
      <c r="CD1275" s="2" t="s">
        <v>233</v>
      </c>
      <c r="CE1275" s="4">
        <v>301</v>
      </c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>
        <v>90</v>
      </c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>
        <v>270</v>
      </c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</row>
    <row r="1276">
      <c r="A1276" s="2" t="s">
        <v>6297</v>
      </c>
      <c r="B1276" s="2" t="s">
        <v>264</v>
      </c>
      <c r="C1276" s="2" t="s">
        <v>1050</v>
      </c>
      <c r="D1276" s="2" t="s">
        <v>969</v>
      </c>
      <c r="E1276" s="2" t="s">
        <v>1231</v>
      </c>
      <c r="F1276" s="2" t="s">
        <v>6290</v>
      </c>
      <c r="G1276" s="2" t="s">
        <v>6290</v>
      </c>
      <c r="H1276" s="2" t="s">
        <v>6290</v>
      </c>
      <c r="I1276" s="2" t="s">
        <v>6291</v>
      </c>
      <c r="J1276" s="2" t="s">
        <v>981</v>
      </c>
      <c r="K1276" s="2" t="s">
        <v>853</v>
      </c>
      <c r="L1276" s="3">
        <v>45.23</v>
      </c>
      <c r="M1276" s="3">
        <v>47.49</v>
      </c>
      <c r="N1276" s="3">
        <v>94.99</v>
      </c>
      <c r="O1276" s="2" t="s">
        <v>245</v>
      </c>
      <c r="P1276" s="2" t="s">
        <v>272</v>
      </c>
      <c r="Q1276" s="2" t="s">
        <v>239</v>
      </c>
      <c r="R1276" s="2" t="s">
        <v>233</v>
      </c>
      <c r="S1276" s="2" t="s">
        <v>6298</v>
      </c>
      <c r="T1276" s="2" t="s">
        <v>395</v>
      </c>
      <c r="U1276" s="2" t="s">
        <v>396</v>
      </c>
      <c r="V1276" s="2" t="s">
        <v>241</v>
      </c>
      <c r="W1276" s="2" t="s">
        <v>275</v>
      </c>
      <c r="X1276" s="2" t="s">
        <v>233</v>
      </c>
      <c r="Y1276" s="2" t="s">
        <v>1001</v>
      </c>
      <c r="Z1276" s="4">
        <v>228</v>
      </c>
      <c r="AA1276" s="4">
        <f>=ROUNDDOWN(190,0)</f>
      </c>
      <c r="AB1276" s="5">
        <v>1.2</v>
      </c>
      <c r="AC1276" s="2" t="s">
        <v>2183</v>
      </c>
      <c r="AD1276" s="4">
        <v>200</v>
      </c>
      <c r="AE1276" s="4">
        <v>340</v>
      </c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233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233</v>
      </c>
      <c r="BD1276" s="8" t="s">
        <v>233</v>
      </c>
      <c r="BE1276" s="4" t="s">
        <v>233</v>
      </c>
      <c r="BF1276" s="8" t="s">
        <v>233</v>
      </c>
      <c r="BG1276" s="7" t="s">
        <v>233</v>
      </c>
      <c r="BH1276" s="7" t="s">
        <v>233</v>
      </c>
      <c r="BI1276" s="7"/>
      <c r="BJ1276" s="4">
        <v>10</v>
      </c>
      <c r="BK1276" s="8">
        <v>513.62</v>
      </c>
      <c r="BL1276" s="2" t="s">
        <v>6299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6300</v>
      </c>
      <c r="BV1276" s="2" t="s">
        <v>233</v>
      </c>
      <c r="BW1276" s="2" t="s">
        <v>233</v>
      </c>
      <c r="BX1276" s="2" t="s">
        <v>243</v>
      </c>
      <c r="BY1276" s="2" t="s">
        <v>280</v>
      </c>
      <c r="BZ1276" s="2" t="s">
        <v>245</v>
      </c>
      <c r="CA1276" s="2" t="s">
        <v>3479</v>
      </c>
      <c r="CB1276" s="2" t="s">
        <v>6301</v>
      </c>
      <c r="CC1276" s="2" t="s">
        <v>246</v>
      </c>
      <c r="CD1276" s="2" t="s">
        <v>233</v>
      </c>
      <c r="CE1276" s="4">
        <v>228</v>
      </c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>
        <v>200</v>
      </c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>
        <v>140</v>
      </c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</row>
    <row r="1277">
      <c r="A1277" s="2" t="s">
        <v>6302</v>
      </c>
      <c r="B1277" s="2" t="s">
        <v>264</v>
      </c>
      <c r="C1277" s="2" t="s">
        <v>1050</v>
      </c>
      <c r="D1277" s="2" t="s">
        <v>969</v>
      </c>
      <c r="E1277" s="2" t="s">
        <v>1231</v>
      </c>
      <c r="F1277" s="2" t="s">
        <v>6290</v>
      </c>
      <c r="G1277" s="2" t="s">
        <v>6290</v>
      </c>
      <c r="H1277" s="2" t="s">
        <v>6290</v>
      </c>
      <c r="I1277" s="2" t="s">
        <v>6291</v>
      </c>
      <c r="J1277" s="2" t="s">
        <v>981</v>
      </c>
      <c r="K1277" s="2" t="s">
        <v>297</v>
      </c>
      <c r="L1277" s="3">
        <v>45.23</v>
      </c>
      <c r="M1277" s="3">
        <v>47.49</v>
      </c>
      <c r="N1277" s="3">
        <v>94.99</v>
      </c>
      <c r="O1277" s="2" t="s">
        <v>245</v>
      </c>
      <c r="P1277" s="2" t="s">
        <v>763</v>
      </c>
      <c r="Q1277" s="2" t="s">
        <v>239</v>
      </c>
      <c r="R1277" s="2" t="s">
        <v>233</v>
      </c>
      <c r="S1277" s="2" t="s">
        <v>6303</v>
      </c>
      <c r="T1277" s="2" t="s">
        <v>233</v>
      </c>
      <c r="U1277" s="2" t="s">
        <v>233</v>
      </c>
      <c r="V1277" s="2" t="s">
        <v>241</v>
      </c>
      <c r="W1277" s="2" t="s">
        <v>275</v>
      </c>
      <c r="X1277" s="2" t="s">
        <v>233</v>
      </c>
      <c r="Y1277" s="2" t="s">
        <v>1357</v>
      </c>
      <c r="Z1277" s="4">
        <v>161</v>
      </c>
      <c r="AA1277" s="4">
        <f>=ROUNDDOWN(22.6760563380282,0)</f>
      </c>
      <c r="AB1277" s="5">
        <v>7.1</v>
      </c>
      <c r="AC1277" s="2" t="s">
        <v>319</v>
      </c>
      <c r="AD1277" s="4">
        <v>160</v>
      </c>
      <c r="AE1277" s="4">
        <v>610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233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233</v>
      </c>
      <c r="AW1277" s="8" t="s">
        <v>233</v>
      </c>
      <c r="AX1277" s="4" t="s">
        <v>233</v>
      </c>
      <c r="AY1277" s="8" t="s">
        <v>233</v>
      </c>
      <c r="AZ1277" s="7" t="s">
        <v>233</v>
      </c>
      <c r="BA1277" s="7" t="s">
        <v>233</v>
      </c>
      <c r="BB1277" s="7"/>
      <c r="BC1277" s="4" t="s">
        <v>233</v>
      </c>
      <c r="BD1277" s="8" t="s">
        <v>233</v>
      </c>
      <c r="BE1277" s="4" t="s">
        <v>233</v>
      </c>
      <c r="BF1277" s="8" t="s">
        <v>233</v>
      </c>
      <c r="BG1277" s="7" t="s">
        <v>233</v>
      </c>
      <c r="BH1277" s="7" t="s">
        <v>233</v>
      </c>
      <c r="BI1277" s="7"/>
      <c r="BJ1277" s="4">
        <v>31</v>
      </c>
      <c r="BK1277" s="8">
        <v>1611.21</v>
      </c>
      <c r="BL1277" s="2" t="s">
        <v>516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6304</v>
      </c>
      <c r="BV1277" s="2" t="s">
        <v>233</v>
      </c>
      <c r="BW1277" s="2" t="s">
        <v>233</v>
      </c>
      <c r="BX1277" s="2" t="s">
        <v>243</v>
      </c>
      <c r="BY1277" s="2" t="s">
        <v>280</v>
      </c>
      <c r="BZ1277" s="2" t="s">
        <v>245</v>
      </c>
      <c r="CA1277" s="2" t="s">
        <v>3465</v>
      </c>
      <c r="CB1277" s="2" t="s">
        <v>3755</v>
      </c>
      <c r="CC1277" s="2" t="s">
        <v>246</v>
      </c>
      <c r="CD1277" s="2" t="s">
        <v>233</v>
      </c>
      <c r="CE1277" s="4">
        <v>161</v>
      </c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>
        <v>160</v>
      </c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>
        <v>140</v>
      </c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>
        <v>100</v>
      </c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>
        <v>210</v>
      </c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</row>
    <row r="1278">
      <c r="A1278" s="2" t="s">
        <v>6305</v>
      </c>
      <c r="B1278" s="2" t="s">
        <v>264</v>
      </c>
      <c r="C1278" s="2" t="s">
        <v>1050</v>
      </c>
      <c r="D1278" s="2" t="s">
        <v>969</v>
      </c>
      <c r="E1278" s="2" t="s">
        <v>1231</v>
      </c>
      <c r="F1278" s="2" t="s">
        <v>6290</v>
      </c>
      <c r="G1278" s="2" t="s">
        <v>6290</v>
      </c>
      <c r="H1278" s="2" t="s">
        <v>6290</v>
      </c>
      <c r="I1278" s="2" t="s">
        <v>6291</v>
      </c>
      <c r="J1278" s="2" t="s">
        <v>1142</v>
      </c>
      <c r="K1278" s="2" t="s">
        <v>297</v>
      </c>
      <c r="L1278" s="3">
        <v>52.38</v>
      </c>
      <c r="M1278" s="3">
        <v>55</v>
      </c>
      <c r="N1278" s="3">
        <v>109.99</v>
      </c>
      <c r="O1278" s="2" t="s">
        <v>245</v>
      </c>
      <c r="P1278" s="2" t="s">
        <v>763</v>
      </c>
      <c r="Q1278" s="2" t="s">
        <v>239</v>
      </c>
      <c r="R1278" s="2" t="s">
        <v>233</v>
      </c>
      <c r="S1278" s="2" t="s">
        <v>6303</v>
      </c>
      <c r="T1278" s="2" t="s">
        <v>233</v>
      </c>
      <c r="U1278" s="2" t="s">
        <v>233</v>
      </c>
      <c r="V1278" s="2" t="s">
        <v>241</v>
      </c>
      <c r="W1278" s="2" t="s">
        <v>275</v>
      </c>
      <c r="X1278" s="2" t="s">
        <v>233</v>
      </c>
      <c r="Y1278" s="2" t="s">
        <v>1357</v>
      </c>
      <c r="Z1278" s="4">
        <v>275</v>
      </c>
      <c r="AA1278" s="4">
        <f>=ROUNDDOWN(31.25,0)</f>
      </c>
      <c r="AB1278" s="5">
        <v>8.8</v>
      </c>
      <c r="AC1278" s="2" t="s">
        <v>319</v>
      </c>
      <c r="AD1278" s="4">
        <v>120</v>
      </c>
      <c r="AE1278" s="4">
        <v>590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233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233</v>
      </c>
      <c r="AW1278" s="8" t="s">
        <v>233</v>
      </c>
      <c r="AX1278" s="4" t="s">
        <v>233</v>
      </c>
      <c r="AY1278" s="8" t="s">
        <v>233</v>
      </c>
      <c r="AZ1278" s="7" t="s">
        <v>233</v>
      </c>
      <c r="BA1278" s="7" t="s">
        <v>233</v>
      </c>
      <c r="BB1278" s="7"/>
      <c r="BC1278" s="4" t="s">
        <v>233</v>
      </c>
      <c r="BD1278" s="8" t="s">
        <v>233</v>
      </c>
      <c r="BE1278" s="4" t="s">
        <v>233</v>
      </c>
      <c r="BF1278" s="8" t="s">
        <v>233</v>
      </c>
      <c r="BG1278" s="7" t="s">
        <v>233</v>
      </c>
      <c r="BH1278" s="7" t="s">
        <v>233</v>
      </c>
      <c r="BI1278" s="7"/>
      <c r="BJ1278" s="4">
        <v>69</v>
      </c>
      <c r="BK1278" s="8">
        <v>4093.03</v>
      </c>
      <c r="BL1278" s="2" t="s">
        <v>6306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6307</v>
      </c>
      <c r="BV1278" s="2" t="s">
        <v>233</v>
      </c>
      <c r="BW1278" s="2" t="s">
        <v>233</v>
      </c>
      <c r="BX1278" s="2" t="s">
        <v>243</v>
      </c>
      <c r="BY1278" s="2" t="s">
        <v>280</v>
      </c>
      <c r="BZ1278" s="2" t="s">
        <v>245</v>
      </c>
      <c r="CA1278" s="2" t="s">
        <v>3465</v>
      </c>
      <c r="CB1278" s="2" t="s">
        <v>3238</v>
      </c>
      <c r="CC1278" s="2" t="s">
        <v>246</v>
      </c>
      <c r="CD1278" s="2" t="s">
        <v>233</v>
      </c>
      <c r="CE1278" s="4">
        <v>275</v>
      </c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>
        <v>120</v>
      </c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>
        <v>50</v>
      </c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>
        <v>170</v>
      </c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>
        <v>250</v>
      </c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</row>
    <row r="1279">
      <c r="A1279" s="2" t="s">
        <v>6308</v>
      </c>
      <c r="B1279" s="2" t="s">
        <v>1066</v>
      </c>
      <c r="C1279" s="2" t="s">
        <v>1321</v>
      </c>
      <c r="D1279" s="2" t="s">
        <v>1919</v>
      </c>
      <c r="E1279" s="2" t="s">
        <v>3467</v>
      </c>
      <c r="F1279" s="2" t="s">
        <v>6309</v>
      </c>
      <c r="G1279" s="2" t="s">
        <v>6309</v>
      </c>
      <c r="H1279" s="2" t="s">
        <v>6309</v>
      </c>
      <c r="I1279" s="2" t="s">
        <v>6310</v>
      </c>
      <c r="J1279" s="2" t="s">
        <v>892</v>
      </c>
      <c r="K1279" s="2" t="s">
        <v>1191</v>
      </c>
      <c r="L1279" s="3">
        <v>143</v>
      </c>
      <c r="M1279" s="3">
        <v>150.15</v>
      </c>
      <c r="N1279" s="3">
        <v>299</v>
      </c>
      <c r="O1279" s="2" t="s">
        <v>237</v>
      </c>
      <c r="P1279" s="2" t="s">
        <v>311</v>
      </c>
      <c r="Q1279" s="2" t="s">
        <v>239</v>
      </c>
      <c r="R1279" s="2" t="s">
        <v>233</v>
      </c>
      <c r="S1279" s="2" t="s">
        <v>233</v>
      </c>
      <c r="T1279" s="2" t="s">
        <v>233</v>
      </c>
      <c r="U1279" s="2" t="s">
        <v>233</v>
      </c>
      <c r="V1279" s="2" t="s">
        <v>893</v>
      </c>
      <c r="W1279" s="2" t="s">
        <v>451</v>
      </c>
      <c r="X1279" s="2" t="s">
        <v>233</v>
      </c>
      <c r="Y1279" s="2" t="s">
        <v>5253</v>
      </c>
      <c r="Z1279" s="4">
        <v>588</v>
      </c>
      <c r="AA1279" s="4">
        <f>=ROUNDDOWN(588,0)</f>
      </c>
      <c r="AB1279" s="5">
        <v>1</v>
      </c>
      <c r="AC1279" s="2" t="s">
        <v>233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233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/>
      <c r="BD1279" s="8"/>
      <c r="BE1279" s="4"/>
      <c r="BF1279" s="8"/>
      <c r="BG1279" s="7"/>
      <c r="BH1279" s="7"/>
      <c r="BI1279" s="7"/>
      <c r="BJ1279" s="4"/>
      <c r="BK1279" s="8"/>
      <c r="BL1279" s="2" t="s">
        <v>5456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6311</v>
      </c>
      <c r="BV1279" s="2" t="s">
        <v>233</v>
      </c>
      <c r="BW1279" s="2" t="s">
        <v>233</v>
      </c>
      <c r="BX1279" s="2" t="s">
        <v>233</v>
      </c>
      <c r="BY1279" s="2" t="s">
        <v>280</v>
      </c>
      <c r="BZ1279" s="2" t="s">
        <v>245</v>
      </c>
      <c r="CA1279" s="2" t="s">
        <v>6312</v>
      </c>
      <c r="CB1279" s="2" t="s">
        <v>6313</v>
      </c>
      <c r="CC1279" s="2" t="s">
        <v>246</v>
      </c>
      <c r="CD1279" s="2" t="s">
        <v>233</v>
      </c>
      <c r="CE1279" s="4"/>
      <c r="CF1279" s="4">
        <v>588</v>
      </c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</row>
    <row r="1280">
      <c r="A1280" s="2" t="s">
        <v>6314</v>
      </c>
      <c r="B1280" s="2" t="s">
        <v>1066</v>
      </c>
      <c r="C1280" s="2" t="s">
        <v>901</v>
      </c>
      <c r="D1280" s="2" t="s">
        <v>1919</v>
      </c>
      <c r="E1280" s="2" t="s">
        <v>3467</v>
      </c>
      <c r="F1280" s="2" t="s">
        <v>6315</v>
      </c>
      <c r="G1280" s="2" t="s">
        <v>6315</v>
      </c>
      <c r="H1280" s="2" t="s">
        <v>6315</v>
      </c>
      <c r="I1280" s="2" t="s">
        <v>1920</v>
      </c>
      <c r="J1280" s="2" t="s">
        <v>892</v>
      </c>
      <c r="K1280" s="2" t="s">
        <v>5755</v>
      </c>
      <c r="L1280" s="3">
        <v>85</v>
      </c>
      <c r="M1280" s="3">
        <v>89.25</v>
      </c>
      <c r="N1280" s="3">
        <v>179</v>
      </c>
      <c r="O1280" s="2" t="s">
        <v>237</v>
      </c>
      <c r="P1280" s="2" t="s">
        <v>311</v>
      </c>
      <c r="Q1280" s="2" t="s">
        <v>239</v>
      </c>
      <c r="R1280" s="2" t="s">
        <v>233</v>
      </c>
      <c r="S1280" s="2" t="s">
        <v>233</v>
      </c>
      <c r="T1280" s="2" t="s">
        <v>233</v>
      </c>
      <c r="U1280" s="2" t="s">
        <v>396</v>
      </c>
      <c r="V1280" s="2" t="s">
        <v>893</v>
      </c>
      <c r="W1280" s="2" t="s">
        <v>894</v>
      </c>
      <c r="X1280" s="2" t="s">
        <v>2652</v>
      </c>
      <c r="Y1280" s="2" t="s">
        <v>6316</v>
      </c>
      <c r="Z1280" s="4">
        <v>181</v>
      </c>
      <c r="AA1280" s="4">
        <f>=ROUNDDOWN(452.5,0)</f>
      </c>
      <c r="AB1280" s="5">
        <v>0.4</v>
      </c>
      <c r="AC1280" s="2" t="s">
        <v>233</v>
      </c>
      <c r="AD1280" s="4"/>
      <c r="AE1280" s="4"/>
      <c r="AF1280" s="6">
        <v>66</v>
      </c>
      <c r="AG1280" s="6"/>
      <c r="AH1280" s="7">
        <v>1</v>
      </c>
      <c r="AI1280" s="4"/>
      <c r="AJ1280" s="4">
        <f>=ROUNDDOWN({0},0)</f>
      </c>
      <c r="AK1280" s="5"/>
      <c r="AL1280" s="2" t="s">
        <v>233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/>
      <c r="BD1280" s="8"/>
      <c r="BE1280" s="4"/>
      <c r="BF1280" s="8"/>
      <c r="BG1280" s="7"/>
      <c r="BH1280" s="7"/>
      <c r="BI1280" s="7"/>
      <c r="BJ1280" s="4">
        <v>2</v>
      </c>
      <c r="BK1280" s="8">
        <v>154.22</v>
      </c>
      <c r="BL1280" s="2" t="s">
        <v>6317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6318</v>
      </c>
      <c r="BV1280" s="2" t="s">
        <v>233</v>
      </c>
      <c r="BW1280" s="2" t="s">
        <v>233</v>
      </c>
      <c r="BX1280" s="2" t="s">
        <v>233</v>
      </c>
      <c r="BY1280" s="2" t="s">
        <v>280</v>
      </c>
      <c r="BZ1280" s="2" t="s">
        <v>245</v>
      </c>
      <c r="CA1280" s="2" t="s">
        <v>6319</v>
      </c>
      <c r="CB1280" s="2" t="s">
        <v>467</v>
      </c>
      <c r="CC1280" s="2" t="s">
        <v>246</v>
      </c>
      <c r="CD1280" s="2" t="s">
        <v>233</v>
      </c>
      <c r="CE1280" s="4"/>
      <c r="CF1280" s="4">
        <v>181</v>
      </c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</row>
    <row r="1281">
      <c r="A1281" s="2" t="s">
        <v>6320</v>
      </c>
      <c r="B1281" s="2" t="s">
        <v>1066</v>
      </c>
      <c r="C1281" s="2" t="s">
        <v>530</v>
      </c>
      <c r="D1281" s="2" t="s">
        <v>1067</v>
      </c>
      <c r="E1281" s="2" t="s">
        <v>1068</v>
      </c>
      <c r="F1281" s="2" t="s">
        <v>6321</v>
      </c>
      <c r="G1281" s="2" t="s">
        <v>6322</v>
      </c>
      <c r="H1281" s="2" t="s">
        <v>6323</v>
      </c>
      <c r="I1281" s="2" t="s">
        <v>2650</v>
      </c>
      <c r="J1281" s="2" t="s">
        <v>892</v>
      </c>
      <c r="K1281" s="2" t="s">
        <v>255</v>
      </c>
      <c r="L1281" s="3">
        <v>207.9</v>
      </c>
      <c r="M1281" s="3">
        <v>218.3</v>
      </c>
      <c r="N1281" s="3">
        <v>439</v>
      </c>
      <c r="O1281" s="2" t="s">
        <v>245</v>
      </c>
      <c r="P1281" s="2" t="s">
        <v>393</v>
      </c>
      <c r="Q1281" s="2" t="s">
        <v>239</v>
      </c>
      <c r="R1281" s="2" t="s">
        <v>233</v>
      </c>
      <c r="S1281" s="2" t="s">
        <v>233</v>
      </c>
      <c r="T1281" s="2" t="s">
        <v>233</v>
      </c>
      <c r="U1281" s="2" t="s">
        <v>233</v>
      </c>
      <c r="V1281" s="2" t="s">
        <v>241</v>
      </c>
      <c r="W1281" s="2" t="s">
        <v>275</v>
      </c>
      <c r="X1281" s="2" t="s">
        <v>233</v>
      </c>
      <c r="Y1281" s="2" t="s">
        <v>3182</v>
      </c>
      <c r="Z1281" s="4">
        <v>118</v>
      </c>
      <c r="AA1281" s="4">
        <f>=ROUNDDOWN(59,0)</f>
      </c>
      <c r="AB1281" s="5">
        <v>2</v>
      </c>
      <c r="AC1281" s="2" t="s">
        <v>233</v>
      </c>
      <c r="AD1281" s="4"/>
      <c r="AE1281" s="4"/>
      <c r="AF1281" s="6">
        <v>66</v>
      </c>
      <c r="AG1281" s="6"/>
      <c r="AH1281" s="7">
        <v>1</v>
      </c>
      <c r="AI1281" s="4"/>
      <c r="AJ1281" s="4">
        <f>=ROUNDDOWN({0},0)</f>
      </c>
      <c r="AK1281" s="5"/>
      <c r="AL1281" s="2" t="s">
        <v>233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/>
      <c r="BD1281" s="8"/>
      <c r="BE1281" s="4"/>
      <c r="BF1281" s="8"/>
      <c r="BG1281" s="7"/>
      <c r="BH1281" s="7"/>
      <c r="BI1281" s="7"/>
      <c r="BJ1281" s="4">
        <v>10</v>
      </c>
      <c r="BK1281" s="8">
        <v>1819.36</v>
      </c>
      <c r="BL1281" s="2" t="s">
        <v>6324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6325</v>
      </c>
      <c r="BV1281" s="2" t="s">
        <v>233</v>
      </c>
      <c r="BW1281" s="2" t="s">
        <v>233</v>
      </c>
      <c r="BX1281" s="2" t="s">
        <v>233</v>
      </c>
      <c r="BY1281" s="2" t="s">
        <v>280</v>
      </c>
      <c r="BZ1281" s="2" t="s">
        <v>245</v>
      </c>
      <c r="CA1281" s="2" t="s">
        <v>6326</v>
      </c>
      <c r="CB1281" s="2" t="s">
        <v>6327</v>
      </c>
      <c r="CC1281" s="2" t="s">
        <v>246</v>
      </c>
      <c r="CD1281" s="2" t="s">
        <v>233</v>
      </c>
      <c r="CE1281" s="4"/>
      <c r="CF1281" s="4">
        <v>118</v>
      </c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</row>
    <row r="1282">
      <c r="A1282" s="2" t="s">
        <v>6328</v>
      </c>
      <c r="B1282" s="2" t="s">
        <v>264</v>
      </c>
      <c r="C1282" s="2" t="s">
        <v>265</v>
      </c>
      <c r="D1282" s="2" t="s">
        <v>266</v>
      </c>
      <c r="E1282" s="2" t="s">
        <v>390</v>
      </c>
      <c r="F1282" s="2" t="s">
        <v>6329</v>
      </c>
      <c r="G1282" s="2" t="s">
        <v>6330</v>
      </c>
      <c r="H1282" s="2" t="s">
        <v>6330</v>
      </c>
      <c r="I1282" s="2" t="s">
        <v>6331</v>
      </c>
      <c r="J1282" s="2" t="s">
        <v>284</v>
      </c>
      <c r="K1282" s="2" t="s">
        <v>297</v>
      </c>
      <c r="L1282" s="3">
        <v>11.43</v>
      </c>
      <c r="M1282" s="3">
        <v>12</v>
      </c>
      <c r="N1282" s="3">
        <v>21.99</v>
      </c>
      <c r="O1282" s="2" t="s">
        <v>245</v>
      </c>
      <c r="P1282" s="2" t="s">
        <v>272</v>
      </c>
      <c r="Q1282" s="2" t="s">
        <v>239</v>
      </c>
      <c r="R1282" s="2" t="s">
        <v>233</v>
      </c>
      <c r="S1282" s="2" t="s">
        <v>6332</v>
      </c>
      <c r="T1282" s="2" t="s">
        <v>395</v>
      </c>
      <c r="U1282" s="2" t="s">
        <v>233</v>
      </c>
      <c r="V1282" s="2" t="s">
        <v>241</v>
      </c>
      <c r="W1282" s="2" t="s">
        <v>275</v>
      </c>
      <c r="X1282" s="2" t="s">
        <v>233</v>
      </c>
      <c r="Y1282" s="2" t="s">
        <v>276</v>
      </c>
      <c r="Z1282" s="4">
        <v>1055</v>
      </c>
      <c r="AA1282" s="4">
        <f>=ROUNDDOWN(30.1428571428571,0)</f>
      </c>
      <c r="AB1282" s="5">
        <v>35</v>
      </c>
      <c r="AC1282" s="2" t="s">
        <v>1514</v>
      </c>
      <c r="AD1282" s="4">
        <v>150</v>
      </c>
      <c r="AE1282" s="4">
        <v>1450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233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/>
      <c r="BD1282" s="8"/>
      <c r="BE1282" s="4"/>
      <c r="BF1282" s="8"/>
      <c r="BG1282" s="7"/>
      <c r="BH1282" s="7"/>
      <c r="BI1282" s="7"/>
      <c r="BJ1282" s="4">
        <v>134</v>
      </c>
      <c r="BK1282" s="8">
        <v>1922.91</v>
      </c>
      <c r="BL1282" s="2" t="s">
        <v>6333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6334</v>
      </c>
      <c r="BV1282" s="2" t="s">
        <v>233</v>
      </c>
      <c r="BW1282" s="2" t="s">
        <v>233</v>
      </c>
      <c r="BX1282" s="2" t="s">
        <v>233</v>
      </c>
      <c r="BY1282" s="2" t="s">
        <v>280</v>
      </c>
      <c r="BZ1282" s="2" t="s">
        <v>245</v>
      </c>
      <c r="CA1282" s="2" t="s">
        <v>281</v>
      </c>
      <c r="CB1282" s="2" t="s">
        <v>696</v>
      </c>
      <c r="CC1282" s="2" t="s">
        <v>246</v>
      </c>
      <c r="CD1282" s="2" t="s">
        <v>233</v>
      </c>
      <c r="CE1282" s="4">
        <v>1055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>
        <v>150</v>
      </c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>
        <v>600</v>
      </c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>
        <v>700</v>
      </c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</row>
    <row r="1283">
      <c r="A1283" s="2" t="s">
        <v>6335</v>
      </c>
      <c r="B1283" s="2" t="s">
        <v>228</v>
      </c>
      <c r="C1283" s="2" t="s">
        <v>530</v>
      </c>
      <c r="D1283" s="2" t="s">
        <v>969</v>
      </c>
      <c r="E1283" s="2" t="s">
        <v>970</v>
      </c>
      <c r="F1283" s="2" t="s">
        <v>6336</v>
      </c>
      <c r="G1283" s="2" t="s">
        <v>1789</v>
      </c>
      <c r="H1283" s="2" t="s">
        <v>1789</v>
      </c>
      <c r="I1283" s="2" t="s">
        <v>6337</v>
      </c>
      <c r="J1283" s="2" t="s">
        <v>270</v>
      </c>
      <c r="K1283" s="2" t="s">
        <v>1353</v>
      </c>
      <c r="L1283" s="3">
        <v>26.28</v>
      </c>
      <c r="M1283" s="3">
        <v>27.59</v>
      </c>
      <c r="N1283" s="3">
        <v>59.99</v>
      </c>
      <c r="O1283" s="2" t="s">
        <v>245</v>
      </c>
      <c r="P1283" s="2" t="s">
        <v>272</v>
      </c>
      <c r="Q1283" s="2" t="s">
        <v>239</v>
      </c>
      <c r="R1283" s="2" t="s">
        <v>233</v>
      </c>
      <c r="S1283" s="2" t="s">
        <v>6338</v>
      </c>
      <c r="T1283" s="2" t="s">
        <v>1055</v>
      </c>
      <c r="U1283" s="2" t="s">
        <v>491</v>
      </c>
      <c r="V1283" s="2" t="s">
        <v>359</v>
      </c>
      <c r="W1283" s="2" t="s">
        <v>977</v>
      </c>
      <c r="X1283" s="2" t="s">
        <v>1056</v>
      </c>
      <c r="Y1283" s="2" t="s">
        <v>6339</v>
      </c>
      <c r="Z1283" s="4">
        <v>61</v>
      </c>
      <c r="AA1283" s="4">
        <f>=ROUNDDOWN(61,0)</f>
      </c>
      <c r="AB1283" s="5">
        <v>1</v>
      </c>
      <c r="AC1283" s="2" t="s">
        <v>233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233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/>
      <c r="BD1283" s="8"/>
      <c r="BE1283" s="4"/>
      <c r="BF1283" s="8"/>
      <c r="BG1283" s="7"/>
      <c r="BH1283" s="7"/>
      <c r="BI1283" s="7"/>
      <c r="BJ1283" s="4">
        <v>3</v>
      </c>
      <c r="BK1283" s="8">
        <v>78.63</v>
      </c>
      <c r="BL1283" s="2" t="s">
        <v>1588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6340</v>
      </c>
      <c r="BV1283" s="2" t="s">
        <v>233</v>
      </c>
      <c r="BW1283" s="2" t="s">
        <v>233</v>
      </c>
      <c r="BX1283" s="2" t="s">
        <v>233</v>
      </c>
      <c r="BY1283" s="2" t="s">
        <v>280</v>
      </c>
      <c r="BZ1283" s="2" t="s">
        <v>245</v>
      </c>
      <c r="CA1283" s="2" t="s">
        <v>2991</v>
      </c>
      <c r="CB1283" s="2" t="s">
        <v>747</v>
      </c>
      <c r="CC1283" s="2" t="s">
        <v>246</v>
      </c>
      <c r="CD1283" s="2" t="s">
        <v>233</v>
      </c>
      <c r="CE1283" s="4">
        <v>61</v>
      </c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</row>
    <row r="1284">
      <c r="A1284" s="2" t="s">
        <v>6341</v>
      </c>
      <c r="B1284" s="2" t="s">
        <v>264</v>
      </c>
      <c r="C1284" s="2" t="s">
        <v>530</v>
      </c>
      <c r="D1284" s="2" t="s">
        <v>969</v>
      </c>
      <c r="E1284" s="2" t="s">
        <v>2383</v>
      </c>
      <c r="F1284" s="2" t="s">
        <v>6342</v>
      </c>
      <c r="G1284" s="2" t="s">
        <v>6342</v>
      </c>
      <c r="H1284" s="2" t="s">
        <v>6342</v>
      </c>
      <c r="I1284" s="2" t="s">
        <v>3655</v>
      </c>
      <c r="J1284" s="2" t="s">
        <v>918</v>
      </c>
      <c r="K1284" s="2" t="s">
        <v>297</v>
      </c>
      <c r="L1284" s="3">
        <v>18.28</v>
      </c>
      <c r="M1284" s="3">
        <v>19.19</v>
      </c>
      <c r="N1284" s="3">
        <v>39.99</v>
      </c>
      <c r="O1284" s="2" t="s">
        <v>245</v>
      </c>
      <c r="P1284" s="2" t="s">
        <v>272</v>
      </c>
      <c r="Q1284" s="2" t="s">
        <v>239</v>
      </c>
      <c r="R1284" s="2" t="s">
        <v>233</v>
      </c>
      <c r="S1284" s="2" t="s">
        <v>6343</v>
      </c>
      <c r="T1284" s="2" t="s">
        <v>395</v>
      </c>
      <c r="U1284" s="2" t="s">
        <v>396</v>
      </c>
      <c r="V1284" s="2" t="s">
        <v>1085</v>
      </c>
      <c r="W1284" s="2" t="s">
        <v>275</v>
      </c>
      <c r="X1284" s="2" t="s">
        <v>397</v>
      </c>
      <c r="Y1284" s="2" t="s">
        <v>1026</v>
      </c>
      <c r="Z1284" s="4">
        <v>122</v>
      </c>
      <c r="AA1284" s="4">
        <f>=ROUNDDOWN(30.5,0)</f>
      </c>
      <c r="AB1284" s="5">
        <v>4</v>
      </c>
      <c r="AC1284" s="2" t="s">
        <v>2766</v>
      </c>
      <c r="AD1284" s="4">
        <v>40</v>
      </c>
      <c r="AE1284" s="4">
        <v>40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233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>
        <v>9</v>
      </c>
      <c r="BK1284" s="8">
        <v>184.25</v>
      </c>
      <c r="BL1284" s="2" t="s">
        <v>6344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6345</v>
      </c>
      <c r="BV1284" s="2" t="s">
        <v>233</v>
      </c>
      <c r="BW1284" s="2" t="s">
        <v>233</v>
      </c>
      <c r="BX1284" s="2" t="s">
        <v>233</v>
      </c>
      <c r="BY1284" s="2" t="s">
        <v>280</v>
      </c>
      <c r="BZ1284" s="2" t="s">
        <v>245</v>
      </c>
      <c r="CA1284" s="2" t="s">
        <v>3584</v>
      </c>
      <c r="CB1284" s="2" t="s">
        <v>5884</v>
      </c>
      <c r="CC1284" s="2" t="s">
        <v>246</v>
      </c>
      <c r="CD1284" s="2" t="s">
        <v>233</v>
      </c>
      <c r="CE1284" s="4">
        <v>122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>
        <v>40</v>
      </c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</row>
    <row r="1285">
      <c r="A1285" s="2" t="s">
        <v>6346</v>
      </c>
      <c r="B1285" s="2" t="s">
        <v>1242</v>
      </c>
      <c r="C1285" s="2" t="s">
        <v>1335</v>
      </c>
      <c r="D1285" s="2" t="s">
        <v>1862</v>
      </c>
      <c r="E1285" s="2" t="s">
        <v>6347</v>
      </c>
      <c r="F1285" s="2" t="s">
        <v>2489</v>
      </c>
      <c r="G1285" s="2" t="s">
        <v>2489</v>
      </c>
      <c r="H1285" s="2" t="s">
        <v>2489</v>
      </c>
      <c r="I1285" s="2" t="s">
        <v>6348</v>
      </c>
      <c r="J1285" s="2" t="s">
        <v>981</v>
      </c>
      <c r="K1285" s="2" t="s">
        <v>449</v>
      </c>
      <c r="L1285" s="3">
        <v>52.38</v>
      </c>
      <c r="M1285" s="3">
        <v>55</v>
      </c>
      <c r="N1285" s="3">
        <v>109.99</v>
      </c>
      <c r="O1285" s="2" t="s">
        <v>237</v>
      </c>
      <c r="P1285" s="2" t="s">
        <v>311</v>
      </c>
      <c r="Q1285" s="2" t="s">
        <v>239</v>
      </c>
      <c r="R1285" s="2" t="s">
        <v>233</v>
      </c>
      <c r="S1285" s="2" t="s">
        <v>6349</v>
      </c>
      <c r="T1285" s="2" t="s">
        <v>341</v>
      </c>
      <c r="U1285" s="2" t="s">
        <v>475</v>
      </c>
      <c r="V1285" s="2" t="s">
        <v>1085</v>
      </c>
      <c r="W1285" s="2" t="s">
        <v>978</v>
      </c>
      <c r="X1285" s="2" t="s">
        <v>1056</v>
      </c>
      <c r="Y1285" s="2" t="s">
        <v>6350</v>
      </c>
      <c r="Z1285" s="4">
        <v>175</v>
      </c>
      <c r="AA1285" s="4">
        <f>=ROUNDDOWN(83.3333333333333,0)</f>
      </c>
      <c r="AB1285" s="5">
        <v>2.1</v>
      </c>
      <c r="AC1285" s="2" t="s">
        <v>233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233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/>
      <c r="BD1285" s="8"/>
      <c r="BE1285" s="4"/>
      <c r="BF1285" s="8"/>
      <c r="BG1285" s="7"/>
      <c r="BH1285" s="7"/>
      <c r="BI1285" s="7"/>
      <c r="BJ1285" s="4">
        <v>8</v>
      </c>
      <c r="BK1285" s="8">
        <v>320.41</v>
      </c>
      <c r="BL1285" s="2" t="s">
        <v>6351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6352</v>
      </c>
      <c r="BV1285" s="2" t="s">
        <v>233</v>
      </c>
      <c r="BW1285" s="2" t="s">
        <v>233</v>
      </c>
      <c r="BX1285" s="2" t="s">
        <v>233</v>
      </c>
      <c r="BY1285" s="2" t="s">
        <v>280</v>
      </c>
      <c r="BZ1285" s="2" t="s">
        <v>245</v>
      </c>
      <c r="CA1285" s="2" t="s">
        <v>6353</v>
      </c>
      <c r="CB1285" s="2" t="s">
        <v>6354</v>
      </c>
      <c r="CC1285" s="2" t="s">
        <v>246</v>
      </c>
      <c r="CD1285" s="2" t="s">
        <v>233</v>
      </c>
      <c r="CE1285" s="4">
        <v>175</v>
      </c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</row>
    <row r="1286">
      <c r="A1286" s="2" t="s">
        <v>6355</v>
      </c>
      <c r="B1286" s="2" t="s">
        <v>228</v>
      </c>
      <c r="C1286" s="2" t="s">
        <v>1335</v>
      </c>
      <c r="D1286" s="2" t="s">
        <v>969</v>
      </c>
      <c r="E1286" s="2" t="s">
        <v>1078</v>
      </c>
      <c r="F1286" s="2" t="s">
        <v>6356</v>
      </c>
      <c r="G1286" s="2" t="s">
        <v>6356</v>
      </c>
      <c r="H1286" s="2" t="s">
        <v>6356</v>
      </c>
      <c r="I1286" s="2" t="s">
        <v>4869</v>
      </c>
      <c r="J1286" s="2" t="s">
        <v>270</v>
      </c>
      <c r="K1286" s="2" t="s">
        <v>6357</v>
      </c>
      <c r="L1286" s="3">
        <v>28.57</v>
      </c>
      <c r="M1286" s="3">
        <v>30</v>
      </c>
      <c r="N1286" s="3">
        <v>59.99</v>
      </c>
      <c r="O1286" s="2" t="s">
        <v>237</v>
      </c>
      <c r="P1286" s="2" t="s">
        <v>311</v>
      </c>
      <c r="Q1286" s="2" t="s">
        <v>239</v>
      </c>
      <c r="R1286" s="2" t="s">
        <v>233</v>
      </c>
      <c r="S1286" s="2" t="s">
        <v>6358</v>
      </c>
      <c r="T1286" s="2" t="s">
        <v>5238</v>
      </c>
      <c r="U1286" s="2" t="s">
        <v>475</v>
      </c>
      <c r="V1286" s="2" t="s">
        <v>1340</v>
      </c>
      <c r="W1286" s="2" t="s">
        <v>1056</v>
      </c>
      <c r="X1286" s="2" t="s">
        <v>776</v>
      </c>
      <c r="Y1286" s="2" t="s">
        <v>6359</v>
      </c>
      <c r="Z1286" s="4">
        <v>103</v>
      </c>
      <c r="AA1286" s="4">
        <f>=ROUNDDOWN(73.5714285714286,0)</f>
      </c>
      <c r="AB1286" s="5">
        <v>1.4</v>
      </c>
      <c r="AC1286" s="2" t="s">
        <v>233</v>
      </c>
      <c r="AD1286" s="4"/>
      <c r="AE1286" s="4"/>
      <c r="AF1286" s="6">
        <v>66</v>
      </c>
      <c r="AG1286" s="6"/>
      <c r="AH1286" s="7">
        <v>1</v>
      </c>
      <c r="AI1286" s="4"/>
      <c r="AJ1286" s="4">
        <f>=ROUNDDOWN({0},0)</f>
      </c>
      <c r="AK1286" s="5"/>
      <c r="AL1286" s="2" t="s">
        <v>233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/>
      <c r="BD1286" s="8"/>
      <c r="BE1286" s="4"/>
      <c r="BF1286" s="8"/>
      <c r="BG1286" s="7"/>
      <c r="BH1286" s="7"/>
      <c r="BI1286" s="7"/>
      <c r="BJ1286" s="4">
        <v>13</v>
      </c>
      <c r="BK1286" s="8">
        <v>394.21</v>
      </c>
      <c r="BL1286" s="2" t="s">
        <v>6360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6361</v>
      </c>
      <c r="BV1286" s="2" t="s">
        <v>233</v>
      </c>
      <c r="BW1286" s="2" t="s">
        <v>233</v>
      </c>
      <c r="BX1286" s="2" t="s">
        <v>233</v>
      </c>
      <c r="BY1286" s="2" t="s">
        <v>280</v>
      </c>
      <c r="BZ1286" s="2" t="s">
        <v>245</v>
      </c>
      <c r="CA1286" s="2" t="s">
        <v>3684</v>
      </c>
      <c r="CB1286" s="2" t="s">
        <v>6362</v>
      </c>
      <c r="CC1286" s="2" t="s">
        <v>246</v>
      </c>
      <c r="CD1286" s="2" t="s">
        <v>233</v>
      </c>
      <c r="CE1286" s="4">
        <v>103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</row>
    <row r="1287">
      <c r="A1287" s="2" t="s">
        <v>6363</v>
      </c>
      <c r="B1287" s="2" t="s">
        <v>928</v>
      </c>
      <c r="C1287" s="2" t="s">
        <v>1130</v>
      </c>
      <c r="D1287" s="2" t="s">
        <v>929</v>
      </c>
      <c r="E1287" s="2" t="s">
        <v>939</v>
      </c>
      <c r="F1287" s="2" t="s">
        <v>6364</v>
      </c>
      <c r="G1287" s="2" t="s">
        <v>6364</v>
      </c>
      <c r="H1287" s="2" t="s">
        <v>6364</v>
      </c>
      <c r="I1287" s="2" t="s">
        <v>6365</v>
      </c>
      <c r="J1287" s="2" t="s">
        <v>892</v>
      </c>
      <c r="K1287" s="2" t="s">
        <v>6366</v>
      </c>
      <c r="L1287" s="3">
        <v>27.2</v>
      </c>
      <c r="M1287" s="3">
        <v>28.56</v>
      </c>
      <c r="N1287" s="3">
        <v>59.49</v>
      </c>
      <c r="O1287" s="2" t="s">
        <v>245</v>
      </c>
      <c r="P1287" s="2" t="s">
        <v>393</v>
      </c>
      <c r="Q1287" s="2" t="s">
        <v>239</v>
      </c>
      <c r="R1287" s="2" t="s">
        <v>233</v>
      </c>
      <c r="S1287" s="2" t="s">
        <v>233</v>
      </c>
      <c r="T1287" s="2" t="s">
        <v>233</v>
      </c>
      <c r="U1287" s="2" t="s">
        <v>491</v>
      </c>
      <c r="V1287" s="2" t="s">
        <v>893</v>
      </c>
      <c r="W1287" s="2" t="s">
        <v>275</v>
      </c>
      <c r="X1287" s="2" t="s">
        <v>233</v>
      </c>
      <c r="Y1287" s="2" t="s">
        <v>6367</v>
      </c>
      <c r="Z1287" s="4">
        <v>82</v>
      </c>
      <c r="AA1287" s="4">
        <f>=ROUNDDOWN(41,0)</f>
      </c>
      <c r="AB1287" s="5">
        <v>2</v>
      </c>
      <c r="AC1287" s="2" t="s">
        <v>233</v>
      </c>
      <c r="AD1287" s="4"/>
      <c r="AE1287" s="4"/>
      <c r="AF1287" s="6">
        <v>63</v>
      </c>
      <c r="AG1287" s="6"/>
      <c r="AH1287" s="7">
        <v>1</v>
      </c>
      <c r="AI1287" s="4"/>
      <c r="AJ1287" s="4">
        <f>=ROUNDDOWN({0},0)</f>
      </c>
      <c r="AK1287" s="5"/>
      <c r="AL1287" s="2" t="s">
        <v>233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/>
      <c r="BD1287" s="8"/>
      <c r="BE1287" s="4"/>
      <c r="BF1287" s="8"/>
      <c r="BG1287" s="7"/>
      <c r="BH1287" s="7"/>
      <c r="BI1287" s="7"/>
      <c r="BJ1287" s="4"/>
      <c r="BK1287" s="8"/>
      <c r="BL1287" s="2" t="s">
        <v>233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6368</v>
      </c>
      <c r="BV1287" s="2" t="s">
        <v>233</v>
      </c>
      <c r="BW1287" s="2" t="s">
        <v>233</v>
      </c>
      <c r="BX1287" s="2" t="s">
        <v>233</v>
      </c>
      <c r="BY1287" s="2" t="s">
        <v>280</v>
      </c>
      <c r="BZ1287" s="2" t="s">
        <v>245</v>
      </c>
      <c r="CA1287" s="2" t="s">
        <v>5900</v>
      </c>
      <c r="CB1287" s="2" t="s">
        <v>233</v>
      </c>
      <c r="CC1287" s="2" t="s">
        <v>246</v>
      </c>
      <c r="CD1287" s="2" t="s">
        <v>233</v>
      </c>
      <c r="CE1287" s="4"/>
      <c r="CF1287" s="4">
        <v>82</v>
      </c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</row>
    <row r="1288">
      <c r="A1288" s="2" t="s">
        <v>6369</v>
      </c>
      <c r="B1288" s="2" t="s">
        <v>1242</v>
      </c>
      <c r="C1288" s="2" t="s">
        <v>1335</v>
      </c>
      <c r="D1288" s="2" t="s">
        <v>1616</v>
      </c>
      <c r="E1288" s="2" t="s">
        <v>1617</v>
      </c>
      <c r="F1288" s="2" t="s">
        <v>6370</v>
      </c>
      <c r="G1288" s="2" t="s">
        <v>6370</v>
      </c>
      <c r="H1288" s="2" t="s">
        <v>6370</v>
      </c>
      <c r="I1288" s="2" t="s">
        <v>6371</v>
      </c>
      <c r="J1288" s="2" t="s">
        <v>1620</v>
      </c>
      <c r="K1288" s="2" t="s">
        <v>1561</v>
      </c>
      <c r="L1288" s="3">
        <v>22.05</v>
      </c>
      <c r="M1288" s="3">
        <v>23.15</v>
      </c>
      <c r="N1288" s="3">
        <v>44.99</v>
      </c>
      <c r="O1288" s="2" t="s">
        <v>245</v>
      </c>
      <c r="P1288" s="2" t="s">
        <v>763</v>
      </c>
      <c r="Q1288" s="2" t="s">
        <v>239</v>
      </c>
      <c r="R1288" s="2" t="s">
        <v>233</v>
      </c>
      <c r="S1288" s="2" t="s">
        <v>6372</v>
      </c>
      <c r="T1288" s="2" t="s">
        <v>233</v>
      </c>
      <c r="U1288" s="2" t="s">
        <v>233</v>
      </c>
      <c r="V1288" s="2" t="s">
        <v>1340</v>
      </c>
      <c r="W1288" s="2" t="s">
        <v>978</v>
      </c>
      <c r="X1288" s="2" t="s">
        <v>275</v>
      </c>
      <c r="Y1288" s="2" t="s">
        <v>276</v>
      </c>
      <c r="Z1288" s="4">
        <v>428</v>
      </c>
      <c r="AA1288" s="4">
        <f>=ROUNDDOWN(25.1764705882353,0)</f>
      </c>
      <c r="AB1288" s="5">
        <v>17</v>
      </c>
      <c r="AC1288" s="2" t="s">
        <v>2183</v>
      </c>
      <c r="AD1288" s="4">
        <v>240</v>
      </c>
      <c r="AE1288" s="4">
        <v>610</v>
      </c>
      <c r="AF1288" s="6">
        <v>69</v>
      </c>
      <c r="AG1288" s="6"/>
      <c r="AH1288" s="7">
        <v>1</v>
      </c>
      <c r="AI1288" s="4"/>
      <c r="AJ1288" s="4">
        <f>=ROUNDDOWN({0},0)</f>
      </c>
      <c r="AK1288" s="5"/>
      <c r="AL1288" s="2" t="s">
        <v>233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>
        <v>14</v>
      </c>
      <c r="BK1288" s="8">
        <v>329.78</v>
      </c>
      <c r="BL1288" s="2" t="s">
        <v>6373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6374</v>
      </c>
      <c r="BV1288" s="2" t="s">
        <v>233</v>
      </c>
      <c r="BW1288" s="2" t="s">
        <v>233</v>
      </c>
      <c r="BX1288" s="2" t="s">
        <v>233</v>
      </c>
      <c r="BY1288" s="2" t="s">
        <v>280</v>
      </c>
      <c r="BZ1288" s="2" t="s">
        <v>245</v>
      </c>
      <c r="CA1288" s="2" t="s">
        <v>1318</v>
      </c>
      <c r="CB1288" s="2" t="s">
        <v>6375</v>
      </c>
      <c r="CC1288" s="2" t="s">
        <v>246</v>
      </c>
      <c r="CD1288" s="2" t="s">
        <v>233</v>
      </c>
      <c r="CE1288" s="4">
        <v>428</v>
      </c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>
        <v>240</v>
      </c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>
        <v>370</v>
      </c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</row>
    <row r="1289">
      <c r="A1289" s="2" t="s">
        <v>6376</v>
      </c>
      <c r="B1289" s="2" t="s">
        <v>1066</v>
      </c>
      <c r="C1289" s="2" t="s">
        <v>1321</v>
      </c>
      <c r="D1289" s="2" t="s">
        <v>1923</v>
      </c>
      <c r="E1289" s="2" t="s">
        <v>1924</v>
      </c>
      <c r="F1289" s="2" t="s">
        <v>6377</v>
      </c>
      <c r="G1289" s="2" t="s">
        <v>233</v>
      </c>
      <c r="H1289" s="2" t="s">
        <v>233</v>
      </c>
      <c r="I1289" s="2" t="s">
        <v>6378</v>
      </c>
      <c r="J1289" s="2" t="s">
        <v>892</v>
      </c>
      <c r="K1289" s="2" t="s">
        <v>255</v>
      </c>
      <c r="L1289" s="3">
        <v>256.03</v>
      </c>
      <c r="M1289" s="3">
        <v>268.83</v>
      </c>
      <c r="N1289" s="3">
        <v>529</v>
      </c>
      <c r="O1289" s="2" t="s">
        <v>245</v>
      </c>
      <c r="P1289" s="2" t="s">
        <v>272</v>
      </c>
      <c r="Q1289" s="2" t="s">
        <v>239</v>
      </c>
      <c r="R1289" s="2" t="s">
        <v>233</v>
      </c>
      <c r="S1289" s="2" t="s">
        <v>233</v>
      </c>
      <c r="T1289" s="2" t="s">
        <v>233</v>
      </c>
      <c r="U1289" s="2" t="s">
        <v>233</v>
      </c>
      <c r="V1289" s="2" t="s">
        <v>241</v>
      </c>
      <c r="W1289" s="2" t="s">
        <v>776</v>
      </c>
      <c r="X1289" s="2" t="s">
        <v>233</v>
      </c>
      <c r="Y1289" s="2" t="s">
        <v>1150</v>
      </c>
      <c r="Z1289" s="4">
        <v>189</v>
      </c>
      <c r="AA1289" s="4">
        <f>=ROUNDDOWN(21,0)</f>
      </c>
      <c r="AB1289" s="5">
        <v>9</v>
      </c>
      <c r="AC1289" s="2" t="s">
        <v>2533</v>
      </c>
      <c r="AD1289" s="4">
        <v>145</v>
      </c>
      <c r="AE1289" s="4">
        <v>265</v>
      </c>
      <c r="AF1289" s="6">
        <v>66</v>
      </c>
      <c r="AG1289" s="6">
        <v>49</v>
      </c>
      <c r="AH1289" s="7">
        <v>1</v>
      </c>
      <c r="AI1289" s="4"/>
      <c r="AJ1289" s="4">
        <f>=ROUNDDOWN({0},0)</f>
      </c>
      <c r="AK1289" s="5"/>
      <c r="AL1289" s="2" t="s">
        <v>233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>
        <v>18</v>
      </c>
      <c r="BK1289" s="8">
        <v>4557.92</v>
      </c>
      <c r="BL1289" s="2" t="s">
        <v>6379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6380</v>
      </c>
      <c r="BV1289" s="2" t="s">
        <v>233</v>
      </c>
      <c r="BW1289" s="2" t="s">
        <v>233</v>
      </c>
      <c r="BX1289" s="2" t="s">
        <v>233</v>
      </c>
      <c r="BY1289" s="2" t="s">
        <v>280</v>
      </c>
      <c r="BZ1289" s="2" t="s">
        <v>245</v>
      </c>
      <c r="CA1289" s="2" t="s">
        <v>4173</v>
      </c>
      <c r="CB1289" s="2" t="s">
        <v>6381</v>
      </c>
      <c r="CC1289" s="2" t="s">
        <v>246</v>
      </c>
      <c r="CD1289" s="2" t="s">
        <v>233</v>
      </c>
      <c r="CE1289" s="4"/>
      <c r="CF1289" s="4">
        <v>189</v>
      </c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>
        <v>145</v>
      </c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>
        <v>120</v>
      </c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</row>
    <row r="1290">
      <c r="A1290" s="2" t="s">
        <v>6382</v>
      </c>
      <c r="B1290" s="2" t="s">
        <v>1242</v>
      </c>
      <c r="C1290" s="2" t="s">
        <v>530</v>
      </c>
      <c r="D1290" s="2" t="s">
        <v>912</v>
      </c>
      <c r="E1290" s="2" t="s">
        <v>913</v>
      </c>
      <c r="F1290" s="2" t="s">
        <v>6383</v>
      </c>
      <c r="G1290" s="2" t="s">
        <v>6384</v>
      </c>
      <c r="H1290" s="2" t="s">
        <v>6385</v>
      </c>
      <c r="I1290" s="2" t="s">
        <v>6386</v>
      </c>
      <c r="J1290" s="2" t="s">
        <v>981</v>
      </c>
      <c r="K1290" s="2" t="s">
        <v>1419</v>
      </c>
      <c r="L1290" s="3">
        <v>22.85</v>
      </c>
      <c r="M1290" s="3">
        <v>23.99</v>
      </c>
      <c r="N1290" s="3">
        <v>49.99</v>
      </c>
      <c r="O1290" s="2" t="s">
        <v>245</v>
      </c>
      <c r="P1290" s="2" t="s">
        <v>238</v>
      </c>
      <c r="Q1290" s="2" t="s">
        <v>239</v>
      </c>
      <c r="R1290" s="2" t="s">
        <v>233</v>
      </c>
      <c r="S1290" s="2" t="s">
        <v>6387</v>
      </c>
      <c r="T1290" s="2" t="s">
        <v>395</v>
      </c>
      <c r="U1290" s="2" t="s">
        <v>342</v>
      </c>
      <c r="V1290" s="2" t="s">
        <v>1085</v>
      </c>
      <c r="W1290" s="2" t="s">
        <v>1700</v>
      </c>
      <c r="X1290" s="2" t="s">
        <v>1763</v>
      </c>
      <c r="Y1290" s="2" t="s">
        <v>6388</v>
      </c>
      <c r="Z1290" s="4">
        <v>35</v>
      </c>
      <c r="AA1290" s="4">
        <f>=ROUNDDOWN(11.6666666666667,0)</f>
      </c>
      <c r="AB1290" s="5">
        <v>3</v>
      </c>
      <c r="AC1290" s="2" t="s">
        <v>3556</v>
      </c>
      <c r="AD1290" s="4">
        <v>40</v>
      </c>
      <c r="AE1290" s="4">
        <v>40</v>
      </c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233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233</v>
      </c>
      <c r="AW1290" s="8" t="s">
        <v>233</v>
      </c>
      <c r="AX1290" s="4" t="s">
        <v>233</v>
      </c>
      <c r="AY1290" s="8" t="s">
        <v>233</v>
      </c>
      <c r="AZ1290" s="7" t="s">
        <v>233</v>
      </c>
      <c r="BA1290" s="7" t="s">
        <v>233</v>
      </c>
      <c r="BB1290" s="7"/>
      <c r="BC1290" s="4" t="s">
        <v>233</v>
      </c>
      <c r="BD1290" s="8" t="s">
        <v>233</v>
      </c>
      <c r="BE1290" s="4" t="s">
        <v>233</v>
      </c>
      <c r="BF1290" s="8" t="s">
        <v>233</v>
      </c>
      <c r="BG1290" s="7" t="s">
        <v>233</v>
      </c>
      <c r="BH1290" s="7" t="s">
        <v>233</v>
      </c>
      <c r="BI1290" s="7"/>
      <c r="BJ1290" s="4">
        <v>4</v>
      </c>
      <c r="BK1290" s="8">
        <v>99.8</v>
      </c>
      <c r="BL1290" s="2" t="s">
        <v>6389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6390</v>
      </c>
      <c r="BV1290" s="2" t="s">
        <v>233</v>
      </c>
      <c r="BW1290" s="2" t="s">
        <v>233</v>
      </c>
      <c r="BX1290" s="2" t="s">
        <v>243</v>
      </c>
      <c r="BY1290" s="2" t="s">
        <v>280</v>
      </c>
      <c r="BZ1290" s="2" t="s">
        <v>245</v>
      </c>
      <c r="CA1290" s="2" t="s">
        <v>2845</v>
      </c>
      <c r="CB1290" s="2" t="s">
        <v>233</v>
      </c>
      <c r="CC1290" s="2" t="s">
        <v>246</v>
      </c>
      <c r="CD1290" s="2" t="s">
        <v>233</v>
      </c>
      <c r="CE1290" s="4">
        <v>35</v>
      </c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>
        <v>40</v>
      </c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</row>
    <row r="1291">
      <c r="A1291" s="2" t="s">
        <v>6391</v>
      </c>
      <c r="B1291" s="2" t="s">
        <v>1242</v>
      </c>
      <c r="C1291" s="2" t="s">
        <v>530</v>
      </c>
      <c r="D1291" s="2" t="s">
        <v>969</v>
      </c>
      <c r="E1291" s="2" t="s">
        <v>1078</v>
      </c>
      <c r="F1291" s="2" t="s">
        <v>6383</v>
      </c>
      <c r="G1291" s="2" t="s">
        <v>6384</v>
      </c>
      <c r="H1291" s="2" t="s">
        <v>6385</v>
      </c>
      <c r="I1291" s="2" t="s">
        <v>6392</v>
      </c>
      <c r="J1291" s="2" t="s">
        <v>1142</v>
      </c>
      <c r="K1291" s="2" t="s">
        <v>1419</v>
      </c>
      <c r="L1291" s="3">
        <v>41.14</v>
      </c>
      <c r="M1291" s="3">
        <v>43.2</v>
      </c>
      <c r="N1291" s="3">
        <v>89.99</v>
      </c>
      <c r="O1291" s="2" t="s">
        <v>245</v>
      </c>
      <c r="P1291" s="2" t="s">
        <v>238</v>
      </c>
      <c r="Q1291" s="2" t="s">
        <v>239</v>
      </c>
      <c r="R1291" s="2" t="s">
        <v>233</v>
      </c>
      <c r="S1291" s="2" t="s">
        <v>6387</v>
      </c>
      <c r="T1291" s="2" t="s">
        <v>395</v>
      </c>
      <c r="U1291" s="2" t="s">
        <v>342</v>
      </c>
      <c r="V1291" s="2" t="s">
        <v>1085</v>
      </c>
      <c r="W1291" s="2" t="s">
        <v>1700</v>
      </c>
      <c r="X1291" s="2" t="s">
        <v>1763</v>
      </c>
      <c r="Y1291" s="2" t="s">
        <v>6388</v>
      </c>
      <c r="Z1291" s="4">
        <v>105</v>
      </c>
      <c r="AA1291" s="4">
        <f>=ROUNDDOWN(9.54545454545454,0)</f>
      </c>
      <c r="AB1291" s="5">
        <v>11</v>
      </c>
      <c r="AC1291" s="2" t="s">
        <v>3556</v>
      </c>
      <c r="AD1291" s="4">
        <v>150</v>
      </c>
      <c r="AE1291" s="4">
        <v>150</v>
      </c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233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233</v>
      </c>
      <c r="AW1291" s="8" t="s">
        <v>233</v>
      </c>
      <c r="AX1291" s="4" t="s">
        <v>233</v>
      </c>
      <c r="AY1291" s="8" t="s">
        <v>233</v>
      </c>
      <c r="AZ1291" s="7" t="s">
        <v>233</v>
      </c>
      <c r="BA1291" s="7" t="s">
        <v>233</v>
      </c>
      <c r="BB1291" s="7" t="s">
        <v>233</v>
      </c>
      <c r="BC1291" s="4" t="s">
        <v>233</v>
      </c>
      <c r="BD1291" s="8" t="s">
        <v>233</v>
      </c>
      <c r="BE1291" s="4" t="s">
        <v>233</v>
      </c>
      <c r="BF1291" s="8" t="s">
        <v>233</v>
      </c>
      <c r="BG1291" s="7" t="s">
        <v>233</v>
      </c>
      <c r="BH1291" s="7" t="s">
        <v>233</v>
      </c>
      <c r="BI1291" s="7"/>
      <c r="BJ1291" s="4">
        <v>24</v>
      </c>
      <c r="BK1291" s="8">
        <v>1081.17</v>
      </c>
      <c r="BL1291" s="2" t="s">
        <v>2045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6393</v>
      </c>
      <c r="BV1291" s="2" t="s">
        <v>233</v>
      </c>
      <c r="BW1291" s="2" t="s">
        <v>233</v>
      </c>
      <c r="BX1291" s="2" t="s">
        <v>243</v>
      </c>
      <c r="BY1291" s="2" t="s">
        <v>280</v>
      </c>
      <c r="BZ1291" s="2" t="s">
        <v>245</v>
      </c>
      <c r="CA1291" s="2" t="s">
        <v>2136</v>
      </c>
      <c r="CB1291" s="2" t="s">
        <v>233</v>
      </c>
      <c r="CC1291" s="2" t="s">
        <v>246</v>
      </c>
      <c r="CD1291" s="2" t="s">
        <v>233</v>
      </c>
      <c r="CE1291" s="4">
        <v>105</v>
      </c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>
        <v>150</v>
      </c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</row>
    <row r="1292">
      <c r="A1292" s="2" t="s">
        <v>6394</v>
      </c>
      <c r="B1292" s="2" t="s">
        <v>1242</v>
      </c>
      <c r="C1292" s="2" t="s">
        <v>530</v>
      </c>
      <c r="D1292" s="2" t="s">
        <v>912</v>
      </c>
      <c r="E1292" s="2" t="s">
        <v>913</v>
      </c>
      <c r="F1292" s="2" t="s">
        <v>6383</v>
      </c>
      <c r="G1292" s="2" t="s">
        <v>6384</v>
      </c>
      <c r="H1292" s="2" t="s">
        <v>6385</v>
      </c>
      <c r="I1292" s="2" t="s">
        <v>6386</v>
      </c>
      <c r="J1292" s="2" t="s">
        <v>1142</v>
      </c>
      <c r="K1292" s="2" t="s">
        <v>1419</v>
      </c>
      <c r="L1292" s="3">
        <v>27.42</v>
      </c>
      <c r="M1292" s="3">
        <v>28.79</v>
      </c>
      <c r="N1292" s="3">
        <v>59.99</v>
      </c>
      <c r="O1292" s="2" t="s">
        <v>245</v>
      </c>
      <c r="P1292" s="2" t="s">
        <v>238</v>
      </c>
      <c r="Q1292" s="2" t="s">
        <v>239</v>
      </c>
      <c r="R1292" s="2" t="s">
        <v>233</v>
      </c>
      <c r="S1292" s="2" t="s">
        <v>6387</v>
      </c>
      <c r="T1292" s="2" t="s">
        <v>395</v>
      </c>
      <c r="U1292" s="2" t="s">
        <v>342</v>
      </c>
      <c r="V1292" s="2" t="s">
        <v>1085</v>
      </c>
      <c r="W1292" s="2" t="s">
        <v>1700</v>
      </c>
      <c r="X1292" s="2" t="s">
        <v>1763</v>
      </c>
      <c r="Y1292" s="2" t="s">
        <v>6388</v>
      </c>
      <c r="Z1292" s="4">
        <v>43</v>
      </c>
      <c r="AA1292" s="4">
        <f>=ROUNDDOWN(10.75,0)</f>
      </c>
      <c r="AB1292" s="5">
        <v>4</v>
      </c>
      <c r="AC1292" s="2" t="s">
        <v>3556</v>
      </c>
      <c r="AD1292" s="4">
        <v>50</v>
      </c>
      <c r="AE1292" s="4">
        <v>50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233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233</v>
      </c>
      <c r="AW1292" s="8" t="s">
        <v>233</v>
      </c>
      <c r="AX1292" s="4" t="s">
        <v>233</v>
      </c>
      <c r="AY1292" s="8" t="s">
        <v>233</v>
      </c>
      <c r="AZ1292" s="7" t="s">
        <v>233</v>
      </c>
      <c r="BA1292" s="7" t="s">
        <v>233</v>
      </c>
      <c r="BB1292" s="7" t="s">
        <v>233</v>
      </c>
      <c r="BC1292" s="4" t="s">
        <v>233</v>
      </c>
      <c r="BD1292" s="8" t="s">
        <v>233</v>
      </c>
      <c r="BE1292" s="4" t="s">
        <v>233</v>
      </c>
      <c r="BF1292" s="8" t="s">
        <v>233</v>
      </c>
      <c r="BG1292" s="7" t="s">
        <v>233</v>
      </c>
      <c r="BH1292" s="7" t="s">
        <v>233</v>
      </c>
      <c r="BI1292" s="7"/>
      <c r="BJ1292" s="4">
        <v>4</v>
      </c>
      <c r="BK1292" s="8">
        <v>124.36</v>
      </c>
      <c r="BL1292" s="2" t="s">
        <v>2404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6395</v>
      </c>
      <c r="BV1292" s="2" t="s">
        <v>233</v>
      </c>
      <c r="BW1292" s="2" t="s">
        <v>233</v>
      </c>
      <c r="BX1292" s="2" t="s">
        <v>243</v>
      </c>
      <c r="BY1292" s="2" t="s">
        <v>280</v>
      </c>
      <c r="BZ1292" s="2" t="s">
        <v>245</v>
      </c>
      <c r="CA1292" s="2" t="s">
        <v>2845</v>
      </c>
      <c r="CB1292" s="2" t="s">
        <v>233</v>
      </c>
      <c r="CC1292" s="2" t="s">
        <v>246</v>
      </c>
      <c r="CD1292" s="2" t="s">
        <v>233</v>
      </c>
      <c r="CE1292" s="4">
        <v>43</v>
      </c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>
        <v>50</v>
      </c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</row>
    <row r="1293">
      <c r="A1293" s="2" t="s">
        <v>6396</v>
      </c>
      <c r="B1293" s="2" t="s">
        <v>2691</v>
      </c>
      <c r="C1293" s="2" t="s">
        <v>901</v>
      </c>
      <c r="D1293" s="2" t="s">
        <v>2692</v>
      </c>
      <c r="E1293" s="2" t="s">
        <v>2693</v>
      </c>
      <c r="F1293" s="2" t="s">
        <v>6397</v>
      </c>
      <c r="G1293" s="2" t="s">
        <v>6397</v>
      </c>
      <c r="H1293" s="2" t="s">
        <v>6397</v>
      </c>
      <c r="I1293" s="2" t="s">
        <v>6398</v>
      </c>
      <c r="J1293" s="2" t="s">
        <v>6399</v>
      </c>
      <c r="K1293" s="2" t="s">
        <v>271</v>
      </c>
      <c r="L1293" s="3">
        <v>16.84</v>
      </c>
      <c r="M1293" s="3">
        <v>17.68</v>
      </c>
      <c r="N1293" s="3">
        <v>49.99</v>
      </c>
      <c r="O1293" s="2" t="s">
        <v>245</v>
      </c>
      <c r="P1293" s="2" t="s">
        <v>243</v>
      </c>
      <c r="Q1293" s="2" t="s">
        <v>239</v>
      </c>
      <c r="R1293" s="2" t="s">
        <v>233</v>
      </c>
      <c r="S1293" s="2" t="s">
        <v>233</v>
      </c>
      <c r="T1293" s="2" t="s">
        <v>233</v>
      </c>
      <c r="U1293" s="2" t="s">
        <v>233</v>
      </c>
      <c r="V1293" s="2" t="s">
        <v>241</v>
      </c>
      <c r="W1293" s="2" t="s">
        <v>233</v>
      </c>
      <c r="X1293" s="2" t="s">
        <v>233</v>
      </c>
      <c r="Y1293" s="2" t="s">
        <v>1475</v>
      </c>
      <c r="Z1293" s="4">
        <v>76</v>
      </c>
      <c r="AA1293" s="4">
        <f>=ROUNDDOWN(6.33333333333333,0)</f>
      </c>
      <c r="AB1293" s="5">
        <v>12</v>
      </c>
      <c r="AC1293" s="2" t="s">
        <v>6400</v>
      </c>
      <c r="AD1293" s="4">
        <v>600</v>
      </c>
      <c r="AE1293" s="4">
        <v>600</v>
      </c>
      <c r="AF1293" s="6"/>
      <c r="AG1293" s="6">
        <v>73</v>
      </c>
      <c r="AH1293" s="7">
        <v>1</v>
      </c>
      <c r="AI1293" s="4"/>
      <c r="AJ1293" s="4">
        <f>=ROUNDDOWN({0},0)</f>
      </c>
      <c r="AK1293" s="5"/>
      <c r="AL1293" s="2" t="s">
        <v>233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233</v>
      </c>
      <c r="AW1293" s="8" t="s">
        <v>233</v>
      </c>
      <c r="AX1293" s="4" t="s">
        <v>233</v>
      </c>
      <c r="AY1293" s="8" t="s">
        <v>233</v>
      </c>
      <c r="AZ1293" s="7" t="s">
        <v>233</v>
      </c>
      <c r="BA1293" s="7" t="s">
        <v>233</v>
      </c>
      <c r="BB1293" s="7"/>
      <c r="BC1293" s="4" t="s">
        <v>233</v>
      </c>
      <c r="BD1293" s="8" t="s">
        <v>233</v>
      </c>
      <c r="BE1293" s="4" t="s">
        <v>233</v>
      </c>
      <c r="BF1293" s="8" t="s">
        <v>233</v>
      </c>
      <c r="BG1293" s="7" t="s">
        <v>233</v>
      </c>
      <c r="BH1293" s="7" t="s">
        <v>233</v>
      </c>
      <c r="BI1293" s="7"/>
      <c r="BJ1293" s="4">
        <v>3</v>
      </c>
      <c r="BK1293" s="8">
        <v>55.5</v>
      </c>
      <c r="BL1293" s="2" t="s">
        <v>2554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6401</v>
      </c>
      <c r="BV1293" s="2" t="s">
        <v>233</v>
      </c>
      <c r="BW1293" s="2" t="s">
        <v>233</v>
      </c>
      <c r="BX1293" s="2" t="s">
        <v>243</v>
      </c>
      <c r="BY1293" s="2" t="s">
        <v>280</v>
      </c>
      <c r="BZ1293" s="2" t="s">
        <v>245</v>
      </c>
      <c r="CA1293" s="2" t="s">
        <v>6402</v>
      </c>
      <c r="CB1293" s="2" t="s">
        <v>6403</v>
      </c>
      <c r="CC1293" s="2" t="s">
        <v>246</v>
      </c>
      <c r="CD1293" s="2" t="s">
        <v>233</v>
      </c>
      <c r="CE1293" s="4">
        <v>13</v>
      </c>
      <c r="CF1293" s="4"/>
      <c r="CG1293" s="4"/>
      <c r="CH1293" s="4"/>
      <c r="CI1293" s="4">
        <v>63</v>
      </c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>
        <v>600</v>
      </c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</row>
    <row r="1294">
      <c r="A1294" s="2" t="s">
        <v>6404</v>
      </c>
      <c r="B1294" s="2" t="s">
        <v>2691</v>
      </c>
      <c r="C1294" s="2" t="s">
        <v>901</v>
      </c>
      <c r="D1294" s="2" t="s">
        <v>2692</v>
      </c>
      <c r="E1294" s="2" t="s">
        <v>2693</v>
      </c>
      <c r="F1294" s="2" t="s">
        <v>6397</v>
      </c>
      <c r="G1294" s="2" t="s">
        <v>233</v>
      </c>
      <c r="H1294" s="2" t="s">
        <v>233</v>
      </c>
      <c r="I1294" s="2" t="s">
        <v>6398</v>
      </c>
      <c r="J1294" s="2" t="s">
        <v>6405</v>
      </c>
      <c r="K1294" s="2" t="s">
        <v>271</v>
      </c>
      <c r="L1294" s="3">
        <v>16.84</v>
      </c>
      <c r="M1294" s="3">
        <v>17.68</v>
      </c>
      <c r="N1294" s="3">
        <v>49.99</v>
      </c>
      <c r="O1294" s="2" t="s">
        <v>245</v>
      </c>
      <c r="P1294" s="2" t="s">
        <v>243</v>
      </c>
      <c r="Q1294" s="2" t="s">
        <v>239</v>
      </c>
      <c r="R1294" s="2" t="s">
        <v>233</v>
      </c>
      <c r="S1294" s="2" t="s">
        <v>233</v>
      </c>
      <c r="T1294" s="2" t="s">
        <v>233</v>
      </c>
      <c r="U1294" s="2" t="s">
        <v>233</v>
      </c>
      <c r="V1294" s="2" t="s">
        <v>241</v>
      </c>
      <c r="W1294" s="2" t="s">
        <v>233</v>
      </c>
      <c r="X1294" s="2" t="s">
        <v>233</v>
      </c>
      <c r="Y1294" s="2" t="s">
        <v>1475</v>
      </c>
      <c r="Z1294" s="4">
        <v>6</v>
      </c>
      <c r="AA1294" s="4">
        <f>=ROUNDDOWN(0.428571428571429,0)</f>
      </c>
      <c r="AB1294" s="5">
        <v>14</v>
      </c>
      <c r="AC1294" s="2" t="s">
        <v>6400</v>
      </c>
      <c r="AD1294" s="4">
        <v>600</v>
      </c>
      <c r="AE1294" s="4">
        <v>600</v>
      </c>
      <c r="AF1294" s="6"/>
      <c r="AG1294" s="6">
        <v>73</v>
      </c>
      <c r="AH1294" s="7">
        <v>0.9677</v>
      </c>
      <c r="AI1294" s="4"/>
      <c r="AJ1294" s="4">
        <f>=ROUNDDOWN({0},0)</f>
      </c>
      <c r="AK1294" s="5"/>
      <c r="AL1294" s="2" t="s">
        <v>233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233</v>
      </c>
      <c r="AW1294" s="8" t="s">
        <v>233</v>
      </c>
      <c r="AX1294" s="4" t="s">
        <v>233</v>
      </c>
      <c r="AY1294" s="8" t="s">
        <v>233</v>
      </c>
      <c r="AZ1294" s="7" t="s">
        <v>233</v>
      </c>
      <c r="BA1294" s="7" t="s">
        <v>233</v>
      </c>
      <c r="BB1294" s="7"/>
      <c r="BC1294" s="4" t="s">
        <v>233</v>
      </c>
      <c r="BD1294" s="8" t="s">
        <v>233</v>
      </c>
      <c r="BE1294" s="4" t="s">
        <v>233</v>
      </c>
      <c r="BF1294" s="8" t="s">
        <v>233</v>
      </c>
      <c r="BG1294" s="7" t="s">
        <v>233</v>
      </c>
      <c r="BH1294" s="7" t="s">
        <v>233</v>
      </c>
      <c r="BI1294" s="7"/>
      <c r="BJ1294" s="4"/>
      <c r="BK1294" s="8"/>
      <c r="BL1294" s="2" t="s">
        <v>2554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6406</v>
      </c>
      <c r="BV1294" s="2" t="s">
        <v>233</v>
      </c>
      <c r="BW1294" s="2" t="s">
        <v>233</v>
      </c>
      <c r="BX1294" s="2" t="s">
        <v>243</v>
      </c>
      <c r="BY1294" s="2" t="s">
        <v>280</v>
      </c>
      <c r="BZ1294" s="2" t="s">
        <v>245</v>
      </c>
      <c r="CA1294" s="2" t="s">
        <v>6402</v>
      </c>
      <c r="CB1294" s="2" t="s">
        <v>6407</v>
      </c>
      <c r="CC1294" s="2" t="s">
        <v>246</v>
      </c>
      <c r="CD1294" s="2" t="s">
        <v>233</v>
      </c>
      <c r="CE1294" s="4"/>
      <c r="CF1294" s="4"/>
      <c r="CG1294" s="4"/>
      <c r="CH1294" s="4"/>
      <c r="CI1294" s="4">
        <v>6</v>
      </c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>
        <v>600</v>
      </c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</row>
    <row r="1295">
      <c r="A1295" s="2" t="s">
        <v>6408</v>
      </c>
      <c r="B1295" s="2" t="s">
        <v>2691</v>
      </c>
      <c r="C1295" s="2" t="s">
        <v>901</v>
      </c>
      <c r="D1295" s="2" t="s">
        <v>2692</v>
      </c>
      <c r="E1295" s="2" t="s">
        <v>2693</v>
      </c>
      <c r="F1295" s="2" t="s">
        <v>6397</v>
      </c>
      <c r="G1295" s="2" t="s">
        <v>233</v>
      </c>
      <c r="H1295" s="2" t="s">
        <v>233</v>
      </c>
      <c r="I1295" s="2" t="s">
        <v>6409</v>
      </c>
      <c r="J1295" s="2" t="s">
        <v>6399</v>
      </c>
      <c r="K1295" s="2" t="s">
        <v>6410</v>
      </c>
      <c r="L1295" s="3">
        <v>18.5</v>
      </c>
      <c r="M1295" s="3">
        <v>19.43</v>
      </c>
      <c r="N1295" s="3">
        <v>48.99</v>
      </c>
      <c r="O1295" s="2" t="s">
        <v>245</v>
      </c>
      <c r="P1295" s="2" t="s">
        <v>243</v>
      </c>
      <c r="Q1295" s="2" t="s">
        <v>239</v>
      </c>
      <c r="R1295" s="2" t="s">
        <v>233</v>
      </c>
      <c r="S1295" s="2" t="s">
        <v>233</v>
      </c>
      <c r="T1295" s="2" t="s">
        <v>233</v>
      </c>
      <c r="U1295" s="2" t="s">
        <v>233</v>
      </c>
      <c r="V1295" s="2" t="s">
        <v>241</v>
      </c>
      <c r="W1295" s="2" t="s">
        <v>233</v>
      </c>
      <c r="X1295" s="2" t="s">
        <v>233</v>
      </c>
      <c r="Y1295" s="2" t="s">
        <v>4159</v>
      </c>
      <c r="Z1295" s="4">
        <v>59</v>
      </c>
      <c r="AA1295" s="4">
        <f>=ROUNDDOWN(5.9,0)</f>
      </c>
      <c r="AB1295" s="5">
        <v>10</v>
      </c>
      <c r="AC1295" s="2" t="s">
        <v>6400</v>
      </c>
      <c r="AD1295" s="4">
        <v>400</v>
      </c>
      <c r="AE1295" s="4">
        <v>400</v>
      </c>
      <c r="AF1295" s="6"/>
      <c r="AG1295" s="6">
        <v>73</v>
      </c>
      <c r="AH1295" s="7">
        <v>1</v>
      </c>
      <c r="AI1295" s="4"/>
      <c r="AJ1295" s="4">
        <f>=ROUNDDOWN({0},0)</f>
      </c>
      <c r="AK1295" s="5"/>
      <c r="AL1295" s="2" t="s">
        <v>233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233</v>
      </c>
      <c r="AW1295" s="8" t="s">
        <v>233</v>
      </c>
      <c r="AX1295" s="4" t="s">
        <v>233</v>
      </c>
      <c r="AY1295" s="8" t="s">
        <v>233</v>
      </c>
      <c r="AZ1295" s="7" t="s">
        <v>233</v>
      </c>
      <c r="BA1295" s="7" t="s">
        <v>233</v>
      </c>
      <c r="BB1295" s="7"/>
      <c r="BC1295" s="4" t="s">
        <v>233</v>
      </c>
      <c r="BD1295" s="8" t="s">
        <v>233</v>
      </c>
      <c r="BE1295" s="4" t="s">
        <v>233</v>
      </c>
      <c r="BF1295" s="8" t="s">
        <v>233</v>
      </c>
      <c r="BG1295" s="7" t="s">
        <v>233</v>
      </c>
      <c r="BH1295" s="7" t="s">
        <v>233</v>
      </c>
      <c r="BI1295" s="7"/>
      <c r="BJ1295" s="4">
        <v>4</v>
      </c>
      <c r="BK1295" s="8">
        <v>74</v>
      </c>
      <c r="BL1295" s="2" t="s">
        <v>2554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6411</v>
      </c>
      <c r="BV1295" s="2" t="s">
        <v>233</v>
      </c>
      <c r="BW1295" s="2" t="s">
        <v>233</v>
      </c>
      <c r="BX1295" s="2" t="s">
        <v>243</v>
      </c>
      <c r="BY1295" s="2" t="s">
        <v>280</v>
      </c>
      <c r="BZ1295" s="2" t="s">
        <v>245</v>
      </c>
      <c r="CA1295" s="2" t="s">
        <v>233</v>
      </c>
      <c r="CB1295" s="2" t="s">
        <v>233</v>
      </c>
      <c r="CC1295" s="2" t="s">
        <v>246</v>
      </c>
      <c r="CD1295" s="2" t="s">
        <v>233</v>
      </c>
      <c r="CE1295" s="4">
        <v>59</v>
      </c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>
        <v>400</v>
      </c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</row>
    <row r="1296">
      <c r="A1296" s="2" t="s">
        <v>6412</v>
      </c>
      <c r="B1296" s="2" t="s">
        <v>2691</v>
      </c>
      <c r="C1296" s="2" t="s">
        <v>901</v>
      </c>
      <c r="D1296" s="2" t="s">
        <v>2692</v>
      </c>
      <c r="E1296" s="2" t="s">
        <v>2693</v>
      </c>
      <c r="F1296" s="2" t="s">
        <v>6397</v>
      </c>
      <c r="G1296" s="2" t="s">
        <v>233</v>
      </c>
      <c r="H1296" s="2" t="s">
        <v>233</v>
      </c>
      <c r="I1296" s="2" t="s">
        <v>6409</v>
      </c>
      <c r="J1296" s="2" t="s">
        <v>6405</v>
      </c>
      <c r="K1296" s="2" t="s">
        <v>6410</v>
      </c>
      <c r="L1296" s="3">
        <v>18.5</v>
      </c>
      <c r="M1296" s="3">
        <v>19.43</v>
      </c>
      <c r="N1296" s="3">
        <v>49.99</v>
      </c>
      <c r="O1296" s="2" t="s">
        <v>245</v>
      </c>
      <c r="P1296" s="2" t="s">
        <v>243</v>
      </c>
      <c r="Q1296" s="2" t="s">
        <v>239</v>
      </c>
      <c r="R1296" s="2" t="s">
        <v>233</v>
      </c>
      <c r="S1296" s="2" t="s">
        <v>233</v>
      </c>
      <c r="T1296" s="2" t="s">
        <v>233</v>
      </c>
      <c r="U1296" s="2" t="s">
        <v>233</v>
      </c>
      <c r="V1296" s="2" t="s">
        <v>241</v>
      </c>
      <c r="W1296" s="2" t="s">
        <v>233</v>
      </c>
      <c r="X1296" s="2" t="s">
        <v>233</v>
      </c>
      <c r="Y1296" s="2" t="s">
        <v>4159</v>
      </c>
      <c r="Z1296" s="4">
        <v>68</v>
      </c>
      <c r="AA1296" s="4">
        <f>=ROUNDDOWN(6.18181818181818,0)</f>
      </c>
      <c r="AB1296" s="5">
        <v>11</v>
      </c>
      <c r="AC1296" s="2" t="s">
        <v>6400</v>
      </c>
      <c r="AD1296" s="4">
        <v>400</v>
      </c>
      <c r="AE1296" s="4">
        <v>400</v>
      </c>
      <c r="AF1296" s="6"/>
      <c r="AG1296" s="6">
        <v>73</v>
      </c>
      <c r="AH1296" s="7">
        <v>1</v>
      </c>
      <c r="AI1296" s="4"/>
      <c r="AJ1296" s="4">
        <f>=ROUNDDOWN({0},0)</f>
      </c>
      <c r="AK1296" s="5"/>
      <c r="AL1296" s="2" t="s">
        <v>233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233</v>
      </c>
      <c r="AW1296" s="8" t="s">
        <v>233</v>
      </c>
      <c r="AX1296" s="4" t="s">
        <v>233</v>
      </c>
      <c r="AY1296" s="8" t="s">
        <v>233</v>
      </c>
      <c r="AZ1296" s="7" t="s">
        <v>233</v>
      </c>
      <c r="BA1296" s="7" t="s">
        <v>233</v>
      </c>
      <c r="BB1296" s="7"/>
      <c r="BC1296" s="4" t="s">
        <v>233</v>
      </c>
      <c r="BD1296" s="8" t="s">
        <v>233</v>
      </c>
      <c r="BE1296" s="4" t="s">
        <v>233</v>
      </c>
      <c r="BF1296" s="8" t="s">
        <v>233</v>
      </c>
      <c r="BG1296" s="7" t="s">
        <v>233</v>
      </c>
      <c r="BH1296" s="7" t="s">
        <v>233</v>
      </c>
      <c r="BI1296" s="7"/>
      <c r="BJ1296" s="4"/>
      <c r="BK1296" s="8"/>
      <c r="BL1296" s="2" t="s">
        <v>233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6413</v>
      </c>
      <c r="BV1296" s="2" t="s">
        <v>233</v>
      </c>
      <c r="BW1296" s="2" t="s">
        <v>233</v>
      </c>
      <c r="BX1296" s="2" t="s">
        <v>243</v>
      </c>
      <c r="BY1296" s="2" t="s">
        <v>280</v>
      </c>
      <c r="BZ1296" s="2" t="s">
        <v>245</v>
      </c>
      <c r="CA1296" s="2" t="s">
        <v>233</v>
      </c>
      <c r="CB1296" s="2" t="s">
        <v>233</v>
      </c>
      <c r="CC1296" s="2" t="s">
        <v>246</v>
      </c>
      <c r="CD1296" s="2" t="s">
        <v>233</v>
      </c>
      <c r="CE1296" s="4">
        <v>68</v>
      </c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>
        <v>400</v>
      </c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</row>
    <row r="1297">
      <c r="A1297" s="2" t="s">
        <v>6414</v>
      </c>
      <c r="B1297" s="2" t="s">
        <v>2691</v>
      </c>
      <c r="C1297" s="2" t="s">
        <v>901</v>
      </c>
      <c r="D1297" s="2" t="s">
        <v>2692</v>
      </c>
      <c r="E1297" s="2" t="s">
        <v>2693</v>
      </c>
      <c r="F1297" s="2" t="s">
        <v>6397</v>
      </c>
      <c r="G1297" s="2" t="s">
        <v>233</v>
      </c>
      <c r="H1297" s="2" t="s">
        <v>233</v>
      </c>
      <c r="I1297" s="2" t="s">
        <v>6398</v>
      </c>
      <c r="J1297" s="2" t="s">
        <v>6399</v>
      </c>
      <c r="K1297" s="2" t="s">
        <v>297</v>
      </c>
      <c r="L1297" s="3">
        <v>16.84</v>
      </c>
      <c r="M1297" s="3">
        <v>17.68</v>
      </c>
      <c r="N1297" s="3">
        <v>48.99</v>
      </c>
      <c r="O1297" s="2" t="s">
        <v>245</v>
      </c>
      <c r="P1297" s="2" t="s">
        <v>243</v>
      </c>
      <c r="Q1297" s="2" t="s">
        <v>239</v>
      </c>
      <c r="R1297" s="2" t="s">
        <v>233</v>
      </c>
      <c r="S1297" s="2" t="s">
        <v>233</v>
      </c>
      <c r="T1297" s="2" t="s">
        <v>233</v>
      </c>
      <c r="U1297" s="2" t="s">
        <v>233</v>
      </c>
      <c r="V1297" s="2" t="s">
        <v>241</v>
      </c>
      <c r="W1297" s="2" t="s">
        <v>233</v>
      </c>
      <c r="X1297" s="2" t="s">
        <v>233</v>
      </c>
      <c r="Y1297" s="2" t="s">
        <v>1475</v>
      </c>
      <c r="Z1297" s="4">
        <v>1</v>
      </c>
      <c r="AA1297" s="4">
        <f>=ROUNDDOWN(0.102040816326531,0)</f>
      </c>
      <c r="AB1297" s="5">
        <v>9.8</v>
      </c>
      <c r="AC1297" s="2" t="s">
        <v>2519</v>
      </c>
      <c r="AD1297" s="4">
        <v>100</v>
      </c>
      <c r="AE1297" s="4">
        <v>700</v>
      </c>
      <c r="AF1297" s="6"/>
      <c r="AG1297" s="6">
        <v>73</v>
      </c>
      <c r="AH1297" s="7">
        <v>0.9677</v>
      </c>
      <c r="AI1297" s="4"/>
      <c r="AJ1297" s="4">
        <f>=ROUNDDOWN({0},0)</f>
      </c>
      <c r="AK1297" s="5"/>
      <c r="AL1297" s="2" t="s">
        <v>233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233</v>
      </c>
      <c r="AW1297" s="8" t="s">
        <v>233</v>
      </c>
      <c r="AX1297" s="4" t="s">
        <v>233</v>
      </c>
      <c r="AY1297" s="8" t="s">
        <v>233</v>
      </c>
      <c r="AZ1297" s="7" t="s">
        <v>233</v>
      </c>
      <c r="BA1297" s="7" t="s">
        <v>233</v>
      </c>
      <c r="BB1297" s="7"/>
      <c r="BC1297" s="4" t="s">
        <v>233</v>
      </c>
      <c r="BD1297" s="8" t="s">
        <v>233</v>
      </c>
      <c r="BE1297" s="4" t="s">
        <v>233</v>
      </c>
      <c r="BF1297" s="8" t="s">
        <v>233</v>
      </c>
      <c r="BG1297" s="7" t="s">
        <v>233</v>
      </c>
      <c r="BH1297" s="7" t="s">
        <v>233</v>
      </c>
      <c r="BI1297" s="7"/>
      <c r="BJ1297" s="4"/>
      <c r="BK1297" s="8"/>
      <c r="BL1297" s="2" t="s">
        <v>233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6415</v>
      </c>
      <c r="BV1297" s="2" t="s">
        <v>233</v>
      </c>
      <c r="BW1297" s="2" t="s">
        <v>233</v>
      </c>
      <c r="BX1297" s="2" t="s">
        <v>243</v>
      </c>
      <c r="BY1297" s="2" t="s">
        <v>280</v>
      </c>
      <c r="BZ1297" s="2" t="s">
        <v>245</v>
      </c>
      <c r="CA1297" s="2" t="s">
        <v>5499</v>
      </c>
      <c r="CB1297" s="2" t="s">
        <v>6416</v>
      </c>
      <c r="CC1297" s="2" t="s">
        <v>246</v>
      </c>
      <c r="CD1297" s="2" t="s">
        <v>233</v>
      </c>
      <c r="CE1297" s="4"/>
      <c r="CF1297" s="4"/>
      <c r="CG1297" s="4"/>
      <c r="CH1297" s="4"/>
      <c r="CI1297" s="4">
        <v>1</v>
      </c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>
        <v>100</v>
      </c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>
        <v>600</v>
      </c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</row>
    <row r="1298">
      <c r="A1298" s="2" t="s">
        <v>6417</v>
      </c>
      <c r="B1298" s="2" t="s">
        <v>2691</v>
      </c>
      <c r="C1298" s="2" t="s">
        <v>901</v>
      </c>
      <c r="D1298" s="2" t="s">
        <v>2692</v>
      </c>
      <c r="E1298" s="2" t="s">
        <v>2693</v>
      </c>
      <c r="F1298" s="2" t="s">
        <v>6397</v>
      </c>
      <c r="G1298" s="2" t="s">
        <v>233</v>
      </c>
      <c r="H1298" s="2" t="s">
        <v>233</v>
      </c>
      <c r="I1298" s="2" t="s">
        <v>6398</v>
      </c>
      <c r="J1298" s="2" t="s">
        <v>6405</v>
      </c>
      <c r="K1298" s="2" t="s">
        <v>297</v>
      </c>
      <c r="L1298" s="3">
        <v>16.84</v>
      </c>
      <c r="M1298" s="3">
        <v>17.68</v>
      </c>
      <c r="N1298" s="3">
        <v>48.99</v>
      </c>
      <c r="O1298" s="2" t="s">
        <v>245</v>
      </c>
      <c r="P1298" s="2" t="s">
        <v>243</v>
      </c>
      <c r="Q1298" s="2" t="s">
        <v>239</v>
      </c>
      <c r="R1298" s="2" t="s">
        <v>233</v>
      </c>
      <c r="S1298" s="2" t="s">
        <v>233</v>
      </c>
      <c r="T1298" s="2" t="s">
        <v>233</v>
      </c>
      <c r="U1298" s="2" t="s">
        <v>233</v>
      </c>
      <c r="V1298" s="2" t="s">
        <v>241</v>
      </c>
      <c r="W1298" s="2" t="s">
        <v>233</v>
      </c>
      <c r="X1298" s="2" t="s">
        <v>233</v>
      </c>
      <c r="Y1298" s="2" t="s">
        <v>1475</v>
      </c>
      <c r="Z1298" s="4"/>
      <c r="AA1298" s="4">
        <f>=ROUNDDOWN({0},0)</f>
      </c>
      <c r="AB1298" s="5">
        <v>16</v>
      </c>
      <c r="AC1298" s="2" t="s">
        <v>2519</v>
      </c>
      <c r="AD1298" s="4">
        <v>100</v>
      </c>
      <c r="AE1298" s="4">
        <v>700</v>
      </c>
      <c r="AF1298" s="6"/>
      <c r="AG1298" s="6">
        <v>73</v>
      </c>
      <c r="AH1298" s="7">
        <v>0</v>
      </c>
      <c r="AI1298" s="4"/>
      <c r="AJ1298" s="4">
        <f>=ROUNDDOWN({0},0)</f>
      </c>
      <c r="AK1298" s="5"/>
      <c r="AL1298" s="2" t="s">
        <v>233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233</v>
      </c>
      <c r="AW1298" s="8" t="s">
        <v>233</v>
      </c>
      <c r="AX1298" s="4" t="s">
        <v>233</v>
      </c>
      <c r="AY1298" s="8" t="s">
        <v>233</v>
      </c>
      <c r="AZ1298" s="7" t="s">
        <v>233</v>
      </c>
      <c r="BA1298" s="7" t="s">
        <v>233</v>
      </c>
      <c r="BB1298" s="7"/>
      <c r="BC1298" s="4" t="s">
        <v>233</v>
      </c>
      <c r="BD1298" s="8" t="s">
        <v>233</v>
      </c>
      <c r="BE1298" s="4" t="s">
        <v>233</v>
      </c>
      <c r="BF1298" s="8" t="s">
        <v>233</v>
      </c>
      <c r="BG1298" s="7" t="s">
        <v>233</v>
      </c>
      <c r="BH1298" s="7" t="s">
        <v>233</v>
      </c>
      <c r="BI1298" s="7"/>
      <c r="BJ1298" s="4"/>
      <c r="BK1298" s="8"/>
      <c r="BL1298" s="2" t="s">
        <v>233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6418</v>
      </c>
      <c r="BV1298" s="2" t="s">
        <v>233</v>
      </c>
      <c r="BW1298" s="2" t="s">
        <v>233</v>
      </c>
      <c r="BX1298" s="2" t="s">
        <v>243</v>
      </c>
      <c r="BY1298" s="2" t="s">
        <v>280</v>
      </c>
      <c r="BZ1298" s="2" t="s">
        <v>245</v>
      </c>
      <c r="CA1298" s="2" t="s">
        <v>5499</v>
      </c>
      <c r="CB1298" s="2" t="s">
        <v>6416</v>
      </c>
      <c r="CC1298" s="2" t="s">
        <v>246</v>
      </c>
      <c r="CD1298" s="2" t="s">
        <v>233</v>
      </c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>
        <v>100</v>
      </c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>
        <v>600</v>
      </c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</row>
    <row r="1299">
      <c r="A1299" s="2" t="s">
        <v>6419</v>
      </c>
      <c r="B1299" s="2" t="s">
        <v>2691</v>
      </c>
      <c r="C1299" s="2" t="s">
        <v>901</v>
      </c>
      <c r="D1299" s="2" t="s">
        <v>2692</v>
      </c>
      <c r="E1299" s="2" t="s">
        <v>2693</v>
      </c>
      <c r="F1299" s="2" t="s">
        <v>6420</v>
      </c>
      <c r="G1299" s="2" t="s">
        <v>6420</v>
      </c>
      <c r="H1299" s="2" t="s">
        <v>6420</v>
      </c>
      <c r="I1299" s="2" t="s">
        <v>6421</v>
      </c>
      <c r="J1299" s="2" t="s">
        <v>6399</v>
      </c>
      <c r="K1299" s="2" t="s">
        <v>6422</v>
      </c>
      <c r="L1299" s="3">
        <v>20.17</v>
      </c>
      <c r="M1299" s="3">
        <v>21.18</v>
      </c>
      <c r="N1299" s="3"/>
      <c r="O1299" s="2" t="s">
        <v>245</v>
      </c>
      <c r="P1299" s="2" t="s">
        <v>311</v>
      </c>
      <c r="Q1299" s="2" t="s">
        <v>239</v>
      </c>
      <c r="R1299" s="2" t="s">
        <v>233</v>
      </c>
      <c r="S1299" s="2" t="s">
        <v>233</v>
      </c>
      <c r="T1299" s="2" t="s">
        <v>233</v>
      </c>
      <c r="U1299" s="2" t="s">
        <v>396</v>
      </c>
      <c r="V1299" s="2" t="s">
        <v>893</v>
      </c>
      <c r="W1299" s="2" t="s">
        <v>233</v>
      </c>
      <c r="X1299" s="2" t="s">
        <v>233</v>
      </c>
      <c r="Y1299" s="2" t="s">
        <v>1441</v>
      </c>
      <c r="Z1299" s="4">
        <v>871</v>
      </c>
      <c r="AA1299" s="4">
        <f>=ROUNDDOWN(69.68,0)</f>
      </c>
      <c r="AB1299" s="5">
        <v>12.5</v>
      </c>
      <c r="AC1299" s="2" t="s">
        <v>233</v>
      </c>
      <c r="AD1299" s="4"/>
      <c r="AE1299" s="4"/>
      <c r="AF1299" s="6"/>
      <c r="AG1299" s="6"/>
      <c r="AH1299" s="7">
        <v>1</v>
      </c>
      <c r="AI1299" s="4"/>
      <c r="AJ1299" s="4">
        <f>=ROUNDDOWN({0},0)</f>
      </c>
      <c r="AK1299" s="5"/>
      <c r="AL1299" s="2" t="s">
        <v>233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 t="s">
        <v>233</v>
      </c>
      <c r="BD1299" s="8" t="s">
        <v>233</v>
      </c>
      <c r="BE1299" s="4" t="s">
        <v>233</v>
      </c>
      <c r="BF1299" s="8" t="s">
        <v>233</v>
      </c>
      <c r="BG1299" s="7" t="s">
        <v>233</v>
      </c>
      <c r="BH1299" s="7" t="s">
        <v>233</v>
      </c>
      <c r="BI1299" s="7"/>
      <c r="BJ1299" s="4">
        <v>6</v>
      </c>
      <c r="BK1299" s="8">
        <v>129.94</v>
      </c>
      <c r="BL1299" s="2" t="s">
        <v>2554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6423</v>
      </c>
      <c r="BV1299" s="2" t="s">
        <v>233</v>
      </c>
      <c r="BW1299" s="2" t="s">
        <v>233</v>
      </c>
      <c r="BX1299" s="2" t="s">
        <v>243</v>
      </c>
      <c r="BY1299" s="2" t="s">
        <v>280</v>
      </c>
      <c r="BZ1299" s="2" t="s">
        <v>245</v>
      </c>
      <c r="CA1299" s="2" t="s">
        <v>3329</v>
      </c>
      <c r="CB1299" s="2" t="s">
        <v>233</v>
      </c>
      <c r="CC1299" s="2" t="s">
        <v>246</v>
      </c>
      <c r="CD1299" s="2" t="s">
        <v>233</v>
      </c>
      <c r="CE1299" s="4"/>
      <c r="CF1299" s="4"/>
      <c r="CG1299" s="4"/>
      <c r="CH1299" s="4"/>
      <c r="CI1299" s="4">
        <v>871</v>
      </c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</row>
    <row r="1300">
      <c r="A1300" s="2" t="s">
        <v>6424</v>
      </c>
      <c r="B1300" s="2" t="s">
        <v>2691</v>
      </c>
      <c r="C1300" s="2" t="s">
        <v>901</v>
      </c>
      <c r="D1300" s="2" t="s">
        <v>2692</v>
      </c>
      <c r="E1300" s="2" t="s">
        <v>2693</v>
      </c>
      <c r="F1300" s="2" t="s">
        <v>6420</v>
      </c>
      <c r="G1300" s="2" t="s">
        <v>6420</v>
      </c>
      <c r="H1300" s="2" t="s">
        <v>6420</v>
      </c>
      <c r="I1300" s="2" t="s">
        <v>6421</v>
      </c>
      <c r="J1300" s="2" t="s">
        <v>6405</v>
      </c>
      <c r="K1300" s="2" t="s">
        <v>6425</v>
      </c>
      <c r="L1300" s="3">
        <v>20.17</v>
      </c>
      <c r="M1300" s="3">
        <v>21.18</v>
      </c>
      <c r="N1300" s="3"/>
      <c r="O1300" s="2" t="s">
        <v>245</v>
      </c>
      <c r="P1300" s="2" t="s">
        <v>311</v>
      </c>
      <c r="Q1300" s="2" t="s">
        <v>239</v>
      </c>
      <c r="R1300" s="2" t="s">
        <v>233</v>
      </c>
      <c r="S1300" s="2" t="s">
        <v>233</v>
      </c>
      <c r="T1300" s="2" t="s">
        <v>233</v>
      </c>
      <c r="U1300" s="2" t="s">
        <v>396</v>
      </c>
      <c r="V1300" s="2" t="s">
        <v>893</v>
      </c>
      <c r="W1300" s="2" t="s">
        <v>233</v>
      </c>
      <c r="X1300" s="2" t="s">
        <v>233</v>
      </c>
      <c r="Y1300" s="2" t="s">
        <v>1441</v>
      </c>
      <c r="Z1300" s="4">
        <v>713</v>
      </c>
      <c r="AA1300" s="4">
        <f>=ROUNDDOWN(54.0151515151515,0)</f>
      </c>
      <c r="AB1300" s="5">
        <v>13.2</v>
      </c>
      <c r="AC1300" s="2" t="s">
        <v>233</v>
      </c>
      <c r="AD1300" s="4"/>
      <c r="AE1300" s="4"/>
      <c r="AF1300" s="6"/>
      <c r="AG1300" s="6"/>
      <c r="AH1300" s="7">
        <v>1</v>
      </c>
      <c r="AI1300" s="4"/>
      <c r="AJ1300" s="4">
        <f>=ROUNDDOWN({0},0)</f>
      </c>
      <c r="AK1300" s="5"/>
      <c r="AL1300" s="2" t="s">
        <v>233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 t="s">
        <v>233</v>
      </c>
      <c r="BD1300" s="8" t="s">
        <v>233</v>
      </c>
      <c r="BE1300" s="4" t="s">
        <v>233</v>
      </c>
      <c r="BF1300" s="8" t="s">
        <v>233</v>
      </c>
      <c r="BG1300" s="7" t="s">
        <v>233</v>
      </c>
      <c r="BH1300" s="7" t="s">
        <v>233</v>
      </c>
      <c r="BI1300" s="7"/>
      <c r="BJ1300" s="4">
        <v>7</v>
      </c>
      <c r="BK1300" s="8">
        <v>144.93</v>
      </c>
      <c r="BL1300" s="2" t="s">
        <v>2554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6426</v>
      </c>
      <c r="BV1300" s="2" t="s">
        <v>233</v>
      </c>
      <c r="BW1300" s="2" t="s">
        <v>233</v>
      </c>
      <c r="BX1300" s="2" t="s">
        <v>243</v>
      </c>
      <c r="BY1300" s="2" t="s">
        <v>280</v>
      </c>
      <c r="BZ1300" s="2" t="s">
        <v>245</v>
      </c>
      <c r="CA1300" s="2" t="s">
        <v>3329</v>
      </c>
      <c r="CB1300" s="2" t="s">
        <v>233</v>
      </c>
      <c r="CC1300" s="2" t="s">
        <v>246</v>
      </c>
      <c r="CD1300" s="2" t="s">
        <v>233</v>
      </c>
      <c r="CE1300" s="4"/>
      <c r="CF1300" s="4"/>
      <c r="CG1300" s="4"/>
      <c r="CH1300" s="4"/>
      <c r="CI1300" s="4">
        <v>713</v>
      </c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</row>
    <row r="1301">
      <c r="A1301" s="2" t="s">
        <v>6427</v>
      </c>
      <c r="B1301" s="2" t="s">
        <v>2691</v>
      </c>
      <c r="C1301" s="2" t="s">
        <v>901</v>
      </c>
      <c r="D1301" s="2" t="s">
        <v>2692</v>
      </c>
      <c r="E1301" s="2" t="s">
        <v>2693</v>
      </c>
      <c r="F1301" s="2" t="s">
        <v>6420</v>
      </c>
      <c r="G1301" s="2" t="s">
        <v>6420</v>
      </c>
      <c r="H1301" s="2" t="s">
        <v>6420</v>
      </c>
      <c r="I1301" s="2" t="s">
        <v>6421</v>
      </c>
      <c r="J1301" s="2" t="s">
        <v>6399</v>
      </c>
      <c r="K1301" s="2" t="s">
        <v>6428</v>
      </c>
      <c r="L1301" s="3">
        <v>20.17</v>
      </c>
      <c r="M1301" s="3">
        <v>21.18</v>
      </c>
      <c r="N1301" s="3"/>
      <c r="O1301" s="2" t="s">
        <v>245</v>
      </c>
      <c r="P1301" s="2" t="s">
        <v>311</v>
      </c>
      <c r="Q1301" s="2" t="s">
        <v>239</v>
      </c>
      <c r="R1301" s="2" t="s">
        <v>233</v>
      </c>
      <c r="S1301" s="2" t="s">
        <v>233</v>
      </c>
      <c r="T1301" s="2" t="s">
        <v>233</v>
      </c>
      <c r="U1301" s="2" t="s">
        <v>396</v>
      </c>
      <c r="V1301" s="2" t="s">
        <v>893</v>
      </c>
      <c r="W1301" s="2" t="s">
        <v>233</v>
      </c>
      <c r="X1301" s="2" t="s">
        <v>233</v>
      </c>
      <c r="Y1301" s="2" t="s">
        <v>1441</v>
      </c>
      <c r="Z1301" s="4">
        <v>386</v>
      </c>
      <c r="AA1301" s="4">
        <f>=ROUNDDOWN(35.0909090909091,0)</f>
      </c>
      <c r="AB1301" s="5">
        <v>11</v>
      </c>
      <c r="AC1301" s="2" t="s">
        <v>233</v>
      </c>
      <c r="AD1301" s="4"/>
      <c r="AE1301" s="4"/>
      <c r="AF1301" s="6"/>
      <c r="AG1301" s="6"/>
      <c r="AH1301" s="7">
        <v>1</v>
      </c>
      <c r="AI1301" s="4"/>
      <c r="AJ1301" s="4">
        <f>=ROUNDDOWN({0},0)</f>
      </c>
      <c r="AK1301" s="5"/>
      <c r="AL1301" s="2" t="s">
        <v>233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233</v>
      </c>
      <c r="AW1301" s="8" t="s">
        <v>233</v>
      </c>
      <c r="AX1301" s="4" t="s">
        <v>233</v>
      </c>
      <c r="AY1301" s="8" t="s">
        <v>233</v>
      </c>
      <c r="AZ1301" s="7" t="s">
        <v>233</v>
      </c>
      <c r="BA1301" s="7" t="s">
        <v>233</v>
      </c>
      <c r="BB1301" s="7"/>
      <c r="BC1301" s="4" t="s">
        <v>233</v>
      </c>
      <c r="BD1301" s="8" t="s">
        <v>233</v>
      </c>
      <c r="BE1301" s="4" t="s">
        <v>233</v>
      </c>
      <c r="BF1301" s="8" t="s">
        <v>233</v>
      </c>
      <c r="BG1301" s="7" t="s">
        <v>233</v>
      </c>
      <c r="BH1301" s="7" t="s">
        <v>233</v>
      </c>
      <c r="BI1301" s="7"/>
      <c r="BJ1301" s="4">
        <v>3</v>
      </c>
      <c r="BK1301" s="8">
        <v>74.97</v>
      </c>
      <c r="BL1301" s="2" t="s">
        <v>2554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6429</v>
      </c>
      <c r="BV1301" s="2" t="s">
        <v>233</v>
      </c>
      <c r="BW1301" s="2" t="s">
        <v>233</v>
      </c>
      <c r="BX1301" s="2" t="s">
        <v>243</v>
      </c>
      <c r="BY1301" s="2" t="s">
        <v>280</v>
      </c>
      <c r="BZ1301" s="2" t="s">
        <v>245</v>
      </c>
      <c r="CA1301" s="2" t="s">
        <v>3329</v>
      </c>
      <c r="CB1301" s="2" t="s">
        <v>233</v>
      </c>
      <c r="CC1301" s="2" t="s">
        <v>246</v>
      </c>
      <c r="CD1301" s="2" t="s">
        <v>233</v>
      </c>
      <c r="CE1301" s="4"/>
      <c r="CF1301" s="4"/>
      <c r="CG1301" s="4"/>
      <c r="CH1301" s="4"/>
      <c r="CI1301" s="4">
        <v>386</v>
      </c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</row>
    <row r="1302">
      <c r="A1302" s="2" t="s">
        <v>6430</v>
      </c>
      <c r="B1302" s="2" t="s">
        <v>2691</v>
      </c>
      <c r="C1302" s="2" t="s">
        <v>901</v>
      </c>
      <c r="D1302" s="2" t="s">
        <v>2692</v>
      </c>
      <c r="E1302" s="2" t="s">
        <v>2693</v>
      </c>
      <c r="F1302" s="2" t="s">
        <v>6420</v>
      </c>
      <c r="G1302" s="2" t="s">
        <v>6420</v>
      </c>
      <c r="H1302" s="2" t="s">
        <v>6420</v>
      </c>
      <c r="I1302" s="2" t="s">
        <v>6421</v>
      </c>
      <c r="J1302" s="2" t="s">
        <v>6405</v>
      </c>
      <c r="K1302" s="2" t="s">
        <v>6428</v>
      </c>
      <c r="L1302" s="3">
        <v>20.17</v>
      </c>
      <c r="M1302" s="3">
        <v>21.18</v>
      </c>
      <c r="N1302" s="3"/>
      <c r="O1302" s="2" t="s">
        <v>245</v>
      </c>
      <c r="P1302" s="2" t="s">
        <v>311</v>
      </c>
      <c r="Q1302" s="2" t="s">
        <v>239</v>
      </c>
      <c r="R1302" s="2" t="s">
        <v>233</v>
      </c>
      <c r="S1302" s="2" t="s">
        <v>233</v>
      </c>
      <c r="T1302" s="2" t="s">
        <v>233</v>
      </c>
      <c r="U1302" s="2" t="s">
        <v>396</v>
      </c>
      <c r="V1302" s="2" t="s">
        <v>893</v>
      </c>
      <c r="W1302" s="2" t="s">
        <v>233</v>
      </c>
      <c r="X1302" s="2" t="s">
        <v>233</v>
      </c>
      <c r="Y1302" s="2" t="s">
        <v>1441</v>
      </c>
      <c r="Z1302" s="4">
        <v>378</v>
      </c>
      <c r="AA1302" s="4">
        <f>=ROUNDDOWN(32.0338983050847,0)</f>
      </c>
      <c r="AB1302" s="5">
        <v>11.8</v>
      </c>
      <c r="AC1302" s="2" t="s">
        <v>233</v>
      </c>
      <c r="AD1302" s="4"/>
      <c r="AE1302" s="4"/>
      <c r="AF1302" s="6"/>
      <c r="AG1302" s="6"/>
      <c r="AH1302" s="7">
        <v>1</v>
      </c>
      <c r="AI1302" s="4"/>
      <c r="AJ1302" s="4">
        <f>=ROUNDDOWN({0},0)</f>
      </c>
      <c r="AK1302" s="5"/>
      <c r="AL1302" s="2" t="s">
        <v>233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233</v>
      </c>
      <c r="AW1302" s="8" t="s">
        <v>233</v>
      </c>
      <c r="AX1302" s="4" t="s">
        <v>233</v>
      </c>
      <c r="AY1302" s="8" t="s">
        <v>233</v>
      </c>
      <c r="AZ1302" s="7" t="s">
        <v>233</v>
      </c>
      <c r="BA1302" s="7" t="s">
        <v>233</v>
      </c>
      <c r="BB1302" s="7"/>
      <c r="BC1302" s="4" t="s">
        <v>233</v>
      </c>
      <c r="BD1302" s="8" t="s">
        <v>233</v>
      </c>
      <c r="BE1302" s="4" t="s">
        <v>233</v>
      </c>
      <c r="BF1302" s="8" t="s">
        <v>233</v>
      </c>
      <c r="BG1302" s="7" t="s">
        <v>233</v>
      </c>
      <c r="BH1302" s="7" t="s">
        <v>233</v>
      </c>
      <c r="BI1302" s="7"/>
      <c r="BJ1302" s="4">
        <v>2</v>
      </c>
      <c r="BK1302" s="8">
        <v>39.98</v>
      </c>
      <c r="BL1302" s="2" t="s">
        <v>2554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6431</v>
      </c>
      <c r="BV1302" s="2" t="s">
        <v>233</v>
      </c>
      <c r="BW1302" s="2" t="s">
        <v>233</v>
      </c>
      <c r="BX1302" s="2" t="s">
        <v>243</v>
      </c>
      <c r="BY1302" s="2" t="s">
        <v>280</v>
      </c>
      <c r="BZ1302" s="2" t="s">
        <v>245</v>
      </c>
      <c r="CA1302" s="2" t="s">
        <v>3329</v>
      </c>
      <c r="CB1302" s="2" t="s">
        <v>233</v>
      </c>
      <c r="CC1302" s="2" t="s">
        <v>246</v>
      </c>
      <c r="CD1302" s="2" t="s">
        <v>233</v>
      </c>
      <c r="CE1302" s="4"/>
      <c r="CF1302" s="4"/>
      <c r="CG1302" s="4"/>
      <c r="CH1302" s="4"/>
      <c r="CI1302" s="4">
        <v>378</v>
      </c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</row>
    <row r="1303">
      <c r="A1303" s="2" t="s">
        <v>6432</v>
      </c>
      <c r="B1303" s="2" t="s">
        <v>2691</v>
      </c>
      <c r="C1303" s="2" t="s">
        <v>901</v>
      </c>
      <c r="D1303" s="2" t="s">
        <v>2692</v>
      </c>
      <c r="E1303" s="2" t="s">
        <v>2693</v>
      </c>
      <c r="F1303" s="2" t="s">
        <v>6433</v>
      </c>
      <c r="G1303" s="2" t="s">
        <v>233</v>
      </c>
      <c r="H1303" s="2" t="s">
        <v>233</v>
      </c>
      <c r="I1303" s="2" t="s">
        <v>6434</v>
      </c>
      <c r="J1303" s="2" t="s">
        <v>3031</v>
      </c>
      <c r="K1303" s="2" t="s">
        <v>6410</v>
      </c>
      <c r="L1303" s="3">
        <v>9</v>
      </c>
      <c r="M1303" s="3">
        <v>9.45</v>
      </c>
      <c r="N1303" s="3">
        <v>38</v>
      </c>
      <c r="O1303" s="2" t="s">
        <v>245</v>
      </c>
      <c r="P1303" s="2" t="s">
        <v>311</v>
      </c>
      <c r="Q1303" s="2" t="s">
        <v>239</v>
      </c>
      <c r="R1303" s="2" t="s">
        <v>233</v>
      </c>
      <c r="S1303" s="2" t="s">
        <v>233</v>
      </c>
      <c r="T1303" s="2" t="s">
        <v>233</v>
      </c>
      <c r="U1303" s="2" t="s">
        <v>233</v>
      </c>
      <c r="V1303" s="2" t="s">
        <v>893</v>
      </c>
      <c r="W1303" s="2" t="s">
        <v>233</v>
      </c>
      <c r="X1303" s="2" t="s">
        <v>233</v>
      </c>
      <c r="Y1303" s="2" t="s">
        <v>4159</v>
      </c>
      <c r="Z1303" s="4"/>
      <c r="AA1303" s="4">
        <f>=ROUNDDOWN({0},0)</f>
      </c>
      <c r="AB1303" s="5">
        <v>8.2</v>
      </c>
      <c r="AC1303" s="2" t="s">
        <v>4953</v>
      </c>
      <c r="AD1303" s="4">
        <v>600</v>
      </c>
      <c r="AE1303" s="4">
        <v>600</v>
      </c>
      <c r="AF1303" s="6"/>
      <c r="AG1303" s="6"/>
      <c r="AH1303" s="7">
        <v>0.4516</v>
      </c>
      <c r="AI1303" s="4"/>
      <c r="AJ1303" s="4">
        <f>=ROUNDDOWN({0},0)</f>
      </c>
      <c r="AK1303" s="5"/>
      <c r="AL1303" s="2" t="s">
        <v>233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 t="s">
        <v>233</v>
      </c>
      <c r="BD1303" s="8" t="s">
        <v>233</v>
      </c>
      <c r="BE1303" s="4" t="s">
        <v>233</v>
      </c>
      <c r="BF1303" s="8" t="s">
        <v>233</v>
      </c>
      <c r="BG1303" s="7" t="s">
        <v>233</v>
      </c>
      <c r="BH1303" s="7" t="s">
        <v>233</v>
      </c>
      <c r="BI1303" s="7"/>
      <c r="BJ1303" s="4">
        <v>3</v>
      </c>
      <c r="BK1303" s="8">
        <v>28.5</v>
      </c>
      <c r="BL1303" s="2" t="s">
        <v>2554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6435</v>
      </c>
      <c r="BV1303" s="2" t="s">
        <v>233</v>
      </c>
      <c r="BW1303" s="2" t="s">
        <v>233</v>
      </c>
      <c r="BX1303" s="2" t="s">
        <v>243</v>
      </c>
      <c r="BY1303" s="2" t="s">
        <v>280</v>
      </c>
      <c r="BZ1303" s="2" t="s">
        <v>245</v>
      </c>
      <c r="CA1303" s="2" t="s">
        <v>2699</v>
      </c>
      <c r="CB1303" s="2" t="s">
        <v>233</v>
      </c>
      <c r="CC1303" s="2" t="s">
        <v>246</v>
      </c>
      <c r="CD1303" s="2" t="s">
        <v>233</v>
      </c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>
        <v>600</v>
      </c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</row>
    <row r="1304">
      <c r="A1304" s="2" t="s">
        <v>6436</v>
      </c>
      <c r="B1304" s="2" t="s">
        <v>2691</v>
      </c>
      <c r="C1304" s="2" t="s">
        <v>901</v>
      </c>
      <c r="D1304" s="2" t="s">
        <v>2692</v>
      </c>
      <c r="E1304" s="2" t="s">
        <v>2693</v>
      </c>
      <c r="F1304" s="2" t="s">
        <v>6433</v>
      </c>
      <c r="G1304" s="2" t="s">
        <v>233</v>
      </c>
      <c r="H1304" s="2" t="s">
        <v>233</v>
      </c>
      <c r="I1304" s="2" t="s">
        <v>6437</v>
      </c>
      <c r="J1304" s="2" t="s">
        <v>3031</v>
      </c>
      <c r="K1304" s="2" t="s">
        <v>6438</v>
      </c>
      <c r="L1304" s="3">
        <v>9</v>
      </c>
      <c r="M1304" s="3">
        <v>9.45</v>
      </c>
      <c r="N1304" s="3">
        <v>38</v>
      </c>
      <c r="O1304" s="2" t="s">
        <v>245</v>
      </c>
      <c r="P1304" s="2" t="s">
        <v>311</v>
      </c>
      <c r="Q1304" s="2" t="s">
        <v>239</v>
      </c>
      <c r="R1304" s="2" t="s">
        <v>233</v>
      </c>
      <c r="S1304" s="2" t="s">
        <v>233</v>
      </c>
      <c r="T1304" s="2" t="s">
        <v>233</v>
      </c>
      <c r="U1304" s="2" t="s">
        <v>233</v>
      </c>
      <c r="V1304" s="2" t="s">
        <v>893</v>
      </c>
      <c r="W1304" s="2" t="s">
        <v>233</v>
      </c>
      <c r="X1304" s="2" t="s">
        <v>233</v>
      </c>
      <c r="Y1304" s="2" t="s">
        <v>2894</v>
      </c>
      <c r="Z1304" s="4">
        <v>315</v>
      </c>
      <c r="AA1304" s="4">
        <f>=ROUNDDOWN(22.1830985915493,0)</f>
      </c>
      <c r="AB1304" s="5">
        <v>14.2</v>
      </c>
      <c r="AC1304" s="2" t="s">
        <v>4953</v>
      </c>
      <c r="AD1304" s="4">
        <v>200</v>
      </c>
      <c r="AE1304" s="4">
        <v>200</v>
      </c>
      <c r="AF1304" s="6"/>
      <c r="AG1304" s="6"/>
      <c r="AH1304" s="7">
        <v>1</v>
      </c>
      <c r="AI1304" s="4"/>
      <c r="AJ1304" s="4">
        <f>=ROUNDDOWN({0},0)</f>
      </c>
      <c r="AK1304" s="5"/>
      <c r="AL1304" s="2" t="s">
        <v>233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 t="s">
        <v>233</v>
      </c>
      <c r="BD1304" s="8" t="s">
        <v>233</v>
      </c>
      <c r="BE1304" s="4" t="s">
        <v>233</v>
      </c>
      <c r="BF1304" s="8" t="s">
        <v>233</v>
      </c>
      <c r="BG1304" s="7" t="s">
        <v>233</v>
      </c>
      <c r="BH1304" s="7" t="s">
        <v>233</v>
      </c>
      <c r="BI1304" s="7"/>
      <c r="BJ1304" s="4">
        <v>16</v>
      </c>
      <c r="BK1304" s="8">
        <v>152</v>
      </c>
      <c r="BL1304" s="2" t="s">
        <v>2554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6439</v>
      </c>
      <c r="BV1304" s="2" t="s">
        <v>233</v>
      </c>
      <c r="BW1304" s="2" t="s">
        <v>233</v>
      </c>
      <c r="BX1304" s="2" t="s">
        <v>243</v>
      </c>
      <c r="BY1304" s="2" t="s">
        <v>280</v>
      </c>
      <c r="BZ1304" s="2" t="s">
        <v>245</v>
      </c>
      <c r="CA1304" s="2" t="s">
        <v>6440</v>
      </c>
      <c r="CB1304" s="2" t="s">
        <v>6441</v>
      </c>
      <c r="CC1304" s="2" t="s">
        <v>246</v>
      </c>
      <c r="CD1304" s="2" t="s">
        <v>233</v>
      </c>
      <c r="CE1304" s="4"/>
      <c r="CF1304" s="4"/>
      <c r="CG1304" s="4"/>
      <c r="CH1304" s="4"/>
      <c r="CI1304" s="4">
        <v>315</v>
      </c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>
        <v>200</v>
      </c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</row>
    <row r="1305">
      <c r="A1305" s="2" t="s">
        <v>6442</v>
      </c>
      <c r="B1305" s="2" t="s">
        <v>2691</v>
      </c>
      <c r="C1305" s="2" t="s">
        <v>901</v>
      </c>
      <c r="D1305" s="2" t="s">
        <v>2692</v>
      </c>
      <c r="E1305" s="2" t="s">
        <v>2693</v>
      </c>
      <c r="F1305" s="2" t="s">
        <v>6433</v>
      </c>
      <c r="G1305" s="2" t="s">
        <v>233</v>
      </c>
      <c r="H1305" s="2" t="s">
        <v>233</v>
      </c>
      <c r="I1305" s="2" t="s">
        <v>6437</v>
      </c>
      <c r="J1305" s="2" t="s">
        <v>3031</v>
      </c>
      <c r="K1305" s="2" t="s">
        <v>297</v>
      </c>
      <c r="L1305" s="3">
        <v>9</v>
      </c>
      <c r="M1305" s="3">
        <v>9.45</v>
      </c>
      <c r="N1305" s="3">
        <v>38</v>
      </c>
      <c r="O1305" s="2" t="s">
        <v>245</v>
      </c>
      <c r="P1305" s="2" t="s">
        <v>311</v>
      </c>
      <c r="Q1305" s="2" t="s">
        <v>239</v>
      </c>
      <c r="R1305" s="2" t="s">
        <v>233</v>
      </c>
      <c r="S1305" s="2" t="s">
        <v>233</v>
      </c>
      <c r="T1305" s="2" t="s">
        <v>233</v>
      </c>
      <c r="U1305" s="2" t="s">
        <v>233</v>
      </c>
      <c r="V1305" s="2" t="s">
        <v>893</v>
      </c>
      <c r="W1305" s="2" t="s">
        <v>233</v>
      </c>
      <c r="X1305" s="2" t="s">
        <v>233</v>
      </c>
      <c r="Y1305" s="2" t="s">
        <v>1475</v>
      </c>
      <c r="Z1305" s="4">
        <v>58</v>
      </c>
      <c r="AA1305" s="4">
        <f>=ROUNDDOWN(4.83333333333333,0)</f>
      </c>
      <c r="AB1305" s="5">
        <v>12</v>
      </c>
      <c r="AC1305" s="2" t="s">
        <v>4953</v>
      </c>
      <c r="AD1305" s="4">
        <v>400</v>
      </c>
      <c r="AE1305" s="4">
        <v>400</v>
      </c>
      <c r="AF1305" s="6"/>
      <c r="AG1305" s="6"/>
      <c r="AH1305" s="7">
        <v>1</v>
      </c>
      <c r="AI1305" s="4"/>
      <c r="AJ1305" s="4">
        <f>=ROUNDDOWN({0},0)</f>
      </c>
      <c r="AK1305" s="5"/>
      <c r="AL1305" s="2" t="s">
        <v>233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 t="s">
        <v>233</v>
      </c>
      <c r="BD1305" s="8" t="s">
        <v>233</v>
      </c>
      <c r="BE1305" s="4" t="s">
        <v>233</v>
      </c>
      <c r="BF1305" s="8" t="s">
        <v>233</v>
      </c>
      <c r="BG1305" s="7" t="s">
        <v>233</v>
      </c>
      <c r="BH1305" s="7" t="s">
        <v>233</v>
      </c>
      <c r="BI1305" s="7"/>
      <c r="BJ1305" s="4">
        <v>8</v>
      </c>
      <c r="BK1305" s="8">
        <v>76</v>
      </c>
      <c r="BL1305" s="2" t="s">
        <v>2554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6443</v>
      </c>
      <c r="BV1305" s="2" t="s">
        <v>233</v>
      </c>
      <c r="BW1305" s="2" t="s">
        <v>233</v>
      </c>
      <c r="BX1305" s="2" t="s">
        <v>243</v>
      </c>
      <c r="BY1305" s="2" t="s">
        <v>280</v>
      </c>
      <c r="BZ1305" s="2" t="s">
        <v>245</v>
      </c>
      <c r="CA1305" s="2" t="s">
        <v>2699</v>
      </c>
      <c r="CB1305" s="2" t="s">
        <v>233</v>
      </c>
      <c r="CC1305" s="2" t="s">
        <v>246</v>
      </c>
      <c r="CD1305" s="2" t="s">
        <v>233</v>
      </c>
      <c r="CE1305" s="4"/>
      <c r="CF1305" s="4"/>
      <c r="CG1305" s="4"/>
      <c r="CH1305" s="4"/>
      <c r="CI1305" s="4">
        <v>58</v>
      </c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>
        <v>400</v>
      </c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</row>
    <row r="1306">
      <c r="A1306" s="2" t="s">
        <v>6444</v>
      </c>
      <c r="B1306" s="2" t="s">
        <v>2691</v>
      </c>
      <c r="C1306" s="2" t="s">
        <v>901</v>
      </c>
      <c r="D1306" s="2" t="s">
        <v>2692</v>
      </c>
      <c r="E1306" s="2" t="s">
        <v>2693</v>
      </c>
      <c r="F1306" s="2" t="s">
        <v>6445</v>
      </c>
      <c r="G1306" s="2" t="s">
        <v>6445</v>
      </c>
      <c r="H1306" s="2" t="s">
        <v>6445</v>
      </c>
      <c r="I1306" s="2" t="s">
        <v>6446</v>
      </c>
      <c r="J1306" s="2" t="s">
        <v>3031</v>
      </c>
      <c r="K1306" s="2" t="s">
        <v>6422</v>
      </c>
      <c r="L1306" s="3">
        <v>10.48</v>
      </c>
      <c r="M1306" s="3">
        <v>11</v>
      </c>
      <c r="N1306" s="3"/>
      <c r="O1306" s="2" t="s">
        <v>245</v>
      </c>
      <c r="P1306" s="2" t="s">
        <v>311</v>
      </c>
      <c r="Q1306" s="2" t="s">
        <v>239</v>
      </c>
      <c r="R1306" s="2" t="s">
        <v>233</v>
      </c>
      <c r="S1306" s="2" t="s">
        <v>233</v>
      </c>
      <c r="T1306" s="2" t="s">
        <v>233</v>
      </c>
      <c r="U1306" s="2" t="s">
        <v>396</v>
      </c>
      <c r="V1306" s="2" t="s">
        <v>893</v>
      </c>
      <c r="W1306" s="2" t="s">
        <v>233</v>
      </c>
      <c r="X1306" s="2" t="s">
        <v>233</v>
      </c>
      <c r="Y1306" s="2" t="s">
        <v>1441</v>
      </c>
      <c r="Z1306" s="4">
        <v>347</v>
      </c>
      <c r="AA1306" s="4">
        <f>=ROUNDDOWN(347,0)</f>
      </c>
      <c r="AB1306" s="5">
        <v>1</v>
      </c>
      <c r="AC1306" s="2" t="s">
        <v>233</v>
      </c>
      <c r="AD1306" s="4"/>
      <c r="AE1306" s="4"/>
      <c r="AF1306" s="6"/>
      <c r="AG1306" s="6"/>
      <c r="AH1306" s="7">
        <v>1</v>
      </c>
      <c r="AI1306" s="4"/>
      <c r="AJ1306" s="4">
        <f>=ROUNDDOWN({0},0)</f>
      </c>
      <c r="AK1306" s="5"/>
      <c r="AL1306" s="2" t="s">
        <v>233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 t="s">
        <v>233</v>
      </c>
      <c r="BD1306" s="8" t="s">
        <v>233</v>
      </c>
      <c r="BE1306" s="4" t="s">
        <v>233</v>
      </c>
      <c r="BF1306" s="8" t="s">
        <v>233</v>
      </c>
      <c r="BG1306" s="7" t="s">
        <v>233</v>
      </c>
      <c r="BH1306" s="7" t="s">
        <v>233</v>
      </c>
      <c r="BI1306" s="7"/>
      <c r="BJ1306" s="4">
        <v>3</v>
      </c>
      <c r="BK1306" s="8">
        <v>27.27</v>
      </c>
      <c r="BL1306" s="2" t="s">
        <v>2554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6447</v>
      </c>
      <c r="BV1306" s="2" t="s">
        <v>233</v>
      </c>
      <c r="BW1306" s="2" t="s">
        <v>233</v>
      </c>
      <c r="BX1306" s="2" t="s">
        <v>243</v>
      </c>
      <c r="BY1306" s="2" t="s">
        <v>280</v>
      </c>
      <c r="BZ1306" s="2" t="s">
        <v>245</v>
      </c>
      <c r="CA1306" s="2" t="s">
        <v>3329</v>
      </c>
      <c r="CB1306" s="2" t="s">
        <v>233</v>
      </c>
      <c r="CC1306" s="2" t="s">
        <v>246</v>
      </c>
      <c r="CD1306" s="2" t="s">
        <v>233</v>
      </c>
      <c r="CE1306" s="4"/>
      <c r="CF1306" s="4"/>
      <c r="CG1306" s="4"/>
      <c r="CH1306" s="4"/>
      <c r="CI1306" s="4">
        <v>347</v>
      </c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</row>
    <row r="1307">
      <c r="A1307" s="2" t="s">
        <v>6448</v>
      </c>
      <c r="B1307" s="2" t="s">
        <v>2691</v>
      </c>
      <c r="C1307" s="2" t="s">
        <v>901</v>
      </c>
      <c r="D1307" s="2" t="s">
        <v>2692</v>
      </c>
      <c r="E1307" s="2" t="s">
        <v>2693</v>
      </c>
      <c r="F1307" s="2" t="s">
        <v>6445</v>
      </c>
      <c r="G1307" s="2" t="s">
        <v>6445</v>
      </c>
      <c r="H1307" s="2" t="s">
        <v>6445</v>
      </c>
      <c r="I1307" s="2" t="s">
        <v>6446</v>
      </c>
      <c r="J1307" s="2" t="s">
        <v>3031</v>
      </c>
      <c r="K1307" s="2" t="s">
        <v>6449</v>
      </c>
      <c r="L1307" s="3">
        <v>10.48</v>
      </c>
      <c r="M1307" s="3">
        <v>11</v>
      </c>
      <c r="N1307" s="3"/>
      <c r="O1307" s="2" t="s">
        <v>245</v>
      </c>
      <c r="P1307" s="2" t="s">
        <v>311</v>
      </c>
      <c r="Q1307" s="2" t="s">
        <v>239</v>
      </c>
      <c r="R1307" s="2" t="s">
        <v>233</v>
      </c>
      <c r="S1307" s="2" t="s">
        <v>233</v>
      </c>
      <c r="T1307" s="2" t="s">
        <v>233</v>
      </c>
      <c r="U1307" s="2" t="s">
        <v>396</v>
      </c>
      <c r="V1307" s="2" t="s">
        <v>893</v>
      </c>
      <c r="W1307" s="2" t="s">
        <v>233</v>
      </c>
      <c r="X1307" s="2" t="s">
        <v>233</v>
      </c>
      <c r="Y1307" s="2" t="s">
        <v>1441</v>
      </c>
      <c r="Z1307" s="4">
        <v>124</v>
      </c>
      <c r="AA1307" s="4">
        <f>=ROUNDDOWN(103.333333333333,0)</f>
      </c>
      <c r="AB1307" s="5">
        <v>1.2</v>
      </c>
      <c r="AC1307" s="2" t="s">
        <v>233</v>
      </c>
      <c r="AD1307" s="4"/>
      <c r="AE1307" s="4"/>
      <c r="AF1307" s="6"/>
      <c r="AG1307" s="6"/>
      <c r="AH1307" s="7">
        <v>1</v>
      </c>
      <c r="AI1307" s="4"/>
      <c r="AJ1307" s="4">
        <f>=ROUNDDOWN({0},0)</f>
      </c>
      <c r="AK1307" s="5"/>
      <c r="AL1307" s="2" t="s">
        <v>233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 t="s">
        <v>233</v>
      </c>
      <c r="BD1307" s="8" t="s">
        <v>233</v>
      </c>
      <c r="BE1307" s="4" t="s">
        <v>233</v>
      </c>
      <c r="BF1307" s="8" t="s">
        <v>233</v>
      </c>
      <c r="BG1307" s="7" t="s">
        <v>233</v>
      </c>
      <c r="BH1307" s="7" t="s">
        <v>233</v>
      </c>
      <c r="BI1307" s="7"/>
      <c r="BJ1307" s="4">
        <v>5</v>
      </c>
      <c r="BK1307" s="8">
        <v>53.25</v>
      </c>
      <c r="BL1307" s="2" t="s">
        <v>2554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6450</v>
      </c>
      <c r="BV1307" s="2" t="s">
        <v>233</v>
      </c>
      <c r="BW1307" s="2" t="s">
        <v>233</v>
      </c>
      <c r="BX1307" s="2" t="s">
        <v>243</v>
      </c>
      <c r="BY1307" s="2" t="s">
        <v>280</v>
      </c>
      <c r="BZ1307" s="2" t="s">
        <v>245</v>
      </c>
      <c r="CA1307" s="2" t="s">
        <v>3329</v>
      </c>
      <c r="CB1307" s="2" t="s">
        <v>233</v>
      </c>
      <c r="CC1307" s="2" t="s">
        <v>246</v>
      </c>
      <c r="CD1307" s="2" t="s">
        <v>233</v>
      </c>
      <c r="CE1307" s="4"/>
      <c r="CF1307" s="4"/>
      <c r="CG1307" s="4"/>
      <c r="CH1307" s="4"/>
      <c r="CI1307" s="4">
        <v>124</v>
      </c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</row>
    <row r="1308">
      <c r="A1308" s="2" t="s">
        <v>6451</v>
      </c>
      <c r="B1308" s="2" t="s">
        <v>2691</v>
      </c>
      <c r="C1308" s="2" t="s">
        <v>901</v>
      </c>
      <c r="D1308" s="2" t="s">
        <v>2692</v>
      </c>
      <c r="E1308" s="2" t="s">
        <v>2693</v>
      </c>
      <c r="F1308" s="2" t="s">
        <v>6445</v>
      </c>
      <c r="G1308" s="2" t="s">
        <v>6445</v>
      </c>
      <c r="H1308" s="2" t="s">
        <v>6445</v>
      </c>
      <c r="I1308" s="2" t="s">
        <v>6446</v>
      </c>
      <c r="J1308" s="2" t="s">
        <v>3031</v>
      </c>
      <c r="K1308" s="2" t="s">
        <v>6428</v>
      </c>
      <c r="L1308" s="3">
        <v>10.48</v>
      </c>
      <c r="M1308" s="3">
        <v>11</v>
      </c>
      <c r="N1308" s="3"/>
      <c r="O1308" s="2" t="s">
        <v>245</v>
      </c>
      <c r="P1308" s="2" t="s">
        <v>311</v>
      </c>
      <c r="Q1308" s="2" t="s">
        <v>239</v>
      </c>
      <c r="R1308" s="2" t="s">
        <v>233</v>
      </c>
      <c r="S1308" s="2" t="s">
        <v>233</v>
      </c>
      <c r="T1308" s="2" t="s">
        <v>233</v>
      </c>
      <c r="U1308" s="2" t="s">
        <v>396</v>
      </c>
      <c r="V1308" s="2" t="s">
        <v>893</v>
      </c>
      <c r="W1308" s="2" t="s">
        <v>233</v>
      </c>
      <c r="X1308" s="2" t="s">
        <v>233</v>
      </c>
      <c r="Y1308" s="2" t="s">
        <v>1441</v>
      </c>
      <c r="Z1308" s="4">
        <v>103</v>
      </c>
      <c r="AA1308" s="4">
        <f>=ROUNDDOWN(515,0)</f>
      </c>
      <c r="AB1308" s="5">
        <v>0.2</v>
      </c>
      <c r="AC1308" s="2" t="s">
        <v>233</v>
      </c>
      <c r="AD1308" s="4"/>
      <c r="AE1308" s="4"/>
      <c r="AF1308" s="6"/>
      <c r="AG1308" s="6"/>
      <c r="AH1308" s="7">
        <v>1</v>
      </c>
      <c r="AI1308" s="4"/>
      <c r="AJ1308" s="4">
        <f>=ROUNDDOWN({0},0)</f>
      </c>
      <c r="AK1308" s="5"/>
      <c r="AL1308" s="2" t="s">
        <v>233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 t="s">
        <v>233</v>
      </c>
      <c r="BD1308" s="8" t="s">
        <v>233</v>
      </c>
      <c r="BE1308" s="4" t="s">
        <v>233</v>
      </c>
      <c r="BF1308" s="8" t="s">
        <v>233</v>
      </c>
      <c r="BG1308" s="7" t="s">
        <v>233</v>
      </c>
      <c r="BH1308" s="7" t="s">
        <v>233</v>
      </c>
      <c r="BI1308" s="7"/>
      <c r="BJ1308" s="4">
        <v>1</v>
      </c>
      <c r="BK1308" s="8">
        <v>12.99</v>
      </c>
      <c r="BL1308" s="2" t="s">
        <v>2554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6452</v>
      </c>
      <c r="BV1308" s="2" t="s">
        <v>233</v>
      </c>
      <c r="BW1308" s="2" t="s">
        <v>233</v>
      </c>
      <c r="BX1308" s="2" t="s">
        <v>243</v>
      </c>
      <c r="BY1308" s="2" t="s">
        <v>280</v>
      </c>
      <c r="BZ1308" s="2" t="s">
        <v>245</v>
      </c>
      <c r="CA1308" s="2" t="s">
        <v>3329</v>
      </c>
      <c r="CB1308" s="2" t="s">
        <v>233</v>
      </c>
      <c r="CC1308" s="2" t="s">
        <v>246</v>
      </c>
      <c r="CD1308" s="2" t="s">
        <v>233</v>
      </c>
      <c r="CE1308" s="4"/>
      <c r="CF1308" s="4"/>
      <c r="CG1308" s="4"/>
      <c r="CH1308" s="4"/>
      <c r="CI1308" s="4">
        <v>103</v>
      </c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</row>
    <row r="1309">
      <c r="A1309" s="2" t="s">
        <v>6453</v>
      </c>
      <c r="B1309" s="2" t="s">
        <v>2691</v>
      </c>
      <c r="C1309" s="2" t="s">
        <v>901</v>
      </c>
      <c r="D1309" s="2" t="s">
        <v>2692</v>
      </c>
      <c r="E1309" s="2" t="s">
        <v>2693</v>
      </c>
      <c r="F1309" s="2" t="s">
        <v>6454</v>
      </c>
      <c r="G1309" s="2" t="s">
        <v>233</v>
      </c>
      <c r="H1309" s="2" t="s">
        <v>233</v>
      </c>
      <c r="I1309" s="2" t="s">
        <v>6455</v>
      </c>
      <c r="J1309" s="2" t="s">
        <v>6399</v>
      </c>
      <c r="K1309" s="2" t="s">
        <v>6456</v>
      </c>
      <c r="L1309" s="3">
        <v>11</v>
      </c>
      <c r="M1309" s="3">
        <v>11.55</v>
      </c>
      <c r="N1309" s="3">
        <v>32.99</v>
      </c>
      <c r="O1309" s="2" t="s">
        <v>245</v>
      </c>
      <c r="P1309" s="2" t="s">
        <v>243</v>
      </c>
      <c r="Q1309" s="2" t="s">
        <v>239</v>
      </c>
      <c r="R1309" s="2" t="s">
        <v>233</v>
      </c>
      <c r="S1309" s="2" t="s">
        <v>233</v>
      </c>
      <c r="T1309" s="2" t="s">
        <v>233</v>
      </c>
      <c r="U1309" s="2" t="s">
        <v>233</v>
      </c>
      <c r="V1309" s="2" t="s">
        <v>893</v>
      </c>
      <c r="W1309" s="2" t="s">
        <v>233</v>
      </c>
      <c r="X1309" s="2" t="s">
        <v>233</v>
      </c>
      <c r="Y1309" s="2" t="s">
        <v>4372</v>
      </c>
      <c r="Z1309" s="4"/>
      <c r="AA1309" s="4">
        <f>=ROUNDDOWN({0},0)</f>
      </c>
      <c r="AB1309" s="5">
        <v>20</v>
      </c>
      <c r="AC1309" s="2" t="s">
        <v>4953</v>
      </c>
      <c r="AD1309" s="4">
        <v>400</v>
      </c>
      <c r="AE1309" s="4">
        <v>400</v>
      </c>
      <c r="AF1309" s="6"/>
      <c r="AG1309" s="6">
        <v>48</v>
      </c>
      <c r="AH1309" s="7">
        <v>0</v>
      </c>
      <c r="AI1309" s="4"/>
      <c r="AJ1309" s="4">
        <f>=ROUNDDOWN({0},0)</f>
      </c>
      <c r="AK1309" s="5"/>
      <c r="AL1309" s="2" t="s">
        <v>233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233</v>
      </c>
      <c r="AW1309" s="8" t="s">
        <v>233</v>
      </c>
      <c r="AX1309" s="4" t="s">
        <v>233</v>
      </c>
      <c r="AY1309" s="8" t="s">
        <v>233</v>
      </c>
      <c r="AZ1309" s="7" t="s">
        <v>233</v>
      </c>
      <c r="BA1309" s="7" t="s">
        <v>233</v>
      </c>
      <c r="BB1309" s="7"/>
      <c r="BC1309" s="4" t="s">
        <v>233</v>
      </c>
      <c r="BD1309" s="8" t="s">
        <v>233</v>
      </c>
      <c r="BE1309" s="4" t="s">
        <v>233</v>
      </c>
      <c r="BF1309" s="8" t="s">
        <v>233</v>
      </c>
      <c r="BG1309" s="7" t="s">
        <v>233</v>
      </c>
      <c r="BH1309" s="7" t="s">
        <v>233</v>
      </c>
      <c r="BI1309" s="7"/>
      <c r="BJ1309" s="4"/>
      <c r="BK1309" s="8"/>
      <c r="BL1309" s="2" t="s">
        <v>3106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6457</v>
      </c>
      <c r="BV1309" s="2" t="s">
        <v>233</v>
      </c>
      <c r="BW1309" s="2" t="s">
        <v>233</v>
      </c>
      <c r="BX1309" s="2" t="s">
        <v>243</v>
      </c>
      <c r="BY1309" s="2" t="s">
        <v>280</v>
      </c>
      <c r="BZ1309" s="2" t="s">
        <v>245</v>
      </c>
      <c r="CA1309" s="2" t="s">
        <v>233</v>
      </c>
      <c r="CB1309" s="2" t="s">
        <v>233</v>
      </c>
      <c r="CC1309" s="2" t="s">
        <v>246</v>
      </c>
      <c r="CD1309" s="2" t="s">
        <v>233</v>
      </c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>
        <v>400</v>
      </c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</row>
    <row r="1310">
      <c r="A1310" s="2" t="s">
        <v>6458</v>
      </c>
      <c r="B1310" s="2" t="s">
        <v>2691</v>
      </c>
      <c r="C1310" s="2" t="s">
        <v>901</v>
      </c>
      <c r="D1310" s="2" t="s">
        <v>2692</v>
      </c>
      <c r="E1310" s="2" t="s">
        <v>2693</v>
      </c>
      <c r="F1310" s="2" t="s">
        <v>6454</v>
      </c>
      <c r="G1310" s="2" t="s">
        <v>233</v>
      </c>
      <c r="H1310" s="2" t="s">
        <v>233</v>
      </c>
      <c r="I1310" s="2" t="s">
        <v>6455</v>
      </c>
      <c r="J1310" s="2" t="s">
        <v>6405</v>
      </c>
      <c r="K1310" s="2" t="s">
        <v>6456</v>
      </c>
      <c r="L1310" s="3">
        <v>11</v>
      </c>
      <c r="M1310" s="3">
        <v>11.55</v>
      </c>
      <c r="N1310" s="3">
        <v>32.99</v>
      </c>
      <c r="O1310" s="2" t="s">
        <v>245</v>
      </c>
      <c r="P1310" s="2" t="s">
        <v>243</v>
      </c>
      <c r="Q1310" s="2" t="s">
        <v>239</v>
      </c>
      <c r="R1310" s="2" t="s">
        <v>233</v>
      </c>
      <c r="S1310" s="2" t="s">
        <v>233</v>
      </c>
      <c r="T1310" s="2" t="s">
        <v>233</v>
      </c>
      <c r="U1310" s="2" t="s">
        <v>233</v>
      </c>
      <c r="V1310" s="2" t="s">
        <v>893</v>
      </c>
      <c r="W1310" s="2" t="s">
        <v>233</v>
      </c>
      <c r="X1310" s="2" t="s">
        <v>233</v>
      </c>
      <c r="Y1310" s="2" t="s">
        <v>4372</v>
      </c>
      <c r="Z1310" s="4"/>
      <c r="AA1310" s="4">
        <f>=ROUNDDOWN({0},0)</f>
      </c>
      <c r="AB1310" s="5">
        <v>3</v>
      </c>
      <c r="AC1310" s="2" t="s">
        <v>4953</v>
      </c>
      <c r="AD1310" s="4">
        <v>400</v>
      </c>
      <c r="AE1310" s="4">
        <v>400</v>
      </c>
      <c r="AF1310" s="6"/>
      <c r="AG1310" s="6">
        <v>48</v>
      </c>
      <c r="AH1310" s="7">
        <v>0</v>
      </c>
      <c r="AI1310" s="4"/>
      <c r="AJ1310" s="4">
        <f>=ROUNDDOWN({0},0)</f>
      </c>
      <c r="AK1310" s="5"/>
      <c r="AL1310" s="2" t="s">
        <v>233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233</v>
      </c>
      <c r="AW1310" s="8" t="s">
        <v>233</v>
      </c>
      <c r="AX1310" s="4" t="s">
        <v>233</v>
      </c>
      <c r="AY1310" s="8" t="s">
        <v>233</v>
      </c>
      <c r="AZ1310" s="7" t="s">
        <v>233</v>
      </c>
      <c r="BA1310" s="7" t="s">
        <v>233</v>
      </c>
      <c r="BB1310" s="7"/>
      <c r="BC1310" s="4" t="s">
        <v>233</v>
      </c>
      <c r="BD1310" s="8" t="s">
        <v>233</v>
      </c>
      <c r="BE1310" s="4" t="s">
        <v>233</v>
      </c>
      <c r="BF1310" s="8" t="s">
        <v>233</v>
      </c>
      <c r="BG1310" s="7" t="s">
        <v>233</v>
      </c>
      <c r="BH1310" s="7" t="s">
        <v>233</v>
      </c>
      <c r="BI1310" s="7"/>
      <c r="BJ1310" s="4"/>
      <c r="BK1310" s="8"/>
      <c r="BL1310" s="2" t="s">
        <v>3106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6459</v>
      </c>
      <c r="BV1310" s="2" t="s">
        <v>233</v>
      </c>
      <c r="BW1310" s="2" t="s">
        <v>233</v>
      </c>
      <c r="BX1310" s="2" t="s">
        <v>243</v>
      </c>
      <c r="BY1310" s="2" t="s">
        <v>280</v>
      </c>
      <c r="BZ1310" s="2" t="s">
        <v>245</v>
      </c>
      <c r="CA1310" s="2" t="s">
        <v>233</v>
      </c>
      <c r="CB1310" s="2" t="s">
        <v>233</v>
      </c>
      <c r="CC1310" s="2" t="s">
        <v>246</v>
      </c>
      <c r="CD1310" s="2" t="s">
        <v>233</v>
      </c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>
        <v>400</v>
      </c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</row>
    <row r="1311">
      <c r="A1311" s="2" t="s">
        <v>6460</v>
      </c>
      <c r="B1311" s="2" t="s">
        <v>2691</v>
      </c>
      <c r="C1311" s="2" t="s">
        <v>901</v>
      </c>
      <c r="D1311" s="2" t="s">
        <v>2692</v>
      </c>
      <c r="E1311" s="2" t="s">
        <v>2693</v>
      </c>
      <c r="F1311" s="2" t="s">
        <v>6454</v>
      </c>
      <c r="G1311" s="2" t="s">
        <v>233</v>
      </c>
      <c r="H1311" s="2" t="s">
        <v>233</v>
      </c>
      <c r="I1311" s="2" t="s">
        <v>6455</v>
      </c>
      <c r="J1311" s="2" t="s">
        <v>6399</v>
      </c>
      <c r="K1311" s="2" t="s">
        <v>6461</v>
      </c>
      <c r="L1311" s="3">
        <v>11</v>
      </c>
      <c r="M1311" s="3">
        <v>11.55</v>
      </c>
      <c r="N1311" s="3">
        <v>32.99</v>
      </c>
      <c r="O1311" s="2" t="s">
        <v>245</v>
      </c>
      <c r="P1311" s="2" t="s">
        <v>243</v>
      </c>
      <c r="Q1311" s="2" t="s">
        <v>239</v>
      </c>
      <c r="R1311" s="2" t="s">
        <v>233</v>
      </c>
      <c r="S1311" s="2" t="s">
        <v>233</v>
      </c>
      <c r="T1311" s="2" t="s">
        <v>233</v>
      </c>
      <c r="U1311" s="2" t="s">
        <v>233</v>
      </c>
      <c r="V1311" s="2" t="s">
        <v>893</v>
      </c>
      <c r="W1311" s="2" t="s">
        <v>233</v>
      </c>
      <c r="X1311" s="2" t="s">
        <v>233</v>
      </c>
      <c r="Y1311" s="2" t="s">
        <v>4372</v>
      </c>
      <c r="Z1311" s="4">
        <v>529</v>
      </c>
      <c r="AA1311" s="4">
        <f>=ROUNDDOWN(58.7777777777778,0)</f>
      </c>
      <c r="AB1311" s="5">
        <v>9</v>
      </c>
      <c r="AC1311" s="2" t="s">
        <v>233</v>
      </c>
      <c r="AD1311" s="4"/>
      <c r="AE1311" s="4"/>
      <c r="AF1311" s="6"/>
      <c r="AG1311" s="6">
        <v>48</v>
      </c>
      <c r="AH1311" s="7">
        <v>1</v>
      </c>
      <c r="AI1311" s="4"/>
      <c r="AJ1311" s="4">
        <f>=ROUNDDOWN({0},0)</f>
      </c>
      <c r="AK1311" s="5"/>
      <c r="AL1311" s="2" t="s">
        <v>233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 t="s">
        <v>233</v>
      </c>
      <c r="BD1311" s="8" t="s">
        <v>233</v>
      </c>
      <c r="BE1311" s="4" t="s">
        <v>233</v>
      </c>
      <c r="BF1311" s="8" t="s">
        <v>233</v>
      </c>
      <c r="BG1311" s="7" t="s">
        <v>233</v>
      </c>
      <c r="BH1311" s="7" t="s">
        <v>233</v>
      </c>
      <c r="BI1311" s="7"/>
      <c r="BJ1311" s="4">
        <v>11</v>
      </c>
      <c r="BK1311" s="8">
        <v>170</v>
      </c>
      <c r="BL1311" s="2" t="s">
        <v>3106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6462</v>
      </c>
      <c r="BV1311" s="2" t="s">
        <v>233</v>
      </c>
      <c r="BW1311" s="2" t="s">
        <v>233</v>
      </c>
      <c r="BX1311" s="2" t="s">
        <v>243</v>
      </c>
      <c r="BY1311" s="2" t="s">
        <v>280</v>
      </c>
      <c r="BZ1311" s="2" t="s">
        <v>245</v>
      </c>
      <c r="CA1311" s="2" t="s">
        <v>6463</v>
      </c>
      <c r="CB1311" s="2" t="s">
        <v>233</v>
      </c>
      <c r="CC1311" s="2" t="s">
        <v>246</v>
      </c>
      <c r="CD1311" s="2" t="s">
        <v>233</v>
      </c>
      <c r="CE1311" s="4"/>
      <c r="CF1311" s="4"/>
      <c r="CG1311" s="4"/>
      <c r="CH1311" s="4"/>
      <c r="CI1311" s="4">
        <v>529</v>
      </c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</row>
    <row r="1312">
      <c r="A1312" s="2" t="s">
        <v>6464</v>
      </c>
      <c r="B1312" s="2" t="s">
        <v>2691</v>
      </c>
      <c r="C1312" s="2" t="s">
        <v>901</v>
      </c>
      <c r="D1312" s="2" t="s">
        <v>2692</v>
      </c>
      <c r="E1312" s="2" t="s">
        <v>2693</v>
      </c>
      <c r="F1312" s="2" t="s">
        <v>6465</v>
      </c>
      <c r="G1312" s="2" t="s">
        <v>233</v>
      </c>
      <c r="H1312" s="2" t="s">
        <v>233</v>
      </c>
      <c r="I1312" s="2" t="s">
        <v>6466</v>
      </c>
      <c r="J1312" s="2" t="s">
        <v>6399</v>
      </c>
      <c r="K1312" s="2" t="s">
        <v>6438</v>
      </c>
      <c r="L1312" s="3">
        <v>12.71</v>
      </c>
      <c r="M1312" s="3">
        <v>13.35</v>
      </c>
      <c r="N1312" s="3">
        <v>29.99</v>
      </c>
      <c r="O1312" s="2" t="s">
        <v>245</v>
      </c>
      <c r="P1312" s="2" t="s">
        <v>243</v>
      </c>
      <c r="Q1312" s="2" t="s">
        <v>239</v>
      </c>
      <c r="R1312" s="2" t="s">
        <v>233</v>
      </c>
      <c r="S1312" s="2" t="s">
        <v>233</v>
      </c>
      <c r="T1312" s="2" t="s">
        <v>233</v>
      </c>
      <c r="U1312" s="2" t="s">
        <v>233</v>
      </c>
      <c r="V1312" s="2" t="s">
        <v>1272</v>
      </c>
      <c r="W1312" s="2" t="s">
        <v>233</v>
      </c>
      <c r="X1312" s="2" t="s">
        <v>233</v>
      </c>
      <c r="Y1312" s="2" t="s">
        <v>6467</v>
      </c>
      <c r="Z1312" s="4">
        <v>87</v>
      </c>
      <c r="AA1312" s="4">
        <f>=ROUNDDOWN(12.4285714285714,0)</f>
      </c>
      <c r="AB1312" s="5">
        <v>7</v>
      </c>
      <c r="AC1312" s="2" t="s">
        <v>233</v>
      </c>
      <c r="AD1312" s="4"/>
      <c r="AE1312" s="4"/>
      <c r="AF1312" s="6"/>
      <c r="AG1312" s="6">
        <v>48</v>
      </c>
      <c r="AH1312" s="7">
        <v>1</v>
      </c>
      <c r="AI1312" s="4"/>
      <c r="AJ1312" s="4">
        <f>=ROUNDDOWN({0},0)</f>
      </c>
      <c r="AK1312" s="5"/>
      <c r="AL1312" s="2" t="s">
        <v>233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233</v>
      </c>
      <c r="AW1312" s="8" t="s">
        <v>233</v>
      </c>
      <c r="AX1312" s="4" t="s">
        <v>233</v>
      </c>
      <c r="AY1312" s="8" t="s">
        <v>233</v>
      </c>
      <c r="AZ1312" s="7" t="s">
        <v>233</v>
      </c>
      <c r="BA1312" s="7" t="s">
        <v>233</v>
      </c>
      <c r="BB1312" s="7"/>
      <c r="BC1312" s="4" t="s">
        <v>233</v>
      </c>
      <c r="BD1312" s="8" t="s">
        <v>233</v>
      </c>
      <c r="BE1312" s="4" t="s">
        <v>233</v>
      </c>
      <c r="BF1312" s="8" t="s">
        <v>233</v>
      </c>
      <c r="BG1312" s="7" t="s">
        <v>233</v>
      </c>
      <c r="BH1312" s="7" t="s">
        <v>233</v>
      </c>
      <c r="BI1312" s="7"/>
      <c r="BJ1312" s="4">
        <v>12</v>
      </c>
      <c r="BK1312" s="8">
        <v>159.92</v>
      </c>
      <c r="BL1312" s="2" t="s">
        <v>3106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6468</v>
      </c>
      <c r="BV1312" s="2" t="s">
        <v>233</v>
      </c>
      <c r="BW1312" s="2" t="s">
        <v>233</v>
      </c>
      <c r="BX1312" s="2" t="s">
        <v>243</v>
      </c>
      <c r="BY1312" s="2" t="s">
        <v>280</v>
      </c>
      <c r="BZ1312" s="2" t="s">
        <v>245</v>
      </c>
      <c r="CA1312" s="2" t="s">
        <v>6463</v>
      </c>
      <c r="CB1312" s="2" t="s">
        <v>233</v>
      </c>
      <c r="CC1312" s="2" t="s">
        <v>246</v>
      </c>
      <c r="CD1312" s="2" t="s">
        <v>233</v>
      </c>
      <c r="CE1312" s="4"/>
      <c r="CF1312" s="4"/>
      <c r="CG1312" s="4"/>
      <c r="CH1312" s="4"/>
      <c r="CI1312" s="4">
        <v>87</v>
      </c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</row>
    <row r="1313">
      <c r="A1313" s="2" t="s">
        <v>6469</v>
      </c>
      <c r="B1313" s="2" t="s">
        <v>2691</v>
      </c>
      <c r="C1313" s="2" t="s">
        <v>901</v>
      </c>
      <c r="D1313" s="2" t="s">
        <v>2692</v>
      </c>
      <c r="E1313" s="2" t="s">
        <v>2693</v>
      </c>
      <c r="F1313" s="2" t="s">
        <v>6465</v>
      </c>
      <c r="G1313" s="2" t="s">
        <v>233</v>
      </c>
      <c r="H1313" s="2" t="s">
        <v>233</v>
      </c>
      <c r="I1313" s="2" t="s">
        <v>6466</v>
      </c>
      <c r="J1313" s="2" t="s">
        <v>6405</v>
      </c>
      <c r="K1313" s="2" t="s">
        <v>6438</v>
      </c>
      <c r="L1313" s="3">
        <v>12.71</v>
      </c>
      <c r="M1313" s="3">
        <v>13.35</v>
      </c>
      <c r="N1313" s="3">
        <v>29.99</v>
      </c>
      <c r="O1313" s="2" t="s">
        <v>245</v>
      </c>
      <c r="P1313" s="2" t="s">
        <v>243</v>
      </c>
      <c r="Q1313" s="2" t="s">
        <v>239</v>
      </c>
      <c r="R1313" s="2" t="s">
        <v>233</v>
      </c>
      <c r="S1313" s="2" t="s">
        <v>233</v>
      </c>
      <c r="T1313" s="2" t="s">
        <v>233</v>
      </c>
      <c r="U1313" s="2" t="s">
        <v>233</v>
      </c>
      <c r="V1313" s="2" t="s">
        <v>1272</v>
      </c>
      <c r="W1313" s="2" t="s">
        <v>233</v>
      </c>
      <c r="X1313" s="2" t="s">
        <v>233</v>
      </c>
      <c r="Y1313" s="2" t="s">
        <v>6467</v>
      </c>
      <c r="Z1313" s="4">
        <v>334</v>
      </c>
      <c r="AA1313" s="4">
        <f>=ROUNDDOWN(66.8,0)</f>
      </c>
      <c r="AB1313" s="5">
        <v>5</v>
      </c>
      <c r="AC1313" s="2" t="s">
        <v>233</v>
      </c>
      <c r="AD1313" s="4"/>
      <c r="AE1313" s="4"/>
      <c r="AF1313" s="6"/>
      <c r="AG1313" s="6">
        <v>48</v>
      </c>
      <c r="AH1313" s="7">
        <v>1</v>
      </c>
      <c r="AI1313" s="4"/>
      <c r="AJ1313" s="4">
        <f>=ROUNDDOWN({0},0)</f>
      </c>
      <c r="AK1313" s="5"/>
      <c r="AL1313" s="2" t="s">
        <v>233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233</v>
      </c>
      <c r="AW1313" s="8" t="s">
        <v>233</v>
      </c>
      <c r="AX1313" s="4" t="s">
        <v>233</v>
      </c>
      <c r="AY1313" s="8" t="s">
        <v>233</v>
      </c>
      <c r="AZ1313" s="7" t="s">
        <v>233</v>
      </c>
      <c r="BA1313" s="7" t="s">
        <v>233</v>
      </c>
      <c r="BB1313" s="7"/>
      <c r="BC1313" s="4" t="s">
        <v>233</v>
      </c>
      <c r="BD1313" s="8" t="s">
        <v>233</v>
      </c>
      <c r="BE1313" s="4" t="s">
        <v>233</v>
      </c>
      <c r="BF1313" s="8" t="s">
        <v>233</v>
      </c>
      <c r="BG1313" s="7" t="s">
        <v>233</v>
      </c>
      <c r="BH1313" s="7" t="s">
        <v>233</v>
      </c>
      <c r="BI1313" s="7"/>
      <c r="BJ1313" s="4">
        <v>9</v>
      </c>
      <c r="BK1313" s="8">
        <v>124.95</v>
      </c>
      <c r="BL1313" s="2" t="s">
        <v>3106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6470</v>
      </c>
      <c r="BV1313" s="2" t="s">
        <v>233</v>
      </c>
      <c r="BW1313" s="2" t="s">
        <v>233</v>
      </c>
      <c r="BX1313" s="2" t="s">
        <v>243</v>
      </c>
      <c r="BY1313" s="2" t="s">
        <v>280</v>
      </c>
      <c r="BZ1313" s="2" t="s">
        <v>245</v>
      </c>
      <c r="CA1313" s="2" t="s">
        <v>6463</v>
      </c>
      <c r="CB1313" s="2" t="s">
        <v>233</v>
      </c>
      <c r="CC1313" s="2" t="s">
        <v>246</v>
      </c>
      <c r="CD1313" s="2" t="s">
        <v>233</v>
      </c>
      <c r="CE1313" s="4"/>
      <c r="CF1313" s="4"/>
      <c r="CG1313" s="4"/>
      <c r="CH1313" s="4"/>
      <c r="CI1313" s="4">
        <v>334</v>
      </c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</row>
    <row r="1314">
      <c r="A1314" s="2" t="s">
        <v>6471</v>
      </c>
      <c r="B1314" s="2" t="s">
        <v>2691</v>
      </c>
      <c r="C1314" s="2" t="s">
        <v>901</v>
      </c>
      <c r="D1314" s="2" t="s">
        <v>2692</v>
      </c>
      <c r="E1314" s="2" t="s">
        <v>2693</v>
      </c>
      <c r="F1314" s="2" t="s">
        <v>6465</v>
      </c>
      <c r="G1314" s="2" t="s">
        <v>233</v>
      </c>
      <c r="H1314" s="2" t="s">
        <v>233</v>
      </c>
      <c r="I1314" s="2" t="s">
        <v>6466</v>
      </c>
      <c r="J1314" s="2" t="s">
        <v>6399</v>
      </c>
      <c r="K1314" s="2" t="s">
        <v>6472</v>
      </c>
      <c r="L1314" s="3">
        <v>12.71</v>
      </c>
      <c r="M1314" s="3">
        <v>13.35</v>
      </c>
      <c r="N1314" s="3">
        <v>29.99</v>
      </c>
      <c r="O1314" s="2" t="s">
        <v>245</v>
      </c>
      <c r="P1314" s="2" t="s">
        <v>243</v>
      </c>
      <c r="Q1314" s="2" t="s">
        <v>239</v>
      </c>
      <c r="R1314" s="2" t="s">
        <v>233</v>
      </c>
      <c r="S1314" s="2" t="s">
        <v>233</v>
      </c>
      <c r="T1314" s="2" t="s">
        <v>233</v>
      </c>
      <c r="U1314" s="2" t="s">
        <v>233</v>
      </c>
      <c r="V1314" s="2" t="s">
        <v>893</v>
      </c>
      <c r="W1314" s="2" t="s">
        <v>233</v>
      </c>
      <c r="X1314" s="2" t="s">
        <v>233</v>
      </c>
      <c r="Y1314" s="2" t="s">
        <v>6467</v>
      </c>
      <c r="Z1314" s="4"/>
      <c r="AA1314" s="4">
        <f>=ROUNDDOWN({0},0)</f>
      </c>
      <c r="AB1314" s="5">
        <v>5</v>
      </c>
      <c r="AC1314" s="2" t="s">
        <v>233</v>
      </c>
      <c r="AD1314" s="4"/>
      <c r="AE1314" s="4"/>
      <c r="AF1314" s="6"/>
      <c r="AG1314" s="6">
        <v>48</v>
      </c>
      <c r="AH1314" s="7">
        <v>0</v>
      </c>
      <c r="AI1314" s="4"/>
      <c r="AJ1314" s="4">
        <f>=ROUNDDOWN({0},0)</f>
      </c>
      <c r="AK1314" s="5"/>
      <c r="AL1314" s="2" t="s">
        <v>233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233</v>
      </c>
      <c r="AW1314" s="8" t="s">
        <v>233</v>
      </c>
      <c r="AX1314" s="4" t="s">
        <v>233</v>
      </c>
      <c r="AY1314" s="8" t="s">
        <v>233</v>
      </c>
      <c r="AZ1314" s="7" t="s">
        <v>233</v>
      </c>
      <c r="BA1314" s="7" t="s">
        <v>233</v>
      </c>
      <c r="BB1314" s="7"/>
      <c r="BC1314" s="4" t="s">
        <v>233</v>
      </c>
      <c r="BD1314" s="8" t="s">
        <v>233</v>
      </c>
      <c r="BE1314" s="4" t="s">
        <v>233</v>
      </c>
      <c r="BF1314" s="8" t="s">
        <v>233</v>
      </c>
      <c r="BG1314" s="7" t="s">
        <v>233</v>
      </c>
      <c r="BH1314" s="7" t="s">
        <v>233</v>
      </c>
      <c r="BI1314" s="7"/>
      <c r="BJ1314" s="4"/>
      <c r="BK1314" s="8"/>
      <c r="BL1314" s="2" t="s">
        <v>3106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6473</v>
      </c>
      <c r="BV1314" s="2" t="s">
        <v>233</v>
      </c>
      <c r="BW1314" s="2" t="s">
        <v>233</v>
      </c>
      <c r="BX1314" s="2" t="s">
        <v>243</v>
      </c>
      <c r="BY1314" s="2" t="s">
        <v>280</v>
      </c>
      <c r="BZ1314" s="2" t="s">
        <v>245</v>
      </c>
      <c r="CA1314" s="2" t="s">
        <v>233</v>
      </c>
      <c r="CB1314" s="2" t="s">
        <v>233</v>
      </c>
      <c r="CC1314" s="2" t="s">
        <v>246</v>
      </c>
      <c r="CD1314" s="2" t="s">
        <v>233</v>
      </c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</row>
    <row r="1315">
      <c r="A1315" s="2" t="s">
        <v>6474</v>
      </c>
      <c r="B1315" s="2" t="s">
        <v>2691</v>
      </c>
      <c r="C1315" s="2" t="s">
        <v>901</v>
      </c>
      <c r="D1315" s="2" t="s">
        <v>2692</v>
      </c>
      <c r="E1315" s="2" t="s">
        <v>2693</v>
      </c>
      <c r="F1315" s="2" t="s">
        <v>6465</v>
      </c>
      <c r="G1315" s="2" t="s">
        <v>233</v>
      </c>
      <c r="H1315" s="2" t="s">
        <v>233</v>
      </c>
      <c r="I1315" s="2" t="s">
        <v>6466</v>
      </c>
      <c r="J1315" s="2" t="s">
        <v>6405</v>
      </c>
      <c r="K1315" s="2" t="s">
        <v>6472</v>
      </c>
      <c r="L1315" s="3">
        <v>12.71</v>
      </c>
      <c r="M1315" s="3">
        <v>13.35</v>
      </c>
      <c r="N1315" s="3">
        <v>29.99</v>
      </c>
      <c r="O1315" s="2" t="s">
        <v>245</v>
      </c>
      <c r="P1315" s="2" t="s">
        <v>243</v>
      </c>
      <c r="Q1315" s="2" t="s">
        <v>239</v>
      </c>
      <c r="R1315" s="2" t="s">
        <v>233</v>
      </c>
      <c r="S1315" s="2" t="s">
        <v>233</v>
      </c>
      <c r="T1315" s="2" t="s">
        <v>233</v>
      </c>
      <c r="U1315" s="2" t="s">
        <v>233</v>
      </c>
      <c r="V1315" s="2" t="s">
        <v>893</v>
      </c>
      <c r="W1315" s="2" t="s">
        <v>233</v>
      </c>
      <c r="X1315" s="2" t="s">
        <v>233</v>
      </c>
      <c r="Y1315" s="2" t="s">
        <v>6467</v>
      </c>
      <c r="Z1315" s="4">
        <v>3</v>
      </c>
      <c r="AA1315" s="4">
        <f>=ROUNDDOWN(0.6,0)</f>
      </c>
      <c r="AB1315" s="5">
        <v>5</v>
      </c>
      <c r="AC1315" s="2" t="s">
        <v>233</v>
      </c>
      <c r="AD1315" s="4"/>
      <c r="AE1315" s="4"/>
      <c r="AF1315" s="6"/>
      <c r="AG1315" s="6">
        <v>48</v>
      </c>
      <c r="AH1315" s="7">
        <v>1</v>
      </c>
      <c r="AI1315" s="4"/>
      <c r="AJ1315" s="4">
        <f>=ROUNDDOWN({0},0)</f>
      </c>
      <c r="AK1315" s="5"/>
      <c r="AL1315" s="2" t="s">
        <v>233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233</v>
      </c>
      <c r="AW1315" s="8" t="s">
        <v>233</v>
      </c>
      <c r="AX1315" s="4" t="s">
        <v>233</v>
      </c>
      <c r="AY1315" s="8" t="s">
        <v>233</v>
      </c>
      <c r="AZ1315" s="7" t="s">
        <v>233</v>
      </c>
      <c r="BA1315" s="7" t="s">
        <v>233</v>
      </c>
      <c r="BB1315" s="7"/>
      <c r="BC1315" s="4" t="s">
        <v>233</v>
      </c>
      <c r="BD1315" s="8" t="s">
        <v>233</v>
      </c>
      <c r="BE1315" s="4" t="s">
        <v>233</v>
      </c>
      <c r="BF1315" s="8" t="s">
        <v>233</v>
      </c>
      <c r="BG1315" s="7" t="s">
        <v>233</v>
      </c>
      <c r="BH1315" s="7" t="s">
        <v>233</v>
      </c>
      <c r="BI1315" s="7"/>
      <c r="BJ1315" s="4">
        <v>12</v>
      </c>
      <c r="BK1315" s="8">
        <v>157.06</v>
      </c>
      <c r="BL1315" s="2" t="s">
        <v>3106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6475</v>
      </c>
      <c r="BV1315" s="2" t="s">
        <v>233</v>
      </c>
      <c r="BW1315" s="2" t="s">
        <v>233</v>
      </c>
      <c r="BX1315" s="2" t="s">
        <v>243</v>
      </c>
      <c r="BY1315" s="2" t="s">
        <v>280</v>
      </c>
      <c r="BZ1315" s="2" t="s">
        <v>245</v>
      </c>
      <c r="CA1315" s="2" t="s">
        <v>6463</v>
      </c>
      <c r="CB1315" s="2" t="s">
        <v>233</v>
      </c>
      <c r="CC1315" s="2" t="s">
        <v>246</v>
      </c>
      <c r="CD1315" s="2" t="s">
        <v>233</v>
      </c>
      <c r="CE1315" s="4"/>
      <c r="CF1315" s="4"/>
      <c r="CG1315" s="4"/>
      <c r="CH1315" s="4"/>
      <c r="CI1315" s="4">
        <v>3</v>
      </c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</row>
    <row r="1316">
      <c r="A1316" s="2" t="s">
        <v>6476</v>
      </c>
      <c r="B1316" s="2" t="s">
        <v>2691</v>
      </c>
      <c r="C1316" s="2" t="s">
        <v>901</v>
      </c>
      <c r="D1316" s="2" t="s">
        <v>2692</v>
      </c>
      <c r="E1316" s="2" t="s">
        <v>2693</v>
      </c>
      <c r="F1316" s="2" t="s">
        <v>6465</v>
      </c>
      <c r="G1316" s="2" t="s">
        <v>233</v>
      </c>
      <c r="H1316" s="2" t="s">
        <v>233</v>
      </c>
      <c r="I1316" s="2" t="s">
        <v>6466</v>
      </c>
      <c r="J1316" s="2" t="s">
        <v>6399</v>
      </c>
      <c r="K1316" s="2" t="s">
        <v>6477</v>
      </c>
      <c r="L1316" s="3">
        <v>12.71</v>
      </c>
      <c r="M1316" s="3">
        <v>13.35</v>
      </c>
      <c r="N1316" s="3">
        <v>29.99</v>
      </c>
      <c r="O1316" s="2" t="s">
        <v>245</v>
      </c>
      <c r="P1316" s="2" t="s">
        <v>243</v>
      </c>
      <c r="Q1316" s="2" t="s">
        <v>239</v>
      </c>
      <c r="R1316" s="2" t="s">
        <v>233</v>
      </c>
      <c r="S1316" s="2" t="s">
        <v>233</v>
      </c>
      <c r="T1316" s="2" t="s">
        <v>233</v>
      </c>
      <c r="U1316" s="2" t="s">
        <v>233</v>
      </c>
      <c r="V1316" s="2" t="s">
        <v>1456</v>
      </c>
      <c r="W1316" s="2" t="s">
        <v>233</v>
      </c>
      <c r="X1316" s="2" t="s">
        <v>233</v>
      </c>
      <c r="Y1316" s="2" t="s">
        <v>6478</v>
      </c>
      <c r="Z1316" s="4">
        <v>93</v>
      </c>
      <c r="AA1316" s="4">
        <f>=ROUNDDOWN(5.31428571428571,0)</f>
      </c>
      <c r="AB1316" s="5">
        <v>17.5</v>
      </c>
      <c r="AC1316" s="2" t="s">
        <v>233</v>
      </c>
      <c r="AD1316" s="4"/>
      <c r="AE1316" s="4"/>
      <c r="AF1316" s="6"/>
      <c r="AG1316" s="6">
        <v>48</v>
      </c>
      <c r="AH1316" s="7">
        <v>1</v>
      </c>
      <c r="AI1316" s="4"/>
      <c r="AJ1316" s="4">
        <f>=ROUNDDOWN({0},0)</f>
      </c>
      <c r="AK1316" s="5"/>
      <c r="AL1316" s="2" t="s">
        <v>233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233</v>
      </c>
      <c r="AW1316" s="8" t="s">
        <v>233</v>
      </c>
      <c r="AX1316" s="4" t="s">
        <v>233</v>
      </c>
      <c r="AY1316" s="8" t="s">
        <v>233</v>
      </c>
      <c r="AZ1316" s="7" t="s">
        <v>233</v>
      </c>
      <c r="BA1316" s="7" t="s">
        <v>233</v>
      </c>
      <c r="BB1316" s="7"/>
      <c r="BC1316" s="4" t="s">
        <v>233</v>
      </c>
      <c r="BD1316" s="8" t="s">
        <v>233</v>
      </c>
      <c r="BE1316" s="4" t="s">
        <v>233</v>
      </c>
      <c r="BF1316" s="8" t="s">
        <v>233</v>
      </c>
      <c r="BG1316" s="7" t="s">
        <v>233</v>
      </c>
      <c r="BH1316" s="7" t="s">
        <v>233</v>
      </c>
      <c r="BI1316" s="7"/>
      <c r="BJ1316" s="4">
        <v>11</v>
      </c>
      <c r="BK1316" s="8">
        <v>147.07</v>
      </c>
      <c r="BL1316" s="2" t="s">
        <v>3106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6479</v>
      </c>
      <c r="BV1316" s="2" t="s">
        <v>233</v>
      </c>
      <c r="BW1316" s="2" t="s">
        <v>233</v>
      </c>
      <c r="BX1316" s="2" t="s">
        <v>243</v>
      </c>
      <c r="BY1316" s="2" t="s">
        <v>280</v>
      </c>
      <c r="BZ1316" s="2" t="s">
        <v>245</v>
      </c>
      <c r="CA1316" s="2" t="s">
        <v>6463</v>
      </c>
      <c r="CB1316" s="2" t="s">
        <v>233</v>
      </c>
      <c r="CC1316" s="2" t="s">
        <v>246</v>
      </c>
      <c r="CD1316" s="2" t="s">
        <v>233</v>
      </c>
      <c r="CE1316" s="4"/>
      <c r="CF1316" s="4"/>
      <c r="CG1316" s="4"/>
      <c r="CH1316" s="4"/>
      <c r="CI1316" s="4">
        <v>93</v>
      </c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</row>
    <row r="1317">
      <c r="A1317" s="2" t="s">
        <v>6480</v>
      </c>
      <c r="B1317" s="2" t="s">
        <v>2691</v>
      </c>
      <c r="C1317" s="2" t="s">
        <v>901</v>
      </c>
      <c r="D1317" s="2" t="s">
        <v>2692</v>
      </c>
      <c r="E1317" s="2" t="s">
        <v>2693</v>
      </c>
      <c r="F1317" s="2" t="s">
        <v>6465</v>
      </c>
      <c r="G1317" s="2" t="s">
        <v>233</v>
      </c>
      <c r="H1317" s="2" t="s">
        <v>233</v>
      </c>
      <c r="I1317" s="2" t="s">
        <v>6466</v>
      </c>
      <c r="J1317" s="2" t="s">
        <v>6405</v>
      </c>
      <c r="K1317" s="2" t="s">
        <v>6477</v>
      </c>
      <c r="L1317" s="3">
        <v>12.71</v>
      </c>
      <c r="M1317" s="3">
        <v>13.35</v>
      </c>
      <c r="N1317" s="3">
        <v>29.99</v>
      </c>
      <c r="O1317" s="2" t="s">
        <v>245</v>
      </c>
      <c r="P1317" s="2" t="s">
        <v>243</v>
      </c>
      <c r="Q1317" s="2" t="s">
        <v>239</v>
      </c>
      <c r="R1317" s="2" t="s">
        <v>233</v>
      </c>
      <c r="S1317" s="2" t="s">
        <v>233</v>
      </c>
      <c r="T1317" s="2" t="s">
        <v>233</v>
      </c>
      <c r="U1317" s="2" t="s">
        <v>233</v>
      </c>
      <c r="V1317" s="2" t="s">
        <v>1456</v>
      </c>
      <c r="W1317" s="2" t="s">
        <v>233</v>
      </c>
      <c r="X1317" s="2" t="s">
        <v>233</v>
      </c>
      <c r="Y1317" s="2" t="s">
        <v>6478</v>
      </c>
      <c r="Z1317" s="4">
        <v>303</v>
      </c>
      <c r="AA1317" s="4">
        <f>=ROUNDDOWN(75.75,0)</f>
      </c>
      <c r="AB1317" s="5">
        <v>4</v>
      </c>
      <c r="AC1317" s="2" t="s">
        <v>233</v>
      </c>
      <c r="AD1317" s="4"/>
      <c r="AE1317" s="4"/>
      <c r="AF1317" s="6"/>
      <c r="AG1317" s="6">
        <v>48</v>
      </c>
      <c r="AH1317" s="7">
        <v>1</v>
      </c>
      <c r="AI1317" s="4"/>
      <c r="AJ1317" s="4">
        <f>=ROUNDDOWN({0},0)</f>
      </c>
      <c r="AK1317" s="5"/>
      <c r="AL1317" s="2" t="s">
        <v>233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233</v>
      </c>
      <c r="AW1317" s="8" t="s">
        <v>233</v>
      </c>
      <c r="AX1317" s="4" t="s">
        <v>233</v>
      </c>
      <c r="AY1317" s="8" t="s">
        <v>233</v>
      </c>
      <c r="AZ1317" s="7" t="s">
        <v>233</v>
      </c>
      <c r="BA1317" s="7" t="s">
        <v>233</v>
      </c>
      <c r="BB1317" s="7"/>
      <c r="BC1317" s="4" t="s">
        <v>233</v>
      </c>
      <c r="BD1317" s="8" t="s">
        <v>233</v>
      </c>
      <c r="BE1317" s="4" t="s">
        <v>233</v>
      </c>
      <c r="BF1317" s="8" t="s">
        <v>233</v>
      </c>
      <c r="BG1317" s="7" t="s">
        <v>233</v>
      </c>
      <c r="BH1317" s="7" t="s">
        <v>233</v>
      </c>
      <c r="BI1317" s="7"/>
      <c r="BJ1317" s="4">
        <v>4</v>
      </c>
      <c r="BK1317" s="8">
        <v>57.12</v>
      </c>
      <c r="BL1317" s="2" t="s">
        <v>3106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6481</v>
      </c>
      <c r="BV1317" s="2" t="s">
        <v>233</v>
      </c>
      <c r="BW1317" s="2" t="s">
        <v>233</v>
      </c>
      <c r="BX1317" s="2" t="s">
        <v>243</v>
      </c>
      <c r="BY1317" s="2" t="s">
        <v>280</v>
      </c>
      <c r="BZ1317" s="2" t="s">
        <v>245</v>
      </c>
      <c r="CA1317" s="2" t="s">
        <v>6463</v>
      </c>
      <c r="CB1317" s="2" t="s">
        <v>233</v>
      </c>
      <c r="CC1317" s="2" t="s">
        <v>246</v>
      </c>
      <c r="CD1317" s="2" t="s">
        <v>233</v>
      </c>
      <c r="CE1317" s="4"/>
      <c r="CF1317" s="4"/>
      <c r="CG1317" s="4"/>
      <c r="CH1317" s="4"/>
      <c r="CI1317" s="4">
        <v>303</v>
      </c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</row>
    <row r="1318">
      <c r="A1318" s="2" t="s">
        <v>6482</v>
      </c>
      <c r="B1318" s="2" t="s">
        <v>2691</v>
      </c>
      <c r="C1318" s="2" t="s">
        <v>901</v>
      </c>
      <c r="D1318" s="2" t="s">
        <v>2692</v>
      </c>
      <c r="E1318" s="2" t="s">
        <v>2693</v>
      </c>
      <c r="F1318" s="2" t="s">
        <v>6465</v>
      </c>
      <c r="G1318" s="2" t="s">
        <v>233</v>
      </c>
      <c r="H1318" s="2" t="s">
        <v>233</v>
      </c>
      <c r="I1318" s="2" t="s">
        <v>6466</v>
      </c>
      <c r="J1318" s="2" t="s">
        <v>6399</v>
      </c>
      <c r="K1318" s="2" t="s">
        <v>6483</v>
      </c>
      <c r="L1318" s="3">
        <v>12.71</v>
      </c>
      <c r="M1318" s="3">
        <v>13.35</v>
      </c>
      <c r="N1318" s="3">
        <v>29.99</v>
      </c>
      <c r="O1318" s="2" t="s">
        <v>245</v>
      </c>
      <c r="P1318" s="2" t="s">
        <v>243</v>
      </c>
      <c r="Q1318" s="2" t="s">
        <v>239</v>
      </c>
      <c r="R1318" s="2" t="s">
        <v>233</v>
      </c>
      <c r="S1318" s="2" t="s">
        <v>233</v>
      </c>
      <c r="T1318" s="2" t="s">
        <v>233</v>
      </c>
      <c r="U1318" s="2" t="s">
        <v>233</v>
      </c>
      <c r="V1318" s="2" t="s">
        <v>1272</v>
      </c>
      <c r="W1318" s="2" t="s">
        <v>233</v>
      </c>
      <c r="X1318" s="2" t="s">
        <v>233</v>
      </c>
      <c r="Y1318" s="2" t="s">
        <v>6478</v>
      </c>
      <c r="Z1318" s="4">
        <v>273</v>
      </c>
      <c r="AA1318" s="4">
        <f>=ROUNDDOWN(45.5,0)</f>
      </c>
      <c r="AB1318" s="5">
        <v>6</v>
      </c>
      <c r="AC1318" s="2" t="s">
        <v>233</v>
      </c>
      <c r="AD1318" s="4"/>
      <c r="AE1318" s="4"/>
      <c r="AF1318" s="6"/>
      <c r="AG1318" s="6">
        <v>48</v>
      </c>
      <c r="AH1318" s="7">
        <v>1</v>
      </c>
      <c r="AI1318" s="4"/>
      <c r="AJ1318" s="4">
        <f>=ROUNDDOWN({0},0)</f>
      </c>
      <c r="AK1318" s="5"/>
      <c r="AL1318" s="2" t="s">
        <v>233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233</v>
      </c>
      <c r="AW1318" s="8" t="s">
        <v>233</v>
      </c>
      <c r="AX1318" s="4" t="s">
        <v>233</v>
      </c>
      <c r="AY1318" s="8" t="s">
        <v>233</v>
      </c>
      <c r="AZ1318" s="7" t="s">
        <v>233</v>
      </c>
      <c r="BA1318" s="7" t="s">
        <v>233</v>
      </c>
      <c r="BB1318" s="7"/>
      <c r="BC1318" s="4" t="s">
        <v>233</v>
      </c>
      <c r="BD1318" s="8" t="s">
        <v>233</v>
      </c>
      <c r="BE1318" s="4" t="s">
        <v>233</v>
      </c>
      <c r="BF1318" s="8" t="s">
        <v>233</v>
      </c>
      <c r="BG1318" s="7" t="s">
        <v>233</v>
      </c>
      <c r="BH1318" s="7" t="s">
        <v>233</v>
      </c>
      <c r="BI1318" s="7"/>
      <c r="BJ1318" s="4">
        <v>8</v>
      </c>
      <c r="BK1318" s="8">
        <v>109.95</v>
      </c>
      <c r="BL1318" s="2" t="s">
        <v>3106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6484</v>
      </c>
      <c r="BV1318" s="2" t="s">
        <v>233</v>
      </c>
      <c r="BW1318" s="2" t="s">
        <v>233</v>
      </c>
      <c r="BX1318" s="2" t="s">
        <v>243</v>
      </c>
      <c r="BY1318" s="2" t="s">
        <v>280</v>
      </c>
      <c r="BZ1318" s="2" t="s">
        <v>245</v>
      </c>
      <c r="CA1318" s="2" t="s">
        <v>6463</v>
      </c>
      <c r="CB1318" s="2" t="s">
        <v>233</v>
      </c>
      <c r="CC1318" s="2" t="s">
        <v>246</v>
      </c>
      <c r="CD1318" s="2" t="s">
        <v>233</v>
      </c>
      <c r="CE1318" s="4"/>
      <c r="CF1318" s="4"/>
      <c r="CG1318" s="4"/>
      <c r="CH1318" s="4"/>
      <c r="CI1318" s="4">
        <v>273</v>
      </c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</row>
    <row r="1319">
      <c r="A1319" s="2" t="s">
        <v>6485</v>
      </c>
      <c r="B1319" s="2" t="s">
        <v>2691</v>
      </c>
      <c r="C1319" s="2" t="s">
        <v>901</v>
      </c>
      <c r="D1319" s="2" t="s">
        <v>2692</v>
      </c>
      <c r="E1319" s="2" t="s">
        <v>2693</v>
      </c>
      <c r="F1319" s="2" t="s">
        <v>6465</v>
      </c>
      <c r="G1319" s="2" t="s">
        <v>233</v>
      </c>
      <c r="H1319" s="2" t="s">
        <v>233</v>
      </c>
      <c r="I1319" s="2" t="s">
        <v>6466</v>
      </c>
      <c r="J1319" s="2" t="s">
        <v>6405</v>
      </c>
      <c r="K1319" s="2" t="s">
        <v>6483</v>
      </c>
      <c r="L1319" s="3">
        <v>12.71</v>
      </c>
      <c r="M1319" s="3">
        <v>13.35</v>
      </c>
      <c r="N1319" s="3">
        <v>29.99</v>
      </c>
      <c r="O1319" s="2" t="s">
        <v>245</v>
      </c>
      <c r="P1319" s="2" t="s">
        <v>243</v>
      </c>
      <c r="Q1319" s="2" t="s">
        <v>239</v>
      </c>
      <c r="R1319" s="2" t="s">
        <v>233</v>
      </c>
      <c r="S1319" s="2" t="s">
        <v>233</v>
      </c>
      <c r="T1319" s="2" t="s">
        <v>233</v>
      </c>
      <c r="U1319" s="2" t="s">
        <v>233</v>
      </c>
      <c r="V1319" s="2" t="s">
        <v>1272</v>
      </c>
      <c r="W1319" s="2" t="s">
        <v>233</v>
      </c>
      <c r="X1319" s="2" t="s">
        <v>233</v>
      </c>
      <c r="Y1319" s="2" t="s">
        <v>6478</v>
      </c>
      <c r="Z1319" s="4">
        <v>464</v>
      </c>
      <c r="AA1319" s="4">
        <f>=ROUNDDOWN(77.3333333333333,0)</f>
      </c>
      <c r="AB1319" s="5">
        <v>6</v>
      </c>
      <c r="AC1319" s="2" t="s">
        <v>233</v>
      </c>
      <c r="AD1319" s="4"/>
      <c r="AE1319" s="4"/>
      <c r="AF1319" s="6"/>
      <c r="AG1319" s="6">
        <v>48</v>
      </c>
      <c r="AH1319" s="7">
        <v>1</v>
      </c>
      <c r="AI1319" s="4"/>
      <c r="AJ1319" s="4">
        <f>=ROUNDDOWN({0},0)</f>
      </c>
      <c r="AK1319" s="5"/>
      <c r="AL1319" s="2" t="s">
        <v>233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233</v>
      </c>
      <c r="AW1319" s="8" t="s">
        <v>233</v>
      </c>
      <c r="AX1319" s="4" t="s">
        <v>233</v>
      </c>
      <c r="AY1319" s="8" t="s">
        <v>233</v>
      </c>
      <c r="AZ1319" s="7" t="s">
        <v>233</v>
      </c>
      <c r="BA1319" s="7" t="s">
        <v>233</v>
      </c>
      <c r="BB1319" s="7"/>
      <c r="BC1319" s="4" t="s">
        <v>233</v>
      </c>
      <c r="BD1319" s="8" t="s">
        <v>233</v>
      </c>
      <c r="BE1319" s="4" t="s">
        <v>233</v>
      </c>
      <c r="BF1319" s="8" t="s">
        <v>233</v>
      </c>
      <c r="BG1319" s="7" t="s">
        <v>233</v>
      </c>
      <c r="BH1319" s="7" t="s">
        <v>233</v>
      </c>
      <c r="BI1319" s="7"/>
      <c r="BJ1319" s="4">
        <v>1</v>
      </c>
      <c r="BK1319" s="8">
        <v>12.85</v>
      </c>
      <c r="BL1319" s="2" t="s">
        <v>3106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6486</v>
      </c>
      <c r="BV1319" s="2" t="s">
        <v>233</v>
      </c>
      <c r="BW1319" s="2" t="s">
        <v>233</v>
      </c>
      <c r="BX1319" s="2" t="s">
        <v>243</v>
      </c>
      <c r="BY1319" s="2" t="s">
        <v>280</v>
      </c>
      <c r="BZ1319" s="2" t="s">
        <v>245</v>
      </c>
      <c r="CA1319" s="2" t="s">
        <v>6463</v>
      </c>
      <c r="CB1319" s="2" t="s">
        <v>233</v>
      </c>
      <c r="CC1319" s="2" t="s">
        <v>246</v>
      </c>
      <c r="CD1319" s="2" t="s">
        <v>233</v>
      </c>
      <c r="CE1319" s="4"/>
      <c r="CF1319" s="4"/>
      <c r="CG1319" s="4"/>
      <c r="CH1319" s="4"/>
      <c r="CI1319" s="4">
        <v>464</v>
      </c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</row>
    <row r="1320">
      <c r="A1320" s="2" t="s">
        <v>6487</v>
      </c>
      <c r="B1320" s="2" t="s">
        <v>2691</v>
      </c>
      <c r="C1320" s="2" t="s">
        <v>901</v>
      </c>
      <c r="D1320" s="2" t="s">
        <v>2692</v>
      </c>
      <c r="E1320" s="2" t="s">
        <v>2693</v>
      </c>
      <c r="F1320" s="2" t="s">
        <v>6488</v>
      </c>
      <c r="G1320" s="2" t="s">
        <v>233</v>
      </c>
      <c r="H1320" s="2" t="s">
        <v>233</v>
      </c>
      <c r="I1320" s="2" t="s">
        <v>6489</v>
      </c>
      <c r="J1320" s="2" t="s">
        <v>6490</v>
      </c>
      <c r="K1320" s="2" t="s">
        <v>6491</v>
      </c>
      <c r="L1320" s="3">
        <v>19.21</v>
      </c>
      <c r="M1320" s="3">
        <v>20.17</v>
      </c>
      <c r="N1320" s="3">
        <v>29.99</v>
      </c>
      <c r="O1320" s="2" t="s">
        <v>245</v>
      </c>
      <c r="P1320" s="2" t="s">
        <v>243</v>
      </c>
      <c r="Q1320" s="2" t="s">
        <v>239</v>
      </c>
      <c r="R1320" s="2" t="s">
        <v>233</v>
      </c>
      <c r="S1320" s="2" t="s">
        <v>233</v>
      </c>
      <c r="T1320" s="2" t="s">
        <v>233</v>
      </c>
      <c r="U1320" s="2" t="s">
        <v>233</v>
      </c>
      <c r="V1320" s="2" t="s">
        <v>893</v>
      </c>
      <c r="W1320" s="2" t="s">
        <v>233</v>
      </c>
      <c r="X1320" s="2" t="s">
        <v>233</v>
      </c>
      <c r="Y1320" s="2" t="s">
        <v>2697</v>
      </c>
      <c r="Z1320" s="4">
        <v>38</v>
      </c>
      <c r="AA1320" s="4">
        <f>=ROUNDDOWN(12.6666666666667,0)</f>
      </c>
      <c r="AB1320" s="5">
        <v>3</v>
      </c>
      <c r="AC1320" s="2" t="s">
        <v>4953</v>
      </c>
      <c r="AD1320" s="4">
        <v>320</v>
      </c>
      <c r="AE1320" s="4">
        <v>320</v>
      </c>
      <c r="AF1320" s="6"/>
      <c r="AG1320" s="6">
        <v>48</v>
      </c>
      <c r="AH1320" s="7">
        <v>1</v>
      </c>
      <c r="AI1320" s="4"/>
      <c r="AJ1320" s="4">
        <f>=ROUNDDOWN({0},0)</f>
      </c>
      <c r="AK1320" s="5"/>
      <c r="AL1320" s="2" t="s">
        <v>233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233</v>
      </c>
      <c r="AW1320" s="8" t="s">
        <v>233</v>
      </c>
      <c r="AX1320" s="4" t="s">
        <v>233</v>
      </c>
      <c r="AY1320" s="8" t="s">
        <v>233</v>
      </c>
      <c r="AZ1320" s="7" t="s">
        <v>233</v>
      </c>
      <c r="BA1320" s="7" t="s">
        <v>233</v>
      </c>
      <c r="BB1320" s="7"/>
      <c r="BC1320" s="4" t="s">
        <v>233</v>
      </c>
      <c r="BD1320" s="8" t="s">
        <v>233</v>
      </c>
      <c r="BE1320" s="4" t="s">
        <v>233</v>
      </c>
      <c r="BF1320" s="8" t="s">
        <v>233</v>
      </c>
      <c r="BG1320" s="7" t="s">
        <v>233</v>
      </c>
      <c r="BH1320" s="7" t="s">
        <v>233</v>
      </c>
      <c r="BI1320" s="7"/>
      <c r="BJ1320" s="4">
        <v>6</v>
      </c>
      <c r="BK1320" s="8">
        <v>90</v>
      </c>
      <c r="BL1320" s="2" t="s">
        <v>2513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6492</v>
      </c>
      <c r="BV1320" s="2" t="s">
        <v>233</v>
      </c>
      <c r="BW1320" s="2" t="s">
        <v>233</v>
      </c>
      <c r="BX1320" s="2" t="s">
        <v>243</v>
      </c>
      <c r="BY1320" s="2" t="s">
        <v>280</v>
      </c>
      <c r="BZ1320" s="2" t="s">
        <v>245</v>
      </c>
      <c r="CA1320" s="2" t="s">
        <v>3329</v>
      </c>
      <c r="CB1320" s="2" t="s">
        <v>233</v>
      </c>
      <c r="CC1320" s="2" t="s">
        <v>246</v>
      </c>
      <c r="CD1320" s="2" t="s">
        <v>233</v>
      </c>
      <c r="CE1320" s="4"/>
      <c r="CF1320" s="4"/>
      <c r="CG1320" s="4"/>
      <c r="CH1320" s="4"/>
      <c r="CI1320" s="4">
        <v>38</v>
      </c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>
        <v>320</v>
      </c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</row>
    <row r="1321">
      <c r="A1321" s="2" t="s">
        <v>6493</v>
      </c>
      <c r="B1321" s="2" t="s">
        <v>2691</v>
      </c>
      <c r="C1321" s="2" t="s">
        <v>901</v>
      </c>
      <c r="D1321" s="2" t="s">
        <v>2692</v>
      </c>
      <c r="E1321" s="2" t="s">
        <v>2693</v>
      </c>
      <c r="F1321" s="2" t="s">
        <v>6488</v>
      </c>
      <c r="G1321" s="2" t="s">
        <v>233</v>
      </c>
      <c r="H1321" s="2" t="s">
        <v>233</v>
      </c>
      <c r="I1321" s="2" t="s">
        <v>6489</v>
      </c>
      <c r="J1321" s="2" t="s">
        <v>2695</v>
      </c>
      <c r="K1321" s="2" t="s">
        <v>6491</v>
      </c>
      <c r="L1321" s="3">
        <v>19.21</v>
      </c>
      <c r="M1321" s="3">
        <v>20.17</v>
      </c>
      <c r="N1321" s="3">
        <v>29.99</v>
      </c>
      <c r="O1321" s="2" t="s">
        <v>245</v>
      </c>
      <c r="P1321" s="2" t="s">
        <v>243</v>
      </c>
      <c r="Q1321" s="2" t="s">
        <v>239</v>
      </c>
      <c r="R1321" s="2" t="s">
        <v>233</v>
      </c>
      <c r="S1321" s="2" t="s">
        <v>233</v>
      </c>
      <c r="T1321" s="2" t="s">
        <v>233</v>
      </c>
      <c r="U1321" s="2" t="s">
        <v>233</v>
      </c>
      <c r="V1321" s="2" t="s">
        <v>893</v>
      </c>
      <c r="W1321" s="2" t="s">
        <v>233</v>
      </c>
      <c r="X1321" s="2" t="s">
        <v>233</v>
      </c>
      <c r="Y1321" s="2" t="s">
        <v>2697</v>
      </c>
      <c r="Z1321" s="4">
        <v>146</v>
      </c>
      <c r="AA1321" s="4">
        <f>=ROUNDDOWN(20.8571428571429,0)</f>
      </c>
      <c r="AB1321" s="5">
        <v>7</v>
      </c>
      <c r="AC1321" s="2" t="s">
        <v>4953</v>
      </c>
      <c r="AD1321" s="4">
        <v>320</v>
      </c>
      <c r="AE1321" s="4">
        <v>320</v>
      </c>
      <c r="AF1321" s="6"/>
      <c r="AG1321" s="6">
        <v>48</v>
      </c>
      <c r="AH1321" s="7">
        <v>1</v>
      </c>
      <c r="AI1321" s="4"/>
      <c r="AJ1321" s="4">
        <f>=ROUNDDOWN({0},0)</f>
      </c>
      <c r="AK1321" s="5"/>
      <c r="AL1321" s="2" t="s">
        <v>233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233</v>
      </c>
      <c r="AW1321" s="8" t="s">
        <v>233</v>
      </c>
      <c r="AX1321" s="4" t="s">
        <v>233</v>
      </c>
      <c r="AY1321" s="8" t="s">
        <v>233</v>
      </c>
      <c r="AZ1321" s="7" t="s">
        <v>233</v>
      </c>
      <c r="BA1321" s="7" t="s">
        <v>233</v>
      </c>
      <c r="BB1321" s="7"/>
      <c r="BC1321" s="4" t="s">
        <v>233</v>
      </c>
      <c r="BD1321" s="8" t="s">
        <v>233</v>
      </c>
      <c r="BE1321" s="4" t="s">
        <v>233</v>
      </c>
      <c r="BF1321" s="8" t="s">
        <v>233</v>
      </c>
      <c r="BG1321" s="7" t="s">
        <v>233</v>
      </c>
      <c r="BH1321" s="7" t="s">
        <v>233</v>
      </c>
      <c r="BI1321" s="7"/>
      <c r="BJ1321" s="4">
        <v>2</v>
      </c>
      <c r="BK1321" s="8">
        <v>30</v>
      </c>
      <c r="BL1321" s="2" t="s">
        <v>2513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6494</v>
      </c>
      <c r="BV1321" s="2" t="s">
        <v>233</v>
      </c>
      <c r="BW1321" s="2" t="s">
        <v>233</v>
      </c>
      <c r="BX1321" s="2" t="s">
        <v>243</v>
      </c>
      <c r="BY1321" s="2" t="s">
        <v>280</v>
      </c>
      <c r="BZ1321" s="2" t="s">
        <v>245</v>
      </c>
      <c r="CA1321" s="2" t="s">
        <v>3329</v>
      </c>
      <c r="CB1321" s="2" t="s">
        <v>233</v>
      </c>
      <c r="CC1321" s="2" t="s">
        <v>246</v>
      </c>
      <c r="CD1321" s="2" t="s">
        <v>233</v>
      </c>
      <c r="CE1321" s="4"/>
      <c r="CF1321" s="4"/>
      <c r="CG1321" s="4"/>
      <c r="CH1321" s="4"/>
      <c r="CI1321" s="4">
        <v>146</v>
      </c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>
        <v>320</v>
      </c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</row>
    <row r="1322">
      <c r="A1322" s="2" t="s">
        <v>6495</v>
      </c>
      <c r="B1322" s="2" t="s">
        <v>2691</v>
      </c>
      <c r="C1322" s="2" t="s">
        <v>901</v>
      </c>
      <c r="D1322" s="2" t="s">
        <v>2692</v>
      </c>
      <c r="E1322" s="2" t="s">
        <v>2693</v>
      </c>
      <c r="F1322" s="2" t="s">
        <v>6488</v>
      </c>
      <c r="G1322" s="2" t="s">
        <v>233</v>
      </c>
      <c r="H1322" s="2" t="s">
        <v>233</v>
      </c>
      <c r="I1322" s="2" t="s">
        <v>6489</v>
      </c>
      <c r="J1322" s="2" t="s">
        <v>1282</v>
      </c>
      <c r="K1322" s="2" t="s">
        <v>6491</v>
      </c>
      <c r="L1322" s="3">
        <v>19.21</v>
      </c>
      <c r="M1322" s="3">
        <v>20.17</v>
      </c>
      <c r="N1322" s="3">
        <v>29.99</v>
      </c>
      <c r="O1322" s="2" t="s">
        <v>245</v>
      </c>
      <c r="P1322" s="2" t="s">
        <v>243</v>
      </c>
      <c r="Q1322" s="2" t="s">
        <v>239</v>
      </c>
      <c r="R1322" s="2" t="s">
        <v>233</v>
      </c>
      <c r="S1322" s="2" t="s">
        <v>233</v>
      </c>
      <c r="T1322" s="2" t="s">
        <v>233</v>
      </c>
      <c r="U1322" s="2" t="s">
        <v>233</v>
      </c>
      <c r="V1322" s="2" t="s">
        <v>893</v>
      </c>
      <c r="W1322" s="2" t="s">
        <v>233</v>
      </c>
      <c r="X1322" s="2" t="s">
        <v>233</v>
      </c>
      <c r="Y1322" s="2" t="s">
        <v>2697</v>
      </c>
      <c r="Z1322" s="4"/>
      <c r="AA1322" s="4">
        <f>=ROUNDDOWN({0},0)</f>
      </c>
      <c r="AB1322" s="5">
        <v>13</v>
      </c>
      <c r="AC1322" s="2" t="s">
        <v>4953</v>
      </c>
      <c r="AD1322" s="4">
        <v>784</v>
      </c>
      <c r="AE1322" s="4">
        <v>784</v>
      </c>
      <c r="AF1322" s="6"/>
      <c r="AG1322" s="6">
        <v>48</v>
      </c>
      <c r="AH1322" s="7">
        <v>0</v>
      </c>
      <c r="AI1322" s="4"/>
      <c r="AJ1322" s="4">
        <f>=ROUNDDOWN({0},0)</f>
      </c>
      <c r="AK1322" s="5"/>
      <c r="AL1322" s="2" t="s">
        <v>233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233</v>
      </c>
      <c r="AW1322" s="8" t="s">
        <v>233</v>
      </c>
      <c r="AX1322" s="4" t="s">
        <v>233</v>
      </c>
      <c r="AY1322" s="8" t="s">
        <v>233</v>
      </c>
      <c r="AZ1322" s="7" t="s">
        <v>233</v>
      </c>
      <c r="BA1322" s="7" t="s">
        <v>233</v>
      </c>
      <c r="BB1322" s="7"/>
      <c r="BC1322" s="4" t="s">
        <v>233</v>
      </c>
      <c r="BD1322" s="8" t="s">
        <v>233</v>
      </c>
      <c r="BE1322" s="4" t="s">
        <v>233</v>
      </c>
      <c r="BF1322" s="8" t="s">
        <v>233</v>
      </c>
      <c r="BG1322" s="7" t="s">
        <v>233</v>
      </c>
      <c r="BH1322" s="7" t="s">
        <v>233</v>
      </c>
      <c r="BI1322" s="7"/>
      <c r="BJ1322" s="4"/>
      <c r="BK1322" s="8"/>
      <c r="BL1322" s="2" t="s">
        <v>2513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6496</v>
      </c>
      <c r="BV1322" s="2" t="s">
        <v>233</v>
      </c>
      <c r="BW1322" s="2" t="s">
        <v>233</v>
      </c>
      <c r="BX1322" s="2" t="s">
        <v>243</v>
      </c>
      <c r="BY1322" s="2" t="s">
        <v>280</v>
      </c>
      <c r="BZ1322" s="2" t="s">
        <v>245</v>
      </c>
      <c r="CA1322" s="2" t="s">
        <v>233</v>
      </c>
      <c r="CB1322" s="2" t="s">
        <v>233</v>
      </c>
      <c r="CC1322" s="2" t="s">
        <v>246</v>
      </c>
      <c r="CD1322" s="2" t="s">
        <v>233</v>
      </c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>
        <v>784</v>
      </c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</row>
    <row r="1323">
      <c r="A1323" s="2" t="s">
        <v>6497</v>
      </c>
      <c r="B1323" s="2" t="s">
        <v>2691</v>
      </c>
      <c r="C1323" s="2" t="s">
        <v>901</v>
      </c>
      <c r="D1323" s="2" t="s">
        <v>2692</v>
      </c>
      <c r="E1323" s="2" t="s">
        <v>2693</v>
      </c>
      <c r="F1323" s="2" t="s">
        <v>6488</v>
      </c>
      <c r="G1323" s="2" t="s">
        <v>233</v>
      </c>
      <c r="H1323" s="2" t="s">
        <v>233</v>
      </c>
      <c r="I1323" s="2" t="s">
        <v>6489</v>
      </c>
      <c r="J1323" s="2" t="s">
        <v>1287</v>
      </c>
      <c r="K1323" s="2" t="s">
        <v>6491</v>
      </c>
      <c r="L1323" s="3">
        <v>19.21</v>
      </c>
      <c r="M1323" s="3">
        <v>20.17</v>
      </c>
      <c r="N1323" s="3">
        <v>29.99</v>
      </c>
      <c r="O1323" s="2" t="s">
        <v>245</v>
      </c>
      <c r="P1323" s="2" t="s">
        <v>243</v>
      </c>
      <c r="Q1323" s="2" t="s">
        <v>239</v>
      </c>
      <c r="R1323" s="2" t="s">
        <v>233</v>
      </c>
      <c r="S1323" s="2" t="s">
        <v>233</v>
      </c>
      <c r="T1323" s="2" t="s">
        <v>233</v>
      </c>
      <c r="U1323" s="2" t="s">
        <v>233</v>
      </c>
      <c r="V1323" s="2" t="s">
        <v>893</v>
      </c>
      <c r="W1323" s="2" t="s">
        <v>233</v>
      </c>
      <c r="X1323" s="2" t="s">
        <v>233</v>
      </c>
      <c r="Y1323" s="2" t="s">
        <v>2697</v>
      </c>
      <c r="Z1323" s="4"/>
      <c r="AA1323" s="4">
        <f>=ROUNDDOWN({0},0)</f>
      </c>
      <c r="AB1323" s="5">
        <v>11</v>
      </c>
      <c r="AC1323" s="2" t="s">
        <v>4953</v>
      </c>
      <c r="AD1323" s="4">
        <v>576</v>
      </c>
      <c r="AE1323" s="4">
        <v>576</v>
      </c>
      <c r="AF1323" s="6"/>
      <c r="AG1323" s="6">
        <v>48</v>
      </c>
      <c r="AH1323" s="7">
        <v>0</v>
      </c>
      <c r="AI1323" s="4"/>
      <c r="AJ1323" s="4">
        <f>=ROUNDDOWN({0},0)</f>
      </c>
      <c r="AK1323" s="5"/>
      <c r="AL1323" s="2" t="s">
        <v>233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233</v>
      </c>
      <c r="AW1323" s="8" t="s">
        <v>233</v>
      </c>
      <c r="AX1323" s="4" t="s">
        <v>233</v>
      </c>
      <c r="AY1323" s="8" t="s">
        <v>233</v>
      </c>
      <c r="AZ1323" s="7" t="s">
        <v>233</v>
      </c>
      <c r="BA1323" s="7" t="s">
        <v>233</v>
      </c>
      <c r="BB1323" s="7"/>
      <c r="BC1323" s="4" t="s">
        <v>233</v>
      </c>
      <c r="BD1323" s="8" t="s">
        <v>233</v>
      </c>
      <c r="BE1323" s="4" t="s">
        <v>233</v>
      </c>
      <c r="BF1323" s="8" t="s">
        <v>233</v>
      </c>
      <c r="BG1323" s="7" t="s">
        <v>233</v>
      </c>
      <c r="BH1323" s="7" t="s">
        <v>233</v>
      </c>
      <c r="BI1323" s="7"/>
      <c r="BJ1323" s="4"/>
      <c r="BK1323" s="8"/>
      <c r="BL1323" s="2" t="s">
        <v>233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6498</v>
      </c>
      <c r="BV1323" s="2" t="s">
        <v>233</v>
      </c>
      <c r="BW1323" s="2" t="s">
        <v>233</v>
      </c>
      <c r="BX1323" s="2" t="s">
        <v>243</v>
      </c>
      <c r="BY1323" s="2" t="s">
        <v>280</v>
      </c>
      <c r="BZ1323" s="2" t="s">
        <v>245</v>
      </c>
      <c r="CA1323" s="2" t="s">
        <v>233</v>
      </c>
      <c r="CB1323" s="2" t="s">
        <v>233</v>
      </c>
      <c r="CC1323" s="2" t="s">
        <v>246</v>
      </c>
      <c r="CD1323" s="2" t="s">
        <v>233</v>
      </c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>
        <v>576</v>
      </c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</row>
    <row r="1324">
      <c r="A1324" s="2" t="s">
        <v>6499</v>
      </c>
      <c r="B1324" s="2" t="s">
        <v>2691</v>
      </c>
      <c r="C1324" s="2" t="s">
        <v>901</v>
      </c>
      <c r="D1324" s="2" t="s">
        <v>2692</v>
      </c>
      <c r="E1324" s="2" t="s">
        <v>2693</v>
      </c>
      <c r="F1324" s="2" t="s">
        <v>6488</v>
      </c>
      <c r="G1324" s="2" t="s">
        <v>233</v>
      </c>
      <c r="H1324" s="2" t="s">
        <v>233</v>
      </c>
      <c r="I1324" s="2" t="s">
        <v>6489</v>
      </c>
      <c r="J1324" s="2" t="s">
        <v>1290</v>
      </c>
      <c r="K1324" s="2" t="s">
        <v>6491</v>
      </c>
      <c r="L1324" s="3">
        <v>19.21</v>
      </c>
      <c r="M1324" s="3">
        <v>20.17</v>
      </c>
      <c r="N1324" s="3">
        <v>29.99</v>
      </c>
      <c r="O1324" s="2" t="s">
        <v>245</v>
      </c>
      <c r="P1324" s="2" t="s">
        <v>243</v>
      </c>
      <c r="Q1324" s="2" t="s">
        <v>239</v>
      </c>
      <c r="R1324" s="2" t="s">
        <v>233</v>
      </c>
      <c r="S1324" s="2" t="s">
        <v>233</v>
      </c>
      <c r="T1324" s="2" t="s">
        <v>233</v>
      </c>
      <c r="U1324" s="2" t="s">
        <v>233</v>
      </c>
      <c r="V1324" s="2" t="s">
        <v>893</v>
      </c>
      <c r="W1324" s="2" t="s">
        <v>233</v>
      </c>
      <c r="X1324" s="2" t="s">
        <v>233</v>
      </c>
      <c r="Y1324" s="2" t="s">
        <v>2697</v>
      </c>
      <c r="Z1324" s="4"/>
      <c r="AA1324" s="4">
        <f>=ROUNDDOWN({0},0)</f>
      </c>
      <c r="AB1324" s="5">
        <v>8</v>
      </c>
      <c r="AC1324" s="2" t="s">
        <v>4953</v>
      </c>
      <c r="AD1324" s="4">
        <v>384</v>
      </c>
      <c r="AE1324" s="4">
        <v>384</v>
      </c>
      <c r="AF1324" s="6"/>
      <c r="AG1324" s="6">
        <v>48</v>
      </c>
      <c r="AH1324" s="7">
        <v>0</v>
      </c>
      <c r="AI1324" s="4"/>
      <c r="AJ1324" s="4">
        <f>=ROUNDDOWN({0},0)</f>
      </c>
      <c r="AK1324" s="5"/>
      <c r="AL1324" s="2" t="s">
        <v>233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233</v>
      </c>
      <c r="AW1324" s="8" t="s">
        <v>233</v>
      </c>
      <c r="AX1324" s="4" t="s">
        <v>233</v>
      </c>
      <c r="AY1324" s="8" t="s">
        <v>233</v>
      </c>
      <c r="AZ1324" s="7" t="s">
        <v>233</v>
      </c>
      <c r="BA1324" s="7" t="s">
        <v>233</v>
      </c>
      <c r="BB1324" s="7"/>
      <c r="BC1324" s="4" t="s">
        <v>233</v>
      </c>
      <c r="BD1324" s="8" t="s">
        <v>233</v>
      </c>
      <c r="BE1324" s="4" t="s">
        <v>233</v>
      </c>
      <c r="BF1324" s="8" t="s">
        <v>233</v>
      </c>
      <c r="BG1324" s="7" t="s">
        <v>233</v>
      </c>
      <c r="BH1324" s="7" t="s">
        <v>233</v>
      </c>
      <c r="BI1324" s="7"/>
      <c r="BJ1324" s="4"/>
      <c r="BK1324" s="8"/>
      <c r="BL1324" s="2" t="s">
        <v>233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6500</v>
      </c>
      <c r="BV1324" s="2" t="s">
        <v>233</v>
      </c>
      <c r="BW1324" s="2" t="s">
        <v>233</v>
      </c>
      <c r="BX1324" s="2" t="s">
        <v>243</v>
      </c>
      <c r="BY1324" s="2" t="s">
        <v>280</v>
      </c>
      <c r="BZ1324" s="2" t="s">
        <v>245</v>
      </c>
      <c r="CA1324" s="2" t="s">
        <v>233</v>
      </c>
      <c r="CB1324" s="2" t="s">
        <v>233</v>
      </c>
      <c r="CC1324" s="2" t="s">
        <v>246</v>
      </c>
      <c r="CD1324" s="2" t="s">
        <v>233</v>
      </c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>
        <v>384</v>
      </c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</row>
    <row r="1325">
      <c r="A1325" s="2" t="s">
        <v>6501</v>
      </c>
      <c r="B1325" s="2" t="s">
        <v>2691</v>
      </c>
      <c r="C1325" s="2" t="s">
        <v>901</v>
      </c>
      <c r="D1325" s="2" t="s">
        <v>2692</v>
      </c>
      <c r="E1325" s="2" t="s">
        <v>2693</v>
      </c>
      <c r="F1325" s="2" t="s">
        <v>6488</v>
      </c>
      <c r="G1325" s="2" t="s">
        <v>233</v>
      </c>
      <c r="H1325" s="2" t="s">
        <v>233</v>
      </c>
      <c r="I1325" s="2" t="s">
        <v>6489</v>
      </c>
      <c r="J1325" s="2" t="s">
        <v>6502</v>
      </c>
      <c r="K1325" s="2" t="s">
        <v>6491</v>
      </c>
      <c r="L1325" s="3">
        <v>19.21</v>
      </c>
      <c r="M1325" s="3">
        <v>20.17</v>
      </c>
      <c r="N1325" s="3">
        <v>29.99</v>
      </c>
      <c r="O1325" s="2" t="s">
        <v>245</v>
      </c>
      <c r="P1325" s="2" t="s">
        <v>243</v>
      </c>
      <c r="Q1325" s="2" t="s">
        <v>239</v>
      </c>
      <c r="R1325" s="2" t="s">
        <v>233</v>
      </c>
      <c r="S1325" s="2" t="s">
        <v>233</v>
      </c>
      <c r="T1325" s="2" t="s">
        <v>233</v>
      </c>
      <c r="U1325" s="2" t="s">
        <v>233</v>
      </c>
      <c r="V1325" s="2" t="s">
        <v>893</v>
      </c>
      <c r="W1325" s="2" t="s">
        <v>233</v>
      </c>
      <c r="X1325" s="2" t="s">
        <v>233</v>
      </c>
      <c r="Y1325" s="2" t="s">
        <v>2697</v>
      </c>
      <c r="Z1325" s="4"/>
      <c r="AA1325" s="4">
        <f>=ROUNDDOWN({0},0)</f>
      </c>
      <c r="AB1325" s="5">
        <v>8</v>
      </c>
      <c r="AC1325" s="2" t="s">
        <v>4953</v>
      </c>
      <c r="AD1325" s="4">
        <v>384</v>
      </c>
      <c r="AE1325" s="4">
        <v>384</v>
      </c>
      <c r="AF1325" s="6"/>
      <c r="AG1325" s="6">
        <v>48</v>
      </c>
      <c r="AH1325" s="7">
        <v>0.2903</v>
      </c>
      <c r="AI1325" s="4"/>
      <c r="AJ1325" s="4">
        <f>=ROUNDDOWN({0},0)</f>
      </c>
      <c r="AK1325" s="5"/>
      <c r="AL1325" s="2" t="s">
        <v>233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233</v>
      </c>
      <c r="AW1325" s="8" t="s">
        <v>233</v>
      </c>
      <c r="AX1325" s="4" t="s">
        <v>233</v>
      </c>
      <c r="AY1325" s="8" t="s">
        <v>233</v>
      </c>
      <c r="AZ1325" s="7" t="s">
        <v>233</v>
      </c>
      <c r="BA1325" s="7" t="s">
        <v>233</v>
      </c>
      <c r="BB1325" s="7"/>
      <c r="BC1325" s="4" t="s">
        <v>233</v>
      </c>
      <c r="BD1325" s="8" t="s">
        <v>233</v>
      </c>
      <c r="BE1325" s="4" t="s">
        <v>233</v>
      </c>
      <c r="BF1325" s="8" t="s">
        <v>233</v>
      </c>
      <c r="BG1325" s="7" t="s">
        <v>233</v>
      </c>
      <c r="BH1325" s="7" t="s">
        <v>233</v>
      </c>
      <c r="BI1325" s="7"/>
      <c r="BJ1325" s="4">
        <v>2</v>
      </c>
      <c r="BK1325" s="8">
        <v>30</v>
      </c>
      <c r="BL1325" s="2" t="s">
        <v>2513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6503</v>
      </c>
      <c r="BV1325" s="2" t="s">
        <v>233</v>
      </c>
      <c r="BW1325" s="2" t="s">
        <v>233</v>
      </c>
      <c r="BX1325" s="2" t="s">
        <v>243</v>
      </c>
      <c r="BY1325" s="2" t="s">
        <v>280</v>
      </c>
      <c r="BZ1325" s="2" t="s">
        <v>245</v>
      </c>
      <c r="CA1325" s="2" t="s">
        <v>3329</v>
      </c>
      <c r="CB1325" s="2" t="s">
        <v>233</v>
      </c>
      <c r="CC1325" s="2" t="s">
        <v>246</v>
      </c>
      <c r="CD1325" s="2" t="s">
        <v>233</v>
      </c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>
        <v>384</v>
      </c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</row>
    <row r="1326">
      <c r="A1326" s="2" t="s">
        <v>6504</v>
      </c>
      <c r="B1326" s="2" t="s">
        <v>2691</v>
      </c>
      <c r="C1326" s="2" t="s">
        <v>901</v>
      </c>
      <c r="D1326" s="2" t="s">
        <v>2692</v>
      </c>
      <c r="E1326" s="2" t="s">
        <v>2693</v>
      </c>
      <c r="F1326" s="2" t="s">
        <v>6488</v>
      </c>
      <c r="G1326" s="2" t="s">
        <v>233</v>
      </c>
      <c r="H1326" s="2" t="s">
        <v>233</v>
      </c>
      <c r="I1326" s="2" t="s">
        <v>6489</v>
      </c>
      <c r="J1326" s="2" t="s">
        <v>6490</v>
      </c>
      <c r="K1326" s="2" t="s">
        <v>6505</v>
      </c>
      <c r="L1326" s="3">
        <v>19.21</v>
      </c>
      <c r="M1326" s="3">
        <v>20.17</v>
      </c>
      <c r="N1326" s="3">
        <v>29.99</v>
      </c>
      <c r="O1326" s="2" t="s">
        <v>245</v>
      </c>
      <c r="P1326" s="2" t="s">
        <v>243</v>
      </c>
      <c r="Q1326" s="2" t="s">
        <v>239</v>
      </c>
      <c r="R1326" s="2" t="s">
        <v>233</v>
      </c>
      <c r="S1326" s="2" t="s">
        <v>233</v>
      </c>
      <c r="T1326" s="2" t="s">
        <v>233</v>
      </c>
      <c r="U1326" s="2" t="s">
        <v>233</v>
      </c>
      <c r="V1326" s="2" t="s">
        <v>893</v>
      </c>
      <c r="W1326" s="2" t="s">
        <v>233</v>
      </c>
      <c r="X1326" s="2" t="s">
        <v>233</v>
      </c>
      <c r="Y1326" s="2" t="s">
        <v>2697</v>
      </c>
      <c r="Z1326" s="4">
        <v>42</v>
      </c>
      <c r="AA1326" s="4">
        <f>=ROUNDDOWN(10.5,0)</f>
      </c>
      <c r="AB1326" s="5">
        <v>4</v>
      </c>
      <c r="AC1326" s="2" t="s">
        <v>4953</v>
      </c>
      <c r="AD1326" s="4">
        <v>224</v>
      </c>
      <c r="AE1326" s="4">
        <v>224</v>
      </c>
      <c r="AF1326" s="6"/>
      <c r="AG1326" s="6">
        <v>48</v>
      </c>
      <c r="AH1326" s="7">
        <v>1</v>
      </c>
      <c r="AI1326" s="4"/>
      <c r="AJ1326" s="4">
        <f>=ROUNDDOWN({0},0)</f>
      </c>
      <c r="AK1326" s="5"/>
      <c r="AL1326" s="2" t="s">
        <v>233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233</v>
      </c>
      <c r="AW1326" s="8" t="s">
        <v>233</v>
      </c>
      <c r="AX1326" s="4" t="s">
        <v>233</v>
      </c>
      <c r="AY1326" s="8" t="s">
        <v>233</v>
      </c>
      <c r="AZ1326" s="7" t="s">
        <v>233</v>
      </c>
      <c r="BA1326" s="7" t="s">
        <v>233</v>
      </c>
      <c r="BB1326" s="7"/>
      <c r="BC1326" s="4" t="s">
        <v>233</v>
      </c>
      <c r="BD1326" s="8" t="s">
        <v>233</v>
      </c>
      <c r="BE1326" s="4" t="s">
        <v>233</v>
      </c>
      <c r="BF1326" s="8" t="s">
        <v>233</v>
      </c>
      <c r="BG1326" s="7" t="s">
        <v>233</v>
      </c>
      <c r="BH1326" s="7" t="s">
        <v>233</v>
      </c>
      <c r="BI1326" s="7"/>
      <c r="BJ1326" s="4">
        <v>3</v>
      </c>
      <c r="BK1326" s="8">
        <v>53.8</v>
      </c>
      <c r="BL1326" s="2" t="s">
        <v>3705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6506</v>
      </c>
      <c r="BV1326" s="2" t="s">
        <v>233</v>
      </c>
      <c r="BW1326" s="2" t="s">
        <v>233</v>
      </c>
      <c r="BX1326" s="2" t="s">
        <v>243</v>
      </c>
      <c r="BY1326" s="2" t="s">
        <v>280</v>
      </c>
      <c r="BZ1326" s="2" t="s">
        <v>245</v>
      </c>
      <c r="CA1326" s="2" t="s">
        <v>3329</v>
      </c>
      <c r="CB1326" s="2" t="s">
        <v>233</v>
      </c>
      <c r="CC1326" s="2" t="s">
        <v>246</v>
      </c>
      <c r="CD1326" s="2" t="s">
        <v>233</v>
      </c>
      <c r="CE1326" s="4"/>
      <c r="CF1326" s="4"/>
      <c r="CG1326" s="4"/>
      <c r="CH1326" s="4"/>
      <c r="CI1326" s="4">
        <v>42</v>
      </c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>
        <v>224</v>
      </c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  <c r="HN1326" s="4"/>
      <c r="HO1326" s="4"/>
      <c r="HP1326" s="4"/>
      <c r="HQ1326" s="4"/>
      <c r="HR1326" s="4"/>
    </row>
    <row r="1327">
      <c r="A1327" s="2" t="s">
        <v>6507</v>
      </c>
      <c r="B1327" s="2" t="s">
        <v>2691</v>
      </c>
      <c r="C1327" s="2" t="s">
        <v>901</v>
      </c>
      <c r="D1327" s="2" t="s">
        <v>2692</v>
      </c>
      <c r="E1327" s="2" t="s">
        <v>2693</v>
      </c>
      <c r="F1327" s="2" t="s">
        <v>6488</v>
      </c>
      <c r="G1327" s="2" t="s">
        <v>233</v>
      </c>
      <c r="H1327" s="2" t="s">
        <v>233</v>
      </c>
      <c r="I1327" s="2" t="s">
        <v>6489</v>
      </c>
      <c r="J1327" s="2" t="s">
        <v>2695</v>
      </c>
      <c r="K1327" s="2" t="s">
        <v>6505</v>
      </c>
      <c r="L1327" s="3">
        <v>19.21</v>
      </c>
      <c r="M1327" s="3">
        <v>20.17</v>
      </c>
      <c r="N1327" s="3">
        <v>29.99</v>
      </c>
      <c r="O1327" s="2" t="s">
        <v>245</v>
      </c>
      <c r="P1327" s="2" t="s">
        <v>243</v>
      </c>
      <c r="Q1327" s="2" t="s">
        <v>239</v>
      </c>
      <c r="R1327" s="2" t="s">
        <v>233</v>
      </c>
      <c r="S1327" s="2" t="s">
        <v>233</v>
      </c>
      <c r="T1327" s="2" t="s">
        <v>233</v>
      </c>
      <c r="U1327" s="2" t="s">
        <v>233</v>
      </c>
      <c r="V1327" s="2" t="s">
        <v>893</v>
      </c>
      <c r="W1327" s="2" t="s">
        <v>233</v>
      </c>
      <c r="X1327" s="2" t="s">
        <v>233</v>
      </c>
      <c r="Y1327" s="2" t="s">
        <v>2697</v>
      </c>
      <c r="Z1327" s="4">
        <v>116</v>
      </c>
      <c r="AA1327" s="4">
        <f>=ROUNDDOWN(38.6666666666667,0)</f>
      </c>
      <c r="AB1327" s="5">
        <v>3</v>
      </c>
      <c r="AC1327" s="2" t="s">
        <v>4953</v>
      </c>
      <c r="AD1327" s="4">
        <v>208</v>
      </c>
      <c r="AE1327" s="4">
        <v>208</v>
      </c>
      <c r="AF1327" s="6"/>
      <c r="AG1327" s="6">
        <v>48</v>
      </c>
      <c r="AH1327" s="7">
        <v>1</v>
      </c>
      <c r="AI1327" s="4"/>
      <c r="AJ1327" s="4">
        <f>=ROUNDDOWN({0},0)</f>
      </c>
      <c r="AK1327" s="5"/>
      <c r="AL1327" s="2" t="s">
        <v>233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233</v>
      </c>
      <c r="AW1327" s="8" t="s">
        <v>233</v>
      </c>
      <c r="AX1327" s="4" t="s">
        <v>233</v>
      </c>
      <c r="AY1327" s="8" t="s">
        <v>233</v>
      </c>
      <c r="AZ1327" s="7" t="s">
        <v>233</v>
      </c>
      <c r="BA1327" s="7" t="s">
        <v>233</v>
      </c>
      <c r="BB1327" s="7"/>
      <c r="BC1327" s="4" t="s">
        <v>233</v>
      </c>
      <c r="BD1327" s="8" t="s">
        <v>233</v>
      </c>
      <c r="BE1327" s="4" t="s">
        <v>233</v>
      </c>
      <c r="BF1327" s="8" t="s">
        <v>233</v>
      </c>
      <c r="BG1327" s="7" t="s">
        <v>233</v>
      </c>
      <c r="BH1327" s="7" t="s">
        <v>233</v>
      </c>
      <c r="BI1327" s="7"/>
      <c r="BJ1327" s="4"/>
      <c r="BK1327" s="8"/>
      <c r="BL1327" s="2" t="s">
        <v>2513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6508</v>
      </c>
      <c r="BV1327" s="2" t="s">
        <v>233</v>
      </c>
      <c r="BW1327" s="2" t="s">
        <v>233</v>
      </c>
      <c r="BX1327" s="2" t="s">
        <v>243</v>
      </c>
      <c r="BY1327" s="2" t="s">
        <v>280</v>
      </c>
      <c r="BZ1327" s="2" t="s">
        <v>245</v>
      </c>
      <c r="CA1327" s="2" t="s">
        <v>3329</v>
      </c>
      <c r="CB1327" s="2" t="s">
        <v>233</v>
      </c>
      <c r="CC1327" s="2" t="s">
        <v>246</v>
      </c>
      <c r="CD1327" s="2" t="s">
        <v>233</v>
      </c>
      <c r="CE1327" s="4"/>
      <c r="CF1327" s="4"/>
      <c r="CG1327" s="4"/>
      <c r="CH1327" s="4"/>
      <c r="CI1327" s="4">
        <v>116</v>
      </c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>
        <v>208</v>
      </c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</row>
    <row r="1328">
      <c r="A1328" s="2" t="s">
        <v>6509</v>
      </c>
      <c r="B1328" s="2" t="s">
        <v>2691</v>
      </c>
      <c r="C1328" s="2" t="s">
        <v>901</v>
      </c>
      <c r="D1328" s="2" t="s">
        <v>2692</v>
      </c>
      <c r="E1328" s="2" t="s">
        <v>2693</v>
      </c>
      <c r="F1328" s="2" t="s">
        <v>6488</v>
      </c>
      <c r="G1328" s="2" t="s">
        <v>233</v>
      </c>
      <c r="H1328" s="2" t="s">
        <v>233</v>
      </c>
      <c r="I1328" s="2" t="s">
        <v>6489</v>
      </c>
      <c r="J1328" s="2" t="s">
        <v>1282</v>
      </c>
      <c r="K1328" s="2" t="s">
        <v>6505</v>
      </c>
      <c r="L1328" s="3">
        <v>19.21</v>
      </c>
      <c r="M1328" s="3">
        <v>20.17</v>
      </c>
      <c r="N1328" s="3">
        <v>29.99</v>
      </c>
      <c r="O1328" s="2" t="s">
        <v>245</v>
      </c>
      <c r="P1328" s="2" t="s">
        <v>243</v>
      </c>
      <c r="Q1328" s="2" t="s">
        <v>239</v>
      </c>
      <c r="R1328" s="2" t="s">
        <v>233</v>
      </c>
      <c r="S1328" s="2" t="s">
        <v>233</v>
      </c>
      <c r="T1328" s="2" t="s">
        <v>233</v>
      </c>
      <c r="U1328" s="2" t="s">
        <v>233</v>
      </c>
      <c r="V1328" s="2" t="s">
        <v>893</v>
      </c>
      <c r="W1328" s="2" t="s">
        <v>233</v>
      </c>
      <c r="X1328" s="2" t="s">
        <v>233</v>
      </c>
      <c r="Y1328" s="2" t="s">
        <v>2697</v>
      </c>
      <c r="Z1328" s="4">
        <v>47</v>
      </c>
      <c r="AA1328" s="4">
        <f>=ROUNDDOWN(5.22222222222222,0)</f>
      </c>
      <c r="AB1328" s="5">
        <v>9</v>
      </c>
      <c r="AC1328" s="2" t="s">
        <v>4953</v>
      </c>
      <c r="AD1328" s="4">
        <v>432</v>
      </c>
      <c r="AE1328" s="4">
        <v>432</v>
      </c>
      <c r="AF1328" s="6"/>
      <c r="AG1328" s="6">
        <v>48</v>
      </c>
      <c r="AH1328" s="7">
        <v>1</v>
      </c>
      <c r="AI1328" s="4"/>
      <c r="AJ1328" s="4">
        <f>=ROUNDDOWN({0},0)</f>
      </c>
      <c r="AK1328" s="5"/>
      <c r="AL1328" s="2" t="s">
        <v>233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233</v>
      </c>
      <c r="AW1328" s="8" t="s">
        <v>233</v>
      </c>
      <c r="AX1328" s="4" t="s">
        <v>233</v>
      </c>
      <c r="AY1328" s="8" t="s">
        <v>233</v>
      </c>
      <c r="AZ1328" s="7" t="s">
        <v>233</v>
      </c>
      <c r="BA1328" s="7" t="s">
        <v>233</v>
      </c>
      <c r="BB1328" s="7"/>
      <c r="BC1328" s="4" t="s">
        <v>233</v>
      </c>
      <c r="BD1328" s="8" t="s">
        <v>233</v>
      </c>
      <c r="BE1328" s="4" t="s">
        <v>233</v>
      </c>
      <c r="BF1328" s="8" t="s">
        <v>233</v>
      </c>
      <c r="BG1328" s="7" t="s">
        <v>233</v>
      </c>
      <c r="BH1328" s="7" t="s">
        <v>233</v>
      </c>
      <c r="BI1328" s="7"/>
      <c r="BJ1328" s="4">
        <v>2</v>
      </c>
      <c r="BK1328" s="8">
        <v>47.6</v>
      </c>
      <c r="BL1328" s="2" t="s">
        <v>3705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6510</v>
      </c>
      <c r="BV1328" s="2" t="s">
        <v>233</v>
      </c>
      <c r="BW1328" s="2" t="s">
        <v>233</v>
      </c>
      <c r="BX1328" s="2" t="s">
        <v>243</v>
      </c>
      <c r="BY1328" s="2" t="s">
        <v>280</v>
      </c>
      <c r="BZ1328" s="2" t="s">
        <v>245</v>
      </c>
      <c r="CA1328" s="2" t="s">
        <v>3329</v>
      </c>
      <c r="CB1328" s="2" t="s">
        <v>233</v>
      </c>
      <c r="CC1328" s="2" t="s">
        <v>246</v>
      </c>
      <c r="CD1328" s="2" t="s">
        <v>233</v>
      </c>
      <c r="CE1328" s="4"/>
      <c r="CF1328" s="4"/>
      <c r="CG1328" s="4"/>
      <c r="CH1328" s="4"/>
      <c r="CI1328" s="4">
        <v>47</v>
      </c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>
        <v>432</v>
      </c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</row>
    <row r="1329">
      <c r="A1329" s="2" t="s">
        <v>6511</v>
      </c>
      <c r="B1329" s="2" t="s">
        <v>2691</v>
      </c>
      <c r="C1329" s="2" t="s">
        <v>901</v>
      </c>
      <c r="D1329" s="2" t="s">
        <v>2692</v>
      </c>
      <c r="E1329" s="2" t="s">
        <v>2693</v>
      </c>
      <c r="F1329" s="2" t="s">
        <v>6488</v>
      </c>
      <c r="G1329" s="2" t="s">
        <v>233</v>
      </c>
      <c r="H1329" s="2" t="s">
        <v>233</v>
      </c>
      <c r="I1329" s="2" t="s">
        <v>6489</v>
      </c>
      <c r="J1329" s="2" t="s">
        <v>1290</v>
      </c>
      <c r="K1329" s="2" t="s">
        <v>6505</v>
      </c>
      <c r="L1329" s="3">
        <v>19.21</v>
      </c>
      <c r="M1329" s="3">
        <v>20.17</v>
      </c>
      <c r="N1329" s="3">
        <v>29.99</v>
      </c>
      <c r="O1329" s="2" t="s">
        <v>245</v>
      </c>
      <c r="P1329" s="2" t="s">
        <v>243</v>
      </c>
      <c r="Q1329" s="2" t="s">
        <v>239</v>
      </c>
      <c r="R1329" s="2" t="s">
        <v>233</v>
      </c>
      <c r="S1329" s="2" t="s">
        <v>233</v>
      </c>
      <c r="T1329" s="2" t="s">
        <v>233</v>
      </c>
      <c r="U1329" s="2" t="s">
        <v>233</v>
      </c>
      <c r="V1329" s="2" t="s">
        <v>893</v>
      </c>
      <c r="W1329" s="2" t="s">
        <v>233</v>
      </c>
      <c r="X1329" s="2" t="s">
        <v>233</v>
      </c>
      <c r="Y1329" s="2" t="s">
        <v>2697</v>
      </c>
      <c r="Z1329" s="4"/>
      <c r="AA1329" s="4">
        <f>=ROUNDDOWN({0},0)</f>
      </c>
      <c r="AB1329" s="5">
        <v>8</v>
      </c>
      <c r="AC1329" s="2" t="s">
        <v>4953</v>
      </c>
      <c r="AD1329" s="4">
        <v>384</v>
      </c>
      <c r="AE1329" s="4">
        <v>384</v>
      </c>
      <c r="AF1329" s="6"/>
      <c r="AG1329" s="6">
        <v>48</v>
      </c>
      <c r="AH1329" s="7">
        <v>0.1613</v>
      </c>
      <c r="AI1329" s="4"/>
      <c r="AJ1329" s="4">
        <f>=ROUNDDOWN({0},0)</f>
      </c>
      <c r="AK1329" s="5"/>
      <c r="AL1329" s="2" t="s">
        <v>233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233</v>
      </c>
      <c r="AW1329" s="8" t="s">
        <v>233</v>
      </c>
      <c r="AX1329" s="4" t="s">
        <v>233</v>
      </c>
      <c r="AY1329" s="8" t="s">
        <v>233</v>
      </c>
      <c r="AZ1329" s="7" t="s">
        <v>233</v>
      </c>
      <c r="BA1329" s="7" t="s">
        <v>233</v>
      </c>
      <c r="BB1329" s="7"/>
      <c r="BC1329" s="4" t="s">
        <v>233</v>
      </c>
      <c r="BD1329" s="8" t="s">
        <v>233</v>
      </c>
      <c r="BE1329" s="4" t="s">
        <v>233</v>
      </c>
      <c r="BF1329" s="8" t="s">
        <v>233</v>
      </c>
      <c r="BG1329" s="7" t="s">
        <v>233</v>
      </c>
      <c r="BH1329" s="7" t="s">
        <v>233</v>
      </c>
      <c r="BI1329" s="7"/>
      <c r="BJ1329" s="4">
        <v>1</v>
      </c>
      <c r="BK1329" s="8">
        <v>15</v>
      </c>
      <c r="BL1329" s="2" t="s">
        <v>2513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6512</v>
      </c>
      <c r="BV1329" s="2" t="s">
        <v>233</v>
      </c>
      <c r="BW1329" s="2" t="s">
        <v>233</v>
      </c>
      <c r="BX1329" s="2" t="s">
        <v>243</v>
      </c>
      <c r="BY1329" s="2" t="s">
        <v>280</v>
      </c>
      <c r="BZ1329" s="2" t="s">
        <v>245</v>
      </c>
      <c r="CA1329" s="2" t="s">
        <v>3329</v>
      </c>
      <c r="CB1329" s="2" t="s">
        <v>233</v>
      </c>
      <c r="CC1329" s="2" t="s">
        <v>246</v>
      </c>
      <c r="CD1329" s="2" t="s">
        <v>233</v>
      </c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>
        <v>384</v>
      </c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</row>
    <row r="1330">
      <c r="A1330" s="2" t="s">
        <v>6513</v>
      </c>
      <c r="B1330" s="2" t="s">
        <v>2691</v>
      </c>
      <c r="C1330" s="2" t="s">
        <v>901</v>
      </c>
      <c r="D1330" s="2" t="s">
        <v>2692</v>
      </c>
      <c r="E1330" s="2" t="s">
        <v>2693</v>
      </c>
      <c r="F1330" s="2" t="s">
        <v>6488</v>
      </c>
      <c r="G1330" s="2" t="s">
        <v>233</v>
      </c>
      <c r="H1330" s="2" t="s">
        <v>233</v>
      </c>
      <c r="I1330" s="2" t="s">
        <v>6489</v>
      </c>
      <c r="J1330" s="2" t="s">
        <v>6502</v>
      </c>
      <c r="K1330" s="2" t="s">
        <v>6505</v>
      </c>
      <c r="L1330" s="3">
        <v>19.21</v>
      </c>
      <c r="M1330" s="3">
        <v>20.17</v>
      </c>
      <c r="N1330" s="3">
        <v>29.99</v>
      </c>
      <c r="O1330" s="2" t="s">
        <v>245</v>
      </c>
      <c r="P1330" s="2" t="s">
        <v>243</v>
      </c>
      <c r="Q1330" s="2" t="s">
        <v>239</v>
      </c>
      <c r="R1330" s="2" t="s">
        <v>233</v>
      </c>
      <c r="S1330" s="2" t="s">
        <v>233</v>
      </c>
      <c r="T1330" s="2" t="s">
        <v>233</v>
      </c>
      <c r="U1330" s="2" t="s">
        <v>233</v>
      </c>
      <c r="V1330" s="2" t="s">
        <v>893</v>
      </c>
      <c r="W1330" s="2" t="s">
        <v>233</v>
      </c>
      <c r="X1330" s="2" t="s">
        <v>233</v>
      </c>
      <c r="Y1330" s="2" t="s">
        <v>2697</v>
      </c>
      <c r="Z1330" s="4"/>
      <c r="AA1330" s="4">
        <f>=ROUNDDOWN({0},0)</f>
      </c>
      <c r="AB1330" s="5">
        <v>9</v>
      </c>
      <c r="AC1330" s="2" t="s">
        <v>4953</v>
      </c>
      <c r="AD1330" s="4">
        <v>384</v>
      </c>
      <c r="AE1330" s="4">
        <v>384</v>
      </c>
      <c r="AF1330" s="6"/>
      <c r="AG1330" s="6">
        <v>48</v>
      </c>
      <c r="AH1330" s="7">
        <v>1</v>
      </c>
      <c r="AI1330" s="4"/>
      <c r="AJ1330" s="4">
        <f>=ROUNDDOWN({0},0)</f>
      </c>
      <c r="AK1330" s="5"/>
      <c r="AL1330" s="2" t="s">
        <v>233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233</v>
      </c>
      <c r="AW1330" s="8" t="s">
        <v>233</v>
      </c>
      <c r="AX1330" s="4" t="s">
        <v>233</v>
      </c>
      <c r="AY1330" s="8" t="s">
        <v>233</v>
      </c>
      <c r="AZ1330" s="7" t="s">
        <v>233</v>
      </c>
      <c r="BA1330" s="7" t="s">
        <v>233</v>
      </c>
      <c r="BB1330" s="7"/>
      <c r="BC1330" s="4" t="s">
        <v>233</v>
      </c>
      <c r="BD1330" s="8" t="s">
        <v>233</v>
      </c>
      <c r="BE1330" s="4" t="s">
        <v>233</v>
      </c>
      <c r="BF1330" s="8" t="s">
        <v>233</v>
      </c>
      <c r="BG1330" s="7" t="s">
        <v>233</v>
      </c>
      <c r="BH1330" s="7" t="s">
        <v>233</v>
      </c>
      <c r="BI1330" s="7"/>
      <c r="BJ1330" s="4"/>
      <c r="BK1330" s="8"/>
      <c r="BL1330" s="2" t="s">
        <v>2513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6514</v>
      </c>
      <c r="BV1330" s="2" t="s">
        <v>233</v>
      </c>
      <c r="BW1330" s="2" t="s">
        <v>233</v>
      </c>
      <c r="BX1330" s="2" t="s">
        <v>243</v>
      </c>
      <c r="BY1330" s="2" t="s">
        <v>280</v>
      </c>
      <c r="BZ1330" s="2" t="s">
        <v>245</v>
      </c>
      <c r="CA1330" s="2" t="s">
        <v>3329</v>
      </c>
      <c r="CB1330" s="2" t="s">
        <v>350</v>
      </c>
      <c r="CC1330" s="2" t="s">
        <v>246</v>
      </c>
      <c r="CD1330" s="2" t="s">
        <v>233</v>
      </c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>
        <v>384</v>
      </c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</row>
    <row r="1331">
      <c r="A1331" s="2" t="s">
        <v>6515</v>
      </c>
      <c r="B1331" s="2" t="s">
        <v>2691</v>
      </c>
      <c r="C1331" s="2" t="s">
        <v>901</v>
      </c>
      <c r="D1331" s="2" t="s">
        <v>2692</v>
      </c>
      <c r="E1331" s="2" t="s">
        <v>2693</v>
      </c>
      <c r="F1331" s="2" t="s">
        <v>6488</v>
      </c>
      <c r="G1331" s="2" t="s">
        <v>233</v>
      </c>
      <c r="H1331" s="2" t="s">
        <v>233</v>
      </c>
      <c r="I1331" s="2" t="s">
        <v>6489</v>
      </c>
      <c r="J1331" s="2" t="s">
        <v>6490</v>
      </c>
      <c r="K1331" s="2" t="s">
        <v>6516</v>
      </c>
      <c r="L1331" s="3">
        <v>19.21</v>
      </c>
      <c r="M1331" s="3">
        <v>20.17</v>
      </c>
      <c r="N1331" s="3">
        <v>29.99</v>
      </c>
      <c r="O1331" s="2" t="s">
        <v>245</v>
      </c>
      <c r="P1331" s="2" t="s">
        <v>243</v>
      </c>
      <c r="Q1331" s="2" t="s">
        <v>239</v>
      </c>
      <c r="R1331" s="2" t="s">
        <v>233</v>
      </c>
      <c r="S1331" s="2" t="s">
        <v>233</v>
      </c>
      <c r="T1331" s="2" t="s">
        <v>233</v>
      </c>
      <c r="U1331" s="2" t="s">
        <v>233</v>
      </c>
      <c r="V1331" s="2" t="s">
        <v>893</v>
      </c>
      <c r="W1331" s="2" t="s">
        <v>233</v>
      </c>
      <c r="X1331" s="2" t="s">
        <v>233</v>
      </c>
      <c r="Y1331" s="2" t="s">
        <v>2697</v>
      </c>
      <c r="Z1331" s="4">
        <v>69</v>
      </c>
      <c r="AA1331" s="4">
        <f>=ROUNDDOWN(11.5,0)</f>
      </c>
      <c r="AB1331" s="5">
        <v>6</v>
      </c>
      <c r="AC1331" s="2" t="s">
        <v>4953</v>
      </c>
      <c r="AD1331" s="4">
        <v>176</v>
      </c>
      <c r="AE1331" s="4">
        <v>176</v>
      </c>
      <c r="AF1331" s="6"/>
      <c r="AG1331" s="6">
        <v>48</v>
      </c>
      <c r="AH1331" s="7">
        <v>1</v>
      </c>
      <c r="AI1331" s="4"/>
      <c r="AJ1331" s="4">
        <f>=ROUNDDOWN({0},0)</f>
      </c>
      <c r="AK1331" s="5"/>
      <c r="AL1331" s="2" t="s">
        <v>233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233</v>
      </c>
      <c r="AW1331" s="8" t="s">
        <v>233</v>
      </c>
      <c r="AX1331" s="4" t="s">
        <v>233</v>
      </c>
      <c r="AY1331" s="8" t="s">
        <v>233</v>
      </c>
      <c r="AZ1331" s="7" t="s">
        <v>233</v>
      </c>
      <c r="BA1331" s="7" t="s">
        <v>233</v>
      </c>
      <c r="BB1331" s="7"/>
      <c r="BC1331" s="4" t="s">
        <v>233</v>
      </c>
      <c r="BD1331" s="8" t="s">
        <v>233</v>
      </c>
      <c r="BE1331" s="4" t="s">
        <v>233</v>
      </c>
      <c r="BF1331" s="8" t="s">
        <v>233</v>
      </c>
      <c r="BG1331" s="7" t="s">
        <v>233</v>
      </c>
      <c r="BH1331" s="7" t="s">
        <v>233</v>
      </c>
      <c r="BI1331" s="7"/>
      <c r="BJ1331" s="4">
        <v>1</v>
      </c>
      <c r="BK1331" s="8">
        <v>15</v>
      </c>
      <c r="BL1331" s="2" t="s">
        <v>2513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6517</v>
      </c>
      <c r="BV1331" s="2" t="s">
        <v>233</v>
      </c>
      <c r="BW1331" s="2" t="s">
        <v>233</v>
      </c>
      <c r="BX1331" s="2" t="s">
        <v>243</v>
      </c>
      <c r="BY1331" s="2" t="s">
        <v>280</v>
      </c>
      <c r="BZ1331" s="2" t="s">
        <v>245</v>
      </c>
      <c r="CA1331" s="2" t="s">
        <v>3329</v>
      </c>
      <c r="CB1331" s="2" t="s">
        <v>233</v>
      </c>
      <c r="CC1331" s="2" t="s">
        <v>246</v>
      </c>
      <c r="CD1331" s="2" t="s">
        <v>233</v>
      </c>
      <c r="CE1331" s="4"/>
      <c r="CF1331" s="4"/>
      <c r="CG1331" s="4"/>
      <c r="CH1331" s="4"/>
      <c r="CI1331" s="4">
        <v>69</v>
      </c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>
        <v>176</v>
      </c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</row>
    <row r="1332">
      <c r="A1332" s="2" t="s">
        <v>6518</v>
      </c>
      <c r="B1332" s="2" t="s">
        <v>2691</v>
      </c>
      <c r="C1332" s="2" t="s">
        <v>901</v>
      </c>
      <c r="D1332" s="2" t="s">
        <v>2692</v>
      </c>
      <c r="E1332" s="2" t="s">
        <v>2693</v>
      </c>
      <c r="F1332" s="2" t="s">
        <v>6488</v>
      </c>
      <c r="G1332" s="2" t="s">
        <v>233</v>
      </c>
      <c r="H1332" s="2" t="s">
        <v>233</v>
      </c>
      <c r="I1332" s="2" t="s">
        <v>6489</v>
      </c>
      <c r="J1332" s="2" t="s">
        <v>2695</v>
      </c>
      <c r="K1332" s="2" t="s">
        <v>6516</v>
      </c>
      <c r="L1332" s="3">
        <v>19.21</v>
      </c>
      <c r="M1332" s="3">
        <v>20.17</v>
      </c>
      <c r="N1332" s="3">
        <v>29.99</v>
      </c>
      <c r="O1332" s="2" t="s">
        <v>245</v>
      </c>
      <c r="P1332" s="2" t="s">
        <v>243</v>
      </c>
      <c r="Q1332" s="2" t="s">
        <v>239</v>
      </c>
      <c r="R1332" s="2" t="s">
        <v>233</v>
      </c>
      <c r="S1332" s="2" t="s">
        <v>233</v>
      </c>
      <c r="T1332" s="2" t="s">
        <v>233</v>
      </c>
      <c r="U1332" s="2" t="s">
        <v>233</v>
      </c>
      <c r="V1332" s="2" t="s">
        <v>893</v>
      </c>
      <c r="W1332" s="2" t="s">
        <v>233</v>
      </c>
      <c r="X1332" s="2" t="s">
        <v>233</v>
      </c>
      <c r="Y1332" s="2" t="s">
        <v>2697</v>
      </c>
      <c r="Z1332" s="4">
        <v>161</v>
      </c>
      <c r="AA1332" s="4">
        <f>=ROUNDDOWN(53.6666666666667,0)</f>
      </c>
      <c r="AB1332" s="5">
        <v>3</v>
      </c>
      <c r="AC1332" s="2" t="s">
        <v>4953</v>
      </c>
      <c r="AD1332" s="4">
        <v>160</v>
      </c>
      <c r="AE1332" s="4">
        <v>160</v>
      </c>
      <c r="AF1332" s="6"/>
      <c r="AG1332" s="6">
        <v>48</v>
      </c>
      <c r="AH1332" s="7">
        <v>1</v>
      </c>
      <c r="AI1332" s="4"/>
      <c r="AJ1332" s="4">
        <f>=ROUNDDOWN({0},0)</f>
      </c>
      <c r="AK1332" s="5"/>
      <c r="AL1332" s="2" t="s">
        <v>233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233</v>
      </c>
      <c r="AW1332" s="8" t="s">
        <v>233</v>
      </c>
      <c r="AX1332" s="4" t="s">
        <v>233</v>
      </c>
      <c r="AY1332" s="8" t="s">
        <v>233</v>
      </c>
      <c r="AZ1332" s="7" t="s">
        <v>233</v>
      </c>
      <c r="BA1332" s="7" t="s">
        <v>233</v>
      </c>
      <c r="BB1332" s="7"/>
      <c r="BC1332" s="4" t="s">
        <v>233</v>
      </c>
      <c r="BD1332" s="8" t="s">
        <v>233</v>
      </c>
      <c r="BE1332" s="4" t="s">
        <v>233</v>
      </c>
      <c r="BF1332" s="8" t="s">
        <v>233</v>
      </c>
      <c r="BG1332" s="7" t="s">
        <v>233</v>
      </c>
      <c r="BH1332" s="7" t="s">
        <v>233</v>
      </c>
      <c r="BI1332" s="7"/>
      <c r="BJ1332" s="4">
        <v>2</v>
      </c>
      <c r="BK1332" s="8">
        <v>30</v>
      </c>
      <c r="BL1332" s="2" t="s">
        <v>2513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6519</v>
      </c>
      <c r="BV1332" s="2" t="s">
        <v>233</v>
      </c>
      <c r="BW1332" s="2" t="s">
        <v>233</v>
      </c>
      <c r="BX1332" s="2" t="s">
        <v>243</v>
      </c>
      <c r="BY1332" s="2" t="s">
        <v>280</v>
      </c>
      <c r="BZ1332" s="2" t="s">
        <v>245</v>
      </c>
      <c r="CA1332" s="2" t="s">
        <v>3329</v>
      </c>
      <c r="CB1332" s="2" t="s">
        <v>233</v>
      </c>
      <c r="CC1332" s="2" t="s">
        <v>246</v>
      </c>
      <c r="CD1332" s="2" t="s">
        <v>233</v>
      </c>
      <c r="CE1332" s="4"/>
      <c r="CF1332" s="4"/>
      <c r="CG1332" s="4"/>
      <c r="CH1332" s="4"/>
      <c r="CI1332" s="4">
        <v>161</v>
      </c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>
        <v>160</v>
      </c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</row>
    <row r="1333">
      <c r="A1333" s="2" t="s">
        <v>6520</v>
      </c>
      <c r="B1333" s="2" t="s">
        <v>2691</v>
      </c>
      <c r="C1333" s="2" t="s">
        <v>901</v>
      </c>
      <c r="D1333" s="2" t="s">
        <v>2692</v>
      </c>
      <c r="E1333" s="2" t="s">
        <v>2693</v>
      </c>
      <c r="F1333" s="2" t="s">
        <v>6488</v>
      </c>
      <c r="G1333" s="2" t="s">
        <v>233</v>
      </c>
      <c r="H1333" s="2" t="s">
        <v>233</v>
      </c>
      <c r="I1333" s="2" t="s">
        <v>6489</v>
      </c>
      <c r="J1333" s="2" t="s">
        <v>1282</v>
      </c>
      <c r="K1333" s="2" t="s">
        <v>6516</v>
      </c>
      <c r="L1333" s="3">
        <v>19.21</v>
      </c>
      <c r="M1333" s="3">
        <v>20.17</v>
      </c>
      <c r="N1333" s="3">
        <v>29.99</v>
      </c>
      <c r="O1333" s="2" t="s">
        <v>245</v>
      </c>
      <c r="P1333" s="2" t="s">
        <v>243</v>
      </c>
      <c r="Q1333" s="2" t="s">
        <v>239</v>
      </c>
      <c r="R1333" s="2" t="s">
        <v>233</v>
      </c>
      <c r="S1333" s="2" t="s">
        <v>233</v>
      </c>
      <c r="T1333" s="2" t="s">
        <v>233</v>
      </c>
      <c r="U1333" s="2" t="s">
        <v>233</v>
      </c>
      <c r="V1333" s="2" t="s">
        <v>893</v>
      </c>
      <c r="W1333" s="2" t="s">
        <v>233</v>
      </c>
      <c r="X1333" s="2" t="s">
        <v>233</v>
      </c>
      <c r="Y1333" s="2" t="s">
        <v>2697</v>
      </c>
      <c r="Z1333" s="4">
        <v>81</v>
      </c>
      <c r="AA1333" s="4">
        <f>=ROUNDDOWN(3.11538461538462,0)</f>
      </c>
      <c r="AB1333" s="5">
        <v>26</v>
      </c>
      <c r="AC1333" s="2" t="s">
        <v>4953</v>
      </c>
      <c r="AD1333" s="4">
        <v>480</v>
      </c>
      <c r="AE1333" s="4">
        <v>480</v>
      </c>
      <c r="AF1333" s="6"/>
      <c r="AG1333" s="6">
        <v>48</v>
      </c>
      <c r="AH1333" s="7">
        <v>1</v>
      </c>
      <c r="AI1333" s="4"/>
      <c r="AJ1333" s="4">
        <f>=ROUNDDOWN({0},0)</f>
      </c>
      <c r="AK1333" s="5"/>
      <c r="AL1333" s="2" t="s">
        <v>233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233</v>
      </c>
      <c r="AW1333" s="8" t="s">
        <v>233</v>
      </c>
      <c r="AX1333" s="4" t="s">
        <v>233</v>
      </c>
      <c r="AY1333" s="8" t="s">
        <v>233</v>
      </c>
      <c r="AZ1333" s="7" t="s">
        <v>233</v>
      </c>
      <c r="BA1333" s="7" t="s">
        <v>233</v>
      </c>
      <c r="BB1333" s="7"/>
      <c r="BC1333" s="4" t="s">
        <v>233</v>
      </c>
      <c r="BD1333" s="8" t="s">
        <v>233</v>
      </c>
      <c r="BE1333" s="4" t="s">
        <v>233</v>
      </c>
      <c r="BF1333" s="8" t="s">
        <v>233</v>
      </c>
      <c r="BG1333" s="7" t="s">
        <v>233</v>
      </c>
      <c r="BH1333" s="7" t="s">
        <v>233</v>
      </c>
      <c r="BI1333" s="7"/>
      <c r="BJ1333" s="4">
        <v>1</v>
      </c>
      <c r="BK1333" s="8">
        <v>23.8</v>
      </c>
      <c r="BL1333" s="2" t="s">
        <v>3705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6521</v>
      </c>
      <c r="BV1333" s="2" t="s">
        <v>233</v>
      </c>
      <c r="BW1333" s="2" t="s">
        <v>233</v>
      </c>
      <c r="BX1333" s="2" t="s">
        <v>243</v>
      </c>
      <c r="BY1333" s="2" t="s">
        <v>280</v>
      </c>
      <c r="BZ1333" s="2" t="s">
        <v>245</v>
      </c>
      <c r="CA1333" s="2" t="s">
        <v>3329</v>
      </c>
      <c r="CB1333" s="2" t="s">
        <v>233</v>
      </c>
      <c r="CC1333" s="2" t="s">
        <v>246</v>
      </c>
      <c r="CD1333" s="2" t="s">
        <v>233</v>
      </c>
      <c r="CE1333" s="4"/>
      <c r="CF1333" s="4"/>
      <c r="CG1333" s="4"/>
      <c r="CH1333" s="4"/>
      <c r="CI1333" s="4">
        <v>81</v>
      </c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>
        <v>480</v>
      </c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</row>
    <row r="1334">
      <c r="A1334" s="2" t="s">
        <v>6522</v>
      </c>
      <c r="B1334" s="2" t="s">
        <v>2691</v>
      </c>
      <c r="C1334" s="2" t="s">
        <v>901</v>
      </c>
      <c r="D1334" s="2" t="s">
        <v>2692</v>
      </c>
      <c r="E1334" s="2" t="s">
        <v>2693</v>
      </c>
      <c r="F1334" s="2" t="s">
        <v>6488</v>
      </c>
      <c r="G1334" s="2" t="s">
        <v>233</v>
      </c>
      <c r="H1334" s="2" t="s">
        <v>233</v>
      </c>
      <c r="I1334" s="2" t="s">
        <v>6489</v>
      </c>
      <c r="J1334" s="2" t="s">
        <v>1287</v>
      </c>
      <c r="K1334" s="2" t="s">
        <v>6516</v>
      </c>
      <c r="L1334" s="3">
        <v>19.21</v>
      </c>
      <c r="M1334" s="3">
        <v>20.17</v>
      </c>
      <c r="N1334" s="3">
        <v>29.99</v>
      </c>
      <c r="O1334" s="2" t="s">
        <v>245</v>
      </c>
      <c r="P1334" s="2" t="s">
        <v>243</v>
      </c>
      <c r="Q1334" s="2" t="s">
        <v>239</v>
      </c>
      <c r="R1334" s="2" t="s">
        <v>233</v>
      </c>
      <c r="S1334" s="2" t="s">
        <v>233</v>
      </c>
      <c r="T1334" s="2" t="s">
        <v>233</v>
      </c>
      <c r="U1334" s="2" t="s">
        <v>233</v>
      </c>
      <c r="V1334" s="2" t="s">
        <v>893</v>
      </c>
      <c r="W1334" s="2" t="s">
        <v>233</v>
      </c>
      <c r="X1334" s="2" t="s">
        <v>233</v>
      </c>
      <c r="Y1334" s="2" t="s">
        <v>2697</v>
      </c>
      <c r="Z1334" s="4"/>
      <c r="AA1334" s="4">
        <f>=ROUNDDOWN({0},0)</f>
      </c>
      <c r="AB1334" s="5">
        <v>8</v>
      </c>
      <c r="AC1334" s="2" t="s">
        <v>4953</v>
      </c>
      <c r="AD1334" s="4">
        <v>480</v>
      </c>
      <c r="AE1334" s="4">
        <v>480</v>
      </c>
      <c r="AF1334" s="6"/>
      <c r="AG1334" s="6">
        <v>48</v>
      </c>
      <c r="AH1334" s="7">
        <v>0.1613</v>
      </c>
      <c r="AI1334" s="4"/>
      <c r="AJ1334" s="4">
        <f>=ROUNDDOWN({0},0)</f>
      </c>
      <c r="AK1334" s="5"/>
      <c r="AL1334" s="2" t="s">
        <v>233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233</v>
      </c>
      <c r="AW1334" s="8" t="s">
        <v>233</v>
      </c>
      <c r="AX1334" s="4" t="s">
        <v>233</v>
      </c>
      <c r="AY1334" s="8" t="s">
        <v>233</v>
      </c>
      <c r="AZ1334" s="7" t="s">
        <v>233</v>
      </c>
      <c r="BA1334" s="7" t="s">
        <v>233</v>
      </c>
      <c r="BB1334" s="7"/>
      <c r="BC1334" s="4" t="s">
        <v>233</v>
      </c>
      <c r="BD1334" s="8" t="s">
        <v>233</v>
      </c>
      <c r="BE1334" s="4" t="s">
        <v>233</v>
      </c>
      <c r="BF1334" s="8" t="s">
        <v>233</v>
      </c>
      <c r="BG1334" s="7" t="s">
        <v>233</v>
      </c>
      <c r="BH1334" s="7" t="s">
        <v>233</v>
      </c>
      <c r="BI1334" s="7"/>
      <c r="BJ1334" s="4">
        <v>1</v>
      </c>
      <c r="BK1334" s="8">
        <v>15</v>
      </c>
      <c r="BL1334" s="2" t="s">
        <v>2513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6523</v>
      </c>
      <c r="BV1334" s="2" t="s">
        <v>233</v>
      </c>
      <c r="BW1334" s="2" t="s">
        <v>233</v>
      </c>
      <c r="BX1334" s="2" t="s">
        <v>243</v>
      </c>
      <c r="BY1334" s="2" t="s">
        <v>280</v>
      </c>
      <c r="BZ1334" s="2" t="s">
        <v>245</v>
      </c>
      <c r="CA1334" s="2" t="s">
        <v>3329</v>
      </c>
      <c r="CB1334" s="2" t="s">
        <v>233</v>
      </c>
      <c r="CC1334" s="2" t="s">
        <v>246</v>
      </c>
      <c r="CD1334" s="2" t="s">
        <v>233</v>
      </c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>
        <v>480</v>
      </c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  <c r="HN1334" s="4"/>
      <c r="HO1334" s="4"/>
      <c r="HP1334" s="4"/>
      <c r="HQ1334" s="4"/>
      <c r="HR1334" s="4"/>
    </row>
    <row r="1335">
      <c r="A1335" s="2" t="s">
        <v>6524</v>
      </c>
      <c r="B1335" s="2" t="s">
        <v>2691</v>
      </c>
      <c r="C1335" s="2" t="s">
        <v>901</v>
      </c>
      <c r="D1335" s="2" t="s">
        <v>2692</v>
      </c>
      <c r="E1335" s="2" t="s">
        <v>2693</v>
      </c>
      <c r="F1335" s="2" t="s">
        <v>6488</v>
      </c>
      <c r="G1335" s="2" t="s">
        <v>233</v>
      </c>
      <c r="H1335" s="2" t="s">
        <v>233</v>
      </c>
      <c r="I1335" s="2" t="s">
        <v>6489</v>
      </c>
      <c r="J1335" s="2" t="s">
        <v>1290</v>
      </c>
      <c r="K1335" s="2" t="s">
        <v>6516</v>
      </c>
      <c r="L1335" s="3">
        <v>19.21</v>
      </c>
      <c r="M1335" s="3">
        <v>20.17</v>
      </c>
      <c r="N1335" s="3">
        <v>29.99</v>
      </c>
      <c r="O1335" s="2" t="s">
        <v>245</v>
      </c>
      <c r="P1335" s="2" t="s">
        <v>243</v>
      </c>
      <c r="Q1335" s="2" t="s">
        <v>239</v>
      </c>
      <c r="R1335" s="2" t="s">
        <v>233</v>
      </c>
      <c r="S1335" s="2" t="s">
        <v>233</v>
      </c>
      <c r="T1335" s="2" t="s">
        <v>233</v>
      </c>
      <c r="U1335" s="2" t="s">
        <v>233</v>
      </c>
      <c r="V1335" s="2" t="s">
        <v>893</v>
      </c>
      <c r="W1335" s="2" t="s">
        <v>233</v>
      </c>
      <c r="X1335" s="2" t="s">
        <v>233</v>
      </c>
      <c r="Y1335" s="2" t="s">
        <v>2697</v>
      </c>
      <c r="Z1335" s="4"/>
      <c r="AA1335" s="4">
        <f>=ROUNDDOWN({0},0)</f>
      </c>
      <c r="AB1335" s="5">
        <v>11</v>
      </c>
      <c r="AC1335" s="2" t="s">
        <v>4953</v>
      </c>
      <c r="AD1335" s="4">
        <v>480</v>
      </c>
      <c r="AE1335" s="4">
        <v>480</v>
      </c>
      <c r="AF1335" s="6"/>
      <c r="AG1335" s="6">
        <v>48</v>
      </c>
      <c r="AH1335" s="7">
        <v>0</v>
      </c>
      <c r="AI1335" s="4"/>
      <c r="AJ1335" s="4">
        <f>=ROUNDDOWN({0},0)</f>
      </c>
      <c r="AK1335" s="5"/>
      <c r="AL1335" s="2" t="s">
        <v>233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233</v>
      </c>
      <c r="AW1335" s="8" t="s">
        <v>233</v>
      </c>
      <c r="AX1335" s="4" t="s">
        <v>233</v>
      </c>
      <c r="AY1335" s="8" t="s">
        <v>233</v>
      </c>
      <c r="AZ1335" s="7" t="s">
        <v>233</v>
      </c>
      <c r="BA1335" s="7" t="s">
        <v>233</v>
      </c>
      <c r="BB1335" s="7"/>
      <c r="BC1335" s="4" t="s">
        <v>233</v>
      </c>
      <c r="BD1335" s="8" t="s">
        <v>233</v>
      </c>
      <c r="BE1335" s="4" t="s">
        <v>233</v>
      </c>
      <c r="BF1335" s="8" t="s">
        <v>233</v>
      </c>
      <c r="BG1335" s="7" t="s">
        <v>233</v>
      </c>
      <c r="BH1335" s="7" t="s">
        <v>233</v>
      </c>
      <c r="BI1335" s="7"/>
      <c r="BJ1335" s="4"/>
      <c r="BK1335" s="8"/>
      <c r="BL1335" s="2" t="s">
        <v>233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6525</v>
      </c>
      <c r="BV1335" s="2" t="s">
        <v>233</v>
      </c>
      <c r="BW1335" s="2" t="s">
        <v>233</v>
      </c>
      <c r="BX1335" s="2" t="s">
        <v>243</v>
      </c>
      <c r="BY1335" s="2" t="s">
        <v>280</v>
      </c>
      <c r="BZ1335" s="2" t="s">
        <v>245</v>
      </c>
      <c r="CA1335" s="2" t="s">
        <v>233</v>
      </c>
      <c r="CB1335" s="2" t="s">
        <v>233</v>
      </c>
      <c r="CC1335" s="2" t="s">
        <v>246</v>
      </c>
      <c r="CD1335" s="2" t="s">
        <v>233</v>
      </c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>
        <v>480</v>
      </c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</row>
    <row r="1336">
      <c r="A1336" s="2" t="s">
        <v>6526</v>
      </c>
      <c r="B1336" s="2" t="s">
        <v>2691</v>
      </c>
      <c r="C1336" s="2" t="s">
        <v>901</v>
      </c>
      <c r="D1336" s="2" t="s">
        <v>2692</v>
      </c>
      <c r="E1336" s="2" t="s">
        <v>2693</v>
      </c>
      <c r="F1336" s="2" t="s">
        <v>6488</v>
      </c>
      <c r="G1336" s="2" t="s">
        <v>233</v>
      </c>
      <c r="H1336" s="2" t="s">
        <v>233</v>
      </c>
      <c r="I1336" s="2" t="s">
        <v>6489</v>
      </c>
      <c r="J1336" s="2" t="s">
        <v>6502</v>
      </c>
      <c r="K1336" s="2" t="s">
        <v>6516</v>
      </c>
      <c r="L1336" s="3">
        <v>19.21</v>
      </c>
      <c r="M1336" s="3">
        <v>20.17</v>
      </c>
      <c r="N1336" s="3">
        <v>29.99</v>
      </c>
      <c r="O1336" s="2" t="s">
        <v>245</v>
      </c>
      <c r="P1336" s="2" t="s">
        <v>243</v>
      </c>
      <c r="Q1336" s="2" t="s">
        <v>239</v>
      </c>
      <c r="R1336" s="2" t="s">
        <v>233</v>
      </c>
      <c r="S1336" s="2" t="s">
        <v>233</v>
      </c>
      <c r="T1336" s="2" t="s">
        <v>233</v>
      </c>
      <c r="U1336" s="2" t="s">
        <v>233</v>
      </c>
      <c r="V1336" s="2" t="s">
        <v>893</v>
      </c>
      <c r="W1336" s="2" t="s">
        <v>233</v>
      </c>
      <c r="X1336" s="2" t="s">
        <v>233</v>
      </c>
      <c r="Y1336" s="2" t="s">
        <v>2697</v>
      </c>
      <c r="Z1336" s="4"/>
      <c r="AA1336" s="4">
        <f>=ROUNDDOWN({0},0)</f>
      </c>
      <c r="AB1336" s="5">
        <v>9</v>
      </c>
      <c r="AC1336" s="2" t="s">
        <v>4953</v>
      </c>
      <c r="AD1336" s="4">
        <v>440</v>
      </c>
      <c r="AE1336" s="4">
        <v>440</v>
      </c>
      <c r="AF1336" s="6"/>
      <c r="AG1336" s="6">
        <v>48</v>
      </c>
      <c r="AH1336" s="7">
        <v>0.3548</v>
      </c>
      <c r="AI1336" s="4"/>
      <c r="AJ1336" s="4">
        <f>=ROUNDDOWN({0},0)</f>
      </c>
      <c r="AK1336" s="5"/>
      <c r="AL1336" s="2" t="s">
        <v>233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233</v>
      </c>
      <c r="AW1336" s="8" t="s">
        <v>233</v>
      </c>
      <c r="AX1336" s="4" t="s">
        <v>233</v>
      </c>
      <c r="AY1336" s="8" t="s">
        <v>233</v>
      </c>
      <c r="AZ1336" s="7" t="s">
        <v>233</v>
      </c>
      <c r="BA1336" s="7" t="s">
        <v>233</v>
      </c>
      <c r="BB1336" s="7"/>
      <c r="BC1336" s="4" t="s">
        <v>233</v>
      </c>
      <c r="BD1336" s="8" t="s">
        <v>233</v>
      </c>
      <c r="BE1336" s="4" t="s">
        <v>233</v>
      </c>
      <c r="BF1336" s="8" t="s">
        <v>233</v>
      </c>
      <c r="BG1336" s="7" t="s">
        <v>233</v>
      </c>
      <c r="BH1336" s="7" t="s">
        <v>233</v>
      </c>
      <c r="BI1336" s="7"/>
      <c r="BJ1336" s="4">
        <v>3</v>
      </c>
      <c r="BK1336" s="8">
        <v>45</v>
      </c>
      <c r="BL1336" s="2" t="s">
        <v>2513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6527</v>
      </c>
      <c r="BV1336" s="2" t="s">
        <v>233</v>
      </c>
      <c r="BW1336" s="2" t="s">
        <v>233</v>
      </c>
      <c r="BX1336" s="2" t="s">
        <v>243</v>
      </c>
      <c r="BY1336" s="2" t="s">
        <v>280</v>
      </c>
      <c r="BZ1336" s="2" t="s">
        <v>245</v>
      </c>
      <c r="CA1336" s="2" t="s">
        <v>3329</v>
      </c>
      <c r="CB1336" s="2" t="s">
        <v>233</v>
      </c>
      <c r="CC1336" s="2" t="s">
        <v>246</v>
      </c>
      <c r="CD1336" s="2" t="s">
        <v>233</v>
      </c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>
        <v>440</v>
      </c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</row>
    <row r="1337">
      <c r="A1337" s="2" t="s">
        <v>6528</v>
      </c>
      <c r="B1337" s="2" t="s">
        <v>2691</v>
      </c>
      <c r="C1337" s="2" t="s">
        <v>901</v>
      </c>
      <c r="D1337" s="2" t="s">
        <v>2692</v>
      </c>
      <c r="E1337" s="2" t="s">
        <v>2693</v>
      </c>
      <c r="F1337" s="2" t="s">
        <v>6529</v>
      </c>
      <c r="G1337" s="2" t="s">
        <v>6529</v>
      </c>
      <c r="H1337" s="2" t="s">
        <v>6529</v>
      </c>
      <c r="I1337" s="2" t="s">
        <v>6530</v>
      </c>
      <c r="J1337" s="2" t="s">
        <v>6531</v>
      </c>
      <c r="K1337" s="2" t="s">
        <v>6532</v>
      </c>
      <c r="L1337" s="3">
        <v>20.34</v>
      </c>
      <c r="M1337" s="3">
        <v>21.36</v>
      </c>
      <c r="N1337" s="3"/>
      <c r="O1337" s="2" t="s">
        <v>245</v>
      </c>
      <c r="P1337" s="2" t="s">
        <v>243</v>
      </c>
      <c r="Q1337" s="2" t="s">
        <v>239</v>
      </c>
      <c r="R1337" s="2" t="s">
        <v>233</v>
      </c>
      <c r="S1337" s="2" t="s">
        <v>233</v>
      </c>
      <c r="T1337" s="2" t="s">
        <v>233</v>
      </c>
      <c r="U1337" s="2" t="s">
        <v>396</v>
      </c>
      <c r="V1337" s="2" t="s">
        <v>893</v>
      </c>
      <c r="W1337" s="2" t="s">
        <v>233</v>
      </c>
      <c r="X1337" s="2" t="s">
        <v>233</v>
      </c>
      <c r="Y1337" s="2" t="s">
        <v>1718</v>
      </c>
      <c r="Z1337" s="4">
        <v>86</v>
      </c>
      <c r="AA1337" s="4">
        <f>=ROUNDDOWN(43,0)</f>
      </c>
      <c r="AB1337" s="5">
        <v>2</v>
      </c>
      <c r="AC1337" s="2" t="s">
        <v>6400</v>
      </c>
      <c r="AD1337" s="4">
        <v>100</v>
      </c>
      <c r="AE1337" s="4">
        <v>100</v>
      </c>
      <c r="AF1337" s="6"/>
      <c r="AG1337" s="6">
        <v>73</v>
      </c>
      <c r="AH1337" s="7">
        <v>1</v>
      </c>
      <c r="AI1337" s="4"/>
      <c r="AJ1337" s="4">
        <f>=ROUNDDOWN({0},0)</f>
      </c>
      <c r="AK1337" s="5"/>
      <c r="AL1337" s="2" t="s">
        <v>233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233</v>
      </c>
      <c r="AW1337" s="8" t="s">
        <v>233</v>
      </c>
      <c r="AX1337" s="4" t="s">
        <v>233</v>
      </c>
      <c r="AY1337" s="8" t="s">
        <v>233</v>
      </c>
      <c r="AZ1337" s="7" t="s">
        <v>233</v>
      </c>
      <c r="BA1337" s="7" t="s">
        <v>233</v>
      </c>
      <c r="BB1337" s="7"/>
      <c r="BC1337" s="4" t="s">
        <v>233</v>
      </c>
      <c r="BD1337" s="8" t="s">
        <v>233</v>
      </c>
      <c r="BE1337" s="4" t="s">
        <v>233</v>
      </c>
      <c r="BF1337" s="8" t="s">
        <v>233</v>
      </c>
      <c r="BG1337" s="7" t="s">
        <v>233</v>
      </c>
      <c r="BH1337" s="7" t="s">
        <v>233</v>
      </c>
      <c r="BI1337" s="7"/>
      <c r="BJ1337" s="4"/>
      <c r="BK1337" s="8"/>
      <c r="BL1337" s="2" t="s">
        <v>233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6533</v>
      </c>
      <c r="BV1337" s="2" t="s">
        <v>233</v>
      </c>
      <c r="BW1337" s="2" t="s">
        <v>233</v>
      </c>
      <c r="BX1337" s="2" t="s">
        <v>243</v>
      </c>
      <c r="BY1337" s="2" t="s">
        <v>280</v>
      </c>
      <c r="BZ1337" s="2" t="s">
        <v>245</v>
      </c>
      <c r="CA1337" s="2" t="s">
        <v>6463</v>
      </c>
      <c r="CB1337" s="2" t="s">
        <v>233</v>
      </c>
      <c r="CC1337" s="2" t="s">
        <v>246</v>
      </c>
      <c r="CD1337" s="2" t="s">
        <v>233</v>
      </c>
      <c r="CE1337" s="4"/>
      <c r="CF1337" s="4"/>
      <c r="CG1337" s="4"/>
      <c r="CH1337" s="4"/>
      <c r="CI1337" s="4">
        <v>86</v>
      </c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>
        <v>100</v>
      </c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</row>
    <row r="1338">
      <c r="A1338" s="2" t="s">
        <v>6534</v>
      </c>
      <c r="B1338" s="2" t="s">
        <v>2691</v>
      </c>
      <c r="C1338" s="2" t="s">
        <v>901</v>
      </c>
      <c r="D1338" s="2" t="s">
        <v>2692</v>
      </c>
      <c r="E1338" s="2" t="s">
        <v>2693</v>
      </c>
      <c r="F1338" s="2" t="s">
        <v>6529</v>
      </c>
      <c r="G1338" s="2" t="s">
        <v>6529</v>
      </c>
      <c r="H1338" s="2" t="s">
        <v>6529</v>
      </c>
      <c r="I1338" s="2" t="s">
        <v>6535</v>
      </c>
      <c r="J1338" s="2" t="s">
        <v>6536</v>
      </c>
      <c r="K1338" s="2" t="s">
        <v>6532</v>
      </c>
      <c r="L1338" s="3">
        <v>20.34</v>
      </c>
      <c r="M1338" s="3">
        <v>21.36</v>
      </c>
      <c r="N1338" s="3"/>
      <c r="O1338" s="2" t="s">
        <v>245</v>
      </c>
      <c r="P1338" s="2" t="s">
        <v>243</v>
      </c>
      <c r="Q1338" s="2" t="s">
        <v>239</v>
      </c>
      <c r="R1338" s="2" t="s">
        <v>233</v>
      </c>
      <c r="S1338" s="2" t="s">
        <v>233</v>
      </c>
      <c r="T1338" s="2" t="s">
        <v>233</v>
      </c>
      <c r="U1338" s="2" t="s">
        <v>396</v>
      </c>
      <c r="V1338" s="2" t="s">
        <v>893</v>
      </c>
      <c r="W1338" s="2" t="s">
        <v>233</v>
      </c>
      <c r="X1338" s="2" t="s">
        <v>233</v>
      </c>
      <c r="Y1338" s="2" t="s">
        <v>1718</v>
      </c>
      <c r="Z1338" s="4">
        <v>131</v>
      </c>
      <c r="AA1338" s="4">
        <f>=ROUNDDOWN(8.73333333333333,0)</f>
      </c>
      <c r="AB1338" s="5">
        <v>15</v>
      </c>
      <c r="AC1338" s="2" t="s">
        <v>6400</v>
      </c>
      <c r="AD1338" s="4">
        <v>200</v>
      </c>
      <c r="AE1338" s="4">
        <v>200</v>
      </c>
      <c r="AF1338" s="6"/>
      <c r="AG1338" s="6">
        <v>73</v>
      </c>
      <c r="AH1338" s="7">
        <v>1</v>
      </c>
      <c r="AI1338" s="4"/>
      <c r="AJ1338" s="4">
        <f>=ROUNDDOWN({0},0)</f>
      </c>
      <c r="AK1338" s="5"/>
      <c r="AL1338" s="2" t="s">
        <v>233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233</v>
      </c>
      <c r="AW1338" s="8" t="s">
        <v>233</v>
      </c>
      <c r="AX1338" s="4" t="s">
        <v>233</v>
      </c>
      <c r="AY1338" s="8" t="s">
        <v>233</v>
      </c>
      <c r="AZ1338" s="7" t="s">
        <v>233</v>
      </c>
      <c r="BA1338" s="7" t="s">
        <v>233</v>
      </c>
      <c r="BB1338" s="7"/>
      <c r="BC1338" s="4" t="s">
        <v>233</v>
      </c>
      <c r="BD1338" s="8" t="s">
        <v>233</v>
      </c>
      <c r="BE1338" s="4" t="s">
        <v>233</v>
      </c>
      <c r="BF1338" s="8" t="s">
        <v>233</v>
      </c>
      <c r="BG1338" s="7" t="s">
        <v>233</v>
      </c>
      <c r="BH1338" s="7" t="s">
        <v>233</v>
      </c>
      <c r="BI1338" s="7"/>
      <c r="BJ1338" s="4">
        <v>1</v>
      </c>
      <c r="BK1338" s="8">
        <v>16.38</v>
      </c>
      <c r="BL1338" s="2" t="s">
        <v>2554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6537</v>
      </c>
      <c r="BV1338" s="2" t="s">
        <v>233</v>
      </c>
      <c r="BW1338" s="2" t="s">
        <v>233</v>
      </c>
      <c r="BX1338" s="2" t="s">
        <v>243</v>
      </c>
      <c r="BY1338" s="2" t="s">
        <v>280</v>
      </c>
      <c r="BZ1338" s="2" t="s">
        <v>245</v>
      </c>
      <c r="CA1338" s="2" t="s">
        <v>6463</v>
      </c>
      <c r="CB1338" s="2" t="s">
        <v>1136</v>
      </c>
      <c r="CC1338" s="2" t="s">
        <v>246</v>
      </c>
      <c r="CD1338" s="2" t="s">
        <v>233</v>
      </c>
      <c r="CE1338" s="4"/>
      <c r="CF1338" s="4"/>
      <c r="CG1338" s="4"/>
      <c r="CH1338" s="4"/>
      <c r="CI1338" s="4">
        <v>131</v>
      </c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>
        <v>200</v>
      </c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</row>
    <row r="1339">
      <c r="A1339" s="2" t="s">
        <v>6538</v>
      </c>
      <c r="B1339" s="2" t="s">
        <v>2691</v>
      </c>
      <c r="C1339" s="2" t="s">
        <v>901</v>
      </c>
      <c r="D1339" s="2" t="s">
        <v>2692</v>
      </c>
      <c r="E1339" s="2" t="s">
        <v>2693</v>
      </c>
      <c r="F1339" s="2" t="s">
        <v>6529</v>
      </c>
      <c r="G1339" s="2" t="s">
        <v>6529</v>
      </c>
      <c r="H1339" s="2" t="s">
        <v>6529</v>
      </c>
      <c r="I1339" s="2" t="s">
        <v>6539</v>
      </c>
      <c r="J1339" s="2" t="s">
        <v>6540</v>
      </c>
      <c r="K1339" s="2" t="s">
        <v>6532</v>
      </c>
      <c r="L1339" s="3">
        <v>20.34</v>
      </c>
      <c r="M1339" s="3">
        <v>21.36</v>
      </c>
      <c r="N1339" s="3"/>
      <c r="O1339" s="2" t="s">
        <v>245</v>
      </c>
      <c r="P1339" s="2" t="s">
        <v>243</v>
      </c>
      <c r="Q1339" s="2" t="s">
        <v>239</v>
      </c>
      <c r="R1339" s="2" t="s">
        <v>233</v>
      </c>
      <c r="S1339" s="2" t="s">
        <v>233</v>
      </c>
      <c r="T1339" s="2" t="s">
        <v>233</v>
      </c>
      <c r="U1339" s="2" t="s">
        <v>396</v>
      </c>
      <c r="V1339" s="2" t="s">
        <v>893</v>
      </c>
      <c r="W1339" s="2" t="s">
        <v>233</v>
      </c>
      <c r="X1339" s="2" t="s">
        <v>233</v>
      </c>
      <c r="Y1339" s="2" t="s">
        <v>1718</v>
      </c>
      <c r="Z1339" s="4">
        <v>108</v>
      </c>
      <c r="AA1339" s="4">
        <f>=ROUNDDOWN(108,0)</f>
      </c>
      <c r="AB1339" s="5">
        <v>1</v>
      </c>
      <c r="AC1339" s="2" t="s">
        <v>6400</v>
      </c>
      <c r="AD1339" s="4">
        <v>200</v>
      </c>
      <c r="AE1339" s="4">
        <v>200</v>
      </c>
      <c r="AF1339" s="6"/>
      <c r="AG1339" s="6">
        <v>73</v>
      </c>
      <c r="AH1339" s="7">
        <v>1</v>
      </c>
      <c r="AI1339" s="4"/>
      <c r="AJ1339" s="4">
        <f>=ROUNDDOWN({0},0)</f>
      </c>
      <c r="AK1339" s="5"/>
      <c r="AL1339" s="2" t="s">
        <v>233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233</v>
      </c>
      <c r="AW1339" s="8" t="s">
        <v>233</v>
      </c>
      <c r="AX1339" s="4" t="s">
        <v>233</v>
      </c>
      <c r="AY1339" s="8" t="s">
        <v>233</v>
      </c>
      <c r="AZ1339" s="7" t="s">
        <v>233</v>
      </c>
      <c r="BA1339" s="7" t="s">
        <v>233</v>
      </c>
      <c r="BB1339" s="7"/>
      <c r="BC1339" s="4" t="s">
        <v>233</v>
      </c>
      <c r="BD1339" s="8" t="s">
        <v>233</v>
      </c>
      <c r="BE1339" s="4" t="s">
        <v>233</v>
      </c>
      <c r="BF1339" s="8" t="s">
        <v>233</v>
      </c>
      <c r="BG1339" s="7" t="s">
        <v>233</v>
      </c>
      <c r="BH1339" s="7" t="s">
        <v>233</v>
      </c>
      <c r="BI1339" s="7"/>
      <c r="BJ1339" s="4">
        <v>2</v>
      </c>
      <c r="BK1339" s="8">
        <v>50.4</v>
      </c>
      <c r="BL1339" s="2" t="s">
        <v>2554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6541</v>
      </c>
      <c r="BV1339" s="2" t="s">
        <v>233</v>
      </c>
      <c r="BW1339" s="2" t="s">
        <v>233</v>
      </c>
      <c r="BX1339" s="2" t="s">
        <v>243</v>
      </c>
      <c r="BY1339" s="2" t="s">
        <v>280</v>
      </c>
      <c r="BZ1339" s="2" t="s">
        <v>245</v>
      </c>
      <c r="CA1339" s="2" t="s">
        <v>6463</v>
      </c>
      <c r="CB1339" s="2" t="s">
        <v>233</v>
      </c>
      <c r="CC1339" s="2" t="s">
        <v>246</v>
      </c>
      <c r="CD1339" s="2" t="s">
        <v>233</v>
      </c>
      <c r="CE1339" s="4"/>
      <c r="CF1339" s="4"/>
      <c r="CG1339" s="4"/>
      <c r="CH1339" s="4"/>
      <c r="CI1339" s="4">
        <v>108</v>
      </c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>
        <v>200</v>
      </c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</row>
    <row r="1340">
      <c r="A1340" s="2" t="s">
        <v>6542</v>
      </c>
      <c r="B1340" s="2" t="s">
        <v>2691</v>
      </c>
      <c r="C1340" s="2" t="s">
        <v>901</v>
      </c>
      <c r="D1340" s="2" t="s">
        <v>2692</v>
      </c>
      <c r="E1340" s="2" t="s">
        <v>2693</v>
      </c>
      <c r="F1340" s="2" t="s">
        <v>6529</v>
      </c>
      <c r="G1340" s="2" t="s">
        <v>6529</v>
      </c>
      <c r="H1340" s="2" t="s">
        <v>6529</v>
      </c>
      <c r="I1340" s="2" t="s">
        <v>6543</v>
      </c>
      <c r="J1340" s="2" t="s">
        <v>6531</v>
      </c>
      <c r="K1340" s="2" t="s">
        <v>6544</v>
      </c>
      <c r="L1340" s="3">
        <v>20.34</v>
      </c>
      <c r="M1340" s="3">
        <v>21.36</v>
      </c>
      <c r="N1340" s="3">
        <v>44.99</v>
      </c>
      <c r="O1340" s="2" t="s">
        <v>245</v>
      </c>
      <c r="P1340" s="2" t="s">
        <v>243</v>
      </c>
      <c r="Q1340" s="2" t="s">
        <v>239</v>
      </c>
      <c r="R1340" s="2" t="s">
        <v>233</v>
      </c>
      <c r="S1340" s="2" t="s">
        <v>233</v>
      </c>
      <c r="T1340" s="2" t="s">
        <v>233</v>
      </c>
      <c r="U1340" s="2" t="s">
        <v>396</v>
      </c>
      <c r="V1340" s="2" t="s">
        <v>893</v>
      </c>
      <c r="W1340" s="2" t="s">
        <v>233</v>
      </c>
      <c r="X1340" s="2" t="s">
        <v>233</v>
      </c>
      <c r="Y1340" s="2" t="s">
        <v>1022</v>
      </c>
      <c r="Z1340" s="4">
        <v>37</v>
      </c>
      <c r="AA1340" s="4">
        <f>=ROUNDDOWN(37,0)</f>
      </c>
      <c r="AB1340" s="5">
        <v>1</v>
      </c>
      <c r="AC1340" s="2" t="s">
        <v>6400</v>
      </c>
      <c r="AD1340" s="4">
        <v>100</v>
      </c>
      <c r="AE1340" s="4">
        <v>100</v>
      </c>
      <c r="AF1340" s="6"/>
      <c r="AG1340" s="6">
        <v>73</v>
      </c>
      <c r="AH1340" s="7">
        <v>1</v>
      </c>
      <c r="AI1340" s="4"/>
      <c r="AJ1340" s="4">
        <f>=ROUNDDOWN({0},0)</f>
      </c>
      <c r="AK1340" s="5"/>
      <c r="AL1340" s="2" t="s">
        <v>233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233</v>
      </c>
      <c r="AW1340" s="8" t="s">
        <v>233</v>
      </c>
      <c r="AX1340" s="4" t="s">
        <v>233</v>
      </c>
      <c r="AY1340" s="8" t="s">
        <v>233</v>
      </c>
      <c r="AZ1340" s="7" t="s">
        <v>233</v>
      </c>
      <c r="BA1340" s="7" t="s">
        <v>233</v>
      </c>
      <c r="BB1340" s="7"/>
      <c r="BC1340" s="4" t="s">
        <v>233</v>
      </c>
      <c r="BD1340" s="8" t="s">
        <v>233</v>
      </c>
      <c r="BE1340" s="4" t="s">
        <v>233</v>
      </c>
      <c r="BF1340" s="8" t="s">
        <v>233</v>
      </c>
      <c r="BG1340" s="7" t="s">
        <v>233</v>
      </c>
      <c r="BH1340" s="7" t="s">
        <v>233</v>
      </c>
      <c r="BI1340" s="7"/>
      <c r="BJ1340" s="4"/>
      <c r="BK1340" s="8"/>
      <c r="BL1340" s="2" t="s">
        <v>233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6545</v>
      </c>
      <c r="BV1340" s="2" t="s">
        <v>233</v>
      </c>
      <c r="BW1340" s="2" t="s">
        <v>233</v>
      </c>
      <c r="BX1340" s="2" t="s">
        <v>243</v>
      </c>
      <c r="BY1340" s="2" t="s">
        <v>280</v>
      </c>
      <c r="BZ1340" s="2" t="s">
        <v>245</v>
      </c>
      <c r="CA1340" s="2" t="s">
        <v>6463</v>
      </c>
      <c r="CB1340" s="2" t="s">
        <v>233</v>
      </c>
      <c r="CC1340" s="2" t="s">
        <v>246</v>
      </c>
      <c r="CD1340" s="2" t="s">
        <v>233</v>
      </c>
      <c r="CE1340" s="4"/>
      <c r="CF1340" s="4"/>
      <c r="CG1340" s="4"/>
      <c r="CH1340" s="4"/>
      <c r="CI1340" s="4">
        <v>37</v>
      </c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>
        <v>100</v>
      </c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</row>
    <row r="1341">
      <c r="A1341" s="2" t="s">
        <v>6546</v>
      </c>
      <c r="B1341" s="2" t="s">
        <v>2691</v>
      </c>
      <c r="C1341" s="2" t="s">
        <v>901</v>
      </c>
      <c r="D1341" s="2" t="s">
        <v>2692</v>
      </c>
      <c r="E1341" s="2" t="s">
        <v>2693</v>
      </c>
      <c r="F1341" s="2" t="s">
        <v>6529</v>
      </c>
      <c r="G1341" s="2" t="s">
        <v>6529</v>
      </c>
      <c r="H1341" s="2" t="s">
        <v>6529</v>
      </c>
      <c r="I1341" s="2" t="s">
        <v>6543</v>
      </c>
      <c r="J1341" s="2" t="s">
        <v>6536</v>
      </c>
      <c r="K1341" s="2" t="s">
        <v>6544</v>
      </c>
      <c r="L1341" s="3">
        <v>20.34</v>
      </c>
      <c r="M1341" s="3">
        <v>21.36</v>
      </c>
      <c r="N1341" s="3">
        <v>44.99</v>
      </c>
      <c r="O1341" s="2" t="s">
        <v>245</v>
      </c>
      <c r="P1341" s="2" t="s">
        <v>243</v>
      </c>
      <c r="Q1341" s="2" t="s">
        <v>239</v>
      </c>
      <c r="R1341" s="2" t="s">
        <v>233</v>
      </c>
      <c r="S1341" s="2" t="s">
        <v>233</v>
      </c>
      <c r="T1341" s="2" t="s">
        <v>233</v>
      </c>
      <c r="U1341" s="2" t="s">
        <v>396</v>
      </c>
      <c r="V1341" s="2" t="s">
        <v>893</v>
      </c>
      <c r="W1341" s="2" t="s">
        <v>233</v>
      </c>
      <c r="X1341" s="2" t="s">
        <v>233</v>
      </c>
      <c r="Y1341" s="2" t="s">
        <v>1022</v>
      </c>
      <c r="Z1341" s="4">
        <v>170</v>
      </c>
      <c r="AA1341" s="4">
        <f>=ROUNDDOWN(17,0)</f>
      </c>
      <c r="AB1341" s="5">
        <v>10</v>
      </c>
      <c r="AC1341" s="2" t="s">
        <v>6400</v>
      </c>
      <c r="AD1341" s="4">
        <v>200</v>
      </c>
      <c r="AE1341" s="4">
        <v>200</v>
      </c>
      <c r="AF1341" s="6"/>
      <c r="AG1341" s="6">
        <v>73</v>
      </c>
      <c r="AH1341" s="7">
        <v>1</v>
      </c>
      <c r="AI1341" s="4"/>
      <c r="AJ1341" s="4">
        <f>=ROUNDDOWN({0},0)</f>
      </c>
      <c r="AK1341" s="5"/>
      <c r="AL1341" s="2" t="s">
        <v>233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233</v>
      </c>
      <c r="AW1341" s="8" t="s">
        <v>233</v>
      </c>
      <c r="AX1341" s="4" t="s">
        <v>233</v>
      </c>
      <c r="AY1341" s="8" t="s">
        <v>233</v>
      </c>
      <c r="AZ1341" s="7" t="s">
        <v>233</v>
      </c>
      <c r="BA1341" s="7" t="s">
        <v>233</v>
      </c>
      <c r="BB1341" s="7"/>
      <c r="BC1341" s="4" t="s">
        <v>233</v>
      </c>
      <c r="BD1341" s="8" t="s">
        <v>233</v>
      </c>
      <c r="BE1341" s="4" t="s">
        <v>233</v>
      </c>
      <c r="BF1341" s="8" t="s">
        <v>233</v>
      </c>
      <c r="BG1341" s="7" t="s">
        <v>233</v>
      </c>
      <c r="BH1341" s="7" t="s">
        <v>233</v>
      </c>
      <c r="BI1341" s="7"/>
      <c r="BJ1341" s="4"/>
      <c r="BK1341" s="8"/>
      <c r="BL1341" s="2" t="s">
        <v>233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6547</v>
      </c>
      <c r="BV1341" s="2" t="s">
        <v>233</v>
      </c>
      <c r="BW1341" s="2" t="s">
        <v>233</v>
      </c>
      <c r="BX1341" s="2" t="s">
        <v>243</v>
      </c>
      <c r="BY1341" s="2" t="s">
        <v>280</v>
      </c>
      <c r="BZ1341" s="2" t="s">
        <v>245</v>
      </c>
      <c r="CA1341" s="2" t="s">
        <v>6463</v>
      </c>
      <c r="CB1341" s="2" t="s">
        <v>521</v>
      </c>
      <c r="CC1341" s="2" t="s">
        <v>246</v>
      </c>
      <c r="CD1341" s="2" t="s">
        <v>233</v>
      </c>
      <c r="CE1341" s="4"/>
      <c r="CF1341" s="4"/>
      <c r="CG1341" s="4"/>
      <c r="CH1341" s="4"/>
      <c r="CI1341" s="4">
        <v>170</v>
      </c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>
        <v>200</v>
      </c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</row>
    <row r="1342">
      <c r="A1342" s="2" t="s">
        <v>6548</v>
      </c>
      <c r="B1342" s="2" t="s">
        <v>2691</v>
      </c>
      <c r="C1342" s="2" t="s">
        <v>901</v>
      </c>
      <c r="D1342" s="2" t="s">
        <v>2692</v>
      </c>
      <c r="E1342" s="2" t="s">
        <v>2693</v>
      </c>
      <c r="F1342" s="2" t="s">
        <v>6529</v>
      </c>
      <c r="G1342" s="2" t="s">
        <v>6529</v>
      </c>
      <c r="H1342" s="2" t="s">
        <v>6529</v>
      </c>
      <c r="I1342" s="2" t="s">
        <v>6543</v>
      </c>
      <c r="J1342" s="2" t="s">
        <v>6531</v>
      </c>
      <c r="K1342" s="2" t="s">
        <v>6549</v>
      </c>
      <c r="L1342" s="3">
        <v>20.34</v>
      </c>
      <c r="M1342" s="3">
        <v>21.36</v>
      </c>
      <c r="N1342" s="3">
        <v>44.99</v>
      </c>
      <c r="O1342" s="2" t="s">
        <v>245</v>
      </c>
      <c r="P1342" s="2" t="s">
        <v>243</v>
      </c>
      <c r="Q1342" s="2" t="s">
        <v>239</v>
      </c>
      <c r="R1342" s="2" t="s">
        <v>233</v>
      </c>
      <c r="S1342" s="2" t="s">
        <v>233</v>
      </c>
      <c r="T1342" s="2" t="s">
        <v>233</v>
      </c>
      <c r="U1342" s="2" t="s">
        <v>396</v>
      </c>
      <c r="V1342" s="2" t="s">
        <v>893</v>
      </c>
      <c r="W1342" s="2" t="s">
        <v>233</v>
      </c>
      <c r="X1342" s="2" t="s">
        <v>233</v>
      </c>
      <c r="Y1342" s="2" t="s">
        <v>1022</v>
      </c>
      <c r="Z1342" s="4">
        <v>9</v>
      </c>
      <c r="AA1342" s="4">
        <f>=ROUNDDOWN(15,0)</f>
      </c>
      <c r="AB1342" s="5">
        <v>0.6</v>
      </c>
      <c r="AC1342" s="2" t="s">
        <v>6400</v>
      </c>
      <c r="AD1342" s="4">
        <v>80</v>
      </c>
      <c r="AE1342" s="4">
        <v>80</v>
      </c>
      <c r="AF1342" s="6"/>
      <c r="AG1342" s="6">
        <v>73</v>
      </c>
      <c r="AH1342" s="7">
        <v>1</v>
      </c>
      <c r="AI1342" s="4"/>
      <c r="AJ1342" s="4">
        <f>=ROUNDDOWN({0},0)</f>
      </c>
      <c r="AK1342" s="5"/>
      <c r="AL1342" s="2" t="s">
        <v>233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233</v>
      </c>
      <c r="AW1342" s="8" t="s">
        <v>233</v>
      </c>
      <c r="AX1342" s="4" t="s">
        <v>233</v>
      </c>
      <c r="AY1342" s="8" t="s">
        <v>233</v>
      </c>
      <c r="AZ1342" s="7" t="s">
        <v>233</v>
      </c>
      <c r="BA1342" s="7" t="s">
        <v>233</v>
      </c>
      <c r="BB1342" s="7"/>
      <c r="BC1342" s="4" t="s">
        <v>233</v>
      </c>
      <c r="BD1342" s="8" t="s">
        <v>233</v>
      </c>
      <c r="BE1342" s="4" t="s">
        <v>233</v>
      </c>
      <c r="BF1342" s="8" t="s">
        <v>233</v>
      </c>
      <c r="BG1342" s="7" t="s">
        <v>233</v>
      </c>
      <c r="BH1342" s="7" t="s">
        <v>233</v>
      </c>
      <c r="BI1342" s="7"/>
      <c r="BJ1342" s="4"/>
      <c r="BK1342" s="8"/>
      <c r="BL1342" s="2" t="s">
        <v>233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6550</v>
      </c>
      <c r="BV1342" s="2" t="s">
        <v>233</v>
      </c>
      <c r="BW1342" s="2" t="s">
        <v>233</v>
      </c>
      <c r="BX1342" s="2" t="s">
        <v>243</v>
      </c>
      <c r="BY1342" s="2" t="s">
        <v>280</v>
      </c>
      <c r="BZ1342" s="2" t="s">
        <v>245</v>
      </c>
      <c r="CA1342" s="2" t="s">
        <v>6463</v>
      </c>
      <c r="CB1342" s="2" t="s">
        <v>233</v>
      </c>
      <c r="CC1342" s="2" t="s">
        <v>246</v>
      </c>
      <c r="CD1342" s="2" t="s">
        <v>233</v>
      </c>
      <c r="CE1342" s="4"/>
      <c r="CF1342" s="4"/>
      <c r="CG1342" s="4"/>
      <c r="CH1342" s="4"/>
      <c r="CI1342" s="4">
        <v>9</v>
      </c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>
        <v>80</v>
      </c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</row>
    <row r="1343">
      <c r="A1343" s="2" t="s">
        <v>6551</v>
      </c>
      <c r="B1343" s="2" t="s">
        <v>2691</v>
      </c>
      <c r="C1343" s="2" t="s">
        <v>901</v>
      </c>
      <c r="D1343" s="2" t="s">
        <v>2692</v>
      </c>
      <c r="E1343" s="2" t="s">
        <v>2693</v>
      </c>
      <c r="F1343" s="2" t="s">
        <v>6529</v>
      </c>
      <c r="G1343" s="2" t="s">
        <v>6529</v>
      </c>
      <c r="H1343" s="2" t="s">
        <v>6529</v>
      </c>
      <c r="I1343" s="2" t="s">
        <v>6543</v>
      </c>
      <c r="J1343" s="2" t="s">
        <v>6536</v>
      </c>
      <c r="K1343" s="2" t="s">
        <v>6549</v>
      </c>
      <c r="L1343" s="3">
        <v>20.34</v>
      </c>
      <c r="M1343" s="3">
        <v>21.36</v>
      </c>
      <c r="N1343" s="3">
        <v>44.99</v>
      </c>
      <c r="O1343" s="2" t="s">
        <v>245</v>
      </c>
      <c r="P1343" s="2" t="s">
        <v>243</v>
      </c>
      <c r="Q1343" s="2" t="s">
        <v>239</v>
      </c>
      <c r="R1343" s="2" t="s">
        <v>233</v>
      </c>
      <c r="S1343" s="2" t="s">
        <v>233</v>
      </c>
      <c r="T1343" s="2" t="s">
        <v>233</v>
      </c>
      <c r="U1343" s="2" t="s">
        <v>396</v>
      </c>
      <c r="V1343" s="2" t="s">
        <v>893</v>
      </c>
      <c r="W1343" s="2" t="s">
        <v>233</v>
      </c>
      <c r="X1343" s="2" t="s">
        <v>233</v>
      </c>
      <c r="Y1343" s="2" t="s">
        <v>1022</v>
      </c>
      <c r="Z1343" s="4">
        <v>79</v>
      </c>
      <c r="AA1343" s="4">
        <f>=ROUNDDOWN(65.8333333333333,0)</f>
      </c>
      <c r="AB1343" s="5">
        <v>1.2</v>
      </c>
      <c r="AC1343" s="2" t="s">
        <v>6400</v>
      </c>
      <c r="AD1343" s="4">
        <v>270</v>
      </c>
      <c r="AE1343" s="4">
        <v>270</v>
      </c>
      <c r="AF1343" s="6"/>
      <c r="AG1343" s="6">
        <v>73</v>
      </c>
      <c r="AH1343" s="7">
        <v>1</v>
      </c>
      <c r="AI1343" s="4"/>
      <c r="AJ1343" s="4">
        <f>=ROUNDDOWN({0},0)</f>
      </c>
      <c r="AK1343" s="5"/>
      <c r="AL1343" s="2" t="s">
        <v>233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 t="s">
        <v>233</v>
      </c>
      <c r="AW1343" s="8" t="s">
        <v>233</v>
      </c>
      <c r="AX1343" s="4" t="s">
        <v>233</v>
      </c>
      <c r="AY1343" s="8" t="s">
        <v>233</v>
      </c>
      <c r="AZ1343" s="7" t="s">
        <v>233</v>
      </c>
      <c r="BA1343" s="7" t="s">
        <v>233</v>
      </c>
      <c r="BB1343" s="7"/>
      <c r="BC1343" s="4" t="s">
        <v>233</v>
      </c>
      <c r="BD1343" s="8" t="s">
        <v>233</v>
      </c>
      <c r="BE1343" s="4" t="s">
        <v>233</v>
      </c>
      <c r="BF1343" s="8" t="s">
        <v>233</v>
      </c>
      <c r="BG1343" s="7" t="s">
        <v>233</v>
      </c>
      <c r="BH1343" s="7" t="s">
        <v>233</v>
      </c>
      <c r="BI1343" s="7"/>
      <c r="BJ1343" s="4">
        <v>1</v>
      </c>
      <c r="BK1343" s="8">
        <v>25.2</v>
      </c>
      <c r="BL1343" s="2" t="s">
        <v>2554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6552</v>
      </c>
      <c r="BV1343" s="2" t="s">
        <v>233</v>
      </c>
      <c r="BW1343" s="2" t="s">
        <v>233</v>
      </c>
      <c r="BX1343" s="2" t="s">
        <v>243</v>
      </c>
      <c r="BY1343" s="2" t="s">
        <v>280</v>
      </c>
      <c r="BZ1343" s="2" t="s">
        <v>245</v>
      </c>
      <c r="CA1343" s="2" t="s">
        <v>6463</v>
      </c>
      <c r="CB1343" s="2" t="s">
        <v>233</v>
      </c>
      <c r="CC1343" s="2" t="s">
        <v>246</v>
      </c>
      <c r="CD1343" s="2" t="s">
        <v>233</v>
      </c>
      <c r="CE1343" s="4"/>
      <c r="CF1343" s="4"/>
      <c r="CG1343" s="4"/>
      <c r="CH1343" s="4"/>
      <c r="CI1343" s="4">
        <v>79</v>
      </c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>
        <v>270</v>
      </c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</row>
    <row r="1344">
      <c r="A1344" s="2" t="s">
        <v>6553</v>
      </c>
      <c r="B1344" s="2" t="s">
        <v>2691</v>
      </c>
      <c r="C1344" s="2" t="s">
        <v>901</v>
      </c>
      <c r="D1344" s="2" t="s">
        <v>2692</v>
      </c>
      <c r="E1344" s="2" t="s">
        <v>2693</v>
      </c>
      <c r="F1344" s="2" t="s">
        <v>6529</v>
      </c>
      <c r="G1344" s="2" t="s">
        <v>6529</v>
      </c>
      <c r="H1344" s="2" t="s">
        <v>6529</v>
      </c>
      <c r="I1344" s="2" t="s">
        <v>6543</v>
      </c>
      <c r="J1344" s="2" t="s">
        <v>6540</v>
      </c>
      <c r="K1344" s="2" t="s">
        <v>6549</v>
      </c>
      <c r="L1344" s="3">
        <v>20.34</v>
      </c>
      <c r="M1344" s="3">
        <v>21.36</v>
      </c>
      <c r="N1344" s="3">
        <v>44.99</v>
      </c>
      <c r="O1344" s="2" t="s">
        <v>245</v>
      </c>
      <c r="P1344" s="2" t="s">
        <v>243</v>
      </c>
      <c r="Q1344" s="2" t="s">
        <v>239</v>
      </c>
      <c r="R1344" s="2" t="s">
        <v>233</v>
      </c>
      <c r="S1344" s="2" t="s">
        <v>233</v>
      </c>
      <c r="T1344" s="2" t="s">
        <v>233</v>
      </c>
      <c r="U1344" s="2" t="s">
        <v>396</v>
      </c>
      <c r="V1344" s="2" t="s">
        <v>893</v>
      </c>
      <c r="W1344" s="2" t="s">
        <v>233</v>
      </c>
      <c r="X1344" s="2" t="s">
        <v>233</v>
      </c>
      <c r="Y1344" s="2" t="s">
        <v>1022</v>
      </c>
      <c r="Z1344" s="4">
        <v>107</v>
      </c>
      <c r="AA1344" s="4">
        <f>=ROUNDDOWN(24.8837209302326,0)</f>
      </c>
      <c r="AB1344" s="5">
        <v>4.3</v>
      </c>
      <c r="AC1344" s="2" t="s">
        <v>6400</v>
      </c>
      <c r="AD1344" s="4">
        <v>200</v>
      </c>
      <c r="AE1344" s="4">
        <v>200</v>
      </c>
      <c r="AF1344" s="6"/>
      <c r="AG1344" s="6">
        <v>73</v>
      </c>
      <c r="AH1344" s="7">
        <v>1</v>
      </c>
      <c r="AI1344" s="4"/>
      <c r="AJ1344" s="4">
        <f>=ROUNDDOWN({0},0)</f>
      </c>
      <c r="AK1344" s="5"/>
      <c r="AL1344" s="2" t="s">
        <v>233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233</v>
      </c>
      <c r="AW1344" s="8" t="s">
        <v>233</v>
      </c>
      <c r="AX1344" s="4" t="s">
        <v>233</v>
      </c>
      <c r="AY1344" s="8" t="s">
        <v>233</v>
      </c>
      <c r="AZ1344" s="7" t="s">
        <v>233</v>
      </c>
      <c r="BA1344" s="7" t="s">
        <v>233</v>
      </c>
      <c r="BB1344" s="7"/>
      <c r="BC1344" s="4" t="s">
        <v>233</v>
      </c>
      <c r="BD1344" s="8" t="s">
        <v>233</v>
      </c>
      <c r="BE1344" s="4" t="s">
        <v>233</v>
      </c>
      <c r="BF1344" s="8" t="s">
        <v>233</v>
      </c>
      <c r="BG1344" s="7" t="s">
        <v>233</v>
      </c>
      <c r="BH1344" s="7" t="s">
        <v>233</v>
      </c>
      <c r="BI1344" s="7"/>
      <c r="BJ1344" s="4">
        <v>2</v>
      </c>
      <c r="BK1344" s="8">
        <v>50.4</v>
      </c>
      <c r="BL1344" s="2" t="s">
        <v>2554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6554</v>
      </c>
      <c r="BV1344" s="2" t="s">
        <v>233</v>
      </c>
      <c r="BW1344" s="2" t="s">
        <v>233</v>
      </c>
      <c r="BX1344" s="2" t="s">
        <v>243</v>
      </c>
      <c r="BY1344" s="2" t="s">
        <v>280</v>
      </c>
      <c r="BZ1344" s="2" t="s">
        <v>245</v>
      </c>
      <c r="CA1344" s="2" t="s">
        <v>6463</v>
      </c>
      <c r="CB1344" s="2" t="s">
        <v>233</v>
      </c>
      <c r="CC1344" s="2" t="s">
        <v>246</v>
      </c>
      <c r="CD1344" s="2" t="s">
        <v>233</v>
      </c>
      <c r="CE1344" s="4"/>
      <c r="CF1344" s="4"/>
      <c r="CG1344" s="4"/>
      <c r="CH1344" s="4"/>
      <c r="CI1344" s="4">
        <v>107</v>
      </c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>
        <v>200</v>
      </c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</row>
    <row r="1345">
      <c r="A1345" s="2" t="s">
        <v>6555</v>
      </c>
      <c r="B1345" s="2" t="s">
        <v>2691</v>
      </c>
      <c r="C1345" s="2" t="s">
        <v>901</v>
      </c>
      <c r="D1345" s="2" t="s">
        <v>2692</v>
      </c>
      <c r="E1345" s="2" t="s">
        <v>2693</v>
      </c>
      <c r="F1345" s="2" t="s">
        <v>6529</v>
      </c>
      <c r="G1345" s="2" t="s">
        <v>6529</v>
      </c>
      <c r="H1345" s="2" t="s">
        <v>6529</v>
      </c>
      <c r="I1345" s="2" t="s">
        <v>6543</v>
      </c>
      <c r="J1345" s="2" t="s">
        <v>6531</v>
      </c>
      <c r="K1345" s="2" t="s">
        <v>6556</v>
      </c>
      <c r="L1345" s="3">
        <v>20.34</v>
      </c>
      <c r="M1345" s="3">
        <v>21.36</v>
      </c>
      <c r="N1345" s="3">
        <v>44.99</v>
      </c>
      <c r="O1345" s="2" t="s">
        <v>245</v>
      </c>
      <c r="P1345" s="2" t="s">
        <v>243</v>
      </c>
      <c r="Q1345" s="2" t="s">
        <v>239</v>
      </c>
      <c r="R1345" s="2" t="s">
        <v>233</v>
      </c>
      <c r="S1345" s="2" t="s">
        <v>233</v>
      </c>
      <c r="T1345" s="2" t="s">
        <v>233</v>
      </c>
      <c r="U1345" s="2" t="s">
        <v>396</v>
      </c>
      <c r="V1345" s="2" t="s">
        <v>893</v>
      </c>
      <c r="W1345" s="2" t="s">
        <v>233</v>
      </c>
      <c r="X1345" s="2" t="s">
        <v>233</v>
      </c>
      <c r="Y1345" s="2" t="s">
        <v>1022</v>
      </c>
      <c r="Z1345" s="4">
        <v>36</v>
      </c>
      <c r="AA1345" s="4">
        <f>=ROUNDDOWN(27.6923076923077,0)</f>
      </c>
      <c r="AB1345" s="5">
        <v>1.3</v>
      </c>
      <c r="AC1345" s="2" t="s">
        <v>6400</v>
      </c>
      <c r="AD1345" s="4">
        <v>150</v>
      </c>
      <c r="AE1345" s="4">
        <v>150</v>
      </c>
      <c r="AF1345" s="6"/>
      <c r="AG1345" s="6">
        <v>73</v>
      </c>
      <c r="AH1345" s="7">
        <v>1</v>
      </c>
      <c r="AI1345" s="4"/>
      <c r="AJ1345" s="4">
        <f>=ROUNDDOWN({0},0)</f>
      </c>
      <c r="AK1345" s="5"/>
      <c r="AL1345" s="2" t="s">
        <v>233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233</v>
      </c>
      <c r="AW1345" s="8" t="s">
        <v>233</v>
      </c>
      <c r="AX1345" s="4" t="s">
        <v>233</v>
      </c>
      <c r="AY1345" s="8" t="s">
        <v>233</v>
      </c>
      <c r="AZ1345" s="7" t="s">
        <v>233</v>
      </c>
      <c r="BA1345" s="7" t="s">
        <v>233</v>
      </c>
      <c r="BB1345" s="7"/>
      <c r="BC1345" s="4" t="s">
        <v>233</v>
      </c>
      <c r="BD1345" s="8" t="s">
        <v>233</v>
      </c>
      <c r="BE1345" s="4" t="s">
        <v>233</v>
      </c>
      <c r="BF1345" s="8" t="s">
        <v>233</v>
      </c>
      <c r="BG1345" s="7" t="s">
        <v>233</v>
      </c>
      <c r="BH1345" s="7" t="s">
        <v>233</v>
      </c>
      <c r="BI1345" s="7"/>
      <c r="BJ1345" s="4">
        <v>1</v>
      </c>
      <c r="BK1345" s="8">
        <v>25.2</v>
      </c>
      <c r="BL1345" s="2" t="s">
        <v>2554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6557</v>
      </c>
      <c r="BV1345" s="2" t="s">
        <v>233</v>
      </c>
      <c r="BW1345" s="2" t="s">
        <v>233</v>
      </c>
      <c r="BX1345" s="2" t="s">
        <v>243</v>
      </c>
      <c r="BY1345" s="2" t="s">
        <v>280</v>
      </c>
      <c r="BZ1345" s="2" t="s">
        <v>245</v>
      </c>
      <c r="CA1345" s="2" t="s">
        <v>6463</v>
      </c>
      <c r="CB1345" s="2" t="s">
        <v>233</v>
      </c>
      <c r="CC1345" s="2" t="s">
        <v>246</v>
      </c>
      <c r="CD1345" s="2" t="s">
        <v>233</v>
      </c>
      <c r="CE1345" s="4"/>
      <c r="CF1345" s="4"/>
      <c r="CG1345" s="4"/>
      <c r="CH1345" s="4"/>
      <c r="CI1345" s="4">
        <v>36</v>
      </c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>
        <v>150</v>
      </c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</row>
    <row r="1346">
      <c r="A1346" s="2" t="s">
        <v>6558</v>
      </c>
      <c r="B1346" s="2" t="s">
        <v>2691</v>
      </c>
      <c r="C1346" s="2" t="s">
        <v>901</v>
      </c>
      <c r="D1346" s="2" t="s">
        <v>2692</v>
      </c>
      <c r="E1346" s="2" t="s">
        <v>2693</v>
      </c>
      <c r="F1346" s="2" t="s">
        <v>6529</v>
      </c>
      <c r="G1346" s="2" t="s">
        <v>6529</v>
      </c>
      <c r="H1346" s="2" t="s">
        <v>6529</v>
      </c>
      <c r="I1346" s="2" t="s">
        <v>6543</v>
      </c>
      <c r="J1346" s="2" t="s">
        <v>6536</v>
      </c>
      <c r="K1346" s="2" t="s">
        <v>6556</v>
      </c>
      <c r="L1346" s="3">
        <v>20.34</v>
      </c>
      <c r="M1346" s="3">
        <v>21.36</v>
      </c>
      <c r="N1346" s="3">
        <v>44.99</v>
      </c>
      <c r="O1346" s="2" t="s">
        <v>245</v>
      </c>
      <c r="P1346" s="2" t="s">
        <v>243</v>
      </c>
      <c r="Q1346" s="2" t="s">
        <v>239</v>
      </c>
      <c r="R1346" s="2" t="s">
        <v>233</v>
      </c>
      <c r="S1346" s="2" t="s">
        <v>233</v>
      </c>
      <c r="T1346" s="2" t="s">
        <v>233</v>
      </c>
      <c r="U1346" s="2" t="s">
        <v>396</v>
      </c>
      <c r="V1346" s="2" t="s">
        <v>893</v>
      </c>
      <c r="W1346" s="2" t="s">
        <v>233</v>
      </c>
      <c r="X1346" s="2" t="s">
        <v>233</v>
      </c>
      <c r="Y1346" s="2" t="s">
        <v>1022</v>
      </c>
      <c r="Z1346" s="4">
        <v>250</v>
      </c>
      <c r="AA1346" s="4">
        <f>=ROUNDDOWN(35.7142857142857,0)</f>
      </c>
      <c r="AB1346" s="5">
        <v>7</v>
      </c>
      <c r="AC1346" s="2" t="s">
        <v>6400</v>
      </c>
      <c r="AD1346" s="4">
        <v>400</v>
      </c>
      <c r="AE1346" s="4">
        <v>400</v>
      </c>
      <c r="AF1346" s="6"/>
      <c r="AG1346" s="6">
        <v>73</v>
      </c>
      <c r="AH1346" s="7">
        <v>1</v>
      </c>
      <c r="AI1346" s="4"/>
      <c r="AJ1346" s="4">
        <f>=ROUNDDOWN({0},0)</f>
      </c>
      <c r="AK1346" s="5"/>
      <c r="AL1346" s="2" t="s">
        <v>233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 t="s">
        <v>233</v>
      </c>
      <c r="AW1346" s="8" t="s">
        <v>233</v>
      </c>
      <c r="AX1346" s="4" t="s">
        <v>233</v>
      </c>
      <c r="AY1346" s="8" t="s">
        <v>233</v>
      </c>
      <c r="AZ1346" s="7" t="s">
        <v>233</v>
      </c>
      <c r="BA1346" s="7" t="s">
        <v>233</v>
      </c>
      <c r="BB1346" s="7"/>
      <c r="BC1346" s="4" t="s">
        <v>233</v>
      </c>
      <c r="BD1346" s="8" t="s">
        <v>233</v>
      </c>
      <c r="BE1346" s="4" t="s">
        <v>233</v>
      </c>
      <c r="BF1346" s="8" t="s">
        <v>233</v>
      </c>
      <c r="BG1346" s="7" t="s">
        <v>233</v>
      </c>
      <c r="BH1346" s="7" t="s">
        <v>233</v>
      </c>
      <c r="BI1346" s="7"/>
      <c r="BJ1346" s="4">
        <v>2</v>
      </c>
      <c r="BK1346" s="8">
        <v>41.58</v>
      </c>
      <c r="BL1346" s="2" t="s">
        <v>2554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6559</v>
      </c>
      <c r="BV1346" s="2" t="s">
        <v>233</v>
      </c>
      <c r="BW1346" s="2" t="s">
        <v>233</v>
      </c>
      <c r="BX1346" s="2" t="s">
        <v>243</v>
      </c>
      <c r="BY1346" s="2" t="s">
        <v>280</v>
      </c>
      <c r="BZ1346" s="2" t="s">
        <v>245</v>
      </c>
      <c r="CA1346" s="2" t="s">
        <v>6463</v>
      </c>
      <c r="CB1346" s="2" t="s">
        <v>233</v>
      </c>
      <c r="CC1346" s="2" t="s">
        <v>246</v>
      </c>
      <c r="CD1346" s="2" t="s">
        <v>233</v>
      </c>
      <c r="CE1346" s="4"/>
      <c r="CF1346" s="4"/>
      <c r="CG1346" s="4"/>
      <c r="CH1346" s="4"/>
      <c r="CI1346" s="4">
        <v>250</v>
      </c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>
        <v>400</v>
      </c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</row>
    <row r="1347">
      <c r="A1347" s="2" t="s">
        <v>6560</v>
      </c>
      <c r="B1347" s="2" t="s">
        <v>2691</v>
      </c>
      <c r="C1347" s="2" t="s">
        <v>901</v>
      </c>
      <c r="D1347" s="2" t="s">
        <v>2692</v>
      </c>
      <c r="E1347" s="2" t="s">
        <v>2693</v>
      </c>
      <c r="F1347" s="2" t="s">
        <v>6529</v>
      </c>
      <c r="G1347" s="2" t="s">
        <v>6529</v>
      </c>
      <c r="H1347" s="2" t="s">
        <v>6529</v>
      </c>
      <c r="I1347" s="2" t="s">
        <v>6543</v>
      </c>
      <c r="J1347" s="2" t="s">
        <v>6540</v>
      </c>
      <c r="K1347" s="2" t="s">
        <v>6556</v>
      </c>
      <c r="L1347" s="3">
        <v>20.34</v>
      </c>
      <c r="M1347" s="3">
        <v>21.36</v>
      </c>
      <c r="N1347" s="3">
        <v>44.99</v>
      </c>
      <c r="O1347" s="2" t="s">
        <v>245</v>
      </c>
      <c r="P1347" s="2" t="s">
        <v>243</v>
      </c>
      <c r="Q1347" s="2" t="s">
        <v>239</v>
      </c>
      <c r="R1347" s="2" t="s">
        <v>233</v>
      </c>
      <c r="S1347" s="2" t="s">
        <v>233</v>
      </c>
      <c r="T1347" s="2" t="s">
        <v>233</v>
      </c>
      <c r="U1347" s="2" t="s">
        <v>396</v>
      </c>
      <c r="V1347" s="2" t="s">
        <v>893</v>
      </c>
      <c r="W1347" s="2" t="s">
        <v>233</v>
      </c>
      <c r="X1347" s="2" t="s">
        <v>233</v>
      </c>
      <c r="Y1347" s="2" t="s">
        <v>1022</v>
      </c>
      <c r="Z1347" s="4">
        <v>233</v>
      </c>
      <c r="AA1347" s="4">
        <f>=ROUNDDOWN(20.2608695652174,0)</f>
      </c>
      <c r="AB1347" s="5">
        <v>11.5</v>
      </c>
      <c r="AC1347" s="2" t="s">
        <v>6400</v>
      </c>
      <c r="AD1347" s="4">
        <v>300</v>
      </c>
      <c r="AE1347" s="4">
        <v>300</v>
      </c>
      <c r="AF1347" s="6"/>
      <c r="AG1347" s="6">
        <v>73</v>
      </c>
      <c r="AH1347" s="7">
        <v>1</v>
      </c>
      <c r="AI1347" s="4"/>
      <c r="AJ1347" s="4">
        <f>=ROUNDDOWN({0},0)</f>
      </c>
      <c r="AK1347" s="5"/>
      <c r="AL1347" s="2" t="s">
        <v>233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233</v>
      </c>
      <c r="AW1347" s="8" t="s">
        <v>233</v>
      </c>
      <c r="AX1347" s="4" t="s">
        <v>233</v>
      </c>
      <c r="AY1347" s="8" t="s">
        <v>233</v>
      </c>
      <c r="AZ1347" s="7" t="s">
        <v>233</v>
      </c>
      <c r="BA1347" s="7" t="s">
        <v>233</v>
      </c>
      <c r="BB1347" s="7"/>
      <c r="BC1347" s="4" t="s">
        <v>233</v>
      </c>
      <c r="BD1347" s="8" t="s">
        <v>233</v>
      </c>
      <c r="BE1347" s="4" t="s">
        <v>233</v>
      </c>
      <c r="BF1347" s="8" t="s">
        <v>233</v>
      </c>
      <c r="BG1347" s="7" t="s">
        <v>233</v>
      </c>
      <c r="BH1347" s="7" t="s">
        <v>233</v>
      </c>
      <c r="BI1347" s="7"/>
      <c r="BJ1347" s="4">
        <v>7</v>
      </c>
      <c r="BK1347" s="8">
        <v>149.94</v>
      </c>
      <c r="BL1347" s="2" t="s">
        <v>3106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6561</v>
      </c>
      <c r="BV1347" s="2" t="s">
        <v>233</v>
      </c>
      <c r="BW1347" s="2" t="s">
        <v>233</v>
      </c>
      <c r="BX1347" s="2" t="s">
        <v>243</v>
      </c>
      <c r="BY1347" s="2" t="s">
        <v>280</v>
      </c>
      <c r="BZ1347" s="2" t="s">
        <v>245</v>
      </c>
      <c r="CA1347" s="2" t="s">
        <v>6463</v>
      </c>
      <c r="CB1347" s="2" t="s">
        <v>521</v>
      </c>
      <c r="CC1347" s="2" t="s">
        <v>246</v>
      </c>
      <c r="CD1347" s="2" t="s">
        <v>233</v>
      </c>
      <c r="CE1347" s="4"/>
      <c r="CF1347" s="4"/>
      <c r="CG1347" s="4"/>
      <c r="CH1347" s="4"/>
      <c r="CI1347" s="4">
        <v>233</v>
      </c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>
        <v>300</v>
      </c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</row>
    <row r="1348">
      <c r="A1348" s="2" t="s">
        <v>6562</v>
      </c>
      <c r="B1348" s="2" t="s">
        <v>2691</v>
      </c>
      <c r="C1348" s="2" t="s">
        <v>901</v>
      </c>
      <c r="D1348" s="2" t="s">
        <v>2692</v>
      </c>
      <c r="E1348" s="2" t="s">
        <v>2693</v>
      </c>
      <c r="F1348" s="2" t="s">
        <v>6529</v>
      </c>
      <c r="G1348" s="2" t="s">
        <v>6529</v>
      </c>
      <c r="H1348" s="2" t="s">
        <v>6529</v>
      </c>
      <c r="I1348" s="2" t="s">
        <v>6543</v>
      </c>
      <c r="J1348" s="2" t="s">
        <v>6531</v>
      </c>
      <c r="K1348" s="2" t="s">
        <v>6563</v>
      </c>
      <c r="L1348" s="3">
        <v>20.34</v>
      </c>
      <c r="M1348" s="3">
        <v>21.36</v>
      </c>
      <c r="N1348" s="3">
        <v>44.99</v>
      </c>
      <c r="O1348" s="2" t="s">
        <v>245</v>
      </c>
      <c r="P1348" s="2" t="s">
        <v>243</v>
      </c>
      <c r="Q1348" s="2" t="s">
        <v>239</v>
      </c>
      <c r="R1348" s="2" t="s">
        <v>233</v>
      </c>
      <c r="S1348" s="2" t="s">
        <v>233</v>
      </c>
      <c r="T1348" s="2" t="s">
        <v>233</v>
      </c>
      <c r="U1348" s="2" t="s">
        <v>396</v>
      </c>
      <c r="V1348" s="2" t="s">
        <v>893</v>
      </c>
      <c r="W1348" s="2" t="s">
        <v>233</v>
      </c>
      <c r="X1348" s="2" t="s">
        <v>233</v>
      </c>
      <c r="Y1348" s="2" t="s">
        <v>1022</v>
      </c>
      <c r="Z1348" s="4">
        <v>17</v>
      </c>
      <c r="AA1348" s="4">
        <f>=ROUNDDOWN(17,0)</f>
      </c>
      <c r="AB1348" s="5">
        <v>1</v>
      </c>
      <c r="AC1348" s="2" t="s">
        <v>6400</v>
      </c>
      <c r="AD1348" s="4">
        <v>100</v>
      </c>
      <c r="AE1348" s="4">
        <v>100</v>
      </c>
      <c r="AF1348" s="6"/>
      <c r="AG1348" s="6">
        <v>73</v>
      </c>
      <c r="AH1348" s="7">
        <v>1</v>
      </c>
      <c r="AI1348" s="4"/>
      <c r="AJ1348" s="4">
        <f>=ROUNDDOWN({0},0)</f>
      </c>
      <c r="AK1348" s="5"/>
      <c r="AL1348" s="2" t="s">
        <v>233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233</v>
      </c>
      <c r="AW1348" s="8" t="s">
        <v>233</v>
      </c>
      <c r="AX1348" s="4" t="s">
        <v>233</v>
      </c>
      <c r="AY1348" s="8" t="s">
        <v>233</v>
      </c>
      <c r="AZ1348" s="7" t="s">
        <v>233</v>
      </c>
      <c r="BA1348" s="7" t="s">
        <v>233</v>
      </c>
      <c r="BB1348" s="7"/>
      <c r="BC1348" s="4" t="s">
        <v>233</v>
      </c>
      <c r="BD1348" s="8" t="s">
        <v>233</v>
      </c>
      <c r="BE1348" s="4" t="s">
        <v>233</v>
      </c>
      <c r="BF1348" s="8" t="s">
        <v>233</v>
      </c>
      <c r="BG1348" s="7" t="s">
        <v>233</v>
      </c>
      <c r="BH1348" s="7" t="s">
        <v>233</v>
      </c>
      <c r="BI1348" s="7"/>
      <c r="BJ1348" s="4"/>
      <c r="BK1348" s="8"/>
      <c r="BL1348" s="2" t="s">
        <v>233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6564</v>
      </c>
      <c r="BV1348" s="2" t="s">
        <v>233</v>
      </c>
      <c r="BW1348" s="2" t="s">
        <v>233</v>
      </c>
      <c r="BX1348" s="2" t="s">
        <v>243</v>
      </c>
      <c r="BY1348" s="2" t="s">
        <v>280</v>
      </c>
      <c r="BZ1348" s="2" t="s">
        <v>245</v>
      </c>
      <c r="CA1348" s="2" t="s">
        <v>6463</v>
      </c>
      <c r="CB1348" s="2" t="s">
        <v>233</v>
      </c>
      <c r="CC1348" s="2" t="s">
        <v>246</v>
      </c>
      <c r="CD1348" s="2" t="s">
        <v>233</v>
      </c>
      <c r="CE1348" s="4"/>
      <c r="CF1348" s="4"/>
      <c r="CG1348" s="4"/>
      <c r="CH1348" s="4"/>
      <c r="CI1348" s="4">
        <v>17</v>
      </c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>
        <v>100</v>
      </c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</row>
    <row r="1349">
      <c r="A1349" s="2" t="s">
        <v>6565</v>
      </c>
      <c r="B1349" s="2" t="s">
        <v>2691</v>
      </c>
      <c r="C1349" s="2" t="s">
        <v>901</v>
      </c>
      <c r="D1349" s="2" t="s">
        <v>2692</v>
      </c>
      <c r="E1349" s="2" t="s">
        <v>2693</v>
      </c>
      <c r="F1349" s="2" t="s">
        <v>6529</v>
      </c>
      <c r="G1349" s="2" t="s">
        <v>6529</v>
      </c>
      <c r="H1349" s="2" t="s">
        <v>6529</v>
      </c>
      <c r="I1349" s="2" t="s">
        <v>6543</v>
      </c>
      <c r="J1349" s="2" t="s">
        <v>6540</v>
      </c>
      <c r="K1349" s="2" t="s">
        <v>6563</v>
      </c>
      <c r="L1349" s="3">
        <v>20.34</v>
      </c>
      <c r="M1349" s="3">
        <v>21.36</v>
      </c>
      <c r="N1349" s="3">
        <v>44.99</v>
      </c>
      <c r="O1349" s="2" t="s">
        <v>245</v>
      </c>
      <c r="P1349" s="2" t="s">
        <v>243</v>
      </c>
      <c r="Q1349" s="2" t="s">
        <v>239</v>
      </c>
      <c r="R1349" s="2" t="s">
        <v>233</v>
      </c>
      <c r="S1349" s="2" t="s">
        <v>233</v>
      </c>
      <c r="T1349" s="2" t="s">
        <v>233</v>
      </c>
      <c r="U1349" s="2" t="s">
        <v>396</v>
      </c>
      <c r="V1349" s="2" t="s">
        <v>893</v>
      </c>
      <c r="W1349" s="2" t="s">
        <v>233</v>
      </c>
      <c r="X1349" s="2" t="s">
        <v>233</v>
      </c>
      <c r="Y1349" s="2" t="s">
        <v>1022</v>
      </c>
      <c r="Z1349" s="4">
        <v>64</v>
      </c>
      <c r="AA1349" s="4">
        <f>=ROUNDDOWN(3.36842105263158,0)</f>
      </c>
      <c r="AB1349" s="5">
        <v>19</v>
      </c>
      <c r="AC1349" s="2" t="s">
        <v>6400</v>
      </c>
      <c r="AD1349" s="4">
        <v>300</v>
      </c>
      <c r="AE1349" s="4">
        <v>300</v>
      </c>
      <c r="AF1349" s="6"/>
      <c r="AG1349" s="6">
        <v>73</v>
      </c>
      <c r="AH1349" s="7">
        <v>1</v>
      </c>
      <c r="AI1349" s="4"/>
      <c r="AJ1349" s="4">
        <f>=ROUNDDOWN({0},0)</f>
      </c>
      <c r="AK1349" s="5"/>
      <c r="AL1349" s="2" t="s">
        <v>233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233</v>
      </c>
      <c r="AW1349" s="8" t="s">
        <v>233</v>
      </c>
      <c r="AX1349" s="4" t="s">
        <v>233</v>
      </c>
      <c r="AY1349" s="8" t="s">
        <v>233</v>
      </c>
      <c r="AZ1349" s="7" t="s">
        <v>233</v>
      </c>
      <c r="BA1349" s="7" t="s">
        <v>233</v>
      </c>
      <c r="BB1349" s="7"/>
      <c r="BC1349" s="4" t="s">
        <v>233</v>
      </c>
      <c r="BD1349" s="8" t="s">
        <v>233</v>
      </c>
      <c r="BE1349" s="4" t="s">
        <v>233</v>
      </c>
      <c r="BF1349" s="8" t="s">
        <v>233</v>
      </c>
      <c r="BG1349" s="7" t="s">
        <v>233</v>
      </c>
      <c r="BH1349" s="7" t="s">
        <v>233</v>
      </c>
      <c r="BI1349" s="7"/>
      <c r="BJ1349" s="4">
        <v>5</v>
      </c>
      <c r="BK1349" s="8">
        <v>90.72</v>
      </c>
      <c r="BL1349" s="2" t="s">
        <v>3106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6566</v>
      </c>
      <c r="BV1349" s="2" t="s">
        <v>233</v>
      </c>
      <c r="BW1349" s="2" t="s">
        <v>233</v>
      </c>
      <c r="BX1349" s="2" t="s">
        <v>243</v>
      </c>
      <c r="BY1349" s="2" t="s">
        <v>280</v>
      </c>
      <c r="BZ1349" s="2" t="s">
        <v>245</v>
      </c>
      <c r="CA1349" s="2" t="s">
        <v>6463</v>
      </c>
      <c r="CB1349" s="2" t="s">
        <v>795</v>
      </c>
      <c r="CC1349" s="2" t="s">
        <v>246</v>
      </c>
      <c r="CD1349" s="2" t="s">
        <v>233</v>
      </c>
      <c r="CE1349" s="4"/>
      <c r="CF1349" s="4"/>
      <c r="CG1349" s="4"/>
      <c r="CH1349" s="4"/>
      <c r="CI1349" s="4">
        <v>64</v>
      </c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>
        <v>300</v>
      </c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</row>
    <row r="1350">
      <c r="A1350" s="2" t="s">
        <v>6567</v>
      </c>
      <c r="B1350" s="2" t="s">
        <v>2691</v>
      </c>
      <c r="C1350" s="2" t="s">
        <v>901</v>
      </c>
      <c r="D1350" s="2" t="s">
        <v>2692</v>
      </c>
      <c r="E1350" s="2" t="s">
        <v>2693</v>
      </c>
      <c r="F1350" s="2" t="s">
        <v>6529</v>
      </c>
      <c r="G1350" s="2" t="s">
        <v>6529</v>
      </c>
      <c r="H1350" s="2" t="s">
        <v>6529</v>
      </c>
      <c r="I1350" s="2" t="s">
        <v>6543</v>
      </c>
      <c r="J1350" s="2" t="s">
        <v>6531</v>
      </c>
      <c r="K1350" s="2" t="s">
        <v>6428</v>
      </c>
      <c r="L1350" s="3">
        <v>20.34</v>
      </c>
      <c r="M1350" s="3">
        <v>21.36</v>
      </c>
      <c r="N1350" s="3">
        <v>44.99</v>
      </c>
      <c r="O1350" s="2" t="s">
        <v>245</v>
      </c>
      <c r="P1350" s="2" t="s">
        <v>243</v>
      </c>
      <c r="Q1350" s="2" t="s">
        <v>239</v>
      </c>
      <c r="R1350" s="2" t="s">
        <v>233</v>
      </c>
      <c r="S1350" s="2" t="s">
        <v>233</v>
      </c>
      <c r="T1350" s="2" t="s">
        <v>233</v>
      </c>
      <c r="U1350" s="2" t="s">
        <v>396</v>
      </c>
      <c r="V1350" s="2" t="s">
        <v>893</v>
      </c>
      <c r="W1350" s="2" t="s">
        <v>233</v>
      </c>
      <c r="X1350" s="2" t="s">
        <v>233</v>
      </c>
      <c r="Y1350" s="2" t="s">
        <v>1022</v>
      </c>
      <c r="Z1350" s="4">
        <v>40</v>
      </c>
      <c r="AA1350" s="4">
        <f>=ROUNDDOWN(40,0)</f>
      </c>
      <c r="AB1350" s="5">
        <v>1</v>
      </c>
      <c r="AC1350" s="2" t="s">
        <v>6400</v>
      </c>
      <c r="AD1350" s="4">
        <v>150</v>
      </c>
      <c r="AE1350" s="4">
        <v>150</v>
      </c>
      <c r="AF1350" s="6"/>
      <c r="AG1350" s="6">
        <v>73</v>
      </c>
      <c r="AH1350" s="7">
        <v>1</v>
      </c>
      <c r="AI1350" s="4"/>
      <c r="AJ1350" s="4">
        <f>=ROUNDDOWN({0},0)</f>
      </c>
      <c r="AK1350" s="5"/>
      <c r="AL1350" s="2" t="s">
        <v>233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233</v>
      </c>
      <c r="AW1350" s="8" t="s">
        <v>233</v>
      </c>
      <c r="AX1350" s="4" t="s">
        <v>233</v>
      </c>
      <c r="AY1350" s="8" t="s">
        <v>233</v>
      </c>
      <c r="AZ1350" s="7" t="s">
        <v>233</v>
      </c>
      <c r="BA1350" s="7" t="s">
        <v>233</v>
      </c>
      <c r="BB1350" s="7"/>
      <c r="BC1350" s="4" t="s">
        <v>233</v>
      </c>
      <c r="BD1350" s="8" t="s">
        <v>233</v>
      </c>
      <c r="BE1350" s="4" t="s">
        <v>233</v>
      </c>
      <c r="BF1350" s="8" t="s">
        <v>233</v>
      </c>
      <c r="BG1350" s="7" t="s">
        <v>233</v>
      </c>
      <c r="BH1350" s="7" t="s">
        <v>233</v>
      </c>
      <c r="BI1350" s="7"/>
      <c r="BJ1350" s="4"/>
      <c r="BK1350" s="8"/>
      <c r="BL1350" s="2" t="s">
        <v>2554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6568</v>
      </c>
      <c r="BV1350" s="2" t="s">
        <v>233</v>
      </c>
      <c r="BW1350" s="2" t="s">
        <v>233</v>
      </c>
      <c r="BX1350" s="2" t="s">
        <v>243</v>
      </c>
      <c r="BY1350" s="2" t="s">
        <v>280</v>
      </c>
      <c r="BZ1350" s="2" t="s">
        <v>245</v>
      </c>
      <c r="CA1350" s="2" t="s">
        <v>6463</v>
      </c>
      <c r="CB1350" s="2" t="s">
        <v>233</v>
      </c>
      <c r="CC1350" s="2" t="s">
        <v>246</v>
      </c>
      <c r="CD1350" s="2" t="s">
        <v>233</v>
      </c>
      <c r="CE1350" s="4"/>
      <c r="CF1350" s="4"/>
      <c r="CG1350" s="4"/>
      <c r="CH1350" s="4"/>
      <c r="CI1350" s="4">
        <v>40</v>
      </c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>
        <v>150</v>
      </c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</row>
    <row r="1351">
      <c r="A1351" s="2" t="s">
        <v>6569</v>
      </c>
      <c r="B1351" s="2" t="s">
        <v>2691</v>
      </c>
      <c r="C1351" s="2" t="s">
        <v>901</v>
      </c>
      <c r="D1351" s="2" t="s">
        <v>2692</v>
      </c>
      <c r="E1351" s="2" t="s">
        <v>2693</v>
      </c>
      <c r="F1351" s="2" t="s">
        <v>6529</v>
      </c>
      <c r="G1351" s="2" t="s">
        <v>6529</v>
      </c>
      <c r="H1351" s="2" t="s">
        <v>6529</v>
      </c>
      <c r="I1351" s="2" t="s">
        <v>6543</v>
      </c>
      <c r="J1351" s="2" t="s">
        <v>6536</v>
      </c>
      <c r="K1351" s="2" t="s">
        <v>6428</v>
      </c>
      <c r="L1351" s="3">
        <v>20.34</v>
      </c>
      <c r="M1351" s="3">
        <v>21.36</v>
      </c>
      <c r="N1351" s="3">
        <v>44.99</v>
      </c>
      <c r="O1351" s="2" t="s">
        <v>245</v>
      </c>
      <c r="P1351" s="2" t="s">
        <v>243</v>
      </c>
      <c r="Q1351" s="2" t="s">
        <v>239</v>
      </c>
      <c r="R1351" s="2" t="s">
        <v>233</v>
      </c>
      <c r="S1351" s="2" t="s">
        <v>233</v>
      </c>
      <c r="T1351" s="2" t="s">
        <v>233</v>
      </c>
      <c r="U1351" s="2" t="s">
        <v>396</v>
      </c>
      <c r="V1351" s="2" t="s">
        <v>893</v>
      </c>
      <c r="W1351" s="2" t="s">
        <v>233</v>
      </c>
      <c r="X1351" s="2" t="s">
        <v>233</v>
      </c>
      <c r="Y1351" s="2" t="s">
        <v>1022</v>
      </c>
      <c r="Z1351" s="4">
        <v>9</v>
      </c>
      <c r="AA1351" s="4">
        <f>=ROUNDDOWN(4.5,0)</f>
      </c>
      <c r="AB1351" s="5">
        <v>2</v>
      </c>
      <c r="AC1351" s="2" t="s">
        <v>6400</v>
      </c>
      <c r="AD1351" s="4">
        <v>300</v>
      </c>
      <c r="AE1351" s="4">
        <v>300</v>
      </c>
      <c r="AF1351" s="6"/>
      <c r="AG1351" s="6">
        <v>73</v>
      </c>
      <c r="AH1351" s="7">
        <v>1</v>
      </c>
      <c r="AI1351" s="4"/>
      <c r="AJ1351" s="4">
        <f>=ROUNDDOWN({0},0)</f>
      </c>
      <c r="AK1351" s="5"/>
      <c r="AL1351" s="2" t="s">
        <v>233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233</v>
      </c>
      <c r="AW1351" s="8" t="s">
        <v>233</v>
      </c>
      <c r="AX1351" s="4" t="s">
        <v>233</v>
      </c>
      <c r="AY1351" s="8" t="s">
        <v>233</v>
      </c>
      <c r="AZ1351" s="7" t="s">
        <v>233</v>
      </c>
      <c r="BA1351" s="7" t="s">
        <v>233</v>
      </c>
      <c r="BB1351" s="7"/>
      <c r="BC1351" s="4" t="s">
        <v>233</v>
      </c>
      <c r="BD1351" s="8" t="s">
        <v>233</v>
      </c>
      <c r="BE1351" s="4" t="s">
        <v>233</v>
      </c>
      <c r="BF1351" s="8" t="s">
        <v>233</v>
      </c>
      <c r="BG1351" s="7" t="s">
        <v>233</v>
      </c>
      <c r="BH1351" s="7" t="s">
        <v>233</v>
      </c>
      <c r="BI1351" s="7"/>
      <c r="BJ1351" s="4">
        <v>1</v>
      </c>
      <c r="BK1351" s="8">
        <v>25.2</v>
      </c>
      <c r="BL1351" s="2" t="s">
        <v>3106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6570</v>
      </c>
      <c r="BV1351" s="2" t="s">
        <v>233</v>
      </c>
      <c r="BW1351" s="2" t="s">
        <v>233</v>
      </c>
      <c r="BX1351" s="2" t="s">
        <v>243</v>
      </c>
      <c r="BY1351" s="2" t="s">
        <v>280</v>
      </c>
      <c r="BZ1351" s="2" t="s">
        <v>245</v>
      </c>
      <c r="CA1351" s="2" t="s">
        <v>6463</v>
      </c>
      <c r="CB1351" s="2" t="s">
        <v>233</v>
      </c>
      <c r="CC1351" s="2" t="s">
        <v>246</v>
      </c>
      <c r="CD1351" s="2" t="s">
        <v>233</v>
      </c>
      <c r="CE1351" s="4"/>
      <c r="CF1351" s="4"/>
      <c r="CG1351" s="4"/>
      <c r="CH1351" s="4"/>
      <c r="CI1351" s="4">
        <v>9</v>
      </c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>
        <v>300</v>
      </c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</row>
    <row r="1352">
      <c r="A1352" s="2" t="s">
        <v>6571</v>
      </c>
      <c r="B1352" s="2" t="s">
        <v>2691</v>
      </c>
      <c r="C1352" s="2" t="s">
        <v>901</v>
      </c>
      <c r="D1352" s="2" t="s">
        <v>2692</v>
      </c>
      <c r="E1352" s="2" t="s">
        <v>2693</v>
      </c>
      <c r="F1352" s="2" t="s">
        <v>6529</v>
      </c>
      <c r="G1352" s="2" t="s">
        <v>6529</v>
      </c>
      <c r="H1352" s="2" t="s">
        <v>6529</v>
      </c>
      <c r="I1352" s="2" t="s">
        <v>6543</v>
      </c>
      <c r="J1352" s="2" t="s">
        <v>6540</v>
      </c>
      <c r="K1352" s="2" t="s">
        <v>6428</v>
      </c>
      <c r="L1352" s="3">
        <v>20.34</v>
      </c>
      <c r="M1352" s="3">
        <v>21.36</v>
      </c>
      <c r="N1352" s="3">
        <v>44.99</v>
      </c>
      <c r="O1352" s="2" t="s">
        <v>245</v>
      </c>
      <c r="P1352" s="2" t="s">
        <v>243</v>
      </c>
      <c r="Q1352" s="2" t="s">
        <v>239</v>
      </c>
      <c r="R1352" s="2" t="s">
        <v>233</v>
      </c>
      <c r="S1352" s="2" t="s">
        <v>233</v>
      </c>
      <c r="T1352" s="2" t="s">
        <v>233</v>
      </c>
      <c r="U1352" s="2" t="s">
        <v>396</v>
      </c>
      <c r="V1352" s="2" t="s">
        <v>893</v>
      </c>
      <c r="W1352" s="2" t="s">
        <v>233</v>
      </c>
      <c r="X1352" s="2" t="s">
        <v>233</v>
      </c>
      <c r="Y1352" s="2" t="s">
        <v>1022</v>
      </c>
      <c r="Z1352" s="4"/>
      <c r="AA1352" s="4">
        <f>=ROUNDDOWN({0},0)</f>
      </c>
      <c r="AB1352" s="5">
        <v>1</v>
      </c>
      <c r="AC1352" s="2" t="s">
        <v>6400</v>
      </c>
      <c r="AD1352" s="4">
        <v>150</v>
      </c>
      <c r="AE1352" s="4">
        <v>150</v>
      </c>
      <c r="AF1352" s="6"/>
      <c r="AG1352" s="6">
        <v>73</v>
      </c>
      <c r="AH1352" s="7">
        <v>1</v>
      </c>
      <c r="AI1352" s="4"/>
      <c r="AJ1352" s="4">
        <f>=ROUNDDOWN({0},0)</f>
      </c>
      <c r="AK1352" s="5"/>
      <c r="AL1352" s="2" t="s">
        <v>233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233</v>
      </c>
      <c r="AW1352" s="8" t="s">
        <v>233</v>
      </c>
      <c r="AX1352" s="4" t="s">
        <v>233</v>
      </c>
      <c r="AY1352" s="8" t="s">
        <v>233</v>
      </c>
      <c r="AZ1352" s="7" t="s">
        <v>233</v>
      </c>
      <c r="BA1352" s="7" t="s">
        <v>233</v>
      </c>
      <c r="BB1352" s="7"/>
      <c r="BC1352" s="4" t="s">
        <v>233</v>
      </c>
      <c r="BD1352" s="8" t="s">
        <v>233</v>
      </c>
      <c r="BE1352" s="4" t="s">
        <v>233</v>
      </c>
      <c r="BF1352" s="8" t="s">
        <v>233</v>
      </c>
      <c r="BG1352" s="7" t="s">
        <v>233</v>
      </c>
      <c r="BH1352" s="7" t="s">
        <v>233</v>
      </c>
      <c r="BI1352" s="7"/>
      <c r="BJ1352" s="4">
        <v>2</v>
      </c>
      <c r="BK1352" s="8">
        <v>41.58</v>
      </c>
      <c r="BL1352" s="2" t="s">
        <v>2554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6572</v>
      </c>
      <c r="BV1352" s="2" t="s">
        <v>233</v>
      </c>
      <c r="BW1352" s="2" t="s">
        <v>233</v>
      </c>
      <c r="BX1352" s="2" t="s">
        <v>243</v>
      </c>
      <c r="BY1352" s="2" t="s">
        <v>280</v>
      </c>
      <c r="BZ1352" s="2" t="s">
        <v>245</v>
      </c>
      <c r="CA1352" s="2" t="s">
        <v>6463</v>
      </c>
      <c r="CB1352" s="2" t="s">
        <v>233</v>
      </c>
      <c r="CC1352" s="2" t="s">
        <v>246</v>
      </c>
      <c r="CD1352" s="2" t="s">
        <v>233</v>
      </c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>
        <v>150</v>
      </c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</row>
    <row r="1353">
      <c r="A1353" s="2" t="s">
        <v>6573</v>
      </c>
      <c r="B1353" s="2" t="s">
        <v>1017</v>
      </c>
      <c r="C1353" s="2" t="s">
        <v>901</v>
      </c>
      <c r="D1353" s="2" t="s">
        <v>1565</v>
      </c>
      <c r="E1353" s="2" t="s">
        <v>1566</v>
      </c>
      <c r="F1353" s="2" t="s">
        <v>6574</v>
      </c>
      <c r="G1353" s="2" t="s">
        <v>6574</v>
      </c>
      <c r="H1353" s="2" t="s">
        <v>6574</v>
      </c>
      <c r="I1353" s="2" t="s">
        <v>6575</v>
      </c>
      <c r="J1353" s="2" t="s">
        <v>1568</v>
      </c>
      <c r="K1353" s="2" t="s">
        <v>6576</v>
      </c>
      <c r="L1353" s="3">
        <v>22.33</v>
      </c>
      <c r="M1353" s="3">
        <v>23.45</v>
      </c>
      <c r="N1353" s="3">
        <v>46.99</v>
      </c>
      <c r="O1353" s="2" t="s">
        <v>245</v>
      </c>
      <c r="P1353" s="2" t="s">
        <v>238</v>
      </c>
      <c r="Q1353" s="2" t="s">
        <v>239</v>
      </c>
      <c r="R1353" s="2" t="s">
        <v>233</v>
      </c>
      <c r="S1353" s="2" t="s">
        <v>6577</v>
      </c>
      <c r="T1353" s="2" t="s">
        <v>341</v>
      </c>
      <c r="U1353" s="2" t="s">
        <v>396</v>
      </c>
      <c r="V1353" s="2" t="s">
        <v>1085</v>
      </c>
      <c r="W1353" s="2" t="s">
        <v>894</v>
      </c>
      <c r="X1353" s="2" t="s">
        <v>2215</v>
      </c>
      <c r="Y1353" s="2" t="s">
        <v>233</v>
      </c>
      <c r="Z1353" s="4"/>
      <c r="AA1353" s="4">
        <f>=ROUNDDOWN({0},0)</f>
      </c>
      <c r="AB1353" s="5"/>
      <c r="AC1353" s="2" t="s">
        <v>1514</v>
      </c>
      <c r="AD1353" s="4">
        <v>700</v>
      </c>
      <c r="AE1353" s="4">
        <v>700</v>
      </c>
      <c r="AF1353" s="6">
        <v>69</v>
      </c>
      <c r="AG1353" s="6"/>
      <c r="AH1353" s="7">
        <v>0</v>
      </c>
      <c r="AI1353" s="4"/>
      <c r="AJ1353" s="4">
        <f>=ROUNDDOWN({0},0)</f>
      </c>
      <c r="AK1353" s="5"/>
      <c r="AL1353" s="2" t="s">
        <v>233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/>
      <c r="BD1353" s="8"/>
      <c r="BE1353" s="4"/>
      <c r="BF1353" s="8"/>
      <c r="BG1353" s="7"/>
      <c r="BH1353" s="7"/>
      <c r="BI1353" s="7"/>
      <c r="BJ1353" s="4"/>
      <c r="BK1353" s="8"/>
      <c r="BL1353" s="2" t="s">
        <v>233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243</v>
      </c>
      <c r="BV1353" s="2" t="s">
        <v>233</v>
      </c>
      <c r="BW1353" s="2" t="s">
        <v>233</v>
      </c>
      <c r="BX1353" s="2" t="s">
        <v>243</v>
      </c>
      <c r="BY1353" s="2" t="s">
        <v>244</v>
      </c>
      <c r="BZ1353" s="2" t="s">
        <v>245</v>
      </c>
      <c r="CA1353" s="2" t="s">
        <v>233</v>
      </c>
      <c r="CB1353" s="2" t="s">
        <v>233</v>
      </c>
      <c r="CC1353" s="2" t="s">
        <v>246</v>
      </c>
      <c r="CD1353" s="2" t="s">
        <v>233</v>
      </c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>
        <v>700</v>
      </c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</row>
    <row r="1354">
      <c r="A1354" s="2" t="s">
        <v>6578</v>
      </c>
      <c r="B1354" s="2" t="s">
        <v>1242</v>
      </c>
      <c r="C1354" s="2" t="s">
        <v>1321</v>
      </c>
      <c r="D1354" s="2" t="s">
        <v>969</v>
      </c>
      <c r="E1354" s="2" t="s">
        <v>1078</v>
      </c>
      <c r="F1354" s="2" t="s">
        <v>6579</v>
      </c>
      <c r="G1354" s="2" t="s">
        <v>6579</v>
      </c>
      <c r="H1354" s="2" t="s">
        <v>6579</v>
      </c>
      <c r="I1354" s="2" t="s">
        <v>6580</v>
      </c>
      <c r="J1354" s="2" t="s">
        <v>348</v>
      </c>
      <c r="K1354" s="2" t="s">
        <v>6581</v>
      </c>
      <c r="L1354" s="3">
        <v>172.2</v>
      </c>
      <c r="M1354" s="3">
        <v>180.81</v>
      </c>
      <c r="N1354" s="3">
        <v>409.99</v>
      </c>
      <c r="O1354" s="2" t="s">
        <v>237</v>
      </c>
      <c r="P1354" s="2" t="s">
        <v>311</v>
      </c>
      <c r="Q1354" s="2" t="s">
        <v>239</v>
      </c>
      <c r="R1354" s="2" t="s">
        <v>233</v>
      </c>
      <c r="S1354" s="2" t="s">
        <v>6582</v>
      </c>
      <c r="T1354" s="2" t="s">
        <v>233</v>
      </c>
      <c r="U1354" s="2" t="s">
        <v>5309</v>
      </c>
      <c r="V1354" s="2" t="s">
        <v>5099</v>
      </c>
      <c r="W1354" s="2" t="s">
        <v>451</v>
      </c>
      <c r="X1354" s="2" t="s">
        <v>6583</v>
      </c>
      <c r="Y1354" s="2" t="s">
        <v>6584</v>
      </c>
      <c r="Z1354" s="4">
        <v>24</v>
      </c>
      <c r="AA1354" s="4">
        <f>=ROUNDDOWN(8.88888888888889,0)</f>
      </c>
      <c r="AB1354" s="5">
        <v>2.7</v>
      </c>
      <c r="AC1354" s="2" t="s">
        <v>233</v>
      </c>
      <c r="AD1354" s="4"/>
      <c r="AE1354" s="4"/>
      <c r="AF1354" s="6">
        <v>67</v>
      </c>
      <c r="AG1354" s="6"/>
      <c r="AH1354" s="7">
        <v>1</v>
      </c>
      <c r="AI1354" s="4"/>
      <c r="AJ1354" s="4">
        <f>=ROUNDDOWN({0},0)</f>
      </c>
      <c r="AK1354" s="5"/>
      <c r="AL1354" s="2" t="s">
        <v>233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/>
      <c r="BD1354" s="8"/>
      <c r="BE1354" s="4"/>
      <c r="BF1354" s="8"/>
      <c r="BG1354" s="7"/>
      <c r="BH1354" s="7"/>
      <c r="BI1354" s="7"/>
      <c r="BJ1354" s="4">
        <v>9</v>
      </c>
      <c r="BK1354" s="8">
        <v>1198.66</v>
      </c>
      <c r="BL1354" s="2" t="s">
        <v>6585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6586</v>
      </c>
      <c r="BV1354" s="2" t="s">
        <v>233</v>
      </c>
      <c r="BW1354" s="2" t="s">
        <v>233</v>
      </c>
      <c r="BX1354" s="2" t="s">
        <v>233</v>
      </c>
      <c r="BY1354" s="2" t="s">
        <v>280</v>
      </c>
      <c r="BZ1354" s="2" t="s">
        <v>245</v>
      </c>
      <c r="CA1354" s="2" t="s">
        <v>6587</v>
      </c>
      <c r="CB1354" s="2" t="s">
        <v>2034</v>
      </c>
      <c r="CC1354" s="2" t="s">
        <v>246</v>
      </c>
      <c r="CD1354" s="2" t="s">
        <v>233</v>
      </c>
      <c r="CE1354" s="4">
        <v>24</v>
      </c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</row>
    <row r="1355">
      <c r="A1355" s="2" t="s">
        <v>6588</v>
      </c>
      <c r="B1355" s="2" t="s">
        <v>1174</v>
      </c>
      <c r="C1355" s="2" t="s">
        <v>530</v>
      </c>
      <c r="D1355" s="2" t="s">
        <v>1175</v>
      </c>
      <c r="E1355" s="2" t="s">
        <v>2069</v>
      </c>
      <c r="F1355" s="2" t="s">
        <v>6589</v>
      </c>
      <c r="G1355" s="2" t="s">
        <v>6590</v>
      </c>
      <c r="H1355" s="2" t="s">
        <v>6591</v>
      </c>
      <c r="I1355" s="2" t="s">
        <v>6592</v>
      </c>
      <c r="J1355" s="2" t="s">
        <v>1524</v>
      </c>
      <c r="K1355" s="2" t="s">
        <v>255</v>
      </c>
      <c r="L1355" s="3">
        <v>14.1</v>
      </c>
      <c r="M1355" s="3">
        <v>14.8</v>
      </c>
      <c r="N1355" s="3">
        <v>29.99</v>
      </c>
      <c r="O1355" s="2" t="s">
        <v>245</v>
      </c>
      <c r="P1355" s="2" t="s">
        <v>272</v>
      </c>
      <c r="Q1355" s="2" t="s">
        <v>239</v>
      </c>
      <c r="R1355" s="2" t="s">
        <v>233</v>
      </c>
      <c r="S1355" s="2" t="s">
        <v>6593</v>
      </c>
      <c r="T1355" s="2" t="s">
        <v>233</v>
      </c>
      <c r="U1355" s="2" t="s">
        <v>233</v>
      </c>
      <c r="V1355" s="2" t="s">
        <v>1085</v>
      </c>
      <c r="W1355" s="2" t="s">
        <v>451</v>
      </c>
      <c r="X1355" s="2" t="s">
        <v>2069</v>
      </c>
      <c r="Y1355" s="2" t="s">
        <v>276</v>
      </c>
      <c r="Z1355" s="4">
        <v>207</v>
      </c>
      <c r="AA1355" s="4">
        <f>=ROUNDDOWN(23,0)</f>
      </c>
      <c r="AB1355" s="5">
        <v>9</v>
      </c>
      <c r="AC1355" s="2" t="s">
        <v>233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233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233</v>
      </c>
      <c r="AW1355" s="8" t="s">
        <v>233</v>
      </c>
      <c r="AX1355" s="4" t="s">
        <v>233</v>
      </c>
      <c r="AY1355" s="8" t="s">
        <v>233</v>
      </c>
      <c r="AZ1355" s="7" t="s">
        <v>233</v>
      </c>
      <c r="BA1355" s="7" t="s">
        <v>233</v>
      </c>
      <c r="BB1355" s="7"/>
      <c r="BC1355" s="4" t="s">
        <v>233</v>
      </c>
      <c r="BD1355" s="8" t="s">
        <v>233</v>
      </c>
      <c r="BE1355" s="4" t="s">
        <v>233</v>
      </c>
      <c r="BF1355" s="8" t="s">
        <v>233</v>
      </c>
      <c r="BG1355" s="7" t="s">
        <v>233</v>
      </c>
      <c r="BH1355" s="7" t="s">
        <v>233</v>
      </c>
      <c r="BI1355" s="7"/>
      <c r="BJ1355" s="4">
        <v>19</v>
      </c>
      <c r="BK1355" s="8">
        <v>241.71</v>
      </c>
      <c r="BL1355" s="2" t="s">
        <v>6594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6595</v>
      </c>
      <c r="BV1355" s="2" t="s">
        <v>233</v>
      </c>
      <c r="BW1355" s="2" t="s">
        <v>233</v>
      </c>
      <c r="BX1355" s="2" t="s">
        <v>243</v>
      </c>
      <c r="BY1355" s="2" t="s">
        <v>280</v>
      </c>
      <c r="BZ1355" s="2" t="s">
        <v>245</v>
      </c>
      <c r="CA1355" s="2" t="s">
        <v>281</v>
      </c>
      <c r="CB1355" s="2" t="s">
        <v>6596</v>
      </c>
      <c r="CC1355" s="2" t="s">
        <v>246</v>
      </c>
      <c r="CD1355" s="2" t="s">
        <v>233</v>
      </c>
      <c r="CE1355" s="4">
        <v>207</v>
      </c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</row>
    <row r="1356">
      <c r="A1356" s="2" t="s">
        <v>6597</v>
      </c>
      <c r="B1356" s="2" t="s">
        <v>1174</v>
      </c>
      <c r="C1356" s="2" t="s">
        <v>530</v>
      </c>
      <c r="D1356" s="2" t="s">
        <v>1175</v>
      </c>
      <c r="E1356" s="2" t="s">
        <v>2069</v>
      </c>
      <c r="F1356" s="2" t="s">
        <v>6589</v>
      </c>
      <c r="G1356" s="2" t="s">
        <v>6590</v>
      </c>
      <c r="H1356" s="2" t="s">
        <v>6591</v>
      </c>
      <c r="I1356" s="2" t="s">
        <v>6592</v>
      </c>
      <c r="J1356" s="2" t="s">
        <v>1490</v>
      </c>
      <c r="K1356" s="2" t="s">
        <v>255</v>
      </c>
      <c r="L1356" s="3">
        <v>16.45</v>
      </c>
      <c r="M1356" s="3">
        <v>17.27</v>
      </c>
      <c r="N1356" s="3">
        <v>34.99</v>
      </c>
      <c r="O1356" s="2" t="s">
        <v>245</v>
      </c>
      <c r="P1356" s="2" t="s">
        <v>311</v>
      </c>
      <c r="Q1356" s="2" t="s">
        <v>239</v>
      </c>
      <c r="R1356" s="2" t="s">
        <v>233</v>
      </c>
      <c r="S1356" s="2" t="s">
        <v>6593</v>
      </c>
      <c r="T1356" s="2" t="s">
        <v>233</v>
      </c>
      <c r="U1356" s="2" t="s">
        <v>233</v>
      </c>
      <c r="V1356" s="2" t="s">
        <v>1085</v>
      </c>
      <c r="W1356" s="2" t="s">
        <v>451</v>
      </c>
      <c r="X1356" s="2" t="s">
        <v>233</v>
      </c>
      <c r="Y1356" s="2" t="s">
        <v>276</v>
      </c>
      <c r="Z1356" s="4">
        <v>339</v>
      </c>
      <c r="AA1356" s="4">
        <f>=ROUNDDOWN(105.9375,0)</f>
      </c>
      <c r="AB1356" s="5">
        <v>3.2</v>
      </c>
      <c r="AC1356" s="2" t="s">
        <v>233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233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233</v>
      </c>
      <c r="AW1356" s="8" t="s">
        <v>233</v>
      </c>
      <c r="AX1356" s="4" t="s">
        <v>233</v>
      </c>
      <c r="AY1356" s="8" t="s">
        <v>233</v>
      </c>
      <c r="AZ1356" s="7" t="s">
        <v>233</v>
      </c>
      <c r="BA1356" s="7" t="s">
        <v>233</v>
      </c>
      <c r="BB1356" s="7"/>
      <c r="BC1356" s="4" t="s">
        <v>233</v>
      </c>
      <c r="BD1356" s="8" t="s">
        <v>233</v>
      </c>
      <c r="BE1356" s="4" t="s">
        <v>233</v>
      </c>
      <c r="BF1356" s="8" t="s">
        <v>233</v>
      </c>
      <c r="BG1356" s="7" t="s">
        <v>233</v>
      </c>
      <c r="BH1356" s="7" t="s">
        <v>233</v>
      </c>
      <c r="BI1356" s="7"/>
      <c r="BJ1356" s="4">
        <v>15</v>
      </c>
      <c r="BK1356" s="8">
        <v>239.43</v>
      </c>
      <c r="BL1356" s="2" t="s">
        <v>6598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6599</v>
      </c>
      <c r="BV1356" s="2" t="s">
        <v>233</v>
      </c>
      <c r="BW1356" s="2" t="s">
        <v>233</v>
      </c>
      <c r="BX1356" s="2" t="s">
        <v>233</v>
      </c>
      <c r="BY1356" s="2" t="s">
        <v>280</v>
      </c>
      <c r="BZ1356" s="2" t="s">
        <v>245</v>
      </c>
      <c r="CA1356" s="2" t="s">
        <v>281</v>
      </c>
      <c r="CB1356" s="2" t="s">
        <v>5230</v>
      </c>
      <c r="CC1356" s="2" t="s">
        <v>246</v>
      </c>
      <c r="CD1356" s="2" t="s">
        <v>233</v>
      </c>
      <c r="CE1356" s="4">
        <v>339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</row>
    <row r="1357">
      <c r="A1357" s="2" t="s">
        <v>6600</v>
      </c>
      <c r="B1357" s="2" t="s">
        <v>1174</v>
      </c>
      <c r="C1357" s="2" t="s">
        <v>530</v>
      </c>
      <c r="D1357" s="2" t="s">
        <v>1175</v>
      </c>
      <c r="E1357" s="2" t="s">
        <v>6601</v>
      </c>
      <c r="F1357" s="2" t="s">
        <v>6589</v>
      </c>
      <c r="G1357" s="2" t="s">
        <v>6590</v>
      </c>
      <c r="H1357" s="2" t="s">
        <v>6591</v>
      </c>
      <c r="I1357" s="2" t="s">
        <v>6602</v>
      </c>
      <c r="J1357" s="2" t="s">
        <v>6603</v>
      </c>
      <c r="K1357" s="2" t="s">
        <v>255</v>
      </c>
      <c r="L1357" s="3">
        <v>16.1</v>
      </c>
      <c r="M1357" s="3">
        <v>16.9</v>
      </c>
      <c r="N1357" s="3">
        <v>34.99</v>
      </c>
      <c r="O1357" s="2" t="s">
        <v>245</v>
      </c>
      <c r="P1357" s="2" t="s">
        <v>272</v>
      </c>
      <c r="Q1357" s="2" t="s">
        <v>239</v>
      </c>
      <c r="R1357" s="2" t="s">
        <v>233</v>
      </c>
      <c r="S1357" s="2" t="s">
        <v>6593</v>
      </c>
      <c r="T1357" s="2" t="s">
        <v>233</v>
      </c>
      <c r="U1357" s="2" t="s">
        <v>233</v>
      </c>
      <c r="V1357" s="2" t="s">
        <v>1085</v>
      </c>
      <c r="W1357" s="2" t="s">
        <v>451</v>
      </c>
      <c r="X1357" s="2" t="s">
        <v>233</v>
      </c>
      <c r="Y1357" s="2" t="s">
        <v>6604</v>
      </c>
      <c r="Z1357" s="4">
        <v>195</v>
      </c>
      <c r="AA1357" s="4">
        <f>=ROUNDDOWN(24.375,0)</f>
      </c>
      <c r="AB1357" s="5">
        <v>8</v>
      </c>
      <c r="AC1357" s="2" t="s">
        <v>233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233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233</v>
      </c>
      <c r="AW1357" s="8" t="s">
        <v>233</v>
      </c>
      <c r="AX1357" s="4" t="s">
        <v>233</v>
      </c>
      <c r="AY1357" s="8" t="s">
        <v>233</v>
      </c>
      <c r="AZ1357" s="7" t="s">
        <v>233</v>
      </c>
      <c r="BA1357" s="7" t="s">
        <v>233</v>
      </c>
      <c r="BB1357" s="7"/>
      <c r="BC1357" s="4" t="s">
        <v>233</v>
      </c>
      <c r="BD1357" s="8" t="s">
        <v>233</v>
      </c>
      <c r="BE1357" s="4" t="s">
        <v>233</v>
      </c>
      <c r="BF1357" s="8" t="s">
        <v>233</v>
      </c>
      <c r="BG1357" s="7" t="s">
        <v>233</v>
      </c>
      <c r="BH1357" s="7" t="s">
        <v>233</v>
      </c>
      <c r="BI1357" s="7"/>
      <c r="BJ1357" s="4">
        <v>26</v>
      </c>
      <c r="BK1357" s="8">
        <v>427.05</v>
      </c>
      <c r="BL1357" s="2" t="s">
        <v>6605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6606</v>
      </c>
      <c r="BV1357" s="2" t="s">
        <v>233</v>
      </c>
      <c r="BW1357" s="2" t="s">
        <v>233</v>
      </c>
      <c r="BX1357" s="2" t="s">
        <v>233</v>
      </c>
      <c r="BY1357" s="2" t="s">
        <v>280</v>
      </c>
      <c r="BZ1357" s="2" t="s">
        <v>245</v>
      </c>
      <c r="CA1357" s="2" t="s">
        <v>4084</v>
      </c>
      <c r="CB1357" s="2" t="s">
        <v>6607</v>
      </c>
      <c r="CC1357" s="2" t="s">
        <v>246</v>
      </c>
      <c r="CD1357" s="2" t="s">
        <v>233</v>
      </c>
      <c r="CE1357" s="4">
        <v>195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</row>
    <row r="1358">
      <c r="A1358" s="2" t="s">
        <v>6608</v>
      </c>
      <c r="B1358" s="2" t="s">
        <v>1174</v>
      </c>
      <c r="C1358" s="2" t="s">
        <v>530</v>
      </c>
      <c r="D1358" s="2" t="s">
        <v>3304</v>
      </c>
      <c r="E1358" s="2" t="s">
        <v>3305</v>
      </c>
      <c r="F1358" s="2" t="s">
        <v>6589</v>
      </c>
      <c r="G1358" s="2" t="s">
        <v>6590</v>
      </c>
      <c r="H1358" s="2" t="s">
        <v>6591</v>
      </c>
      <c r="I1358" s="2" t="s">
        <v>6609</v>
      </c>
      <c r="J1358" s="2" t="s">
        <v>2099</v>
      </c>
      <c r="K1358" s="2" t="s">
        <v>255</v>
      </c>
      <c r="L1358" s="3">
        <v>12.42</v>
      </c>
      <c r="M1358" s="3">
        <v>13.04</v>
      </c>
      <c r="N1358" s="3">
        <v>26.99</v>
      </c>
      <c r="O1358" s="2" t="s">
        <v>245</v>
      </c>
      <c r="P1358" s="2" t="s">
        <v>272</v>
      </c>
      <c r="Q1358" s="2" t="s">
        <v>239</v>
      </c>
      <c r="R1358" s="2" t="s">
        <v>233</v>
      </c>
      <c r="S1358" s="2" t="s">
        <v>6593</v>
      </c>
      <c r="T1358" s="2" t="s">
        <v>233</v>
      </c>
      <c r="U1358" s="2" t="s">
        <v>233</v>
      </c>
      <c r="V1358" s="2" t="s">
        <v>1085</v>
      </c>
      <c r="W1358" s="2" t="s">
        <v>451</v>
      </c>
      <c r="X1358" s="2" t="s">
        <v>233</v>
      </c>
      <c r="Y1358" s="2" t="s">
        <v>6604</v>
      </c>
      <c r="Z1358" s="4">
        <v>261</v>
      </c>
      <c r="AA1358" s="4">
        <f>=ROUNDDOWN(18.6428571428571,0)</f>
      </c>
      <c r="AB1358" s="5">
        <v>14</v>
      </c>
      <c r="AC1358" s="2" t="s">
        <v>233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233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233</v>
      </c>
      <c r="AW1358" s="8" t="s">
        <v>233</v>
      </c>
      <c r="AX1358" s="4" t="s">
        <v>233</v>
      </c>
      <c r="AY1358" s="8" t="s">
        <v>233</v>
      </c>
      <c r="AZ1358" s="7" t="s">
        <v>233</v>
      </c>
      <c r="BA1358" s="7" t="s">
        <v>233</v>
      </c>
      <c r="BB1358" s="7"/>
      <c r="BC1358" s="4" t="s">
        <v>233</v>
      </c>
      <c r="BD1358" s="8" t="s">
        <v>233</v>
      </c>
      <c r="BE1358" s="4" t="s">
        <v>233</v>
      </c>
      <c r="BF1358" s="8" t="s">
        <v>233</v>
      </c>
      <c r="BG1358" s="7" t="s">
        <v>233</v>
      </c>
      <c r="BH1358" s="7" t="s">
        <v>233</v>
      </c>
      <c r="BI1358" s="7"/>
      <c r="BJ1358" s="4">
        <v>51</v>
      </c>
      <c r="BK1358" s="8">
        <v>671.26</v>
      </c>
      <c r="BL1358" s="2" t="s">
        <v>6610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6611</v>
      </c>
      <c r="BV1358" s="2" t="s">
        <v>233</v>
      </c>
      <c r="BW1358" s="2" t="s">
        <v>233</v>
      </c>
      <c r="BX1358" s="2" t="s">
        <v>233</v>
      </c>
      <c r="BY1358" s="2" t="s">
        <v>280</v>
      </c>
      <c r="BZ1358" s="2" t="s">
        <v>245</v>
      </c>
      <c r="CA1358" s="2" t="s">
        <v>4084</v>
      </c>
      <c r="CB1358" s="2" t="s">
        <v>3940</v>
      </c>
      <c r="CC1358" s="2" t="s">
        <v>246</v>
      </c>
      <c r="CD1358" s="2" t="s">
        <v>233</v>
      </c>
      <c r="CE1358" s="4">
        <v>261</v>
      </c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</row>
    <row r="1359">
      <c r="A1359" s="2" t="s">
        <v>6612</v>
      </c>
      <c r="B1359" s="2" t="s">
        <v>1174</v>
      </c>
      <c r="C1359" s="2" t="s">
        <v>530</v>
      </c>
      <c r="D1359" s="2" t="s">
        <v>1175</v>
      </c>
      <c r="E1359" s="2" t="s">
        <v>6601</v>
      </c>
      <c r="F1359" s="2" t="s">
        <v>6589</v>
      </c>
      <c r="G1359" s="2" t="s">
        <v>6590</v>
      </c>
      <c r="H1359" s="2" t="s">
        <v>6591</v>
      </c>
      <c r="I1359" s="2" t="s">
        <v>6602</v>
      </c>
      <c r="J1359" s="2" t="s">
        <v>6613</v>
      </c>
      <c r="K1359" s="2" t="s">
        <v>255</v>
      </c>
      <c r="L1359" s="3">
        <v>21.15</v>
      </c>
      <c r="M1359" s="3">
        <v>22.21</v>
      </c>
      <c r="N1359" s="3">
        <v>44.99</v>
      </c>
      <c r="O1359" s="2" t="s">
        <v>245</v>
      </c>
      <c r="P1359" s="2" t="s">
        <v>311</v>
      </c>
      <c r="Q1359" s="2" t="s">
        <v>239</v>
      </c>
      <c r="R1359" s="2" t="s">
        <v>233</v>
      </c>
      <c r="S1359" s="2" t="s">
        <v>6593</v>
      </c>
      <c r="T1359" s="2" t="s">
        <v>233</v>
      </c>
      <c r="U1359" s="2" t="s">
        <v>233</v>
      </c>
      <c r="V1359" s="2" t="s">
        <v>1085</v>
      </c>
      <c r="W1359" s="2" t="s">
        <v>451</v>
      </c>
      <c r="X1359" s="2" t="s">
        <v>233</v>
      </c>
      <c r="Y1359" s="2" t="s">
        <v>6604</v>
      </c>
      <c r="Z1359" s="4">
        <v>100</v>
      </c>
      <c r="AA1359" s="4">
        <f>=ROUNDDOWN(12.3456790123457,0)</f>
      </c>
      <c r="AB1359" s="5">
        <v>8.1</v>
      </c>
      <c r="AC1359" s="2" t="s">
        <v>233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233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233</v>
      </c>
      <c r="AW1359" s="8" t="s">
        <v>233</v>
      </c>
      <c r="AX1359" s="4" t="s">
        <v>233</v>
      </c>
      <c r="AY1359" s="8" t="s">
        <v>233</v>
      </c>
      <c r="AZ1359" s="7" t="s">
        <v>233</v>
      </c>
      <c r="BA1359" s="7" t="s">
        <v>233</v>
      </c>
      <c r="BB1359" s="7"/>
      <c r="BC1359" s="4" t="s">
        <v>233</v>
      </c>
      <c r="BD1359" s="8" t="s">
        <v>233</v>
      </c>
      <c r="BE1359" s="4" t="s">
        <v>233</v>
      </c>
      <c r="BF1359" s="8" t="s">
        <v>233</v>
      </c>
      <c r="BG1359" s="7" t="s">
        <v>233</v>
      </c>
      <c r="BH1359" s="7" t="s">
        <v>233</v>
      </c>
      <c r="BI1359" s="7"/>
      <c r="BJ1359" s="4">
        <v>19</v>
      </c>
      <c r="BK1359" s="8">
        <v>449.33</v>
      </c>
      <c r="BL1359" s="2" t="s">
        <v>6614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6615</v>
      </c>
      <c r="BV1359" s="2" t="s">
        <v>233</v>
      </c>
      <c r="BW1359" s="2" t="s">
        <v>233</v>
      </c>
      <c r="BX1359" s="2" t="s">
        <v>233</v>
      </c>
      <c r="BY1359" s="2" t="s">
        <v>280</v>
      </c>
      <c r="BZ1359" s="2" t="s">
        <v>245</v>
      </c>
      <c r="CA1359" s="2" t="s">
        <v>4084</v>
      </c>
      <c r="CB1359" s="2" t="s">
        <v>6616</v>
      </c>
      <c r="CC1359" s="2" t="s">
        <v>246</v>
      </c>
      <c r="CD1359" s="2" t="s">
        <v>233</v>
      </c>
      <c r="CE1359" s="4">
        <v>100</v>
      </c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</row>
    <row r="1360">
      <c r="A1360" s="2" t="s">
        <v>6617</v>
      </c>
      <c r="B1360" s="2" t="s">
        <v>1174</v>
      </c>
      <c r="C1360" s="2" t="s">
        <v>530</v>
      </c>
      <c r="D1360" s="2" t="s">
        <v>1175</v>
      </c>
      <c r="E1360" s="2" t="s">
        <v>2069</v>
      </c>
      <c r="F1360" s="2" t="s">
        <v>6589</v>
      </c>
      <c r="G1360" s="2" t="s">
        <v>6590</v>
      </c>
      <c r="H1360" s="2" t="s">
        <v>6591</v>
      </c>
      <c r="I1360" s="2" t="s">
        <v>6592</v>
      </c>
      <c r="J1360" s="2" t="s">
        <v>1524</v>
      </c>
      <c r="K1360" s="2" t="s">
        <v>569</v>
      </c>
      <c r="L1360" s="3">
        <v>14.1</v>
      </c>
      <c r="M1360" s="3">
        <v>14.8</v>
      </c>
      <c r="N1360" s="3">
        <v>29.99</v>
      </c>
      <c r="O1360" s="2" t="s">
        <v>245</v>
      </c>
      <c r="P1360" s="2" t="s">
        <v>272</v>
      </c>
      <c r="Q1360" s="2" t="s">
        <v>239</v>
      </c>
      <c r="R1360" s="2" t="s">
        <v>233</v>
      </c>
      <c r="S1360" s="2" t="s">
        <v>6618</v>
      </c>
      <c r="T1360" s="2" t="s">
        <v>233</v>
      </c>
      <c r="U1360" s="2" t="s">
        <v>233</v>
      </c>
      <c r="V1360" s="2" t="s">
        <v>1085</v>
      </c>
      <c r="W1360" s="2" t="s">
        <v>451</v>
      </c>
      <c r="X1360" s="2" t="s">
        <v>2069</v>
      </c>
      <c r="Y1360" s="2" t="s">
        <v>276</v>
      </c>
      <c r="Z1360" s="4">
        <v>118</v>
      </c>
      <c r="AA1360" s="4">
        <f>=ROUNDDOWN(19.6666666666667,0)</f>
      </c>
      <c r="AB1360" s="5">
        <v>6</v>
      </c>
      <c r="AC1360" s="2" t="s">
        <v>2902</v>
      </c>
      <c r="AD1360" s="4">
        <v>200</v>
      </c>
      <c r="AE1360" s="4">
        <v>332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233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233</v>
      </c>
      <c r="AW1360" s="8" t="s">
        <v>233</v>
      </c>
      <c r="AX1360" s="4" t="s">
        <v>233</v>
      </c>
      <c r="AY1360" s="8" t="s">
        <v>233</v>
      </c>
      <c r="AZ1360" s="7" t="s">
        <v>233</v>
      </c>
      <c r="BA1360" s="7" t="s">
        <v>233</v>
      </c>
      <c r="BB1360" s="7"/>
      <c r="BC1360" s="4" t="s">
        <v>233</v>
      </c>
      <c r="BD1360" s="8" t="s">
        <v>233</v>
      </c>
      <c r="BE1360" s="4" t="s">
        <v>233</v>
      </c>
      <c r="BF1360" s="8" t="s">
        <v>233</v>
      </c>
      <c r="BG1360" s="7" t="s">
        <v>233</v>
      </c>
      <c r="BH1360" s="7" t="s">
        <v>233</v>
      </c>
      <c r="BI1360" s="7"/>
      <c r="BJ1360" s="4">
        <v>17</v>
      </c>
      <c r="BK1360" s="8">
        <v>199.95</v>
      </c>
      <c r="BL1360" s="2" t="s">
        <v>6619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6620</v>
      </c>
      <c r="BV1360" s="2" t="s">
        <v>233</v>
      </c>
      <c r="BW1360" s="2" t="s">
        <v>233</v>
      </c>
      <c r="BX1360" s="2" t="s">
        <v>243</v>
      </c>
      <c r="BY1360" s="2" t="s">
        <v>280</v>
      </c>
      <c r="BZ1360" s="2" t="s">
        <v>245</v>
      </c>
      <c r="CA1360" s="2" t="s">
        <v>281</v>
      </c>
      <c r="CB1360" s="2" t="s">
        <v>6596</v>
      </c>
      <c r="CC1360" s="2" t="s">
        <v>246</v>
      </c>
      <c r="CD1360" s="2" t="s">
        <v>233</v>
      </c>
      <c r="CE1360" s="4">
        <v>118</v>
      </c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>
        <v>200</v>
      </c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>
        <v>132</v>
      </c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</row>
    <row r="1361">
      <c r="A1361" s="2" t="s">
        <v>6621</v>
      </c>
      <c r="B1361" s="2" t="s">
        <v>1174</v>
      </c>
      <c r="C1361" s="2" t="s">
        <v>530</v>
      </c>
      <c r="D1361" s="2" t="s">
        <v>1175</v>
      </c>
      <c r="E1361" s="2" t="s">
        <v>2069</v>
      </c>
      <c r="F1361" s="2" t="s">
        <v>6589</v>
      </c>
      <c r="G1361" s="2" t="s">
        <v>6590</v>
      </c>
      <c r="H1361" s="2" t="s">
        <v>6591</v>
      </c>
      <c r="I1361" s="2" t="s">
        <v>6592</v>
      </c>
      <c r="J1361" s="2" t="s">
        <v>1490</v>
      </c>
      <c r="K1361" s="2" t="s">
        <v>569</v>
      </c>
      <c r="L1361" s="3">
        <v>16.45</v>
      </c>
      <c r="M1361" s="3">
        <v>17.27</v>
      </c>
      <c r="N1361" s="3">
        <v>34.99</v>
      </c>
      <c r="O1361" s="2" t="s">
        <v>245</v>
      </c>
      <c r="P1361" s="2" t="s">
        <v>272</v>
      </c>
      <c r="Q1361" s="2" t="s">
        <v>239</v>
      </c>
      <c r="R1361" s="2" t="s">
        <v>233</v>
      </c>
      <c r="S1361" s="2" t="s">
        <v>6618</v>
      </c>
      <c r="T1361" s="2" t="s">
        <v>233</v>
      </c>
      <c r="U1361" s="2" t="s">
        <v>233</v>
      </c>
      <c r="V1361" s="2" t="s">
        <v>1085</v>
      </c>
      <c r="W1361" s="2" t="s">
        <v>451</v>
      </c>
      <c r="X1361" s="2" t="s">
        <v>2069</v>
      </c>
      <c r="Y1361" s="2" t="s">
        <v>276</v>
      </c>
      <c r="Z1361" s="4">
        <v>134</v>
      </c>
      <c r="AA1361" s="4">
        <f>=ROUNDDOWN(44.6666666666667,0)</f>
      </c>
      <c r="AB1361" s="5">
        <v>3</v>
      </c>
      <c r="AC1361" s="2" t="s">
        <v>2902</v>
      </c>
      <c r="AD1361" s="4">
        <v>92</v>
      </c>
      <c r="AE1361" s="4">
        <v>92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233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233</v>
      </c>
      <c r="AW1361" s="8" t="s">
        <v>233</v>
      </c>
      <c r="AX1361" s="4" t="s">
        <v>233</v>
      </c>
      <c r="AY1361" s="8" t="s">
        <v>233</v>
      </c>
      <c r="AZ1361" s="7" t="s">
        <v>233</v>
      </c>
      <c r="BA1361" s="7" t="s">
        <v>233</v>
      </c>
      <c r="BB1361" s="7"/>
      <c r="BC1361" s="4" t="s">
        <v>233</v>
      </c>
      <c r="BD1361" s="8" t="s">
        <v>233</v>
      </c>
      <c r="BE1361" s="4" t="s">
        <v>233</v>
      </c>
      <c r="BF1361" s="8" t="s">
        <v>233</v>
      </c>
      <c r="BG1361" s="7" t="s">
        <v>233</v>
      </c>
      <c r="BH1361" s="7" t="s">
        <v>233</v>
      </c>
      <c r="BI1361" s="7"/>
      <c r="BJ1361" s="4">
        <v>2</v>
      </c>
      <c r="BK1361" s="8">
        <v>33.14</v>
      </c>
      <c r="BL1361" s="2" t="s">
        <v>3668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6622</v>
      </c>
      <c r="BV1361" s="2" t="s">
        <v>233</v>
      </c>
      <c r="BW1361" s="2" t="s">
        <v>233</v>
      </c>
      <c r="BX1361" s="2" t="s">
        <v>243</v>
      </c>
      <c r="BY1361" s="2" t="s">
        <v>280</v>
      </c>
      <c r="BZ1361" s="2" t="s">
        <v>245</v>
      </c>
      <c r="CA1361" s="2" t="s">
        <v>281</v>
      </c>
      <c r="CB1361" s="2" t="s">
        <v>6623</v>
      </c>
      <c r="CC1361" s="2" t="s">
        <v>246</v>
      </c>
      <c r="CD1361" s="2" t="s">
        <v>233</v>
      </c>
      <c r="CE1361" s="4">
        <v>134</v>
      </c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>
        <v>92</v>
      </c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</row>
    <row r="1362">
      <c r="A1362" s="2" t="s">
        <v>6624</v>
      </c>
      <c r="B1362" s="2" t="s">
        <v>1174</v>
      </c>
      <c r="C1362" s="2" t="s">
        <v>530</v>
      </c>
      <c r="D1362" s="2" t="s">
        <v>3304</v>
      </c>
      <c r="E1362" s="2" t="s">
        <v>3305</v>
      </c>
      <c r="F1362" s="2" t="s">
        <v>6589</v>
      </c>
      <c r="G1362" s="2" t="s">
        <v>6590</v>
      </c>
      <c r="H1362" s="2" t="s">
        <v>6591</v>
      </c>
      <c r="I1362" s="2" t="s">
        <v>6609</v>
      </c>
      <c r="J1362" s="2" t="s">
        <v>2099</v>
      </c>
      <c r="K1362" s="2" t="s">
        <v>569</v>
      </c>
      <c r="L1362" s="3">
        <v>12.42</v>
      </c>
      <c r="M1362" s="3">
        <v>13.04</v>
      </c>
      <c r="N1362" s="3">
        <v>26.99</v>
      </c>
      <c r="O1362" s="2" t="s">
        <v>245</v>
      </c>
      <c r="P1362" s="2" t="s">
        <v>272</v>
      </c>
      <c r="Q1362" s="2" t="s">
        <v>239</v>
      </c>
      <c r="R1362" s="2" t="s">
        <v>233</v>
      </c>
      <c r="S1362" s="2" t="s">
        <v>6618</v>
      </c>
      <c r="T1362" s="2" t="s">
        <v>233</v>
      </c>
      <c r="U1362" s="2" t="s">
        <v>233</v>
      </c>
      <c r="V1362" s="2" t="s">
        <v>1085</v>
      </c>
      <c r="W1362" s="2" t="s">
        <v>451</v>
      </c>
      <c r="X1362" s="2" t="s">
        <v>233</v>
      </c>
      <c r="Y1362" s="2" t="s">
        <v>6604</v>
      </c>
      <c r="Z1362" s="4">
        <v>418</v>
      </c>
      <c r="AA1362" s="4">
        <f>=ROUNDDOWN(41.8,0)</f>
      </c>
      <c r="AB1362" s="5">
        <v>10</v>
      </c>
      <c r="AC1362" s="2" t="s">
        <v>233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233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233</v>
      </c>
      <c r="AW1362" s="8" t="s">
        <v>233</v>
      </c>
      <c r="AX1362" s="4" t="s">
        <v>233</v>
      </c>
      <c r="AY1362" s="8" t="s">
        <v>233</v>
      </c>
      <c r="AZ1362" s="7" t="s">
        <v>233</v>
      </c>
      <c r="BA1362" s="7" t="s">
        <v>233</v>
      </c>
      <c r="BB1362" s="7"/>
      <c r="BC1362" s="4" t="s">
        <v>233</v>
      </c>
      <c r="BD1362" s="8" t="s">
        <v>233</v>
      </c>
      <c r="BE1362" s="4" t="s">
        <v>233</v>
      </c>
      <c r="BF1362" s="8" t="s">
        <v>233</v>
      </c>
      <c r="BG1362" s="7" t="s">
        <v>233</v>
      </c>
      <c r="BH1362" s="7" t="s">
        <v>233</v>
      </c>
      <c r="BI1362" s="7"/>
      <c r="BJ1362" s="4">
        <v>41</v>
      </c>
      <c r="BK1362" s="8">
        <v>534.1</v>
      </c>
      <c r="BL1362" s="2" t="s">
        <v>6625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6626</v>
      </c>
      <c r="BV1362" s="2" t="s">
        <v>233</v>
      </c>
      <c r="BW1362" s="2" t="s">
        <v>233</v>
      </c>
      <c r="BX1362" s="2" t="s">
        <v>233</v>
      </c>
      <c r="BY1362" s="2" t="s">
        <v>280</v>
      </c>
      <c r="BZ1362" s="2" t="s">
        <v>245</v>
      </c>
      <c r="CA1362" s="2" t="s">
        <v>4084</v>
      </c>
      <c r="CB1362" s="2" t="s">
        <v>3182</v>
      </c>
      <c r="CC1362" s="2" t="s">
        <v>246</v>
      </c>
      <c r="CD1362" s="2" t="s">
        <v>233</v>
      </c>
      <c r="CE1362" s="4">
        <v>418</v>
      </c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</row>
    <row r="1363">
      <c r="A1363" s="2" t="s">
        <v>6627</v>
      </c>
      <c r="B1363" s="2" t="s">
        <v>1174</v>
      </c>
      <c r="C1363" s="2" t="s">
        <v>530</v>
      </c>
      <c r="D1363" s="2" t="s">
        <v>1175</v>
      </c>
      <c r="E1363" s="2" t="s">
        <v>6601</v>
      </c>
      <c r="F1363" s="2" t="s">
        <v>6589</v>
      </c>
      <c r="G1363" s="2" t="s">
        <v>6590</v>
      </c>
      <c r="H1363" s="2" t="s">
        <v>6591</v>
      </c>
      <c r="I1363" s="2" t="s">
        <v>6602</v>
      </c>
      <c r="J1363" s="2" t="s">
        <v>6613</v>
      </c>
      <c r="K1363" s="2" t="s">
        <v>569</v>
      </c>
      <c r="L1363" s="3">
        <v>21.15</v>
      </c>
      <c r="M1363" s="3">
        <v>22.21</v>
      </c>
      <c r="N1363" s="3">
        <v>44.99</v>
      </c>
      <c r="O1363" s="2" t="s">
        <v>245</v>
      </c>
      <c r="P1363" s="2" t="s">
        <v>272</v>
      </c>
      <c r="Q1363" s="2" t="s">
        <v>239</v>
      </c>
      <c r="R1363" s="2" t="s">
        <v>233</v>
      </c>
      <c r="S1363" s="2" t="s">
        <v>6618</v>
      </c>
      <c r="T1363" s="2" t="s">
        <v>233</v>
      </c>
      <c r="U1363" s="2" t="s">
        <v>233</v>
      </c>
      <c r="V1363" s="2" t="s">
        <v>1085</v>
      </c>
      <c r="W1363" s="2" t="s">
        <v>451</v>
      </c>
      <c r="X1363" s="2" t="s">
        <v>233</v>
      </c>
      <c r="Y1363" s="2" t="s">
        <v>6604</v>
      </c>
      <c r="Z1363" s="4">
        <v>84</v>
      </c>
      <c r="AA1363" s="4">
        <f>=ROUNDDOWN(12,0)</f>
      </c>
      <c r="AB1363" s="5">
        <v>7</v>
      </c>
      <c r="AC1363" s="2" t="s">
        <v>2902</v>
      </c>
      <c r="AD1363" s="4">
        <v>100</v>
      </c>
      <c r="AE1363" s="4">
        <v>100</v>
      </c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233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233</v>
      </c>
      <c r="AW1363" s="8" t="s">
        <v>233</v>
      </c>
      <c r="AX1363" s="4" t="s">
        <v>233</v>
      </c>
      <c r="AY1363" s="8" t="s">
        <v>233</v>
      </c>
      <c r="AZ1363" s="7" t="s">
        <v>233</v>
      </c>
      <c r="BA1363" s="7" t="s">
        <v>233</v>
      </c>
      <c r="BB1363" s="7"/>
      <c r="BC1363" s="4" t="s">
        <v>233</v>
      </c>
      <c r="BD1363" s="8" t="s">
        <v>233</v>
      </c>
      <c r="BE1363" s="4" t="s">
        <v>233</v>
      </c>
      <c r="BF1363" s="8" t="s">
        <v>233</v>
      </c>
      <c r="BG1363" s="7" t="s">
        <v>233</v>
      </c>
      <c r="BH1363" s="7" t="s">
        <v>233</v>
      </c>
      <c r="BI1363" s="7"/>
      <c r="BJ1363" s="4">
        <v>26</v>
      </c>
      <c r="BK1363" s="8">
        <v>587.01</v>
      </c>
      <c r="BL1363" s="2" t="s">
        <v>6628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6629</v>
      </c>
      <c r="BV1363" s="2" t="s">
        <v>233</v>
      </c>
      <c r="BW1363" s="2" t="s">
        <v>233</v>
      </c>
      <c r="BX1363" s="2" t="s">
        <v>233</v>
      </c>
      <c r="BY1363" s="2" t="s">
        <v>280</v>
      </c>
      <c r="BZ1363" s="2" t="s">
        <v>245</v>
      </c>
      <c r="CA1363" s="2" t="s">
        <v>4084</v>
      </c>
      <c r="CB1363" s="2" t="s">
        <v>1535</v>
      </c>
      <c r="CC1363" s="2" t="s">
        <v>246</v>
      </c>
      <c r="CD1363" s="2" t="s">
        <v>233</v>
      </c>
      <c r="CE1363" s="4">
        <v>84</v>
      </c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>
        <v>100</v>
      </c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</row>
    <row r="1364">
      <c r="A1364" s="2" t="s">
        <v>6630</v>
      </c>
      <c r="B1364" s="2" t="s">
        <v>1174</v>
      </c>
      <c r="C1364" s="2" t="s">
        <v>530</v>
      </c>
      <c r="D1364" s="2" t="s">
        <v>3304</v>
      </c>
      <c r="E1364" s="2" t="s">
        <v>3305</v>
      </c>
      <c r="F1364" s="2" t="s">
        <v>6589</v>
      </c>
      <c r="G1364" s="2" t="s">
        <v>6590</v>
      </c>
      <c r="H1364" s="2" t="s">
        <v>6591</v>
      </c>
      <c r="I1364" s="2" t="s">
        <v>6609</v>
      </c>
      <c r="J1364" s="2" t="s">
        <v>2099</v>
      </c>
      <c r="K1364" s="2" t="s">
        <v>297</v>
      </c>
      <c r="L1364" s="3">
        <v>12.42</v>
      </c>
      <c r="M1364" s="3">
        <v>13.04</v>
      </c>
      <c r="N1364" s="3">
        <v>26.99</v>
      </c>
      <c r="O1364" s="2" t="s">
        <v>245</v>
      </c>
      <c r="P1364" s="2" t="s">
        <v>272</v>
      </c>
      <c r="Q1364" s="2" t="s">
        <v>239</v>
      </c>
      <c r="R1364" s="2" t="s">
        <v>233</v>
      </c>
      <c r="S1364" s="2" t="s">
        <v>6631</v>
      </c>
      <c r="T1364" s="2" t="s">
        <v>233</v>
      </c>
      <c r="U1364" s="2" t="s">
        <v>233</v>
      </c>
      <c r="V1364" s="2" t="s">
        <v>1085</v>
      </c>
      <c r="W1364" s="2" t="s">
        <v>451</v>
      </c>
      <c r="X1364" s="2" t="s">
        <v>233</v>
      </c>
      <c r="Y1364" s="2" t="s">
        <v>6604</v>
      </c>
      <c r="Z1364" s="4">
        <v>183</v>
      </c>
      <c r="AA1364" s="4">
        <f>=ROUNDDOWN(26.1428571428571,0)</f>
      </c>
      <c r="AB1364" s="5">
        <v>7</v>
      </c>
      <c r="AC1364" s="2" t="s">
        <v>1107</v>
      </c>
      <c r="AD1364" s="4">
        <v>160</v>
      </c>
      <c r="AE1364" s="4">
        <v>160</v>
      </c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233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/>
      <c r="AW1364" s="8"/>
      <c r="AX1364" s="4"/>
      <c r="AY1364" s="8"/>
      <c r="AZ1364" s="7"/>
      <c r="BA1364" s="7"/>
      <c r="BB1364" s="7"/>
      <c r="BC1364" s="4" t="s">
        <v>233</v>
      </c>
      <c r="BD1364" s="8" t="s">
        <v>233</v>
      </c>
      <c r="BE1364" s="4" t="s">
        <v>233</v>
      </c>
      <c r="BF1364" s="8" t="s">
        <v>233</v>
      </c>
      <c r="BG1364" s="7" t="s">
        <v>233</v>
      </c>
      <c r="BH1364" s="7" t="s">
        <v>233</v>
      </c>
      <c r="BI1364" s="7"/>
      <c r="BJ1364" s="4">
        <v>29</v>
      </c>
      <c r="BK1364" s="8">
        <v>387.1</v>
      </c>
      <c r="BL1364" s="2" t="s">
        <v>6632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6633</v>
      </c>
      <c r="BV1364" s="2" t="s">
        <v>233</v>
      </c>
      <c r="BW1364" s="2" t="s">
        <v>233</v>
      </c>
      <c r="BX1364" s="2" t="s">
        <v>233</v>
      </c>
      <c r="BY1364" s="2" t="s">
        <v>280</v>
      </c>
      <c r="BZ1364" s="2" t="s">
        <v>245</v>
      </c>
      <c r="CA1364" s="2" t="s">
        <v>4084</v>
      </c>
      <c r="CB1364" s="2" t="s">
        <v>3593</v>
      </c>
      <c r="CC1364" s="2" t="s">
        <v>246</v>
      </c>
      <c r="CD1364" s="2" t="s">
        <v>233</v>
      </c>
      <c r="CE1364" s="4">
        <v>183</v>
      </c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>
        <v>160</v>
      </c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</row>
    <row r="1365">
      <c r="A1365" s="2" t="s">
        <v>6634</v>
      </c>
      <c r="B1365" s="2" t="s">
        <v>1066</v>
      </c>
      <c r="C1365" s="2" t="s">
        <v>947</v>
      </c>
      <c r="D1365" s="2" t="s">
        <v>1067</v>
      </c>
      <c r="E1365" s="2" t="s">
        <v>1068</v>
      </c>
      <c r="F1365" s="2" t="s">
        <v>3099</v>
      </c>
      <c r="G1365" s="2" t="s">
        <v>3099</v>
      </c>
      <c r="H1365" s="2" t="s">
        <v>3099</v>
      </c>
      <c r="I1365" s="2" t="s">
        <v>4826</v>
      </c>
      <c r="J1365" s="2" t="s">
        <v>892</v>
      </c>
      <c r="K1365" s="2" t="s">
        <v>2358</v>
      </c>
      <c r="L1365" s="3">
        <v>502.74</v>
      </c>
      <c r="M1365" s="3">
        <v>527.88</v>
      </c>
      <c r="N1365" s="3">
        <v>1079</v>
      </c>
      <c r="O1365" s="2" t="s">
        <v>245</v>
      </c>
      <c r="P1365" s="2" t="s">
        <v>1118</v>
      </c>
      <c r="Q1365" s="2" t="s">
        <v>239</v>
      </c>
      <c r="R1365" s="2" t="s">
        <v>16</v>
      </c>
      <c r="S1365" s="2" t="s">
        <v>6635</v>
      </c>
      <c r="T1365" s="2" t="s">
        <v>233</v>
      </c>
      <c r="U1365" s="2" t="s">
        <v>491</v>
      </c>
      <c r="V1365" s="2" t="s">
        <v>893</v>
      </c>
      <c r="W1365" s="2" t="s">
        <v>977</v>
      </c>
      <c r="X1365" s="2" t="s">
        <v>953</v>
      </c>
      <c r="Y1365" s="2" t="s">
        <v>6636</v>
      </c>
      <c r="Z1365" s="4">
        <v>39</v>
      </c>
      <c r="AA1365" s="4">
        <f>=ROUNDDOWN({0},0)</f>
      </c>
      <c r="AB1365" s="5"/>
      <c r="AC1365" s="2" t="s">
        <v>1601</v>
      </c>
      <c r="AD1365" s="4">
        <v>50</v>
      </c>
      <c r="AE1365" s="4">
        <v>99</v>
      </c>
      <c r="AF1365" s="6"/>
      <c r="AG1365" s="6"/>
      <c r="AH1365" s="7">
        <v>1</v>
      </c>
      <c r="AI1365" s="4"/>
      <c r="AJ1365" s="4">
        <f>=ROUNDDOWN({0},0)</f>
      </c>
      <c r="AK1365" s="5"/>
      <c r="AL1365" s="2" t="s">
        <v>233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 t="s">
        <v>233</v>
      </c>
      <c r="BD1365" s="8" t="s">
        <v>233</v>
      </c>
      <c r="BE1365" s="4" t="s">
        <v>233</v>
      </c>
      <c r="BF1365" s="8" t="s">
        <v>233</v>
      </c>
      <c r="BG1365" s="7" t="s">
        <v>233</v>
      </c>
      <c r="BH1365" s="7" t="s">
        <v>233</v>
      </c>
      <c r="BI1365" s="7"/>
      <c r="BJ1365" s="4"/>
      <c r="BK1365" s="8"/>
      <c r="BL1365" s="2" t="s">
        <v>233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243</v>
      </c>
      <c r="BV1365" s="2" t="s">
        <v>233</v>
      </c>
      <c r="BW1365" s="2" t="s">
        <v>233</v>
      </c>
      <c r="BX1365" s="2" t="s">
        <v>243</v>
      </c>
      <c r="BY1365" s="2" t="s">
        <v>346</v>
      </c>
      <c r="BZ1365" s="2" t="s">
        <v>245</v>
      </c>
      <c r="CA1365" s="2" t="s">
        <v>233</v>
      </c>
      <c r="CB1365" s="2" t="s">
        <v>233</v>
      </c>
      <c r="CC1365" s="2" t="s">
        <v>246</v>
      </c>
      <c r="CD1365" s="2" t="s">
        <v>233</v>
      </c>
      <c r="CE1365" s="4"/>
      <c r="CF1365" s="4">
        <v>16</v>
      </c>
      <c r="CG1365" s="4"/>
      <c r="CH1365" s="4"/>
      <c r="CI1365" s="4">
        <v>23</v>
      </c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>
        <v>50</v>
      </c>
      <c r="EQ1365" s="4"/>
      <c r="ER1365" s="4">
        <v>49</v>
      </c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</row>
    <row r="1366">
      <c r="A1366" s="2" t="s">
        <v>6637</v>
      </c>
      <c r="B1366" s="2" t="s">
        <v>1242</v>
      </c>
      <c r="C1366" s="2" t="s">
        <v>901</v>
      </c>
      <c r="D1366" s="2" t="s">
        <v>3474</v>
      </c>
      <c r="E1366" s="2" t="s">
        <v>6638</v>
      </c>
      <c r="F1366" s="2" t="s">
        <v>3099</v>
      </c>
      <c r="G1366" s="2" t="s">
        <v>3099</v>
      </c>
      <c r="H1366" s="2" t="s">
        <v>3099</v>
      </c>
      <c r="I1366" s="2" t="s">
        <v>6639</v>
      </c>
      <c r="J1366" s="2" t="s">
        <v>3518</v>
      </c>
      <c r="K1366" s="2" t="s">
        <v>2197</v>
      </c>
      <c r="L1366" s="3">
        <v>14.85</v>
      </c>
      <c r="M1366" s="3">
        <v>15.59</v>
      </c>
      <c r="N1366" s="3">
        <v>32.99</v>
      </c>
      <c r="O1366" s="2" t="s">
        <v>252</v>
      </c>
      <c r="P1366" s="2" t="s">
        <v>311</v>
      </c>
      <c r="Q1366" s="2" t="s">
        <v>239</v>
      </c>
      <c r="R1366" s="2" t="s">
        <v>233</v>
      </c>
      <c r="S1366" s="2" t="s">
        <v>6640</v>
      </c>
      <c r="T1366" s="2" t="s">
        <v>341</v>
      </c>
      <c r="U1366" s="2" t="s">
        <v>396</v>
      </c>
      <c r="V1366" s="2" t="s">
        <v>5099</v>
      </c>
      <c r="W1366" s="2" t="s">
        <v>275</v>
      </c>
      <c r="X1366" s="2" t="s">
        <v>894</v>
      </c>
      <c r="Y1366" s="2" t="s">
        <v>6641</v>
      </c>
      <c r="Z1366" s="4">
        <v>17</v>
      </c>
      <c r="AA1366" s="4">
        <f>=ROUNDDOWN(3.20754716981132,0)</f>
      </c>
      <c r="AB1366" s="5">
        <v>5.3</v>
      </c>
      <c r="AC1366" s="2" t="s">
        <v>233</v>
      </c>
      <c r="AD1366" s="4"/>
      <c r="AE1366" s="4"/>
      <c r="AF1366" s="6">
        <v>65</v>
      </c>
      <c r="AG1366" s="6"/>
      <c r="AH1366" s="7">
        <v>0.871</v>
      </c>
      <c r="AI1366" s="4"/>
      <c r="AJ1366" s="4">
        <f>=ROUNDDOWN({0},0)</f>
      </c>
      <c r="AK1366" s="5"/>
      <c r="AL1366" s="2" t="s">
        <v>233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 t="s">
        <v>233</v>
      </c>
      <c r="BD1366" s="8" t="s">
        <v>233</v>
      </c>
      <c r="BE1366" s="4" t="s">
        <v>233</v>
      </c>
      <c r="BF1366" s="8" t="s">
        <v>233</v>
      </c>
      <c r="BG1366" s="7" t="s">
        <v>233</v>
      </c>
      <c r="BH1366" s="7" t="s">
        <v>233</v>
      </c>
      <c r="BI1366" s="7"/>
      <c r="BJ1366" s="4">
        <v>17</v>
      </c>
      <c r="BK1366" s="8">
        <v>280</v>
      </c>
      <c r="BL1366" s="2" t="s">
        <v>6642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6643</v>
      </c>
      <c r="BV1366" s="2" t="s">
        <v>233</v>
      </c>
      <c r="BW1366" s="2" t="s">
        <v>233</v>
      </c>
      <c r="BX1366" s="2" t="s">
        <v>233</v>
      </c>
      <c r="BY1366" s="2" t="s">
        <v>280</v>
      </c>
      <c r="BZ1366" s="2" t="s">
        <v>245</v>
      </c>
      <c r="CA1366" s="2" t="s">
        <v>6644</v>
      </c>
      <c r="CB1366" s="2" t="s">
        <v>6645</v>
      </c>
      <c r="CC1366" s="2" t="s">
        <v>246</v>
      </c>
      <c r="CD1366" s="2" t="s">
        <v>233</v>
      </c>
      <c r="CE1366" s="4">
        <v>17</v>
      </c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</row>
    <row r="1367">
      <c r="A1367" s="2" t="s">
        <v>6646</v>
      </c>
      <c r="B1367" s="2" t="s">
        <v>928</v>
      </c>
      <c r="C1367" s="2" t="s">
        <v>911</v>
      </c>
      <c r="D1367" s="2" t="s">
        <v>6647</v>
      </c>
      <c r="E1367" s="2" t="s">
        <v>6648</v>
      </c>
      <c r="F1367" s="2" t="s">
        <v>6649</v>
      </c>
      <c r="G1367" s="2" t="s">
        <v>6649</v>
      </c>
      <c r="H1367" s="2" t="s">
        <v>6649</v>
      </c>
      <c r="I1367" s="2" t="s">
        <v>6650</v>
      </c>
      <c r="J1367" s="2" t="s">
        <v>892</v>
      </c>
      <c r="K1367" s="2" t="s">
        <v>6651</v>
      </c>
      <c r="L1367" s="3">
        <v>30</v>
      </c>
      <c r="M1367" s="3">
        <v>31.5</v>
      </c>
      <c r="N1367" s="3">
        <v>69.99</v>
      </c>
      <c r="O1367" s="2" t="s">
        <v>237</v>
      </c>
      <c r="P1367" s="2" t="s">
        <v>311</v>
      </c>
      <c r="Q1367" s="2" t="s">
        <v>239</v>
      </c>
      <c r="R1367" s="2" t="s">
        <v>233</v>
      </c>
      <c r="S1367" s="2" t="s">
        <v>6652</v>
      </c>
      <c r="T1367" s="2" t="s">
        <v>233</v>
      </c>
      <c r="U1367" s="2" t="s">
        <v>491</v>
      </c>
      <c r="V1367" s="2" t="s">
        <v>3951</v>
      </c>
      <c r="W1367" s="2" t="s">
        <v>275</v>
      </c>
      <c r="X1367" s="2" t="s">
        <v>397</v>
      </c>
      <c r="Y1367" s="2" t="s">
        <v>6653</v>
      </c>
      <c r="Z1367" s="4">
        <v>52</v>
      </c>
      <c r="AA1367" s="4">
        <f>=ROUNDDOWN(104,0)</f>
      </c>
      <c r="AB1367" s="5">
        <v>0.5</v>
      </c>
      <c r="AC1367" s="2" t="s">
        <v>233</v>
      </c>
      <c r="AD1367" s="4"/>
      <c r="AE1367" s="4"/>
      <c r="AF1367" s="6">
        <v>63</v>
      </c>
      <c r="AG1367" s="6"/>
      <c r="AH1367" s="7">
        <v>1</v>
      </c>
      <c r="AI1367" s="4"/>
      <c r="AJ1367" s="4">
        <f>=ROUNDDOWN({0},0)</f>
      </c>
      <c r="AK1367" s="5"/>
      <c r="AL1367" s="2" t="s">
        <v>233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/>
      <c r="AW1367" s="8"/>
      <c r="AX1367" s="4"/>
      <c r="AY1367" s="8"/>
      <c r="AZ1367" s="7"/>
      <c r="BA1367" s="7"/>
      <c r="BB1367" s="7"/>
      <c r="BC1367" s="4"/>
      <c r="BD1367" s="8"/>
      <c r="BE1367" s="4"/>
      <c r="BF1367" s="8"/>
      <c r="BG1367" s="7"/>
      <c r="BH1367" s="7"/>
      <c r="BI1367" s="7"/>
      <c r="BJ1367" s="4"/>
      <c r="BK1367" s="8"/>
      <c r="BL1367" s="2" t="s">
        <v>1809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6654</v>
      </c>
      <c r="BV1367" s="2" t="s">
        <v>233</v>
      </c>
      <c r="BW1367" s="2" t="s">
        <v>233</v>
      </c>
      <c r="BX1367" s="2" t="s">
        <v>233</v>
      </c>
      <c r="BY1367" s="2" t="s">
        <v>280</v>
      </c>
      <c r="BZ1367" s="2" t="s">
        <v>245</v>
      </c>
      <c r="CA1367" s="2" t="s">
        <v>1995</v>
      </c>
      <c r="CB1367" s="2" t="s">
        <v>233</v>
      </c>
      <c r="CC1367" s="2" t="s">
        <v>246</v>
      </c>
      <c r="CD1367" s="2" t="s">
        <v>233</v>
      </c>
      <c r="CE1367" s="4"/>
      <c r="CF1367" s="4">
        <v>52</v>
      </c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</row>
    <row r="1368">
      <c r="A1368" s="2" t="s">
        <v>6655</v>
      </c>
      <c r="B1368" s="2" t="s">
        <v>1066</v>
      </c>
      <c r="C1368" s="2" t="s">
        <v>947</v>
      </c>
      <c r="D1368" s="2" t="s">
        <v>1067</v>
      </c>
      <c r="E1368" s="2" t="s">
        <v>243</v>
      </c>
      <c r="F1368" s="2" t="s">
        <v>6656</v>
      </c>
      <c r="G1368" s="2" t="s">
        <v>6656</v>
      </c>
      <c r="H1368" s="2" t="s">
        <v>6656</v>
      </c>
      <c r="I1368" s="2" t="s">
        <v>5527</v>
      </c>
      <c r="J1368" s="2" t="s">
        <v>892</v>
      </c>
      <c r="K1368" s="2" t="s">
        <v>853</v>
      </c>
      <c r="L1368" s="3">
        <v>214.2</v>
      </c>
      <c r="M1368" s="3">
        <v>224.91</v>
      </c>
      <c r="N1368" s="3">
        <v>449</v>
      </c>
      <c r="O1368" s="2" t="s">
        <v>237</v>
      </c>
      <c r="P1368" s="2" t="s">
        <v>311</v>
      </c>
      <c r="Q1368" s="2" t="s">
        <v>239</v>
      </c>
      <c r="R1368" s="2" t="s">
        <v>233</v>
      </c>
      <c r="S1368" s="2" t="s">
        <v>233</v>
      </c>
      <c r="T1368" s="2" t="s">
        <v>233</v>
      </c>
      <c r="U1368" s="2" t="s">
        <v>396</v>
      </c>
      <c r="V1368" s="2" t="s">
        <v>893</v>
      </c>
      <c r="W1368" s="2" t="s">
        <v>451</v>
      </c>
      <c r="X1368" s="2" t="s">
        <v>953</v>
      </c>
      <c r="Y1368" s="2" t="s">
        <v>6657</v>
      </c>
      <c r="Z1368" s="4">
        <v>110</v>
      </c>
      <c r="AA1368" s="4">
        <f>=ROUNDDOWN(55,0)</f>
      </c>
      <c r="AB1368" s="5">
        <v>2</v>
      </c>
      <c r="AC1368" s="2" t="s">
        <v>233</v>
      </c>
      <c r="AD1368" s="4"/>
      <c r="AE1368" s="4"/>
      <c r="AF1368" s="6">
        <v>74</v>
      </c>
      <c r="AG1368" s="6"/>
      <c r="AH1368" s="7">
        <v>1</v>
      </c>
      <c r="AI1368" s="4"/>
      <c r="AJ1368" s="4">
        <f>=ROUNDDOWN({0},0)</f>
      </c>
      <c r="AK1368" s="5"/>
      <c r="AL1368" s="2" t="s">
        <v>233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/>
      <c r="BD1368" s="8"/>
      <c r="BE1368" s="4"/>
      <c r="BF1368" s="8"/>
      <c r="BG1368" s="7"/>
      <c r="BH1368" s="7"/>
      <c r="BI1368" s="7"/>
      <c r="BJ1368" s="4"/>
      <c r="BK1368" s="8"/>
      <c r="BL1368" s="2" t="s">
        <v>1023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6658</v>
      </c>
      <c r="BV1368" s="2" t="s">
        <v>233</v>
      </c>
      <c r="BW1368" s="2" t="s">
        <v>233</v>
      </c>
      <c r="BX1368" s="2" t="s">
        <v>233</v>
      </c>
      <c r="BY1368" s="2" t="s">
        <v>280</v>
      </c>
      <c r="BZ1368" s="2" t="s">
        <v>245</v>
      </c>
      <c r="CA1368" s="2" t="s">
        <v>6657</v>
      </c>
      <c r="CB1368" s="2" t="s">
        <v>6659</v>
      </c>
      <c r="CC1368" s="2" t="s">
        <v>246</v>
      </c>
      <c r="CD1368" s="2" t="s">
        <v>233</v>
      </c>
      <c r="CE1368" s="4"/>
      <c r="CF1368" s="4">
        <v>110</v>
      </c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</row>
    <row r="1369">
      <c r="A1369" s="2" t="s">
        <v>6660</v>
      </c>
      <c r="B1369" s="2" t="s">
        <v>1066</v>
      </c>
      <c r="C1369" s="2" t="s">
        <v>901</v>
      </c>
      <c r="D1369" s="2" t="s">
        <v>1322</v>
      </c>
      <c r="E1369" s="2" t="s">
        <v>2279</v>
      </c>
      <c r="F1369" s="2" t="s">
        <v>6661</v>
      </c>
      <c r="G1369" s="2" t="s">
        <v>6661</v>
      </c>
      <c r="H1369" s="2" t="s">
        <v>6661</v>
      </c>
      <c r="I1369" s="2" t="s">
        <v>6662</v>
      </c>
      <c r="J1369" s="2" t="s">
        <v>892</v>
      </c>
      <c r="K1369" s="2" t="s">
        <v>1537</v>
      </c>
      <c r="L1369" s="3">
        <v>430</v>
      </c>
      <c r="M1369" s="3">
        <v>451.5</v>
      </c>
      <c r="N1369" s="3">
        <v>899</v>
      </c>
      <c r="O1369" s="2" t="s">
        <v>245</v>
      </c>
      <c r="P1369" s="2" t="s">
        <v>238</v>
      </c>
      <c r="Q1369" s="2" t="s">
        <v>239</v>
      </c>
      <c r="R1369" s="2" t="s">
        <v>233</v>
      </c>
      <c r="S1369" s="2" t="s">
        <v>233</v>
      </c>
      <c r="T1369" s="2" t="s">
        <v>233</v>
      </c>
      <c r="U1369" s="2" t="s">
        <v>396</v>
      </c>
      <c r="V1369" s="2" t="s">
        <v>893</v>
      </c>
      <c r="W1369" s="2" t="s">
        <v>894</v>
      </c>
      <c r="X1369" s="2" t="s">
        <v>397</v>
      </c>
      <c r="Y1369" s="2" t="s">
        <v>6663</v>
      </c>
      <c r="Z1369" s="4">
        <v>128</v>
      </c>
      <c r="AA1369" s="4">
        <f>=ROUNDDOWN(160,0)</f>
      </c>
      <c r="AB1369" s="5">
        <v>0.8</v>
      </c>
      <c r="AC1369" s="2" t="s">
        <v>233</v>
      </c>
      <c r="AD1369" s="4"/>
      <c r="AE1369" s="4"/>
      <c r="AF1369" s="6">
        <v>74</v>
      </c>
      <c r="AG1369" s="6"/>
      <c r="AH1369" s="7">
        <v>1</v>
      </c>
      <c r="AI1369" s="4"/>
      <c r="AJ1369" s="4">
        <f>=ROUNDDOWN({0},0)</f>
      </c>
      <c r="AK1369" s="5"/>
      <c r="AL1369" s="2" t="s">
        <v>233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/>
      <c r="BD1369" s="8"/>
      <c r="BE1369" s="4"/>
      <c r="BF1369" s="8"/>
      <c r="BG1369" s="7"/>
      <c r="BH1369" s="7"/>
      <c r="BI1369" s="7"/>
      <c r="BJ1369" s="4">
        <v>3</v>
      </c>
      <c r="BK1369" s="8">
        <v>1426.74</v>
      </c>
      <c r="BL1369" s="2" t="s">
        <v>744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6664</v>
      </c>
      <c r="BV1369" s="2" t="s">
        <v>233</v>
      </c>
      <c r="BW1369" s="2" t="s">
        <v>233</v>
      </c>
      <c r="BX1369" s="2" t="s">
        <v>243</v>
      </c>
      <c r="BY1369" s="2" t="s">
        <v>280</v>
      </c>
      <c r="BZ1369" s="2" t="s">
        <v>245</v>
      </c>
      <c r="CA1369" s="2" t="s">
        <v>2958</v>
      </c>
      <c r="CB1369" s="2" t="s">
        <v>233</v>
      </c>
      <c r="CC1369" s="2" t="s">
        <v>246</v>
      </c>
      <c r="CD1369" s="2" t="s">
        <v>233</v>
      </c>
      <c r="CE1369" s="4"/>
      <c r="CF1369" s="4">
        <v>128</v>
      </c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</row>
    <row r="1370">
      <c r="A1370" s="2" t="s">
        <v>6665</v>
      </c>
      <c r="B1370" s="2" t="s">
        <v>910</v>
      </c>
      <c r="C1370" s="2" t="s">
        <v>911</v>
      </c>
      <c r="D1370" s="2" t="s">
        <v>969</v>
      </c>
      <c r="E1370" s="2" t="s">
        <v>970</v>
      </c>
      <c r="F1370" s="2" t="s">
        <v>6666</v>
      </c>
      <c r="G1370" s="2" t="s">
        <v>3831</v>
      </c>
      <c r="H1370" s="2" t="s">
        <v>6667</v>
      </c>
      <c r="I1370" s="2" t="s">
        <v>6668</v>
      </c>
      <c r="J1370" s="2" t="s">
        <v>981</v>
      </c>
      <c r="K1370" s="2" t="s">
        <v>257</v>
      </c>
      <c r="L1370" s="3">
        <v>33.33</v>
      </c>
      <c r="M1370" s="3">
        <v>35</v>
      </c>
      <c r="N1370" s="3">
        <v>69.99</v>
      </c>
      <c r="O1370" s="2" t="s">
        <v>237</v>
      </c>
      <c r="P1370" s="2" t="s">
        <v>311</v>
      </c>
      <c r="Q1370" s="2" t="s">
        <v>239</v>
      </c>
      <c r="R1370" s="2" t="s">
        <v>233</v>
      </c>
      <c r="S1370" s="2" t="s">
        <v>6669</v>
      </c>
      <c r="T1370" s="2" t="s">
        <v>395</v>
      </c>
      <c r="U1370" s="2" t="s">
        <v>475</v>
      </c>
      <c r="V1370" s="2" t="s">
        <v>3836</v>
      </c>
      <c r="W1370" s="2" t="s">
        <v>397</v>
      </c>
      <c r="X1370" s="2" t="s">
        <v>275</v>
      </c>
      <c r="Y1370" s="2" t="s">
        <v>1683</v>
      </c>
      <c r="Z1370" s="4">
        <v>316</v>
      </c>
      <c r="AA1370" s="4">
        <f>=ROUNDDOWN(185.882352941176,0)</f>
      </c>
      <c r="AB1370" s="5">
        <v>1.7</v>
      </c>
      <c r="AC1370" s="2" t="s">
        <v>233</v>
      </c>
      <c r="AD1370" s="4"/>
      <c r="AE1370" s="4"/>
      <c r="AF1370" s="6">
        <v>64</v>
      </c>
      <c r="AG1370" s="6"/>
      <c r="AH1370" s="7">
        <v>1</v>
      </c>
      <c r="AI1370" s="4"/>
      <c r="AJ1370" s="4">
        <f>=ROUNDDOWN({0},0)</f>
      </c>
      <c r="AK1370" s="5"/>
      <c r="AL1370" s="2" t="s">
        <v>233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233</v>
      </c>
      <c r="AW1370" s="8" t="s">
        <v>233</v>
      </c>
      <c r="AX1370" s="4" t="s">
        <v>233</v>
      </c>
      <c r="AY1370" s="8" t="s">
        <v>233</v>
      </c>
      <c r="AZ1370" s="7" t="s">
        <v>233</v>
      </c>
      <c r="BA1370" s="7" t="s">
        <v>233</v>
      </c>
      <c r="BB1370" s="7" t="s">
        <v>233</v>
      </c>
      <c r="BC1370" s="4" t="s">
        <v>233</v>
      </c>
      <c r="BD1370" s="8" t="s">
        <v>233</v>
      </c>
      <c r="BE1370" s="4" t="s">
        <v>233</v>
      </c>
      <c r="BF1370" s="8" t="s">
        <v>233</v>
      </c>
      <c r="BG1370" s="7" t="s">
        <v>233</v>
      </c>
      <c r="BH1370" s="7" t="s">
        <v>233</v>
      </c>
      <c r="BI1370" s="7"/>
      <c r="BJ1370" s="4">
        <v>12</v>
      </c>
      <c r="BK1370" s="8">
        <v>310.08</v>
      </c>
      <c r="BL1370" s="2" t="s">
        <v>6670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6671</v>
      </c>
      <c r="BV1370" s="2" t="s">
        <v>233</v>
      </c>
      <c r="BW1370" s="2" t="s">
        <v>233</v>
      </c>
      <c r="BX1370" s="2" t="s">
        <v>233</v>
      </c>
      <c r="BY1370" s="2" t="s">
        <v>280</v>
      </c>
      <c r="BZ1370" s="2" t="s">
        <v>245</v>
      </c>
      <c r="CA1370" s="2" t="s">
        <v>1881</v>
      </c>
      <c r="CB1370" s="2" t="s">
        <v>3479</v>
      </c>
      <c r="CC1370" s="2" t="s">
        <v>246</v>
      </c>
      <c r="CD1370" s="2" t="s">
        <v>233</v>
      </c>
      <c r="CE1370" s="4">
        <v>316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</row>
    <row r="1371">
      <c r="A1371" s="2" t="s">
        <v>6672</v>
      </c>
      <c r="B1371" s="2" t="s">
        <v>910</v>
      </c>
      <c r="C1371" s="2" t="s">
        <v>911</v>
      </c>
      <c r="D1371" s="2" t="s">
        <v>912</v>
      </c>
      <c r="E1371" s="2" t="s">
        <v>1139</v>
      </c>
      <c r="F1371" s="2" t="s">
        <v>6666</v>
      </c>
      <c r="G1371" s="2" t="s">
        <v>3831</v>
      </c>
      <c r="H1371" s="2" t="s">
        <v>6667</v>
      </c>
      <c r="I1371" s="2" t="s">
        <v>6673</v>
      </c>
      <c r="J1371" s="2" t="s">
        <v>981</v>
      </c>
      <c r="K1371" s="2" t="s">
        <v>257</v>
      </c>
      <c r="L1371" s="3">
        <v>28.57</v>
      </c>
      <c r="M1371" s="3">
        <v>30</v>
      </c>
      <c r="N1371" s="3">
        <v>59.99</v>
      </c>
      <c r="O1371" s="2" t="s">
        <v>237</v>
      </c>
      <c r="P1371" s="2" t="s">
        <v>311</v>
      </c>
      <c r="Q1371" s="2" t="s">
        <v>239</v>
      </c>
      <c r="R1371" s="2" t="s">
        <v>233</v>
      </c>
      <c r="S1371" s="2" t="s">
        <v>6669</v>
      </c>
      <c r="T1371" s="2" t="s">
        <v>395</v>
      </c>
      <c r="U1371" s="2" t="s">
        <v>475</v>
      </c>
      <c r="V1371" s="2" t="s">
        <v>3836</v>
      </c>
      <c r="W1371" s="2" t="s">
        <v>397</v>
      </c>
      <c r="X1371" s="2" t="s">
        <v>275</v>
      </c>
      <c r="Y1371" s="2" t="s">
        <v>1683</v>
      </c>
      <c r="Z1371" s="4">
        <v>146</v>
      </c>
      <c r="AA1371" s="4">
        <f>=ROUNDDOWN(41.7142857142857,0)</f>
      </c>
      <c r="AB1371" s="5">
        <v>3.5</v>
      </c>
      <c r="AC1371" s="2" t="s">
        <v>233</v>
      </c>
      <c r="AD1371" s="4"/>
      <c r="AE1371" s="4"/>
      <c r="AF1371" s="6">
        <v>64</v>
      </c>
      <c r="AG1371" s="6"/>
      <c r="AH1371" s="7">
        <v>1</v>
      </c>
      <c r="AI1371" s="4"/>
      <c r="AJ1371" s="4">
        <f>=ROUNDDOWN({0},0)</f>
      </c>
      <c r="AK1371" s="5"/>
      <c r="AL1371" s="2" t="s">
        <v>233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233</v>
      </c>
      <c r="AW1371" s="8" t="s">
        <v>233</v>
      </c>
      <c r="AX1371" s="4" t="s">
        <v>233</v>
      </c>
      <c r="AY1371" s="8" t="s">
        <v>233</v>
      </c>
      <c r="AZ1371" s="7" t="s">
        <v>233</v>
      </c>
      <c r="BA1371" s="7" t="s">
        <v>233</v>
      </c>
      <c r="BB1371" s="7" t="s">
        <v>233</v>
      </c>
      <c r="BC1371" s="4" t="s">
        <v>233</v>
      </c>
      <c r="BD1371" s="8" t="s">
        <v>233</v>
      </c>
      <c r="BE1371" s="4" t="s">
        <v>233</v>
      </c>
      <c r="BF1371" s="8" t="s">
        <v>233</v>
      </c>
      <c r="BG1371" s="7" t="s">
        <v>233</v>
      </c>
      <c r="BH1371" s="7" t="s">
        <v>233</v>
      </c>
      <c r="BI1371" s="7"/>
      <c r="BJ1371" s="4">
        <v>5</v>
      </c>
      <c r="BK1371" s="8">
        <v>131.58</v>
      </c>
      <c r="BL1371" s="2" t="s">
        <v>6674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6675</v>
      </c>
      <c r="BV1371" s="2" t="s">
        <v>233</v>
      </c>
      <c r="BW1371" s="2" t="s">
        <v>233</v>
      </c>
      <c r="BX1371" s="2" t="s">
        <v>233</v>
      </c>
      <c r="BY1371" s="2" t="s">
        <v>280</v>
      </c>
      <c r="BZ1371" s="2" t="s">
        <v>245</v>
      </c>
      <c r="CA1371" s="2" t="s">
        <v>5100</v>
      </c>
      <c r="CB1371" s="2" t="s">
        <v>6676</v>
      </c>
      <c r="CC1371" s="2" t="s">
        <v>246</v>
      </c>
      <c r="CD1371" s="2" t="s">
        <v>233</v>
      </c>
      <c r="CE1371" s="4">
        <v>146</v>
      </c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</row>
    <row r="1372">
      <c r="A1372" s="2" t="s">
        <v>6677</v>
      </c>
      <c r="B1372" s="2" t="s">
        <v>910</v>
      </c>
      <c r="C1372" s="2" t="s">
        <v>911</v>
      </c>
      <c r="D1372" s="2" t="s">
        <v>912</v>
      </c>
      <c r="E1372" s="2" t="s">
        <v>1139</v>
      </c>
      <c r="F1372" s="2" t="s">
        <v>6666</v>
      </c>
      <c r="G1372" s="2" t="s">
        <v>3831</v>
      </c>
      <c r="H1372" s="2" t="s">
        <v>6667</v>
      </c>
      <c r="I1372" s="2" t="s">
        <v>6673</v>
      </c>
      <c r="J1372" s="2" t="s">
        <v>918</v>
      </c>
      <c r="K1372" s="2" t="s">
        <v>297</v>
      </c>
      <c r="L1372" s="3">
        <v>23.8</v>
      </c>
      <c r="M1372" s="3">
        <v>24.99</v>
      </c>
      <c r="N1372" s="3">
        <v>49.99</v>
      </c>
      <c r="O1372" s="2" t="s">
        <v>237</v>
      </c>
      <c r="P1372" s="2" t="s">
        <v>311</v>
      </c>
      <c r="Q1372" s="2" t="s">
        <v>239</v>
      </c>
      <c r="R1372" s="2" t="s">
        <v>233</v>
      </c>
      <c r="S1372" s="2" t="s">
        <v>6678</v>
      </c>
      <c r="T1372" s="2" t="s">
        <v>395</v>
      </c>
      <c r="U1372" s="2" t="s">
        <v>491</v>
      </c>
      <c r="V1372" s="2" t="s">
        <v>3836</v>
      </c>
      <c r="W1372" s="2" t="s">
        <v>397</v>
      </c>
      <c r="X1372" s="2" t="s">
        <v>275</v>
      </c>
      <c r="Y1372" s="2" t="s">
        <v>1683</v>
      </c>
      <c r="Z1372" s="4">
        <v>6</v>
      </c>
      <c r="AA1372" s="4">
        <f>=ROUNDDOWN(4,0)</f>
      </c>
      <c r="AB1372" s="5">
        <v>1.5</v>
      </c>
      <c r="AC1372" s="2" t="s">
        <v>233</v>
      </c>
      <c r="AD1372" s="4"/>
      <c r="AE1372" s="4"/>
      <c r="AF1372" s="6">
        <v>64</v>
      </c>
      <c r="AG1372" s="6"/>
      <c r="AH1372" s="7">
        <v>1</v>
      </c>
      <c r="AI1372" s="4"/>
      <c r="AJ1372" s="4">
        <f>=ROUNDDOWN({0},0)</f>
      </c>
      <c r="AK1372" s="5"/>
      <c r="AL1372" s="2" t="s">
        <v>233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 t="s">
        <v>233</v>
      </c>
      <c r="BD1372" s="8" t="s">
        <v>233</v>
      </c>
      <c r="BE1372" s="4" t="s">
        <v>233</v>
      </c>
      <c r="BF1372" s="8" t="s">
        <v>233</v>
      </c>
      <c r="BG1372" s="7" t="s">
        <v>233</v>
      </c>
      <c r="BH1372" s="7" t="s">
        <v>233</v>
      </c>
      <c r="BI1372" s="7"/>
      <c r="BJ1372" s="4">
        <v>4</v>
      </c>
      <c r="BK1372" s="8">
        <v>85.33</v>
      </c>
      <c r="BL1372" s="2" t="s">
        <v>786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6679</v>
      </c>
      <c r="BV1372" s="2" t="s">
        <v>233</v>
      </c>
      <c r="BW1372" s="2" t="s">
        <v>233</v>
      </c>
      <c r="BX1372" s="2" t="s">
        <v>233</v>
      </c>
      <c r="BY1372" s="2" t="s">
        <v>280</v>
      </c>
      <c r="BZ1372" s="2" t="s">
        <v>245</v>
      </c>
      <c r="CA1372" s="2" t="s">
        <v>5100</v>
      </c>
      <c r="CB1372" s="2" t="s">
        <v>3698</v>
      </c>
      <c r="CC1372" s="2" t="s">
        <v>246</v>
      </c>
      <c r="CD1372" s="2" t="s">
        <v>233</v>
      </c>
      <c r="CE1372" s="4">
        <v>6</v>
      </c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</row>
    <row r="1373">
      <c r="A1373" s="2" t="s">
        <v>6680</v>
      </c>
      <c r="B1373" s="2" t="s">
        <v>228</v>
      </c>
      <c r="C1373" s="2" t="s">
        <v>530</v>
      </c>
      <c r="D1373" s="2" t="s">
        <v>969</v>
      </c>
      <c r="E1373" s="2" t="s">
        <v>970</v>
      </c>
      <c r="F1373" s="2" t="s">
        <v>6681</v>
      </c>
      <c r="G1373" s="2" t="s">
        <v>4738</v>
      </c>
      <c r="H1373" s="2" t="s">
        <v>4738</v>
      </c>
      <c r="I1373" s="2" t="s">
        <v>6682</v>
      </c>
      <c r="J1373" s="2" t="s">
        <v>981</v>
      </c>
      <c r="K1373" s="2" t="s">
        <v>645</v>
      </c>
      <c r="L1373" s="3">
        <v>47.61</v>
      </c>
      <c r="M1373" s="3">
        <v>49.99</v>
      </c>
      <c r="N1373" s="3">
        <v>99.99</v>
      </c>
      <c r="O1373" s="2" t="s">
        <v>245</v>
      </c>
      <c r="P1373" s="2" t="s">
        <v>974</v>
      </c>
      <c r="Q1373" s="2" t="s">
        <v>239</v>
      </c>
      <c r="R1373" s="2" t="s">
        <v>233</v>
      </c>
      <c r="S1373" s="2" t="s">
        <v>6683</v>
      </c>
      <c r="T1373" s="2" t="s">
        <v>976</v>
      </c>
      <c r="U1373" s="2" t="s">
        <v>475</v>
      </c>
      <c r="V1373" s="2" t="s">
        <v>359</v>
      </c>
      <c r="W1373" s="2" t="s">
        <v>705</v>
      </c>
      <c r="X1373" s="2" t="s">
        <v>977</v>
      </c>
      <c r="Y1373" s="2" t="s">
        <v>233</v>
      </c>
      <c r="Z1373" s="4"/>
      <c r="AA1373" s="4">
        <f>=ROUNDDOWN({0},0)</f>
      </c>
      <c r="AB1373" s="5">
        <v>22</v>
      </c>
      <c r="AC1373" s="2" t="s">
        <v>979</v>
      </c>
      <c r="AD1373" s="4">
        <v>160</v>
      </c>
      <c r="AE1373" s="4">
        <v>160</v>
      </c>
      <c r="AF1373" s="6">
        <v>65</v>
      </c>
      <c r="AG1373" s="6"/>
      <c r="AH1373" s="7">
        <v>0</v>
      </c>
      <c r="AI1373" s="4"/>
      <c r="AJ1373" s="4">
        <f>=ROUNDDOWN({0},0)</f>
      </c>
      <c r="AK1373" s="5"/>
      <c r="AL1373" s="2" t="s">
        <v>233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233</v>
      </c>
      <c r="AW1373" s="8" t="s">
        <v>233</v>
      </c>
      <c r="AX1373" s="4" t="s">
        <v>233</v>
      </c>
      <c r="AY1373" s="8" t="s">
        <v>233</v>
      </c>
      <c r="AZ1373" s="7" t="s">
        <v>233</v>
      </c>
      <c r="BA1373" s="7" t="s">
        <v>233</v>
      </c>
      <c r="BB1373" s="7"/>
      <c r="BC1373" s="4" t="s">
        <v>233</v>
      </c>
      <c r="BD1373" s="8" t="s">
        <v>233</v>
      </c>
      <c r="BE1373" s="4" t="s">
        <v>233</v>
      </c>
      <c r="BF1373" s="8" t="s">
        <v>233</v>
      </c>
      <c r="BG1373" s="7" t="s">
        <v>233</v>
      </c>
      <c r="BH1373" s="7" t="s">
        <v>233</v>
      </c>
      <c r="BI1373" s="7"/>
      <c r="BJ1373" s="4"/>
      <c r="BK1373" s="8"/>
      <c r="BL1373" s="2" t="s">
        <v>233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243</v>
      </c>
      <c r="BV1373" s="2" t="s">
        <v>233</v>
      </c>
      <c r="BW1373" s="2" t="s">
        <v>233</v>
      </c>
      <c r="BX1373" s="2" t="s">
        <v>243</v>
      </c>
      <c r="BY1373" s="2" t="s">
        <v>244</v>
      </c>
      <c r="BZ1373" s="2" t="s">
        <v>245</v>
      </c>
      <c r="CA1373" s="2" t="s">
        <v>233</v>
      </c>
      <c r="CB1373" s="2" t="s">
        <v>233</v>
      </c>
      <c r="CC1373" s="2" t="s">
        <v>246</v>
      </c>
      <c r="CD1373" s="2" t="s">
        <v>233</v>
      </c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>
        <v>160</v>
      </c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</row>
    <row r="1374">
      <c r="A1374" s="2" t="s">
        <v>6684</v>
      </c>
      <c r="B1374" s="2" t="s">
        <v>228</v>
      </c>
      <c r="C1374" s="2" t="s">
        <v>530</v>
      </c>
      <c r="D1374" s="2" t="s">
        <v>969</v>
      </c>
      <c r="E1374" s="2" t="s">
        <v>970</v>
      </c>
      <c r="F1374" s="2" t="s">
        <v>6681</v>
      </c>
      <c r="G1374" s="2" t="s">
        <v>4738</v>
      </c>
      <c r="H1374" s="2" t="s">
        <v>4738</v>
      </c>
      <c r="I1374" s="2" t="s">
        <v>6682</v>
      </c>
      <c r="J1374" s="2" t="s">
        <v>328</v>
      </c>
      <c r="K1374" s="2" t="s">
        <v>645</v>
      </c>
      <c r="L1374" s="3">
        <v>57.14</v>
      </c>
      <c r="M1374" s="3">
        <v>60</v>
      </c>
      <c r="N1374" s="3">
        <v>119.99</v>
      </c>
      <c r="O1374" s="2" t="s">
        <v>245</v>
      </c>
      <c r="P1374" s="2" t="s">
        <v>974</v>
      </c>
      <c r="Q1374" s="2" t="s">
        <v>239</v>
      </c>
      <c r="R1374" s="2" t="s">
        <v>233</v>
      </c>
      <c r="S1374" s="2" t="s">
        <v>6683</v>
      </c>
      <c r="T1374" s="2" t="s">
        <v>976</v>
      </c>
      <c r="U1374" s="2" t="s">
        <v>475</v>
      </c>
      <c r="V1374" s="2" t="s">
        <v>359</v>
      </c>
      <c r="W1374" s="2" t="s">
        <v>705</v>
      </c>
      <c r="X1374" s="2" t="s">
        <v>977</v>
      </c>
      <c r="Y1374" s="2" t="s">
        <v>233</v>
      </c>
      <c r="Z1374" s="4"/>
      <c r="AA1374" s="4">
        <f>=ROUNDDOWN({0},0)</f>
      </c>
      <c r="AB1374" s="5">
        <v>18</v>
      </c>
      <c r="AC1374" s="2" t="s">
        <v>979</v>
      </c>
      <c r="AD1374" s="4">
        <v>180</v>
      </c>
      <c r="AE1374" s="4">
        <v>180</v>
      </c>
      <c r="AF1374" s="6">
        <v>65</v>
      </c>
      <c r="AG1374" s="6"/>
      <c r="AH1374" s="7">
        <v>0</v>
      </c>
      <c r="AI1374" s="4"/>
      <c r="AJ1374" s="4">
        <f>=ROUNDDOWN({0},0)</f>
      </c>
      <c r="AK1374" s="5"/>
      <c r="AL1374" s="2" t="s">
        <v>233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233</v>
      </c>
      <c r="AW1374" s="8" t="s">
        <v>233</v>
      </c>
      <c r="AX1374" s="4" t="s">
        <v>233</v>
      </c>
      <c r="AY1374" s="8" t="s">
        <v>233</v>
      </c>
      <c r="AZ1374" s="7" t="s">
        <v>233</v>
      </c>
      <c r="BA1374" s="7" t="s">
        <v>233</v>
      </c>
      <c r="BB1374" s="7"/>
      <c r="BC1374" s="4" t="s">
        <v>233</v>
      </c>
      <c r="BD1374" s="8" t="s">
        <v>233</v>
      </c>
      <c r="BE1374" s="4" t="s">
        <v>233</v>
      </c>
      <c r="BF1374" s="8" t="s">
        <v>233</v>
      </c>
      <c r="BG1374" s="7" t="s">
        <v>233</v>
      </c>
      <c r="BH1374" s="7" t="s">
        <v>233</v>
      </c>
      <c r="BI1374" s="7"/>
      <c r="BJ1374" s="4"/>
      <c r="BK1374" s="8"/>
      <c r="BL1374" s="2" t="s">
        <v>233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243</v>
      </c>
      <c r="BV1374" s="2" t="s">
        <v>233</v>
      </c>
      <c r="BW1374" s="2" t="s">
        <v>233</v>
      </c>
      <c r="BX1374" s="2" t="s">
        <v>243</v>
      </c>
      <c r="BY1374" s="2" t="s">
        <v>244</v>
      </c>
      <c r="BZ1374" s="2" t="s">
        <v>245</v>
      </c>
      <c r="CA1374" s="2" t="s">
        <v>233</v>
      </c>
      <c r="CB1374" s="2" t="s">
        <v>233</v>
      </c>
      <c r="CC1374" s="2" t="s">
        <v>246</v>
      </c>
      <c r="CD1374" s="2" t="s">
        <v>233</v>
      </c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>
        <v>180</v>
      </c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</row>
    <row r="1375">
      <c r="A1375" s="2" t="s">
        <v>6685</v>
      </c>
      <c r="B1375" s="2" t="s">
        <v>1414</v>
      </c>
      <c r="C1375" s="2" t="s">
        <v>530</v>
      </c>
      <c r="D1375" s="2" t="s">
        <v>1414</v>
      </c>
      <c r="E1375" s="2" t="s">
        <v>1414</v>
      </c>
      <c r="F1375" s="2" t="s">
        <v>6681</v>
      </c>
      <c r="G1375" s="2" t="s">
        <v>6686</v>
      </c>
      <c r="H1375" s="2" t="s">
        <v>6687</v>
      </c>
      <c r="I1375" s="2" t="s">
        <v>6688</v>
      </c>
      <c r="J1375" s="2" t="s">
        <v>1793</v>
      </c>
      <c r="K1375" s="2" t="s">
        <v>6689</v>
      </c>
      <c r="L1375" s="3">
        <v>37</v>
      </c>
      <c r="M1375" s="3">
        <v>38.85</v>
      </c>
      <c r="N1375" s="3">
        <v>79.99</v>
      </c>
      <c r="O1375" s="2" t="s">
        <v>245</v>
      </c>
      <c r="P1375" s="2" t="s">
        <v>311</v>
      </c>
      <c r="Q1375" s="2" t="s">
        <v>239</v>
      </c>
      <c r="R1375" s="2" t="s">
        <v>233</v>
      </c>
      <c r="S1375" s="2" t="s">
        <v>6690</v>
      </c>
      <c r="T1375" s="2" t="s">
        <v>233</v>
      </c>
      <c r="U1375" s="2" t="s">
        <v>396</v>
      </c>
      <c r="V1375" s="2" t="s">
        <v>1869</v>
      </c>
      <c r="W1375" s="2" t="s">
        <v>776</v>
      </c>
      <c r="X1375" s="2" t="s">
        <v>233</v>
      </c>
      <c r="Y1375" s="2" t="s">
        <v>5398</v>
      </c>
      <c r="Z1375" s="4">
        <v>49</v>
      </c>
      <c r="AA1375" s="4">
        <f>=ROUNDDOWN({0},0)</f>
      </c>
      <c r="AB1375" s="5"/>
      <c r="AC1375" s="2" t="s">
        <v>233</v>
      </c>
      <c r="AD1375" s="4"/>
      <c r="AE1375" s="4"/>
      <c r="AF1375" s="6">
        <v>63</v>
      </c>
      <c r="AG1375" s="6"/>
      <c r="AH1375" s="7">
        <v>1</v>
      </c>
      <c r="AI1375" s="4"/>
      <c r="AJ1375" s="4">
        <f>=ROUNDDOWN({0},0)</f>
      </c>
      <c r="AK1375" s="5"/>
      <c r="AL1375" s="2" t="s">
        <v>233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233</v>
      </c>
      <c r="AW1375" s="8" t="s">
        <v>233</v>
      </c>
      <c r="AX1375" s="4" t="s">
        <v>233</v>
      </c>
      <c r="AY1375" s="8" t="s">
        <v>233</v>
      </c>
      <c r="AZ1375" s="7" t="s">
        <v>233</v>
      </c>
      <c r="BA1375" s="7" t="s">
        <v>233</v>
      </c>
      <c r="BB1375" s="7"/>
      <c r="BC1375" s="4" t="s">
        <v>233</v>
      </c>
      <c r="BD1375" s="8" t="s">
        <v>233</v>
      </c>
      <c r="BE1375" s="4" t="s">
        <v>233</v>
      </c>
      <c r="BF1375" s="8" t="s">
        <v>233</v>
      </c>
      <c r="BG1375" s="7" t="s">
        <v>233</v>
      </c>
      <c r="BH1375" s="7" t="s">
        <v>233</v>
      </c>
      <c r="BI1375" s="7"/>
      <c r="BJ1375" s="4"/>
      <c r="BK1375" s="8"/>
      <c r="BL1375" s="2" t="s">
        <v>744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6691</v>
      </c>
      <c r="BV1375" s="2" t="s">
        <v>233</v>
      </c>
      <c r="BW1375" s="2" t="s">
        <v>233</v>
      </c>
      <c r="BX1375" s="2" t="s">
        <v>233</v>
      </c>
      <c r="BY1375" s="2" t="s">
        <v>280</v>
      </c>
      <c r="BZ1375" s="2" t="s">
        <v>245</v>
      </c>
      <c r="CA1375" s="2" t="s">
        <v>3247</v>
      </c>
      <c r="CB1375" s="2" t="s">
        <v>233</v>
      </c>
      <c r="CC1375" s="2" t="s">
        <v>246</v>
      </c>
      <c r="CD1375" s="2" t="s">
        <v>233</v>
      </c>
      <c r="CE1375" s="4"/>
      <c r="CF1375" s="4">
        <v>49</v>
      </c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</row>
    <row r="1376">
      <c r="A1376" s="2" t="s">
        <v>6692</v>
      </c>
      <c r="B1376" s="2" t="s">
        <v>1414</v>
      </c>
      <c r="C1376" s="2" t="s">
        <v>530</v>
      </c>
      <c r="D1376" s="2" t="s">
        <v>1414</v>
      </c>
      <c r="E1376" s="2" t="s">
        <v>1414</v>
      </c>
      <c r="F1376" s="2" t="s">
        <v>6681</v>
      </c>
      <c r="G1376" s="2" t="s">
        <v>6686</v>
      </c>
      <c r="H1376" s="2" t="s">
        <v>6687</v>
      </c>
      <c r="I1376" s="2" t="s">
        <v>6688</v>
      </c>
      <c r="J1376" s="2" t="s">
        <v>2054</v>
      </c>
      <c r="K1376" s="2" t="s">
        <v>6689</v>
      </c>
      <c r="L1376" s="3">
        <v>25.5</v>
      </c>
      <c r="M1376" s="3">
        <v>26.78</v>
      </c>
      <c r="N1376" s="3">
        <v>59.99</v>
      </c>
      <c r="O1376" s="2" t="s">
        <v>245</v>
      </c>
      <c r="P1376" s="2" t="s">
        <v>311</v>
      </c>
      <c r="Q1376" s="2" t="s">
        <v>239</v>
      </c>
      <c r="R1376" s="2" t="s">
        <v>233</v>
      </c>
      <c r="S1376" s="2" t="s">
        <v>6690</v>
      </c>
      <c r="T1376" s="2" t="s">
        <v>233</v>
      </c>
      <c r="U1376" s="2" t="s">
        <v>396</v>
      </c>
      <c r="V1376" s="2" t="s">
        <v>1869</v>
      </c>
      <c r="W1376" s="2" t="s">
        <v>776</v>
      </c>
      <c r="X1376" s="2" t="s">
        <v>233</v>
      </c>
      <c r="Y1376" s="2" t="s">
        <v>5398</v>
      </c>
      <c r="Z1376" s="4">
        <v>47</v>
      </c>
      <c r="AA1376" s="4">
        <f>=ROUNDDOWN({0},0)</f>
      </c>
      <c r="AB1376" s="5"/>
      <c r="AC1376" s="2" t="s">
        <v>233</v>
      </c>
      <c r="AD1376" s="4"/>
      <c r="AE1376" s="4"/>
      <c r="AF1376" s="6">
        <v>63</v>
      </c>
      <c r="AG1376" s="6"/>
      <c r="AH1376" s="7">
        <v>1</v>
      </c>
      <c r="AI1376" s="4"/>
      <c r="AJ1376" s="4">
        <f>=ROUNDDOWN({0},0)</f>
      </c>
      <c r="AK1376" s="5"/>
      <c r="AL1376" s="2" t="s">
        <v>233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233</v>
      </c>
      <c r="AW1376" s="8" t="s">
        <v>233</v>
      </c>
      <c r="AX1376" s="4" t="s">
        <v>233</v>
      </c>
      <c r="AY1376" s="8" t="s">
        <v>233</v>
      </c>
      <c r="AZ1376" s="7" t="s">
        <v>233</v>
      </c>
      <c r="BA1376" s="7" t="s">
        <v>233</v>
      </c>
      <c r="BB1376" s="7"/>
      <c r="BC1376" s="4" t="s">
        <v>233</v>
      </c>
      <c r="BD1376" s="8" t="s">
        <v>233</v>
      </c>
      <c r="BE1376" s="4" t="s">
        <v>233</v>
      </c>
      <c r="BF1376" s="8" t="s">
        <v>233</v>
      </c>
      <c r="BG1376" s="7" t="s">
        <v>233</v>
      </c>
      <c r="BH1376" s="7" t="s">
        <v>233</v>
      </c>
      <c r="BI1376" s="7"/>
      <c r="BJ1376" s="4"/>
      <c r="BK1376" s="8"/>
      <c r="BL1376" s="2" t="s">
        <v>233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6693</v>
      </c>
      <c r="BV1376" s="2" t="s">
        <v>233</v>
      </c>
      <c r="BW1376" s="2" t="s">
        <v>233</v>
      </c>
      <c r="BX1376" s="2" t="s">
        <v>233</v>
      </c>
      <c r="BY1376" s="2" t="s">
        <v>280</v>
      </c>
      <c r="BZ1376" s="2" t="s">
        <v>245</v>
      </c>
      <c r="CA1376" s="2" t="s">
        <v>3247</v>
      </c>
      <c r="CB1376" s="2" t="s">
        <v>233</v>
      </c>
      <c r="CC1376" s="2" t="s">
        <v>246</v>
      </c>
      <c r="CD1376" s="2" t="s">
        <v>233</v>
      </c>
      <c r="CE1376" s="4"/>
      <c r="CF1376" s="4">
        <v>47</v>
      </c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  <c r="HN1376" s="4"/>
      <c r="HO1376" s="4"/>
      <c r="HP1376" s="4"/>
      <c r="HQ1376" s="4"/>
      <c r="HR1376" s="4"/>
    </row>
    <row r="1377">
      <c r="A1377" s="2" t="s">
        <v>6694</v>
      </c>
      <c r="B1377" s="2" t="s">
        <v>1414</v>
      </c>
      <c r="C1377" s="2" t="s">
        <v>530</v>
      </c>
      <c r="D1377" s="2" t="s">
        <v>1414</v>
      </c>
      <c r="E1377" s="2" t="s">
        <v>1414</v>
      </c>
      <c r="F1377" s="2" t="s">
        <v>6681</v>
      </c>
      <c r="G1377" s="2" t="s">
        <v>6686</v>
      </c>
      <c r="H1377" s="2" t="s">
        <v>6687</v>
      </c>
      <c r="I1377" s="2" t="s">
        <v>6688</v>
      </c>
      <c r="J1377" s="2" t="s">
        <v>1418</v>
      </c>
      <c r="K1377" s="2" t="s">
        <v>6689</v>
      </c>
      <c r="L1377" s="3">
        <v>70</v>
      </c>
      <c r="M1377" s="3">
        <v>73.5</v>
      </c>
      <c r="N1377" s="3">
        <v>159.99</v>
      </c>
      <c r="O1377" s="2" t="s">
        <v>245</v>
      </c>
      <c r="P1377" s="2" t="s">
        <v>311</v>
      </c>
      <c r="Q1377" s="2" t="s">
        <v>239</v>
      </c>
      <c r="R1377" s="2" t="s">
        <v>233</v>
      </c>
      <c r="S1377" s="2" t="s">
        <v>6690</v>
      </c>
      <c r="T1377" s="2" t="s">
        <v>233</v>
      </c>
      <c r="U1377" s="2" t="s">
        <v>396</v>
      </c>
      <c r="V1377" s="2" t="s">
        <v>1869</v>
      </c>
      <c r="W1377" s="2" t="s">
        <v>776</v>
      </c>
      <c r="X1377" s="2" t="s">
        <v>233</v>
      </c>
      <c r="Y1377" s="2" t="s">
        <v>5398</v>
      </c>
      <c r="Z1377" s="4">
        <v>45</v>
      </c>
      <c r="AA1377" s="4">
        <f>=ROUNDDOWN({0},0)</f>
      </c>
      <c r="AB1377" s="5"/>
      <c r="AC1377" s="2" t="s">
        <v>233</v>
      </c>
      <c r="AD1377" s="4"/>
      <c r="AE1377" s="4"/>
      <c r="AF1377" s="6">
        <v>63</v>
      </c>
      <c r="AG1377" s="6"/>
      <c r="AH1377" s="7">
        <v>1</v>
      </c>
      <c r="AI1377" s="4"/>
      <c r="AJ1377" s="4">
        <f>=ROUNDDOWN({0},0)</f>
      </c>
      <c r="AK1377" s="5"/>
      <c r="AL1377" s="2" t="s">
        <v>233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233</v>
      </c>
      <c r="AW1377" s="8" t="s">
        <v>233</v>
      </c>
      <c r="AX1377" s="4" t="s">
        <v>233</v>
      </c>
      <c r="AY1377" s="8" t="s">
        <v>233</v>
      </c>
      <c r="AZ1377" s="7" t="s">
        <v>233</v>
      </c>
      <c r="BA1377" s="7" t="s">
        <v>233</v>
      </c>
      <c r="BB1377" s="7"/>
      <c r="BC1377" s="4" t="s">
        <v>233</v>
      </c>
      <c r="BD1377" s="8" t="s">
        <v>233</v>
      </c>
      <c r="BE1377" s="4" t="s">
        <v>233</v>
      </c>
      <c r="BF1377" s="8" t="s">
        <v>233</v>
      </c>
      <c r="BG1377" s="7" t="s">
        <v>233</v>
      </c>
      <c r="BH1377" s="7" t="s">
        <v>233</v>
      </c>
      <c r="BI1377" s="7"/>
      <c r="BJ1377" s="4"/>
      <c r="BK1377" s="8"/>
      <c r="BL1377" s="2" t="s">
        <v>233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6695</v>
      </c>
      <c r="BV1377" s="2" t="s">
        <v>233</v>
      </c>
      <c r="BW1377" s="2" t="s">
        <v>233</v>
      </c>
      <c r="BX1377" s="2" t="s">
        <v>233</v>
      </c>
      <c r="BY1377" s="2" t="s">
        <v>280</v>
      </c>
      <c r="BZ1377" s="2" t="s">
        <v>245</v>
      </c>
      <c r="CA1377" s="2" t="s">
        <v>3247</v>
      </c>
      <c r="CB1377" s="2" t="s">
        <v>233</v>
      </c>
      <c r="CC1377" s="2" t="s">
        <v>246</v>
      </c>
      <c r="CD1377" s="2" t="s">
        <v>233</v>
      </c>
      <c r="CE1377" s="4"/>
      <c r="CF1377" s="4">
        <v>45</v>
      </c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</row>
    <row r="1378">
      <c r="A1378" s="2" t="s">
        <v>6696</v>
      </c>
      <c r="B1378" s="2" t="s">
        <v>1414</v>
      </c>
      <c r="C1378" s="2" t="s">
        <v>530</v>
      </c>
      <c r="D1378" s="2" t="s">
        <v>1414</v>
      </c>
      <c r="E1378" s="2" t="s">
        <v>1414</v>
      </c>
      <c r="F1378" s="2" t="s">
        <v>6681</v>
      </c>
      <c r="G1378" s="2" t="s">
        <v>6686</v>
      </c>
      <c r="H1378" s="2" t="s">
        <v>6687</v>
      </c>
      <c r="I1378" s="2" t="s">
        <v>6688</v>
      </c>
      <c r="J1378" s="2" t="s">
        <v>1808</v>
      </c>
      <c r="K1378" s="2" t="s">
        <v>6689</v>
      </c>
      <c r="L1378" s="3">
        <v>150</v>
      </c>
      <c r="M1378" s="3">
        <v>157.5</v>
      </c>
      <c r="N1378" s="3">
        <v>319.98</v>
      </c>
      <c r="O1378" s="2" t="s">
        <v>245</v>
      </c>
      <c r="P1378" s="2" t="s">
        <v>311</v>
      </c>
      <c r="Q1378" s="2" t="s">
        <v>239</v>
      </c>
      <c r="R1378" s="2" t="s">
        <v>233</v>
      </c>
      <c r="S1378" s="2" t="s">
        <v>6690</v>
      </c>
      <c r="T1378" s="2" t="s">
        <v>233</v>
      </c>
      <c r="U1378" s="2" t="s">
        <v>396</v>
      </c>
      <c r="V1378" s="2" t="s">
        <v>1869</v>
      </c>
      <c r="W1378" s="2" t="s">
        <v>776</v>
      </c>
      <c r="X1378" s="2" t="s">
        <v>233</v>
      </c>
      <c r="Y1378" s="2" t="s">
        <v>5398</v>
      </c>
      <c r="Z1378" s="4">
        <v>101</v>
      </c>
      <c r="AA1378" s="4">
        <f>=ROUNDDOWN({0},0)</f>
      </c>
      <c r="AB1378" s="5"/>
      <c r="AC1378" s="2" t="s">
        <v>233</v>
      </c>
      <c r="AD1378" s="4"/>
      <c r="AE1378" s="4"/>
      <c r="AF1378" s="6">
        <v>63</v>
      </c>
      <c r="AG1378" s="6"/>
      <c r="AH1378" s="7">
        <v>1</v>
      </c>
      <c r="AI1378" s="4"/>
      <c r="AJ1378" s="4">
        <f>=ROUNDDOWN({0},0)</f>
      </c>
      <c r="AK1378" s="5"/>
      <c r="AL1378" s="2" t="s">
        <v>233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233</v>
      </c>
      <c r="AW1378" s="8" t="s">
        <v>233</v>
      </c>
      <c r="AX1378" s="4" t="s">
        <v>233</v>
      </c>
      <c r="AY1378" s="8" t="s">
        <v>233</v>
      </c>
      <c r="AZ1378" s="7" t="s">
        <v>233</v>
      </c>
      <c r="BA1378" s="7" t="s">
        <v>233</v>
      </c>
      <c r="BB1378" s="7"/>
      <c r="BC1378" s="4" t="s">
        <v>233</v>
      </c>
      <c r="BD1378" s="8" t="s">
        <v>233</v>
      </c>
      <c r="BE1378" s="4" t="s">
        <v>233</v>
      </c>
      <c r="BF1378" s="8" t="s">
        <v>233</v>
      </c>
      <c r="BG1378" s="7" t="s">
        <v>233</v>
      </c>
      <c r="BH1378" s="7" t="s">
        <v>233</v>
      </c>
      <c r="BI1378" s="7"/>
      <c r="BJ1378" s="4">
        <v>2</v>
      </c>
      <c r="BK1378" s="8">
        <v>346.5</v>
      </c>
      <c r="BL1378" s="2" t="s">
        <v>2064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6697</v>
      </c>
      <c r="BV1378" s="2" t="s">
        <v>233</v>
      </c>
      <c r="BW1378" s="2" t="s">
        <v>233</v>
      </c>
      <c r="BX1378" s="2" t="s">
        <v>233</v>
      </c>
      <c r="BY1378" s="2" t="s">
        <v>280</v>
      </c>
      <c r="BZ1378" s="2" t="s">
        <v>245</v>
      </c>
      <c r="CA1378" s="2" t="s">
        <v>3247</v>
      </c>
      <c r="CB1378" s="2" t="s">
        <v>233</v>
      </c>
      <c r="CC1378" s="2" t="s">
        <v>246</v>
      </c>
      <c r="CD1378" s="2" t="s">
        <v>233</v>
      </c>
      <c r="CE1378" s="4"/>
      <c r="CF1378" s="4">
        <v>101</v>
      </c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</row>
    <row r="1379">
      <c r="A1379" s="2" t="s">
        <v>6698</v>
      </c>
      <c r="B1379" s="2" t="s">
        <v>228</v>
      </c>
      <c r="C1379" s="2" t="s">
        <v>530</v>
      </c>
      <c r="D1379" s="2" t="s">
        <v>969</v>
      </c>
      <c r="E1379" s="2" t="s">
        <v>970</v>
      </c>
      <c r="F1379" s="2" t="s">
        <v>6681</v>
      </c>
      <c r="G1379" s="2" t="s">
        <v>4738</v>
      </c>
      <c r="H1379" s="2" t="s">
        <v>4738</v>
      </c>
      <c r="I1379" s="2" t="s">
        <v>6682</v>
      </c>
      <c r="J1379" s="2" t="s">
        <v>981</v>
      </c>
      <c r="K1379" s="2" t="s">
        <v>2197</v>
      </c>
      <c r="L1379" s="3">
        <v>47.61</v>
      </c>
      <c r="M1379" s="3">
        <v>49.99</v>
      </c>
      <c r="N1379" s="3">
        <v>99.99</v>
      </c>
      <c r="O1379" s="2" t="s">
        <v>245</v>
      </c>
      <c r="P1379" s="2" t="s">
        <v>974</v>
      </c>
      <c r="Q1379" s="2" t="s">
        <v>239</v>
      </c>
      <c r="R1379" s="2" t="s">
        <v>233</v>
      </c>
      <c r="S1379" s="2" t="s">
        <v>6699</v>
      </c>
      <c r="T1379" s="2" t="s">
        <v>976</v>
      </c>
      <c r="U1379" s="2" t="s">
        <v>475</v>
      </c>
      <c r="V1379" s="2" t="s">
        <v>359</v>
      </c>
      <c r="W1379" s="2" t="s">
        <v>705</v>
      </c>
      <c r="X1379" s="2" t="s">
        <v>977</v>
      </c>
      <c r="Y1379" s="2" t="s">
        <v>233</v>
      </c>
      <c r="Z1379" s="4"/>
      <c r="AA1379" s="4">
        <f>=ROUNDDOWN({0},0)</f>
      </c>
      <c r="AB1379" s="5">
        <v>21</v>
      </c>
      <c r="AC1379" s="2" t="s">
        <v>979</v>
      </c>
      <c r="AD1379" s="4">
        <v>160</v>
      </c>
      <c r="AE1379" s="4">
        <v>160</v>
      </c>
      <c r="AF1379" s="6">
        <v>65</v>
      </c>
      <c r="AG1379" s="6"/>
      <c r="AH1379" s="7">
        <v>0</v>
      </c>
      <c r="AI1379" s="4"/>
      <c r="AJ1379" s="4">
        <f>=ROUNDDOWN({0},0)</f>
      </c>
      <c r="AK1379" s="5"/>
      <c r="AL1379" s="2" t="s">
        <v>233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233</v>
      </c>
      <c r="AW1379" s="8" t="s">
        <v>233</v>
      </c>
      <c r="AX1379" s="4" t="s">
        <v>233</v>
      </c>
      <c r="AY1379" s="8" t="s">
        <v>233</v>
      </c>
      <c r="AZ1379" s="7" t="s">
        <v>233</v>
      </c>
      <c r="BA1379" s="7" t="s">
        <v>233</v>
      </c>
      <c r="BB1379" s="7"/>
      <c r="BC1379" s="4" t="s">
        <v>233</v>
      </c>
      <c r="BD1379" s="8" t="s">
        <v>233</v>
      </c>
      <c r="BE1379" s="4" t="s">
        <v>233</v>
      </c>
      <c r="BF1379" s="8" t="s">
        <v>233</v>
      </c>
      <c r="BG1379" s="7" t="s">
        <v>233</v>
      </c>
      <c r="BH1379" s="7" t="s">
        <v>233</v>
      </c>
      <c r="BI1379" s="7"/>
      <c r="BJ1379" s="4"/>
      <c r="BK1379" s="8"/>
      <c r="BL1379" s="2" t="s">
        <v>233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243</v>
      </c>
      <c r="BV1379" s="2" t="s">
        <v>233</v>
      </c>
      <c r="BW1379" s="2" t="s">
        <v>233</v>
      </c>
      <c r="BX1379" s="2" t="s">
        <v>243</v>
      </c>
      <c r="BY1379" s="2" t="s">
        <v>244</v>
      </c>
      <c r="BZ1379" s="2" t="s">
        <v>245</v>
      </c>
      <c r="CA1379" s="2" t="s">
        <v>233</v>
      </c>
      <c r="CB1379" s="2" t="s">
        <v>233</v>
      </c>
      <c r="CC1379" s="2" t="s">
        <v>246</v>
      </c>
      <c r="CD1379" s="2" t="s">
        <v>233</v>
      </c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>
        <v>160</v>
      </c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  <c r="HN1379" s="4"/>
      <c r="HO1379" s="4"/>
      <c r="HP1379" s="4"/>
      <c r="HQ1379" s="4"/>
      <c r="HR1379" s="4"/>
    </row>
    <row r="1380">
      <c r="A1380" s="2" t="s">
        <v>6700</v>
      </c>
      <c r="B1380" s="2" t="s">
        <v>228</v>
      </c>
      <c r="C1380" s="2" t="s">
        <v>530</v>
      </c>
      <c r="D1380" s="2" t="s">
        <v>969</v>
      </c>
      <c r="E1380" s="2" t="s">
        <v>970</v>
      </c>
      <c r="F1380" s="2" t="s">
        <v>6681</v>
      </c>
      <c r="G1380" s="2" t="s">
        <v>4738</v>
      </c>
      <c r="H1380" s="2" t="s">
        <v>4738</v>
      </c>
      <c r="I1380" s="2" t="s">
        <v>6682</v>
      </c>
      <c r="J1380" s="2" t="s">
        <v>328</v>
      </c>
      <c r="K1380" s="2" t="s">
        <v>2197</v>
      </c>
      <c r="L1380" s="3">
        <v>57.14</v>
      </c>
      <c r="M1380" s="3">
        <v>60</v>
      </c>
      <c r="N1380" s="3">
        <v>119.99</v>
      </c>
      <c r="O1380" s="2" t="s">
        <v>245</v>
      </c>
      <c r="P1380" s="2" t="s">
        <v>974</v>
      </c>
      <c r="Q1380" s="2" t="s">
        <v>239</v>
      </c>
      <c r="R1380" s="2" t="s">
        <v>233</v>
      </c>
      <c r="S1380" s="2" t="s">
        <v>6699</v>
      </c>
      <c r="T1380" s="2" t="s">
        <v>976</v>
      </c>
      <c r="U1380" s="2" t="s">
        <v>475</v>
      </c>
      <c r="V1380" s="2" t="s">
        <v>359</v>
      </c>
      <c r="W1380" s="2" t="s">
        <v>705</v>
      </c>
      <c r="X1380" s="2" t="s">
        <v>977</v>
      </c>
      <c r="Y1380" s="2" t="s">
        <v>233</v>
      </c>
      <c r="Z1380" s="4"/>
      <c r="AA1380" s="4">
        <f>=ROUNDDOWN({0},0)</f>
      </c>
      <c r="AB1380" s="5">
        <v>18</v>
      </c>
      <c r="AC1380" s="2" t="s">
        <v>979</v>
      </c>
      <c r="AD1380" s="4">
        <v>180</v>
      </c>
      <c r="AE1380" s="4">
        <v>180</v>
      </c>
      <c r="AF1380" s="6">
        <v>65</v>
      </c>
      <c r="AG1380" s="6"/>
      <c r="AH1380" s="7">
        <v>0</v>
      </c>
      <c r="AI1380" s="4"/>
      <c r="AJ1380" s="4">
        <f>=ROUNDDOWN({0},0)</f>
      </c>
      <c r="AK1380" s="5"/>
      <c r="AL1380" s="2" t="s">
        <v>233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233</v>
      </c>
      <c r="AW1380" s="8" t="s">
        <v>233</v>
      </c>
      <c r="AX1380" s="4" t="s">
        <v>233</v>
      </c>
      <c r="AY1380" s="8" t="s">
        <v>233</v>
      </c>
      <c r="AZ1380" s="7" t="s">
        <v>233</v>
      </c>
      <c r="BA1380" s="7" t="s">
        <v>233</v>
      </c>
      <c r="BB1380" s="7"/>
      <c r="BC1380" s="4" t="s">
        <v>233</v>
      </c>
      <c r="BD1380" s="8" t="s">
        <v>233</v>
      </c>
      <c r="BE1380" s="4" t="s">
        <v>233</v>
      </c>
      <c r="BF1380" s="8" t="s">
        <v>233</v>
      </c>
      <c r="BG1380" s="7" t="s">
        <v>233</v>
      </c>
      <c r="BH1380" s="7" t="s">
        <v>233</v>
      </c>
      <c r="BI1380" s="7"/>
      <c r="BJ1380" s="4"/>
      <c r="BK1380" s="8"/>
      <c r="BL1380" s="2" t="s">
        <v>233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243</v>
      </c>
      <c r="BV1380" s="2" t="s">
        <v>233</v>
      </c>
      <c r="BW1380" s="2" t="s">
        <v>233</v>
      </c>
      <c r="BX1380" s="2" t="s">
        <v>243</v>
      </c>
      <c r="BY1380" s="2" t="s">
        <v>244</v>
      </c>
      <c r="BZ1380" s="2" t="s">
        <v>245</v>
      </c>
      <c r="CA1380" s="2" t="s">
        <v>233</v>
      </c>
      <c r="CB1380" s="2" t="s">
        <v>233</v>
      </c>
      <c r="CC1380" s="2" t="s">
        <v>246</v>
      </c>
      <c r="CD1380" s="2" t="s">
        <v>233</v>
      </c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>
        <v>180</v>
      </c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  <c r="HN1380" s="4"/>
      <c r="HO1380" s="4"/>
      <c r="HP1380" s="4"/>
      <c r="HQ1380" s="4"/>
      <c r="HR1380" s="4"/>
    </row>
    <row r="1381">
      <c r="A1381" s="2" t="s">
        <v>6701</v>
      </c>
      <c r="B1381" s="2" t="s">
        <v>1242</v>
      </c>
      <c r="C1381" s="2" t="s">
        <v>701</v>
      </c>
      <c r="D1381" s="2" t="s">
        <v>969</v>
      </c>
      <c r="E1381" s="2" t="s">
        <v>1078</v>
      </c>
      <c r="F1381" s="2" t="s">
        <v>2264</v>
      </c>
      <c r="G1381" s="2" t="s">
        <v>2264</v>
      </c>
      <c r="H1381" s="2" t="s">
        <v>2264</v>
      </c>
      <c r="I1381" s="2" t="s">
        <v>6702</v>
      </c>
      <c r="J1381" s="2" t="s">
        <v>981</v>
      </c>
      <c r="K1381" s="2" t="s">
        <v>255</v>
      </c>
      <c r="L1381" s="3">
        <v>52.38</v>
      </c>
      <c r="M1381" s="3">
        <v>55</v>
      </c>
      <c r="N1381" s="3">
        <v>109.99</v>
      </c>
      <c r="O1381" s="2" t="s">
        <v>245</v>
      </c>
      <c r="P1381" s="2" t="s">
        <v>996</v>
      </c>
      <c r="Q1381" s="2" t="s">
        <v>239</v>
      </c>
      <c r="R1381" s="2" t="s">
        <v>233</v>
      </c>
      <c r="S1381" s="2" t="s">
        <v>6703</v>
      </c>
      <c r="T1381" s="2" t="s">
        <v>3570</v>
      </c>
      <c r="U1381" s="2" t="s">
        <v>1482</v>
      </c>
      <c r="V1381" s="2" t="s">
        <v>241</v>
      </c>
      <c r="W1381" s="2" t="s">
        <v>705</v>
      </c>
      <c r="X1381" s="2" t="s">
        <v>451</v>
      </c>
      <c r="Y1381" s="2" t="s">
        <v>6704</v>
      </c>
      <c r="Z1381" s="4"/>
      <c r="AA1381" s="4">
        <f>=ROUNDDOWN({0},0)</f>
      </c>
      <c r="AB1381" s="5">
        <v>2.4</v>
      </c>
      <c r="AC1381" s="2" t="s">
        <v>233</v>
      </c>
      <c r="AD1381" s="4"/>
      <c r="AE1381" s="4"/>
      <c r="AF1381" s="6"/>
      <c r="AG1381" s="6"/>
      <c r="AH1381" s="7">
        <v>0</v>
      </c>
      <c r="AI1381" s="4"/>
      <c r="AJ1381" s="4">
        <f>=ROUNDDOWN({0},0)</f>
      </c>
      <c r="AK1381" s="5"/>
      <c r="AL1381" s="2" t="s">
        <v>233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233</v>
      </c>
      <c r="AW1381" s="8" t="s">
        <v>233</v>
      </c>
      <c r="AX1381" s="4" t="s">
        <v>233</v>
      </c>
      <c r="AY1381" s="8" t="s">
        <v>233</v>
      </c>
      <c r="AZ1381" s="7" t="s">
        <v>233</v>
      </c>
      <c r="BA1381" s="7" t="s">
        <v>233</v>
      </c>
      <c r="BB1381" s="7"/>
      <c r="BC1381" s="4" t="s">
        <v>233</v>
      </c>
      <c r="BD1381" s="8" t="s">
        <v>233</v>
      </c>
      <c r="BE1381" s="4" t="s">
        <v>233</v>
      </c>
      <c r="BF1381" s="8" t="s">
        <v>233</v>
      </c>
      <c r="BG1381" s="7" t="s">
        <v>233</v>
      </c>
      <c r="BH1381" s="7" t="s">
        <v>233</v>
      </c>
      <c r="BI1381" s="7"/>
      <c r="BJ1381" s="4"/>
      <c r="BK1381" s="8"/>
      <c r="BL1381" s="2" t="s">
        <v>6705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6706</v>
      </c>
      <c r="BV1381" s="2" t="s">
        <v>233</v>
      </c>
      <c r="BW1381" s="2" t="s">
        <v>233</v>
      </c>
      <c r="BX1381" s="2" t="s">
        <v>233</v>
      </c>
      <c r="BY1381" s="2" t="s">
        <v>280</v>
      </c>
      <c r="BZ1381" s="2" t="s">
        <v>245</v>
      </c>
      <c r="CA1381" s="2" t="s">
        <v>6707</v>
      </c>
      <c r="CB1381" s="2" t="s">
        <v>6708</v>
      </c>
      <c r="CC1381" s="2" t="s">
        <v>246</v>
      </c>
      <c r="CD1381" s="2" t="s">
        <v>233</v>
      </c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</row>
    <row r="1382">
      <c r="A1382" s="2" t="s">
        <v>6709</v>
      </c>
      <c r="B1382" s="2" t="s">
        <v>1242</v>
      </c>
      <c r="C1382" s="2" t="s">
        <v>701</v>
      </c>
      <c r="D1382" s="2" t="s">
        <v>969</v>
      </c>
      <c r="E1382" s="2" t="s">
        <v>1078</v>
      </c>
      <c r="F1382" s="2" t="s">
        <v>2264</v>
      </c>
      <c r="G1382" s="2" t="s">
        <v>2264</v>
      </c>
      <c r="H1382" s="2" t="s">
        <v>2264</v>
      </c>
      <c r="I1382" s="2" t="s">
        <v>6702</v>
      </c>
      <c r="J1382" s="2" t="s">
        <v>1142</v>
      </c>
      <c r="K1382" s="2" t="s">
        <v>255</v>
      </c>
      <c r="L1382" s="3">
        <v>57.14</v>
      </c>
      <c r="M1382" s="3">
        <v>60</v>
      </c>
      <c r="N1382" s="3">
        <v>119.99</v>
      </c>
      <c r="O1382" s="2" t="s">
        <v>245</v>
      </c>
      <c r="P1382" s="2" t="s">
        <v>311</v>
      </c>
      <c r="Q1382" s="2" t="s">
        <v>239</v>
      </c>
      <c r="R1382" s="2" t="s">
        <v>233</v>
      </c>
      <c r="S1382" s="2" t="s">
        <v>6703</v>
      </c>
      <c r="T1382" s="2" t="s">
        <v>3570</v>
      </c>
      <c r="U1382" s="2" t="s">
        <v>1482</v>
      </c>
      <c r="V1382" s="2" t="s">
        <v>241</v>
      </c>
      <c r="W1382" s="2" t="s">
        <v>705</v>
      </c>
      <c r="X1382" s="2" t="s">
        <v>451</v>
      </c>
      <c r="Y1382" s="2" t="s">
        <v>6704</v>
      </c>
      <c r="Z1382" s="4"/>
      <c r="AA1382" s="4">
        <f>=ROUNDDOWN({0},0)</f>
      </c>
      <c r="AB1382" s="5"/>
      <c r="AC1382" s="2" t="s">
        <v>233</v>
      </c>
      <c r="AD1382" s="4"/>
      <c r="AE1382" s="4"/>
      <c r="AF1382" s="6"/>
      <c r="AG1382" s="6"/>
      <c r="AH1382" s="7">
        <v>0</v>
      </c>
      <c r="AI1382" s="4"/>
      <c r="AJ1382" s="4">
        <f>=ROUNDDOWN({0},0)</f>
      </c>
      <c r="AK1382" s="5"/>
      <c r="AL1382" s="2" t="s">
        <v>233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233</v>
      </c>
      <c r="AW1382" s="8" t="s">
        <v>233</v>
      </c>
      <c r="AX1382" s="4" t="s">
        <v>233</v>
      </c>
      <c r="AY1382" s="8" t="s">
        <v>233</v>
      </c>
      <c r="AZ1382" s="7" t="s">
        <v>233</v>
      </c>
      <c r="BA1382" s="7" t="s">
        <v>233</v>
      </c>
      <c r="BB1382" s="7"/>
      <c r="BC1382" s="4" t="s">
        <v>233</v>
      </c>
      <c r="BD1382" s="8" t="s">
        <v>233</v>
      </c>
      <c r="BE1382" s="4" t="s">
        <v>233</v>
      </c>
      <c r="BF1382" s="8" t="s">
        <v>233</v>
      </c>
      <c r="BG1382" s="7" t="s">
        <v>233</v>
      </c>
      <c r="BH1382" s="7" t="s">
        <v>233</v>
      </c>
      <c r="BI1382" s="7"/>
      <c r="BJ1382" s="4"/>
      <c r="BK1382" s="8"/>
      <c r="BL1382" s="2" t="s">
        <v>233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6710</v>
      </c>
      <c r="BV1382" s="2" t="s">
        <v>233</v>
      </c>
      <c r="BW1382" s="2" t="s">
        <v>233</v>
      </c>
      <c r="BX1382" s="2" t="s">
        <v>233</v>
      </c>
      <c r="BY1382" s="2" t="s">
        <v>280</v>
      </c>
      <c r="BZ1382" s="2" t="s">
        <v>245</v>
      </c>
      <c r="CA1382" s="2" t="s">
        <v>6707</v>
      </c>
      <c r="CB1382" s="2" t="s">
        <v>233</v>
      </c>
      <c r="CC1382" s="2" t="s">
        <v>246</v>
      </c>
      <c r="CD1382" s="2" t="s">
        <v>233</v>
      </c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</row>
    <row r="1383">
      <c r="A1383" s="2" t="s">
        <v>6711</v>
      </c>
      <c r="B1383" s="2" t="s">
        <v>1242</v>
      </c>
      <c r="C1383" s="2" t="s">
        <v>701</v>
      </c>
      <c r="D1383" s="2" t="s">
        <v>969</v>
      </c>
      <c r="E1383" s="2" t="s">
        <v>1078</v>
      </c>
      <c r="F1383" s="2" t="s">
        <v>2264</v>
      </c>
      <c r="G1383" s="2" t="s">
        <v>2264</v>
      </c>
      <c r="H1383" s="2" t="s">
        <v>2264</v>
      </c>
      <c r="I1383" s="2" t="s">
        <v>6702</v>
      </c>
      <c r="J1383" s="2" t="s">
        <v>981</v>
      </c>
      <c r="K1383" s="2" t="s">
        <v>569</v>
      </c>
      <c r="L1383" s="3">
        <v>52.38</v>
      </c>
      <c r="M1383" s="3">
        <v>55</v>
      </c>
      <c r="N1383" s="3">
        <v>109.99</v>
      </c>
      <c r="O1383" s="2" t="s">
        <v>245</v>
      </c>
      <c r="P1383" s="2" t="s">
        <v>996</v>
      </c>
      <c r="Q1383" s="2" t="s">
        <v>239</v>
      </c>
      <c r="R1383" s="2" t="s">
        <v>233</v>
      </c>
      <c r="S1383" s="2" t="s">
        <v>6712</v>
      </c>
      <c r="T1383" s="2" t="s">
        <v>3570</v>
      </c>
      <c r="U1383" s="2" t="s">
        <v>1482</v>
      </c>
      <c r="V1383" s="2" t="s">
        <v>241</v>
      </c>
      <c r="W1383" s="2" t="s">
        <v>705</v>
      </c>
      <c r="X1383" s="2" t="s">
        <v>451</v>
      </c>
      <c r="Y1383" s="2" t="s">
        <v>6713</v>
      </c>
      <c r="Z1383" s="4"/>
      <c r="AA1383" s="4">
        <f>=ROUNDDOWN({0},0)</f>
      </c>
      <c r="AB1383" s="5">
        <v>5.4</v>
      </c>
      <c r="AC1383" s="2" t="s">
        <v>233</v>
      </c>
      <c r="AD1383" s="4"/>
      <c r="AE1383" s="4"/>
      <c r="AF1383" s="6"/>
      <c r="AG1383" s="6"/>
      <c r="AH1383" s="7">
        <v>0</v>
      </c>
      <c r="AI1383" s="4"/>
      <c r="AJ1383" s="4">
        <f>=ROUNDDOWN({0},0)</f>
      </c>
      <c r="AK1383" s="5"/>
      <c r="AL1383" s="2" t="s">
        <v>233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233</v>
      </c>
      <c r="AW1383" s="8" t="s">
        <v>233</v>
      </c>
      <c r="AX1383" s="4" t="s">
        <v>233</v>
      </c>
      <c r="AY1383" s="8" t="s">
        <v>233</v>
      </c>
      <c r="AZ1383" s="7" t="s">
        <v>233</v>
      </c>
      <c r="BA1383" s="7" t="s">
        <v>233</v>
      </c>
      <c r="BB1383" s="7"/>
      <c r="BC1383" s="4" t="s">
        <v>233</v>
      </c>
      <c r="BD1383" s="8" t="s">
        <v>233</v>
      </c>
      <c r="BE1383" s="4" t="s">
        <v>233</v>
      </c>
      <c r="BF1383" s="8" t="s">
        <v>233</v>
      </c>
      <c r="BG1383" s="7" t="s">
        <v>233</v>
      </c>
      <c r="BH1383" s="7" t="s">
        <v>233</v>
      </c>
      <c r="BI1383" s="7"/>
      <c r="BJ1383" s="4"/>
      <c r="BK1383" s="8"/>
      <c r="BL1383" s="2" t="s">
        <v>6714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6715</v>
      </c>
      <c r="BV1383" s="2" t="s">
        <v>233</v>
      </c>
      <c r="BW1383" s="2" t="s">
        <v>233</v>
      </c>
      <c r="BX1383" s="2" t="s">
        <v>233</v>
      </c>
      <c r="BY1383" s="2" t="s">
        <v>280</v>
      </c>
      <c r="BZ1383" s="2" t="s">
        <v>245</v>
      </c>
      <c r="CA1383" s="2" t="s">
        <v>6707</v>
      </c>
      <c r="CB1383" s="2" t="s">
        <v>1109</v>
      </c>
      <c r="CC1383" s="2" t="s">
        <v>246</v>
      </c>
      <c r="CD1383" s="2" t="s">
        <v>233</v>
      </c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</row>
    <row r="1384">
      <c r="A1384" s="2" t="s">
        <v>6716</v>
      </c>
      <c r="B1384" s="2" t="s">
        <v>1242</v>
      </c>
      <c r="C1384" s="2" t="s">
        <v>701</v>
      </c>
      <c r="D1384" s="2" t="s">
        <v>969</v>
      </c>
      <c r="E1384" s="2" t="s">
        <v>1078</v>
      </c>
      <c r="F1384" s="2" t="s">
        <v>2264</v>
      </c>
      <c r="G1384" s="2" t="s">
        <v>2264</v>
      </c>
      <c r="H1384" s="2" t="s">
        <v>2264</v>
      </c>
      <c r="I1384" s="2" t="s">
        <v>6702</v>
      </c>
      <c r="J1384" s="2" t="s">
        <v>1142</v>
      </c>
      <c r="K1384" s="2" t="s">
        <v>569</v>
      </c>
      <c r="L1384" s="3">
        <v>57.14</v>
      </c>
      <c r="M1384" s="3">
        <v>60</v>
      </c>
      <c r="N1384" s="3">
        <v>119.99</v>
      </c>
      <c r="O1384" s="2" t="s">
        <v>245</v>
      </c>
      <c r="P1384" s="2" t="s">
        <v>311</v>
      </c>
      <c r="Q1384" s="2" t="s">
        <v>239</v>
      </c>
      <c r="R1384" s="2" t="s">
        <v>233</v>
      </c>
      <c r="S1384" s="2" t="s">
        <v>6712</v>
      </c>
      <c r="T1384" s="2" t="s">
        <v>3570</v>
      </c>
      <c r="U1384" s="2" t="s">
        <v>1482</v>
      </c>
      <c r="V1384" s="2" t="s">
        <v>241</v>
      </c>
      <c r="W1384" s="2" t="s">
        <v>705</v>
      </c>
      <c r="X1384" s="2" t="s">
        <v>451</v>
      </c>
      <c r="Y1384" s="2" t="s">
        <v>6713</v>
      </c>
      <c r="Z1384" s="4"/>
      <c r="AA1384" s="4">
        <f>=ROUNDDOWN({0},0)</f>
      </c>
      <c r="AB1384" s="5">
        <v>0.5</v>
      </c>
      <c r="AC1384" s="2" t="s">
        <v>233</v>
      </c>
      <c r="AD1384" s="4"/>
      <c r="AE1384" s="4"/>
      <c r="AF1384" s="6"/>
      <c r="AG1384" s="6"/>
      <c r="AH1384" s="7">
        <v>0</v>
      </c>
      <c r="AI1384" s="4"/>
      <c r="AJ1384" s="4">
        <f>=ROUNDDOWN({0},0)</f>
      </c>
      <c r="AK1384" s="5"/>
      <c r="AL1384" s="2" t="s">
        <v>233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233</v>
      </c>
      <c r="AW1384" s="8" t="s">
        <v>233</v>
      </c>
      <c r="AX1384" s="4" t="s">
        <v>233</v>
      </c>
      <c r="AY1384" s="8" t="s">
        <v>233</v>
      </c>
      <c r="AZ1384" s="7" t="s">
        <v>233</v>
      </c>
      <c r="BA1384" s="7" t="s">
        <v>233</v>
      </c>
      <c r="BB1384" s="7"/>
      <c r="BC1384" s="4" t="s">
        <v>233</v>
      </c>
      <c r="BD1384" s="8" t="s">
        <v>233</v>
      </c>
      <c r="BE1384" s="4" t="s">
        <v>233</v>
      </c>
      <c r="BF1384" s="8" t="s">
        <v>233</v>
      </c>
      <c r="BG1384" s="7" t="s">
        <v>233</v>
      </c>
      <c r="BH1384" s="7" t="s">
        <v>233</v>
      </c>
      <c r="BI1384" s="7"/>
      <c r="BJ1384" s="4"/>
      <c r="BK1384" s="8"/>
      <c r="BL1384" s="2" t="s">
        <v>2427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6717</v>
      </c>
      <c r="BV1384" s="2" t="s">
        <v>233</v>
      </c>
      <c r="BW1384" s="2" t="s">
        <v>233</v>
      </c>
      <c r="BX1384" s="2" t="s">
        <v>233</v>
      </c>
      <c r="BY1384" s="2" t="s">
        <v>280</v>
      </c>
      <c r="BZ1384" s="2" t="s">
        <v>245</v>
      </c>
      <c r="CA1384" s="2" t="s">
        <v>6707</v>
      </c>
      <c r="CB1384" s="2" t="s">
        <v>3755</v>
      </c>
      <c r="CC1384" s="2" t="s">
        <v>246</v>
      </c>
      <c r="CD1384" s="2" t="s">
        <v>233</v>
      </c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</row>
    <row r="1385">
      <c r="A1385" s="2" t="s">
        <v>6718</v>
      </c>
      <c r="B1385" s="2" t="s">
        <v>1242</v>
      </c>
      <c r="C1385" s="2" t="s">
        <v>334</v>
      </c>
      <c r="D1385" s="2" t="s">
        <v>969</v>
      </c>
      <c r="E1385" s="2" t="s">
        <v>3334</v>
      </c>
      <c r="F1385" s="2" t="s">
        <v>6719</v>
      </c>
      <c r="G1385" s="2" t="s">
        <v>6720</v>
      </c>
      <c r="H1385" s="2" t="s">
        <v>6721</v>
      </c>
      <c r="I1385" s="2" t="s">
        <v>6722</v>
      </c>
      <c r="J1385" s="2" t="s">
        <v>270</v>
      </c>
      <c r="K1385" s="2" t="s">
        <v>6723</v>
      </c>
      <c r="L1385" s="3">
        <v>30.95</v>
      </c>
      <c r="M1385" s="3">
        <v>32.5</v>
      </c>
      <c r="N1385" s="3">
        <v>64.99</v>
      </c>
      <c r="O1385" s="2" t="s">
        <v>245</v>
      </c>
      <c r="P1385" s="2" t="s">
        <v>272</v>
      </c>
      <c r="Q1385" s="2" t="s">
        <v>239</v>
      </c>
      <c r="R1385" s="2" t="s">
        <v>233</v>
      </c>
      <c r="S1385" s="2" t="s">
        <v>6724</v>
      </c>
      <c r="T1385" s="2" t="s">
        <v>395</v>
      </c>
      <c r="U1385" s="2" t="s">
        <v>1482</v>
      </c>
      <c r="V1385" s="2" t="s">
        <v>359</v>
      </c>
      <c r="W1385" s="2" t="s">
        <v>275</v>
      </c>
      <c r="X1385" s="2" t="s">
        <v>233</v>
      </c>
      <c r="Y1385" s="2" t="s">
        <v>6725</v>
      </c>
      <c r="Z1385" s="4">
        <v>207</v>
      </c>
      <c r="AA1385" s="4">
        <f>=ROUNDDOWN(17.25,0)</f>
      </c>
      <c r="AB1385" s="5">
        <v>12</v>
      </c>
      <c r="AC1385" s="2" t="s">
        <v>2183</v>
      </c>
      <c r="AD1385" s="4">
        <v>50</v>
      </c>
      <c r="AE1385" s="4">
        <v>270</v>
      </c>
      <c r="AF1385" s="6">
        <v>64</v>
      </c>
      <c r="AG1385" s="6"/>
      <c r="AH1385" s="7">
        <v>1</v>
      </c>
      <c r="AI1385" s="4"/>
      <c r="AJ1385" s="4">
        <f>=ROUNDDOWN({0},0)</f>
      </c>
      <c r="AK1385" s="5"/>
      <c r="AL1385" s="2" t="s">
        <v>233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233</v>
      </c>
      <c r="AW1385" s="8" t="s">
        <v>233</v>
      </c>
      <c r="AX1385" s="4" t="s">
        <v>233</v>
      </c>
      <c r="AY1385" s="8" t="s">
        <v>233</v>
      </c>
      <c r="AZ1385" s="7" t="s">
        <v>233</v>
      </c>
      <c r="BA1385" s="7" t="s">
        <v>233</v>
      </c>
      <c r="BB1385" s="7"/>
      <c r="BC1385" s="4" t="s">
        <v>233</v>
      </c>
      <c r="BD1385" s="8" t="s">
        <v>233</v>
      </c>
      <c r="BE1385" s="4" t="s">
        <v>233</v>
      </c>
      <c r="BF1385" s="8" t="s">
        <v>233</v>
      </c>
      <c r="BG1385" s="7" t="s">
        <v>233</v>
      </c>
      <c r="BH1385" s="7" t="s">
        <v>233</v>
      </c>
      <c r="BI1385" s="7"/>
      <c r="BJ1385" s="4">
        <v>16</v>
      </c>
      <c r="BK1385" s="8">
        <v>540.67</v>
      </c>
      <c r="BL1385" s="2" t="s">
        <v>6726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6727</v>
      </c>
      <c r="BV1385" s="2" t="s">
        <v>233</v>
      </c>
      <c r="BW1385" s="2" t="s">
        <v>233</v>
      </c>
      <c r="BX1385" s="2" t="s">
        <v>243</v>
      </c>
      <c r="BY1385" s="2" t="s">
        <v>280</v>
      </c>
      <c r="BZ1385" s="2" t="s">
        <v>245</v>
      </c>
      <c r="CA1385" s="2" t="s">
        <v>6728</v>
      </c>
      <c r="CB1385" s="2" t="s">
        <v>5352</v>
      </c>
      <c r="CC1385" s="2" t="s">
        <v>246</v>
      </c>
      <c r="CD1385" s="2" t="s">
        <v>233</v>
      </c>
      <c r="CE1385" s="4">
        <v>207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>
        <v>50</v>
      </c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>
        <v>100</v>
      </c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>
        <v>90</v>
      </c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>
        <v>30</v>
      </c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</row>
    <row r="1386">
      <c r="A1386" s="2" t="s">
        <v>6729</v>
      </c>
      <c r="B1386" s="2" t="s">
        <v>1242</v>
      </c>
      <c r="C1386" s="2" t="s">
        <v>334</v>
      </c>
      <c r="D1386" s="2" t="s">
        <v>969</v>
      </c>
      <c r="E1386" s="2" t="s">
        <v>3334</v>
      </c>
      <c r="F1386" s="2" t="s">
        <v>6719</v>
      </c>
      <c r="G1386" s="2" t="s">
        <v>6720</v>
      </c>
      <c r="H1386" s="2" t="s">
        <v>6721</v>
      </c>
      <c r="I1386" s="2" t="s">
        <v>6722</v>
      </c>
      <c r="J1386" s="2" t="s">
        <v>328</v>
      </c>
      <c r="K1386" s="2" t="s">
        <v>6723</v>
      </c>
      <c r="L1386" s="3">
        <v>42.85</v>
      </c>
      <c r="M1386" s="3">
        <v>44.99</v>
      </c>
      <c r="N1386" s="3">
        <v>89.99</v>
      </c>
      <c r="O1386" s="2" t="s">
        <v>245</v>
      </c>
      <c r="P1386" s="2" t="s">
        <v>272</v>
      </c>
      <c r="Q1386" s="2" t="s">
        <v>239</v>
      </c>
      <c r="R1386" s="2" t="s">
        <v>233</v>
      </c>
      <c r="S1386" s="2" t="s">
        <v>6724</v>
      </c>
      <c r="T1386" s="2" t="s">
        <v>395</v>
      </c>
      <c r="U1386" s="2" t="s">
        <v>1507</v>
      </c>
      <c r="V1386" s="2" t="s">
        <v>359</v>
      </c>
      <c r="W1386" s="2" t="s">
        <v>275</v>
      </c>
      <c r="X1386" s="2" t="s">
        <v>233</v>
      </c>
      <c r="Y1386" s="2" t="s">
        <v>6725</v>
      </c>
      <c r="Z1386" s="4">
        <v>168</v>
      </c>
      <c r="AA1386" s="4">
        <f>=ROUNDDOWN(9.88235294117647,0)</f>
      </c>
      <c r="AB1386" s="5">
        <v>17</v>
      </c>
      <c r="AC1386" s="2" t="s">
        <v>2183</v>
      </c>
      <c r="AD1386" s="4">
        <v>180</v>
      </c>
      <c r="AE1386" s="4">
        <v>410</v>
      </c>
      <c r="AF1386" s="6">
        <v>64</v>
      </c>
      <c r="AG1386" s="6"/>
      <c r="AH1386" s="7">
        <v>1</v>
      </c>
      <c r="AI1386" s="4"/>
      <c r="AJ1386" s="4">
        <f>=ROUNDDOWN({0},0)</f>
      </c>
      <c r="AK1386" s="5"/>
      <c r="AL1386" s="2" t="s">
        <v>233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233</v>
      </c>
      <c r="AW1386" s="8" t="s">
        <v>233</v>
      </c>
      <c r="AX1386" s="4" t="s">
        <v>233</v>
      </c>
      <c r="AY1386" s="8" t="s">
        <v>233</v>
      </c>
      <c r="AZ1386" s="7" t="s">
        <v>233</v>
      </c>
      <c r="BA1386" s="7" t="s">
        <v>233</v>
      </c>
      <c r="BB1386" s="7"/>
      <c r="BC1386" s="4" t="s">
        <v>233</v>
      </c>
      <c r="BD1386" s="8" t="s">
        <v>233</v>
      </c>
      <c r="BE1386" s="4" t="s">
        <v>233</v>
      </c>
      <c r="BF1386" s="8" t="s">
        <v>233</v>
      </c>
      <c r="BG1386" s="7" t="s">
        <v>233</v>
      </c>
      <c r="BH1386" s="7" t="s">
        <v>233</v>
      </c>
      <c r="BI1386" s="7"/>
      <c r="BJ1386" s="4">
        <v>52</v>
      </c>
      <c r="BK1386" s="8">
        <v>2532.79</v>
      </c>
      <c r="BL1386" s="2" t="s">
        <v>6730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6731</v>
      </c>
      <c r="BV1386" s="2" t="s">
        <v>233</v>
      </c>
      <c r="BW1386" s="2" t="s">
        <v>233</v>
      </c>
      <c r="BX1386" s="2" t="s">
        <v>243</v>
      </c>
      <c r="BY1386" s="2" t="s">
        <v>280</v>
      </c>
      <c r="BZ1386" s="2" t="s">
        <v>245</v>
      </c>
      <c r="CA1386" s="2" t="s">
        <v>6728</v>
      </c>
      <c r="CB1386" s="2" t="s">
        <v>6732</v>
      </c>
      <c r="CC1386" s="2" t="s">
        <v>246</v>
      </c>
      <c r="CD1386" s="2" t="s">
        <v>233</v>
      </c>
      <c r="CE1386" s="4">
        <v>168</v>
      </c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>
        <v>180</v>
      </c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>
        <v>30</v>
      </c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>
        <v>150</v>
      </c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>
        <v>50</v>
      </c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</row>
    <row r="1387">
      <c r="A1387" s="2" t="s">
        <v>6733</v>
      </c>
      <c r="B1387" s="2" t="s">
        <v>1242</v>
      </c>
      <c r="C1387" s="2" t="s">
        <v>334</v>
      </c>
      <c r="D1387" s="2" t="s">
        <v>969</v>
      </c>
      <c r="E1387" s="2" t="s">
        <v>3334</v>
      </c>
      <c r="F1387" s="2" t="s">
        <v>6719</v>
      </c>
      <c r="G1387" s="2" t="s">
        <v>6720</v>
      </c>
      <c r="H1387" s="2" t="s">
        <v>6721</v>
      </c>
      <c r="I1387" s="2" t="s">
        <v>6722</v>
      </c>
      <c r="J1387" s="2" t="s">
        <v>270</v>
      </c>
      <c r="K1387" s="2" t="s">
        <v>6734</v>
      </c>
      <c r="L1387" s="3">
        <v>30.95</v>
      </c>
      <c r="M1387" s="3">
        <v>32.5</v>
      </c>
      <c r="N1387" s="3">
        <v>64.99</v>
      </c>
      <c r="O1387" s="2" t="s">
        <v>245</v>
      </c>
      <c r="P1387" s="2" t="s">
        <v>272</v>
      </c>
      <c r="Q1387" s="2" t="s">
        <v>239</v>
      </c>
      <c r="R1387" s="2" t="s">
        <v>233</v>
      </c>
      <c r="S1387" s="2" t="s">
        <v>6735</v>
      </c>
      <c r="T1387" s="2" t="s">
        <v>395</v>
      </c>
      <c r="U1387" s="2" t="s">
        <v>1482</v>
      </c>
      <c r="V1387" s="2" t="s">
        <v>359</v>
      </c>
      <c r="W1387" s="2" t="s">
        <v>275</v>
      </c>
      <c r="X1387" s="2" t="s">
        <v>233</v>
      </c>
      <c r="Y1387" s="2" t="s">
        <v>6725</v>
      </c>
      <c r="Z1387" s="4">
        <v>76</v>
      </c>
      <c r="AA1387" s="4">
        <f>=ROUNDDOWN(5.06666666666667,0)</f>
      </c>
      <c r="AB1387" s="5">
        <v>15</v>
      </c>
      <c r="AC1387" s="2" t="s">
        <v>2183</v>
      </c>
      <c r="AD1387" s="4">
        <v>80</v>
      </c>
      <c r="AE1387" s="4">
        <v>370</v>
      </c>
      <c r="AF1387" s="6">
        <v>64</v>
      </c>
      <c r="AG1387" s="6"/>
      <c r="AH1387" s="7">
        <v>0.0968</v>
      </c>
      <c r="AI1387" s="4"/>
      <c r="AJ1387" s="4">
        <f>=ROUNDDOWN({0},0)</f>
      </c>
      <c r="AK1387" s="5"/>
      <c r="AL1387" s="2" t="s">
        <v>233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233</v>
      </c>
      <c r="AW1387" s="8" t="s">
        <v>233</v>
      </c>
      <c r="AX1387" s="4" t="s">
        <v>233</v>
      </c>
      <c r="AY1387" s="8" t="s">
        <v>233</v>
      </c>
      <c r="AZ1387" s="7" t="s">
        <v>233</v>
      </c>
      <c r="BA1387" s="7" t="s">
        <v>233</v>
      </c>
      <c r="BB1387" s="7"/>
      <c r="BC1387" s="4" t="s">
        <v>233</v>
      </c>
      <c r="BD1387" s="8" t="s">
        <v>233</v>
      </c>
      <c r="BE1387" s="4" t="s">
        <v>233</v>
      </c>
      <c r="BF1387" s="8" t="s">
        <v>233</v>
      </c>
      <c r="BG1387" s="7" t="s">
        <v>233</v>
      </c>
      <c r="BH1387" s="7" t="s">
        <v>233</v>
      </c>
      <c r="BI1387" s="7"/>
      <c r="BJ1387" s="4">
        <v>11</v>
      </c>
      <c r="BK1387" s="8">
        <v>353.13</v>
      </c>
      <c r="BL1387" s="2" t="s">
        <v>3829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6736</v>
      </c>
      <c r="BV1387" s="2" t="s">
        <v>233</v>
      </c>
      <c r="BW1387" s="2" t="s">
        <v>233</v>
      </c>
      <c r="BX1387" s="2" t="s">
        <v>243</v>
      </c>
      <c r="BY1387" s="2" t="s">
        <v>280</v>
      </c>
      <c r="BZ1387" s="2" t="s">
        <v>245</v>
      </c>
      <c r="CA1387" s="2" t="s">
        <v>6728</v>
      </c>
      <c r="CB1387" s="2" t="s">
        <v>2503</v>
      </c>
      <c r="CC1387" s="2" t="s">
        <v>246</v>
      </c>
      <c r="CD1387" s="2" t="s">
        <v>233</v>
      </c>
      <c r="CE1387" s="4">
        <v>76</v>
      </c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>
        <v>80</v>
      </c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>
        <v>150</v>
      </c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>
        <v>60</v>
      </c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>
        <v>80</v>
      </c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</row>
    <row r="1388">
      <c r="A1388" s="2" t="s">
        <v>6737</v>
      </c>
      <c r="B1388" s="2" t="s">
        <v>1242</v>
      </c>
      <c r="C1388" s="2" t="s">
        <v>334</v>
      </c>
      <c r="D1388" s="2" t="s">
        <v>969</v>
      </c>
      <c r="E1388" s="2" t="s">
        <v>3334</v>
      </c>
      <c r="F1388" s="2" t="s">
        <v>6719</v>
      </c>
      <c r="G1388" s="2" t="s">
        <v>6720</v>
      </c>
      <c r="H1388" s="2" t="s">
        <v>6721</v>
      </c>
      <c r="I1388" s="2" t="s">
        <v>6722</v>
      </c>
      <c r="J1388" s="2" t="s">
        <v>290</v>
      </c>
      <c r="K1388" s="2" t="s">
        <v>6734</v>
      </c>
      <c r="L1388" s="3">
        <v>35.71</v>
      </c>
      <c r="M1388" s="3">
        <v>37.5</v>
      </c>
      <c r="N1388" s="3">
        <v>74.99</v>
      </c>
      <c r="O1388" s="2" t="s">
        <v>245</v>
      </c>
      <c r="P1388" s="2" t="s">
        <v>272</v>
      </c>
      <c r="Q1388" s="2" t="s">
        <v>239</v>
      </c>
      <c r="R1388" s="2" t="s">
        <v>233</v>
      </c>
      <c r="S1388" s="2" t="s">
        <v>6735</v>
      </c>
      <c r="T1388" s="2" t="s">
        <v>395</v>
      </c>
      <c r="U1388" s="2" t="s">
        <v>1507</v>
      </c>
      <c r="V1388" s="2" t="s">
        <v>359</v>
      </c>
      <c r="W1388" s="2" t="s">
        <v>275</v>
      </c>
      <c r="X1388" s="2" t="s">
        <v>233</v>
      </c>
      <c r="Y1388" s="2" t="s">
        <v>6725</v>
      </c>
      <c r="Z1388" s="4">
        <v>74</v>
      </c>
      <c r="AA1388" s="4">
        <f>=ROUNDDOWN(4.35294117647059,0)</f>
      </c>
      <c r="AB1388" s="5">
        <v>17</v>
      </c>
      <c r="AC1388" s="2" t="s">
        <v>2183</v>
      </c>
      <c r="AD1388" s="4">
        <v>100</v>
      </c>
      <c r="AE1388" s="4">
        <v>380</v>
      </c>
      <c r="AF1388" s="6">
        <v>64</v>
      </c>
      <c r="AG1388" s="6"/>
      <c r="AH1388" s="7">
        <v>0.0968</v>
      </c>
      <c r="AI1388" s="4"/>
      <c r="AJ1388" s="4">
        <f>=ROUNDDOWN({0},0)</f>
      </c>
      <c r="AK1388" s="5"/>
      <c r="AL1388" s="2" t="s">
        <v>233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233</v>
      </c>
      <c r="AW1388" s="8" t="s">
        <v>233</v>
      </c>
      <c r="AX1388" s="4" t="s">
        <v>233</v>
      </c>
      <c r="AY1388" s="8" t="s">
        <v>233</v>
      </c>
      <c r="AZ1388" s="7" t="s">
        <v>233</v>
      </c>
      <c r="BA1388" s="7" t="s">
        <v>233</v>
      </c>
      <c r="BB1388" s="7"/>
      <c r="BC1388" s="4" t="s">
        <v>233</v>
      </c>
      <c r="BD1388" s="8" t="s">
        <v>233</v>
      </c>
      <c r="BE1388" s="4" t="s">
        <v>233</v>
      </c>
      <c r="BF1388" s="8" t="s">
        <v>233</v>
      </c>
      <c r="BG1388" s="7" t="s">
        <v>233</v>
      </c>
      <c r="BH1388" s="7" t="s">
        <v>233</v>
      </c>
      <c r="BI1388" s="7"/>
      <c r="BJ1388" s="4">
        <v>16</v>
      </c>
      <c r="BK1388" s="8">
        <v>634.98</v>
      </c>
      <c r="BL1388" s="2" t="s">
        <v>3829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6738</v>
      </c>
      <c r="BV1388" s="2" t="s">
        <v>233</v>
      </c>
      <c r="BW1388" s="2" t="s">
        <v>233</v>
      </c>
      <c r="BX1388" s="2" t="s">
        <v>243</v>
      </c>
      <c r="BY1388" s="2" t="s">
        <v>280</v>
      </c>
      <c r="BZ1388" s="2" t="s">
        <v>245</v>
      </c>
      <c r="CA1388" s="2" t="s">
        <v>6728</v>
      </c>
      <c r="CB1388" s="2" t="s">
        <v>2735</v>
      </c>
      <c r="CC1388" s="2" t="s">
        <v>246</v>
      </c>
      <c r="CD1388" s="2" t="s">
        <v>233</v>
      </c>
      <c r="CE1388" s="4">
        <v>74</v>
      </c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>
        <v>100</v>
      </c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>
        <v>120</v>
      </c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>
        <v>80</v>
      </c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>
        <v>80</v>
      </c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</row>
    <row r="1389">
      <c r="A1389" s="2" t="s">
        <v>6739</v>
      </c>
      <c r="B1389" s="2" t="s">
        <v>1242</v>
      </c>
      <c r="C1389" s="2" t="s">
        <v>334</v>
      </c>
      <c r="D1389" s="2" t="s">
        <v>969</v>
      </c>
      <c r="E1389" s="2" t="s">
        <v>3334</v>
      </c>
      <c r="F1389" s="2" t="s">
        <v>6719</v>
      </c>
      <c r="G1389" s="2" t="s">
        <v>6720</v>
      </c>
      <c r="H1389" s="2" t="s">
        <v>6721</v>
      </c>
      <c r="I1389" s="2" t="s">
        <v>6722</v>
      </c>
      <c r="J1389" s="2" t="s">
        <v>348</v>
      </c>
      <c r="K1389" s="2" t="s">
        <v>6734</v>
      </c>
      <c r="L1389" s="3">
        <v>38.09</v>
      </c>
      <c r="M1389" s="3">
        <v>39.99</v>
      </c>
      <c r="N1389" s="3">
        <v>79.99</v>
      </c>
      <c r="O1389" s="2" t="s">
        <v>245</v>
      </c>
      <c r="P1389" s="2" t="s">
        <v>272</v>
      </c>
      <c r="Q1389" s="2" t="s">
        <v>239</v>
      </c>
      <c r="R1389" s="2" t="s">
        <v>233</v>
      </c>
      <c r="S1389" s="2" t="s">
        <v>6735</v>
      </c>
      <c r="T1389" s="2" t="s">
        <v>395</v>
      </c>
      <c r="U1389" s="2" t="s">
        <v>1507</v>
      </c>
      <c r="V1389" s="2" t="s">
        <v>359</v>
      </c>
      <c r="W1389" s="2" t="s">
        <v>275</v>
      </c>
      <c r="X1389" s="2" t="s">
        <v>233</v>
      </c>
      <c r="Y1389" s="2" t="s">
        <v>6725</v>
      </c>
      <c r="Z1389" s="4">
        <v>204</v>
      </c>
      <c r="AA1389" s="4">
        <f>=ROUNDDOWN(5.1,0)</f>
      </c>
      <c r="AB1389" s="5">
        <v>40</v>
      </c>
      <c r="AC1389" s="2" t="s">
        <v>2183</v>
      </c>
      <c r="AD1389" s="4">
        <v>240</v>
      </c>
      <c r="AE1389" s="4">
        <v>790</v>
      </c>
      <c r="AF1389" s="6">
        <v>64</v>
      </c>
      <c r="AG1389" s="6"/>
      <c r="AH1389" s="7">
        <v>0</v>
      </c>
      <c r="AI1389" s="4"/>
      <c r="AJ1389" s="4">
        <f>=ROUNDDOWN({0},0)</f>
      </c>
      <c r="AK1389" s="5"/>
      <c r="AL1389" s="2" t="s">
        <v>233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233</v>
      </c>
      <c r="AW1389" s="8" t="s">
        <v>233</v>
      </c>
      <c r="AX1389" s="4" t="s">
        <v>233</v>
      </c>
      <c r="AY1389" s="8" t="s">
        <v>233</v>
      </c>
      <c r="AZ1389" s="7" t="s">
        <v>233</v>
      </c>
      <c r="BA1389" s="7" t="s">
        <v>233</v>
      </c>
      <c r="BB1389" s="7"/>
      <c r="BC1389" s="4" t="s">
        <v>233</v>
      </c>
      <c r="BD1389" s="8" t="s">
        <v>233</v>
      </c>
      <c r="BE1389" s="4" t="s">
        <v>233</v>
      </c>
      <c r="BF1389" s="8" t="s">
        <v>233</v>
      </c>
      <c r="BG1389" s="7" t="s">
        <v>233</v>
      </c>
      <c r="BH1389" s="7" t="s">
        <v>233</v>
      </c>
      <c r="BI1389" s="7"/>
      <c r="BJ1389" s="4">
        <v>4</v>
      </c>
      <c r="BK1389" s="8">
        <v>175.2</v>
      </c>
      <c r="BL1389" s="2" t="s">
        <v>1292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6740</v>
      </c>
      <c r="BV1389" s="2" t="s">
        <v>233</v>
      </c>
      <c r="BW1389" s="2" t="s">
        <v>233</v>
      </c>
      <c r="BX1389" s="2" t="s">
        <v>243</v>
      </c>
      <c r="BY1389" s="2" t="s">
        <v>280</v>
      </c>
      <c r="BZ1389" s="2" t="s">
        <v>245</v>
      </c>
      <c r="CA1389" s="2" t="s">
        <v>6728</v>
      </c>
      <c r="CB1389" s="2" t="s">
        <v>5514</v>
      </c>
      <c r="CC1389" s="2" t="s">
        <v>246</v>
      </c>
      <c r="CD1389" s="2" t="s">
        <v>233</v>
      </c>
      <c r="CE1389" s="4">
        <v>204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>
        <v>240</v>
      </c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>
        <v>250</v>
      </c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>
        <v>150</v>
      </c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>
        <v>150</v>
      </c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</row>
    <row r="1390">
      <c r="A1390" s="2" t="s">
        <v>6741</v>
      </c>
      <c r="B1390" s="2" t="s">
        <v>1242</v>
      </c>
      <c r="C1390" s="2" t="s">
        <v>334</v>
      </c>
      <c r="D1390" s="2" t="s">
        <v>969</v>
      </c>
      <c r="E1390" s="2" t="s">
        <v>3334</v>
      </c>
      <c r="F1390" s="2" t="s">
        <v>6719</v>
      </c>
      <c r="G1390" s="2" t="s">
        <v>6720</v>
      </c>
      <c r="H1390" s="2" t="s">
        <v>6721</v>
      </c>
      <c r="I1390" s="2" t="s">
        <v>6722</v>
      </c>
      <c r="J1390" s="2" t="s">
        <v>328</v>
      </c>
      <c r="K1390" s="2" t="s">
        <v>6734</v>
      </c>
      <c r="L1390" s="3">
        <v>42.85</v>
      </c>
      <c r="M1390" s="3">
        <v>44.99</v>
      </c>
      <c r="N1390" s="3">
        <v>89.99</v>
      </c>
      <c r="O1390" s="2" t="s">
        <v>245</v>
      </c>
      <c r="P1390" s="2" t="s">
        <v>272</v>
      </c>
      <c r="Q1390" s="2" t="s">
        <v>239</v>
      </c>
      <c r="R1390" s="2" t="s">
        <v>233</v>
      </c>
      <c r="S1390" s="2" t="s">
        <v>6735</v>
      </c>
      <c r="T1390" s="2" t="s">
        <v>395</v>
      </c>
      <c r="U1390" s="2" t="s">
        <v>1507</v>
      </c>
      <c r="V1390" s="2" t="s">
        <v>359</v>
      </c>
      <c r="W1390" s="2" t="s">
        <v>275</v>
      </c>
      <c r="X1390" s="2" t="s">
        <v>233</v>
      </c>
      <c r="Y1390" s="2" t="s">
        <v>6725</v>
      </c>
      <c r="Z1390" s="4">
        <v>89</v>
      </c>
      <c r="AA1390" s="4">
        <f>=ROUNDDOWN(3.56,0)</f>
      </c>
      <c r="AB1390" s="5">
        <v>25</v>
      </c>
      <c r="AC1390" s="2" t="s">
        <v>2183</v>
      </c>
      <c r="AD1390" s="4">
        <v>160</v>
      </c>
      <c r="AE1390" s="4">
        <v>510</v>
      </c>
      <c r="AF1390" s="6">
        <v>64</v>
      </c>
      <c r="AG1390" s="6"/>
      <c r="AH1390" s="7">
        <v>0</v>
      </c>
      <c r="AI1390" s="4"/>
      <c r="AJ1390" s="4">
        <f>=ROUNDDOWN({0},0)</f>
      </c>
      <c r="AK1390" s="5"/>
      <c r="AL1390" s="2" t="s">
        <v>233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233</v>
      </c>
      <c r="AW1390" s="8" t="s">
        <v>233</v>
      </c>
      <c r="AX1390" s="4" t="s">
        <v>233</v>
      </c>
      <c r="AY1390" s="8" t="s">
        <v>233</v>
      </c>
      <c r="AZ1390" s="7" t="s">
        <v>233</v>
      </c>
      <c r="BA1390" s="7" t="s">
        <v>233</v>
      </c>
      <c r="BB1390" s="7"/>
      <c r="BC1390" s="4" t="s">
        <v>233</v>
      </c>
      <c r="BD1390" s="8" t="s">
        <v>233</v>
      </c>
      <c r="BE1390" s="4" t="s">
        <v>233</v>
      </c>
      <c r="BF1390" s="8" t="s">
        <v>233</v>
      </c>
      <c r="BG1390" s="7" t="s">
        <v>233</v>
      </c>
      <c r="BH1390" s="7" t="s">
        <v>233</v>
      </c>
      <c r="BI1390" s="7"/>
      <c r="BJ1390" s="4"/>
      <c r="BK1390" s="8"/>
      <c r="BL1390" s="2" t="s">
        <v>233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6742</v>
      </c>
      <c r="BV1390" s="2" t="s">
        <v>233</v>
      </c>
      <c r="BW1390" s="2" t="s">
        <v>233</v>
      </c>
      <c r="BX1390" s="2" t="s">
        <v>243</v>
      </c>
      <c r="BY1390" s="2" t="s">
        <v>280</v>
      </c>
      <c r="BZ1390" s="2" t="s">
        <v>245</v>
      </c>
      <c r="CA1390" s="2" t="s">
        <v>6728</v>
      </c>
      <c r="CB1390" s="2" t="s">
        <v>2955</v>
      </c>
      <c r="CC1390" s="2" t="s">
        <v>246</v>
      </c>
      <c r="CD1390" s="2" t="s">
        <v>233</v>
      </c>
      <c r="CE1390" s="4">
        <v>89</v>
      </c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>
        <v>160</v>
      </c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>
        <v>150</v>
      </c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>
        <v>100</v>
      </c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>
        <v>100</v>
      </c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</row>
    <row r="1391">
      <c r="A1391" s="2" t="s">
        <v>6743</v>
      </c>
      <c r="B1391" s="2" t="s">
        <v>1242</v>
      </c>
      <c r="C1391" s="2" t="s">
        <v>334</v>
      </c>
      <c r="D1391" s="2" t="s">
        <v>969</v>
      </c>
      <c r="E1391" s="2" t="s">
        <v>3334</v>
      </c>
      <c r="F1391" s="2" t="s">
        <v>6719</v>
      </c>
      <c r="G1391" s="2" t="s">
        <v>6720</v>
      </c>
      <c r="H1391" s="2" t="s">
        <v>6721</v>
      </c>
      <c r="I1391" s="2" t="s">
        <v>6722</v>
      </c>
      <c r="J1391" s="2" t="s">
        <v>546</v>
      </c>
      <c r="K1391" s="2" t="s">
        <v>6734</v>
      </c>
      <c r="L1391" s="3">
        <v>42.85</v>
      </c>
      <c r="M1391" s="3">
        <v>44.99</v>
      </c>
      <c r="N1391" s="3">
        <v>89.99</v>
      </c>
      <c r="O1391" s="2" t="s">
        <v>245</v>
      </c>
      <c r="P1391" s="2" t="s">
        <v>272</v>
      </c>
      <c r="Q1391" s="2" t="s">
        <v>239</v>
      </c>
      <c r="R1391" s="2" t="s">
        <v>233</v>
      </c>
      <c r="S1391" s="2" t="s">
        <v>6735</v>
      </c>
      <c r="T1391" s="2" t="s">
        <v>395</v>
      </c>
      <c r="U1391" s="2" t="s">
        <v>1507</v>
      </c>
      <c r="V1391" s="2" t="s">
        <v>359</v>
      </c>
      <c r="W1391" s="2" t="s">
        <v>275</v>
      </c>
      <c r="X1391" s="2" t="s">
        <v>233</v>
      </c>
      <c r="Y1391" s="2" t="s">
        <v>6725</v>
      </c>
      <c r="Z1391" s="4">
        <v>49</v>
      </c>
      <c r="AA1391" s="4">
        <f>=ROUNDDOWN(3.26666666666667,0)</f>
      </c>
      <c r="AB1391" s="5">
        <v>15</v>
      </c>
      <c r="AC1391" s="2" t="s">
        <v>2183</v>
      </c>
      <c r="AD1391" s="4">
        <v>100</v>
      </c>
      <c r="AE1391" s="4">
        <v>320</v>
      </c>
      <c r="AF1391" s="6">
        <v>64</v>
      </c>
      <c r="AG1391" s="6"/>
      <c r="AH1391" s="7">
        <v>0</v>
      </c>
      <c r="AI1391" s="4"/>
      <c r="AJ1391" s="4">
        <f>=ROUNDDOWN({0},0)</f>
      </c>
      <c r="AK1391" s="5"/>
      <c r="AL1391" s="2" t="s">
        <v>233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233</v>
      </c>
      <c r="AW1391" s="8" t="s">
        <v>233</v>
      </c>
      <c r="AX1391" s="4" t="s">
        <v>233</v>
      </c>
      <c r="AY1391" s="8" t="s">
        <v>233</v>
      </c>
      <c r="AZ1391" s="7" t="s">
        <v>233</v>
      </c>
      <c r="BA1391" s="7" t="s">
        <v>233</v>
      </c>
      <c r="BB1391" s="7"/>
      <c r="BC1391" s="4" t="s">
        <v>233</v>
      </c>
      <c r="BD1391" s="8" t="s">
        <v>233</v>
      </c>
      <c r="BE1391" s="4" t="s">
        <v>233</v>
      </c>
      <c r="BF1391" s="8" t="s">
        <v>233</v>
      </c>
      <c r="BG1391" s="7" t="s">
        <v>233</v>
      </c>
      <c r="BH1391" s="7" t="s">
        <v>233</v>
      </c>
      <c r="BI1391" s="7"/>
      <c r="BJ1391" s="4"/>
      <c r="BK1391" s="8"/>
      <c r="BL1391" s="2" t="s">
        <v>233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6744</v>
      </c>
      <c r="BV1391" s="2" t="s">
        <v>233</v>
      </c>
      <c r="BW1391" s="2" t="s">
        <v>233</v>
      </c>
      <c r="BX1391" s="2" t="s">
        <v>243</v>
      </c>
      <c r="BY1391" s="2" t="s">
        <v>280</v>
      </c>
      <c r="BZ1391" s="2" t="s">
        <v>245</v>
      </c>
      <c r="CA1391" s="2" t="s">
        <v>6728</v>
      </c>
      <c r="CB1391" s="2" t="s">
        <v>2503</v>
      </c>
      <c r="CC1391" s="2" t="s">
        <v>246</v>
      </c>
      <c r="CD1391" s="2" t="s">
        <v>233</v>
      </c>
      <c r="CE1391" s="4">
        <v>49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>
        <v>100</v>
      </c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>
        <v>80</v>
      </c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>
        <v>60</v>
      </c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>
        <v>80</v>
      </c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</row>
    <row r="1392">
      <c r="A1392" s="2" t="s">
        <v>6745</v>
      </c>
      <c r="B1392" s="2" t="s">
        <v>886</v>
      </c>
      <c r="C1392" s="2" t="s">
        <v>901</v>
      </c>
      <c r="D1392" s="2" t="s">
        <v>1122</v>
      </c>
      <c r="E1392" s="2" t="s">
        <v>1123</v>
      </c>
      <c r="F1392" s="2" t="s">
        <v>6746</v>
      </c>
      <c r="G1392" s="2" t="s">
        <v>6746</v>
      </c>
      <c r="H1392" s="2" t="s">
        <v>6746</v>
      </c>
      <c r="I1392" s="2" t="s">
        <v>6747</v>
      </c>
      <c r="J1392" s="2" t="s">
        <v>892</v>
      </c>
      <c r="K1392" s="2" t="s">
        <v>645</v>
      </c>
      <c r="L1392" s="3">
        <v>45.45</v>
      </c>
      <c r="M1392" s="3">
        <v>47.72</v>
      </c>
      <c r="N1392" s="3">
        <v>99.99</v>
      </c>
      <c r="O1392" s="2" t="s">
        <v>245</v>
      </c>
      <c r="P1392" s="2" t="s">
        <v>311</v>
      </c>
      <c r="Q1392" s="2" t="s">
        <v>239</v>
      </c>
      <c r="R1392" s="2" t="s">
        <v>233</v>
      </c>
      <c r="S1392" s="2" t="s">
        <v>233</v>
      </c>
      <c r="T1392" s="2" t="s">
        <v>233</v>
      </c>
      <c r="U1392" s="2" t="s">
        <v>396</v>
      </c>
      <c r="V1392" s="2" t="s">
        <v>893</v>
      </c>
      <c r="W1392" s="2" t="s">
        <v>397</v>
      </c>
      <c r="X1392" s="2" t="s">
        <v>233</v>
      </c>
      <c r="Y1392" s="2" t="s">
        <v>1126</v>
      </c>
      <c r="Z1392" s="4">
        <v>104</v>
      </c>
      <c r="AA1392" s="4">
        <f>=ROUNDDOWN({0},0)</f>
      </c>
      <c r="AB1392" s="5"/>
      <c r="AC1392" s="2" t="s">
        <v>233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233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/>
      <c r="BD1392" s="8"/>
      <c r="BE1392" s="4"/>
      <c r="BF1392" s="8"/>
      <c r="BG1392" s="7"/>
      <c r="BH1392" s="7"/>
      <c r="BI1392" s="7"/>
      <c r="BJ1392" s="4"/>
      <c r="BK1392" s="8"/>
      <c r="BL1392" s="2" t="s">
        <v>233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6748</v>
      </c>
      <c r="BV1392" s="2" t="s">
        <v>233</v>
      </c>
      <c r="BW1392" s="2" t="s">
        <v>233</v>
      </c>
      <c r="BX1392" s="2" t="s">
        <v>233</v>
      </c>
      <c r="BY1392" s="2" t="s">
        <v>280</v>
      </c>
      <c r="BZ1392" s="2" t="s">
        <v>245</v>
      </c>
      <c r="CA1392" s="2" t="s">
        <v>1128</v>
      </c>
      <c r="CB1392" s="2" t="s">
        <v>233</v>
      </c>
      <c r="CC1392" s="2" t="s">
        <v>246</v>
      </c>
      <c r="CD1392" s="2" t="s">
        <v>233</v>
      </c>
      <c r="CE1392" s="4"/>
      <c r="CF1392" s="4">
        <v>104</v>
      </c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</row>
    <row r="1393">
      <c r="A1393" s="2" t="s">
        <v>6749</v>
      </c>
      <c r="B1393" s="2" t="s">
        <v>886</v>
      </c>
      <c r="C1393" s="2" t="s">
        <v>901</v>
      </c>
      <c r="D1393" s="2" t="s">
        <v>1167</v>
      </c>
      <c r="E1393" s="2" t="s">
        <v>1168</v>
      </c>
      <c r="F1393" s="2" t="s">
        <v>6750</v>
      </c>
      <c r="G1393" s="2" t="s">
        <v>6750</v>
      </c>
      <c r="H1393" s="2" t="s">
        <v>6750</v>
      </c>
      <c r="I1393" s="2" t="s">
        <v>6751</v>
      </c>
      <c r="J1393" s="2" t="s">
        <v>892</v>
      </c>
      <c r="K1393" s="2" t="s">
        <v>271</v>
      </c>
      <c r="L1393" s="3">
        <v>40.38</v>
      </c>
      <c r="M1393" s="3">
        <v>42.4</v>
      </c>
      <c r="N1393" s="3">
        <v>89.99</v>
      </c>
      <c r="O1393" s="2" t="s">
        <v>245</v>
      </c>
      <c r="P1393" s="2" t="s">
        <v>272</v>
      </c>
      <c r="Q1393" s="2" t="s">
        <v>239</v>
      </c>
      <c r="R1393" s="2" t="s">
        <v>233</v>
      </c>
      <c r="S1393" s="2" t="s">
        <v>233</v>
      </c>
      <c r="T1393" s="2" t="s">
        <v>233</v>
      </c>
      <c r="U1393" s="2" t="s">
        <v>396</v>
      </c>
      <c r="V1393" s="2" t="s">
        <v>893</v>
      </c>
      <c r="W1393" s="2" t="s">
        <v>397</v>
      </c>
      <c r="X1393" s="2" t="s">
        <v>233</v>
      </c>
      <c r="Y1393" s="2" t="s">
        <v>2205</v>
      </c>
      <c r="Z1393" s="4">
        <v>148</v>
      </c>
      <c r="AA1393" s="4">
        <f>=ROUNDDOWN(61.6666666666667,0)</f>
      </c>
      <c r="AB1393" s="5">
        <v>2.4</v>
      </c>
      <c r="AC1393" s="2" t="s">
        <v>233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233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/>
      <c r="BD1393" s="8"/>
      <c r="BE1393" s="4"/>
      <c r="BF1393" s="8"/>
      <c r="BG1393" s="7"/>
      <c r="BH1393" s="7"/>
      <c r="BI1393" s="7"/>
      <c r="BJ1393" s="4">
        <v>5</v>
      </c>
      <c r="BK1393" s="8">
        <v>241.4</v>
      </c>
      <c r="BL1393" s="2" t="s">
        <v>6752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6753</v>
      </c>
      <c r="BV1393" s="2" t="s">
        <v>233</v>
      </c>
      <c r="BW1393" s="2" t="s">
        <v>233</v>
      </c>
      <c r="BX1393" s="2" t="s">
        <v>233</v>
      </c>
      <c r="BY1393" s="2" t="s">
        <v>280</v>
      </c>
      <c r="BZ1393" s="2" t="s">
        <v>245</v>
      </c>
      <c r="CA1393" s="2" t="s">
        <v>6754</v>
      </c>
      <c r="CB1393" s="2" t="s">
        <v>6755</v>
      </c>
      <c r="CC1393" s="2" t="s">
        <v>246</v>
      </c>
      <c r="CD1393" s="2" t="s">
        <v>233</v>
      </c>
      <c r="CE1393" s="4"/>
      <c r="CF1393" s="4">
        <v>148</v>
      </c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</row>
    <row r="1394">
      <c r="A1394" s="2" t="s">
        <v>6756</v>
      </c>
      <c r="B1394" s="2" t="s">
        <v>1066</v>
      </c>
      <c r="C1394" s="2" t="s">
        <v>1157</v>
      </c>
      <c r="D1394" s="2" t="s">
        <v>1067</v>
      </c>
      <c r="E1394" s="2" t="s">
        <v>2543</v>
      </c>
      <c r="F1394" s="2" t="s">
        <v>6757</v>
      </c>
      <c r="G1394" s="2" t="s">
        <v>6757</v>
      </c>
      <c r="H1394" s="2" t="s">
        <v>6757</v>
      </c>
      <c r="I1394" s="2" t="s">
        <v>6758</v>
      </c>
      <c r="J1394" s="2" t="s">
        <v>892</v>
      </c>
      <c r="K1394" s="2" t="s">
        <v>255</v>
      </c>
      <c r="L1394" s="3">
        <v>115.9</v>
      </c>
      <c r="M1394" s="3">
        <v>121.7</v>
      </c>
      <c r="N1394" s="3">
        <v>239</v>
      </c>
      <c r="O1394" s="2" t="s">
        <v>245</v>
      </c>
      <c r="P1394" s="2" t="s">
        <v>238</v>
      </c>
      <c r="Q1394" s="2" t="s">
        <v>239</v>
      </c>
      <c r="R1394" s="2" t="s">
        <v>233</v>
      </c>
      <c r="S1394" s="2" t="s">
        <v>233</v>
      </c>
      <c r="T1394" s="2" t="s">
        <v>233</v>
      </c>
      <c r="U1394" s="2" t="s">
        <v>396</v>
      </c>
      <c r="V1394" s="2" t="s">
        <v>893</v>
      </c>
      <c r="W1394" s="2" t="s">
        <v>451</v>
      </c>
      <c r="X1394" s="2" t="s">
        <v>776</v>
      </c>
      <c r="Y1394" s="2" t="s">
        <v>2521</v>
      </c>
      <c r="Z1394" s="4">
        <v>90</v>
      </c>
      <c r="AA1394" s="4">
        <f>=ROUNDDOWN(90,0)</f>
      </c>
      <c r="AB1394" s="5">
        <v>1</v>
      </c>
      <c r="AC1394" s="2" t="s">
        <v>233</v>
      </c>
      <c r="AD1394" s="4"/>
      <c r="AE1394" s="4"/>
      <c r="AF1394" s="6">
        <v>74</v>
      </c>
      <c r="AG1394" s="6"/>
      <c r="AH1394" s="7">
        <v>1</v>
      </c>
      <c r="AI1394" s="4"/>
      <c r="AJ1394" s="4">
        <f>=ROUNDDOWN({0},0)</f>
      </c>
      <c r="AK1394" s="5"/>
      <c r="AL1394" s="2" t="s">
        <v>233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 t="s">
        <v>233</v>
      </c>
      <c r="BD1394" s="8" t="s">
        <v>233</v>
      </c>
      <c r="BE1394" s="4" t="s">
        <v>233</v>
      </c>
      <c r="BF1394" s="8" t="s">
        <v>233</v>
      </c>
      <c r="BG1394" s="7" t="s">
        <v>233</v>
      </c>
      <c r="BH1394" s="7" t="s">
        <v>233</v>
      </c>
      <c r="BI1394" s="7"/>
      <c r="BJ1394" s="4"/>
      <c r="BK1394" s="8"/>
      <c r="BL1394" s="2" t="s">
        <v>233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243</v>
      </c>
      <c r="BV1394" s="2" t="s">
        <v>233</v>
      </c>
      <c r="BW1394" s="2" t="s">
        <v>233</v>
      </c>
      <c r="BX1394" s="2" t="s">
        <v>243</v>
      </c>
      <c r="BY1394" s="2" t="s">
        <v>2514</v>
      </c>
      <c r="BZ1394" s="2" t="s">
        <v>245</v>
      </c>
      <c r="CA1394" s="2" t="s">
        <v>233</v>
      </c>
      <c r="CB1394" s="2" t="s">
        <v>233</v>
      </c>
      <c r="CC1394" s="2" t="s">
        <v>246</v>
      </c>
      <c r="CD1394" s="2" t="s">
        <v>233</v>
      </c>
      <c r="CE1394" s="4"/>
      <c r="CF1394" s="4">
        <v>90</v>
      </c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</row>
    <row r="1395">
      <c r="A1395" s="2" t="s">
        <v>6759</v>
      </c>
      <c r="B1395" s="2" t="s">
        <v>1066</v>
      </c>
      <c r="C1395" s="2" t="s">
        <v>1157</v>
      </c>
      <c r="D1395" s="2" t="s">
        <v>1067</v>
      </c>
      <c r="E1395" s="2" t="s">
        <v>2543</v>
      </c>
      <c r="F1395" s="2" t="s">
        <v>6757</v>
      </c>
      <c r="G1395" s="2" t="s">
        <v>6757</v>
      </c>
      <c r="H1395" s="2" t="s">
        <v>6757</v>
      </c>
      <c r="I1395" s="2" t="s">
        <v>6758</v>
      </c>
      <c r="J1395" s="2" t="s">
        <v>892</v>
      </c>
      <c r="K1395" s="2" t="s">
        <v>569</v>
      </c>
      <c r="L1395" s="3">
        <v>115.9</v>
      </c>
      <c r="M1395" s="3">
        <v>121.7</v>
      </c>
      <c r="N1395" s="3">
        <v>239</v>
      </c>
      <c r="O1395" s="2" t="s">
        <v>245</v>
      </c>
      <c r="P1395" s="2" t="s">
        <v>311</v>
      </c>
      <c r="Q1395" s="2" t="s">
        <v>239</v>
      </c>
      <c r="R1395" s="2" t="s">
        <v>233</v>
      </c>
      <c r="S1395" s="2" t="s">
        <v>233</v>
      </c>
      <c r="T1395" s="2" t="s">
        <v>233</v>
      </c>
      <c r="U1395" s="2" t="s">
        <v>396</v>
      </c>
      <c r="V1395" s="2" t="s">
        <v>893</v>
      </c>
      <c r="W1395" s="2" t="s">
        <v>451</v>
      </c>
      <c r="X1395" s="2" t="s">
        <v>776</v>
      </c>
      <c r="Y1395" s="2" t="s">
        <v>2521</v>
      </c>
      <c r="Z1395" s="4">
        <v>47</v>
      </c>
      <c r="AA1395" s="4">
        <f>=ROUNDDOWN(156.666666666667,0)</f>
      </c>
      <c r="AB1395" s="5">
        <v>0.3</v>
      </c>
      <c r="AC1395" s="2" t="s">
        <v>233</v>
      </c>
      <c r="AD1395" s="4"/>
      <c r="AE1395" s="4"/>
      <c r="AF1395" s="6">
        <v>74</v>
      </c>
      <c r="AG1395" s="6"/>
      <c r="AH1395" s="7">
        <v>1</v>
      </c>
      <c r="AI1395" s="4"/>
      <c r="AJ1395" s="4">
        <f>=ROUNDDOWN({0},0)</f>
      </c>
      <c r="AK1395" s="5"/>
      <c r="AL1395" s="2" t="s">
        <v>233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 t="s">
        <v>233</v>
      </c>
      <c r="BD1395" s="8" t="s">
        <v>233</v>
      </c>
      <c r="BE1395" s="4" t="s">
        <v>233</v>
      </c>
      <c r="BF1395" s="8" t="s">
        <v>233</v>
      </c>
      <c r="BG1395" s="7" t="s">
        <v>233</v>
      </c>
      <c r="BH1395" s="7" t="s">
        <v>233</v>
      </c>
      <c r="BI1395" s="7"/>
      <c r="BJ1395" s="4">
        <v>1</v>
      </c>
      <c r="BK1395" s="8">
        <v>87.75</v>
      </c>
      <c r="BL1395" s="2" t="s">
        <v>1028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6760</v>
      </c>
      <c r="BV1395" s="2" t="s">
        <v>233</v>
      </c>
      <c r="BW1395" s="2" t="s">
        <v>233</v>
      </c>
      <c r="BX1395" s="2" t="s">
        <v>243</v>
      </c>
      <c r="BY1395" s="2" t="s">
        <v>280</v>
      </c>
      <c r="BZ1395" s="2" t="s">
        <v>245</v>
      </c>
      <c r="CA1395" s="2" t="s">
        <v>2524</v>
      </c>
      <c r="CB1395" s="2" t="s">
        <v>6761</v>
      </c>
      <c r="CC1395" s="2" t="s">
        <v>246</v>
      </c>
      <c r="CD1395" s="2" t="s">
        <v>233</v>
      </c>
      <c r="CE1395" s="4"/>
      <c r="CF1395" s="4">
        <v>47</v>
      </c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</row>
    <row r="1396">
      <c r="A1396" s="2" t="s">
        <v>6762</v>
      </c>
      <c r="B1396" s="2" t="s">
        <v>928</v>
      </c>
      <c r="C1396" s="2" t="s">
        <v>947</v>
      </c>
      <c r="D1396" s="2" t="s">
        <v>1101</v>
      </c>
      <c r="E1396" s="2" t="s">
        <v>5001</v>
      </c>
      <c r="F1396" s="2" t="s">
        <v>6763</v>
      </c>
      <c r="G1396" s="2" t="s">
        <v>6763</v>
      </c>
      <c r="H1396" s="2" t="s">
        <v>6763</v>
      </c>
      <c r="I1396" s="2" t="s">
        <v>6764</v>
      </c>
      <c r="J1396" s="2" t="s">
        <v>892</v>
      </c>
      <c r="K1396" s="2" t="s">
        <v>645</v>
      </c>
      <c r="L1396" s="3">
        <v>105.12</v>
      </c>
      <c r="M1396" s="3">
        <v>110.38</v>
      </c>
      <c r="N1396" s="3">
        <v>219</v>
      </c>
      <c r="O1396" s="2" t="s">
        <v>252</v>
      </c>
      <c r="P1396" s="2" t="s">
        <v>311</v>
      </c>
      <c r="Q1396" s="2" t="s">
        <v>239</v>
      </c>
      <c r="R1396" s="2" t="s">
        <v>233</v>
      </c>
      <c r="S1396" s="2" t="s">
        <v>233</v>
      </c>
      <c r="T1396" s="2" t="s">
        <v>233</v>
      </c>
      <c r="U1396" s="2" t="s">
        <v>396</v>
      </c>
      <c r="V1396" s="2" t="s">
        <v>241</v>
      </c>
      <c r="W1396" s="2" t="s">
        <v>451</v>
      </c>
      <c r="X1396" s="2" t="s">
        <v>705</v>
      </c>
      <c r="Y1396" s="2" t="s">
        <v>2905</v>
      </c>
      <c r="Z1396" s="4"/>
      <c r="AA1396" s="4">
        <f>=ROUNDDOWN({0},0)</f>
      </c>
      <c r="AB1396" s="5"/>
      <c r="AC1396" s="2" t="s">
        <v>233</v>
      </c>
      <c r="AD1396" s="4"/>
      <c r="AE1396" s="4"/>
      <c r="AF1396" s="6">
        <v>63</v>
      </c>
      <c r="AG1396" s="6"/>
      <c r="AH1396" s="7">
        <v>0</v>
      </c>
      <c r="AI1396" s="4"/>
      <c r="AJ1396" s="4">
        <f>=ROUNDDOWN({0},0)</f>
      </c>
      <c r="AK1396" s="5"/>
      <c r="AL1396" s="2" t="s">
        <v>233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/>
      <c r="BD1396" s="8"/>
      <c r="BE1396" s="4"/>
      <c r="BF1396" s="8"/>
      <c r="BG1396" s="7"/>
      <c r="BH1396" s="7"/>
      <c r="BI1396" s="7"/>
      <c r="BJ1396" s="4"/>
      <c r="BK1396" s="8"/>
      <c r="BL1396" s="2" t="s">
        <v>233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6765</v>
      </c>
      <c r="BV1396" s="2" t="s">
        <v>233</v>
      </c>
      <c r="BW1396" s="2" t="s">
        <v>233</v>
      </c>
      <c r="BX1396" s="2" t="s">
        <v>233</v>
      </c>
      <c r="BY1396" s="2" t="s">
        <v>280</v>
      </c>
      <c r="BZ1396" s="2" t="s">
        <v>245</v>
      </c>
      <c r="CA1396" s="2" t="s">
        <v>4679</v>
      </c>
      <c r="CB1396" s="2" t="s">
        <v>233</v>
      </c>
      <c r="CC1396" s="2" t="s">
        <v>246</v>
      </c>
      <c r="CD1396" s="2" t="s">
        <v>233</v>
      </c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</row>
    <row r="1397">
      <c r="A1397" s="2" t="s">
        <v>6766</v>
      </c>
      <c r="B1397" s="2" t="s">
        <v>1242</v>
      </c>
      <c r="C1397" s="2" t="s">
        <v>530</v>
      </c>
      <c r="D1397" s="2" t="s">
        <v>969</v>
      </c>
      <c r="E1397" s="2" t="s">
        <v>1078</v>
      </c>
      <c r="F1397" s="2" t="s">
        <v>6767</v>
      </c>
      <c r="G1397" s="2" t="s">
        <v>6768</v>
      </c>
      <c r="H1397" s="2" t="s">
        <v>6769</v>
      </c>
      <c r="I1397" s="2" t="s">
        <v>6770</v>
      </c>
      <c r="J1397" s="2" t="s">
        <v>546</v>
      </c>
      <c r="K1397" s="2" t="s">
        <v>271</v>
      </c>
      <c r="L1397" s="3">
        <v>50.28</v>
      </c>
      <c r="M1397" s="3">
        <v>52.79</v>
      </c>
      <c r="N1397" s="3">
        <v>109.99</v>
      </c>
      <c r="O1397" s="2" t="s">
        <v>245</v>
      </c>
      <c r="P1397" s="2" t="s">
        <v>238</v>
      </c>
      <c r="Q1397" s="2" t="s">
        <v>239</v>
      </c>
      <c r="R1397" s="2" t="s">
        <v>233</v>
      </c>
      <c r="S1397" s="2" t="s">
        <v>6771</v>
      </c>
      <c r="T1397" s="2" t="s">
        <v>395</v>
      </c>
      <c r="U1397" s="2" t="s">
        <v>1507</v>
      </c>
      <c r="V1397" s="2" t="s">
        <v>359</v>
      </c>
      <c r="W1397" s="2" t="s">
        <v>397</v>
      </c>
      <c r="X1397" s="2" t="s">
        <v>451</v>
      </c>
      <c r="Y1397" s="2" t="s">
        <v>2512</v>
      </c>
      <c r="Z1397" s="4">
        <v>43</v>
      </c>
      <c r="AA1397" s="4">
        <f>=ROUNDDOWN(8.6,0)</f>
      </c>
      <c r="AB1397" s="5">
        <v>5</v>
      </c>
      <c r="AC1397" s="2" t="s">
        <v>2902</v>
      </c>
      <c r="AD1397" s="4">
        <v>60</v>
      </c>
      <c r="AE1397" s="4">
        <v>60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233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/>
      <c r="BD1397" s="8"/>
      <c r="BE1397" s="4"/>
      <c r="BF1397" s="8"/>
      <c r="BG1397" s="7"/>
      <c r="BH1397" s="7"/>
      <c r="BI1397" s="7"/>
      <c r="BJ1397" s="4">
        <v>11</v>
      </c>
      <c r="BK1397" s="8">
        <v>532.12</v>
      </c>
      <c r="BL1397" s="2" t="s">
        <v>5456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6772</v>
      </c>
      <c r="BV1397" s="2" t="s">
        <v>233</v>
      </c>
      <c r="BW1397" s="2" t="s">
        <v>233</v>
      </c>
      <c r="BX1397" s="2" t="s">
        <v>243</v>
      </c>
      <c r="BY1397" s="2" t="s">
        <v>280</v>
      </c>
      <c r="BZ1397" s="2" t="s">
        <v>245</v>
      </c>
      <c r="CA1397" s="2" t="s">
        <v>2762</v>
      </c>
      <c r="CB1397" s="2" t="s">
        <v>5356</v>
      </c>
      <c r="CC1397" s="2" t="s">
        <v>246</v>
      </c>
      <c r="CD1397" s="2" t="s">
        <v>233</v>
      </c>
      <c r="CE1397" s="4">
        <v>43</v>
      </c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>
        <v>60</v>
      </c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</row>
    <row r="1398">
      <c r="A1398" s="2" t="s">
        <v>6773</v>
      </c>
      <c r="B1398" s="2" t="s">
        <v>928</v>
      </c>
      <c r="C1398" s="2" t="s">
        <v>901</v>
      </c>
      <c r="D1398" s="2" t="s">
        <v>961</v>
      </c>
      <c r="E1398" s="2" t="s">
        <v>939</v>
      </c>
      <c r="F1398" s="2" t="s">
        <v>6774</v>
      </c>
      <c r="G1398" s="2" t="s">
        <v>6774</v>
      </c>
      <c r="H1398" s="2" t="s">
        <v>6774</v>
      </c>
      <c r="I1398" s="2" t="s">
        <v>6775</v>
      </c>
      <c r="J1398" s="2" t="s">
        <v>892</v>
      </c>
      <c r="K1398" s="2" t="s">
        <v>950</v>
      </c>
      <c r="L1398" s="3">
        <v>71.42</v>
      </c>
      <c r="M1398" s="3">
        <v>74.99</v>
      </c>
      <c r="N1398" s="3">
        <v>149.99</v>
      </c>
      <c r="O1398" s="2" t="s">
        <v>245</v>
      </c>
      <c r="P1398" s="2" t="s">
        <v>238</v>
      </c>
      <c r="Q1398" s="2" t="s">
        <v>239</v>
      </c>
      <c r="R1398" s="2" t="s">
        <v>233</v>
      </c>
      <c r="S1398" s="2" t="s">
        <v>233</v>
      </c>
      <c r="T1398" s="2" t="s">
        <v>233</v>
      </c>
      <c r="U1398" s="2" t="s">
        <v>491</v>
      </c>
      <c r="V1398" s="2" t="s">
        <v>1085</v>
      </c>
      <c r="W1398" s="2" t="s">
        <v>894</v>
      </c>
      <c r="X1398" s="2" t="s">
        <v>451</v>
      </c>
      <c r="Y1398" s="2" t="s">
        <v>1001</v>
      </c>
      <c r="Z1398" s="4">
        <v>88</v>
      </c>
      <c r="AA1398" s="4">
        <f>=ROUNDDOWN(44,0)</f>
      </c>
      <c r="AB1398" s="5">
        <v>2</v>
      </c>
      <c r="AC1398" s="2" t="s">
        <v>233</v>
      </c>
      <c r="AD1398" s="4"/>
      <c r="AE1398" s="4"/>
      <c r="AF1398" s="6">
        <v>63</v>
      </c>
      <c r="AG1398" s="6"/>
      <c r="AH1398" s="7">
        <v>1</v>
      </c>
      <c r="AI1398" s="4"/>
      <c r="AJ1398" s="4">
        <f>=ROUNDDOWN({0},0)</f>
      </c>
      <c r="AK1398" s="5"/>
      <c r="AL1398" s="2" t="s">
        <v>233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/>
      <c r="BD1398" s="8"/>
      <c r="BE1398" s="4"/>
      <c r="BF1398" s="8"/>
      <c r="BG1398" s="7"/>
      <c r="BH1398" s="7"/>
      <c r="BI1398" s="7"/>
      <c r="BJ1398" s="4"/>
      <c r="BK1398" s="8"/>
      <c r="BL1398" s="2" t="s">
        <v>233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6776</v>
      </c>
      <c r="BV1398" s="2" t="s">
        <v>233</v>
      </c>
      <c r="BW1398" s="2" t="s">
        <v>233</v>
      </c>
      <c r="BX1398" s="2" t="s">
        <v>243</v>
      </c>
      <c r="BY1398" s="2" t="s">
        <v>280</v>
      </c>
      <c r="BZ1398" s="2" t="s">
        <v>245</v>
      </c>
      <c r="CA1398" s="2" t="s">
        <v>478</v>
      </c>
      <c r="CB1398" s="2" t="s">
        <v>233</v>
      </c>
      <c r="CC1398" s="2" t="s">
        <v>246</v>
      </c>
      <c r="CD1398" s="2" t="s">
        <v>233</v>
      </c>
      <c r="CE1398" s="4"/>
      <c r="CF1398" s="4">
        <v>88</v>
      </c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</row>
    <row r="1399">
      <c r="A1399" s="2" t="s">
        <v>6777</v>
      </c>
      <c r="B1399" s="2" t="s">
        <v>1066</v>
      </c>
      <c r="C1399" s="2" t="s">
        <v>530</v>
      </c>
      <c r="D1399" s="2" t="s">
        <v>1919</v>
      </c>
      <c r="E1399" s="2" t="s">
        <v>1920</v>
      </c>
      <c r="F1399" s="2" t="s">
        <v>6778</v>
      </c>
      <c r="G1399" s="2" t="s">
        <v>6779</v>
      </c>
      <c r="H1399" s="2" t="s">
        <v>6780</v>
      </c>
      <c r="I1399" s="2" t="s">
        <v>6781</v>
      </c>
      <c r="J1399" s="2" t="s">
        <v>892</v>
      </c>
      <c r="K1399" s="2" t="s">
        <v>984</v>
      </c>
      <c r="L1399" s="3">
        <v>128.7</v>
      </c>
      <c r="M1399" s="3">
        <v>135.14</v>
      </c>
      <c r="N1399" s="3">
        <v>269</v>
      </c>
      <c r="O1399" s="2" t="s">
        <v>237</v>
      </c>
      <c r="P1399" s="2" t="s">
        <v>311</v>
      </c>
      <c r="Q1399" s="2" t="s">
        <v>239</v>
      </c>
      <c r="R1399" s="2" t="s">
        <v>233</v>
      </c>
      <c r="S1399" s="2" t="s">
        <v>6782</v>
      </c>
      <c r="T1399" s="2" t="s">
        <v>233</v>
      </c>
      <c r="U1399" s="2" t="s">
        <v>233</v>
      </c>
      <c r="V1399" s="2" t="s">
        <v>241</v>
      </c>
      <c r="W1399" s="2" t="s">
        <v>451</v>
      </c>
      <c r="X1399" s="2" t="s">
        <v>233</v>
      </c>
      <c r="Y1399" s="2" t="s">
        <v>276</v>
      </c>
      <c r="Z1399" s="4">
        <v>34</v>
      </c>
      <c r="AA1399" s="4">
        <f>=ROUNDDOWN({0},0)</f>
      </c>
      <c r="AB1399" s="5">
        <v>1.9</v>
      </c>
      <c r="AC1399" s="2" t="s">
        <v>233</v>
      </c>
      <c r="AD1399" s="4"/>
      <c r="AE1399" s="4"/>
      <c r="AF1399" s="6">
        <v>74</v>
      </c>
      <c r="AG1399" s="6">
        <v>60</v>
      </c>
      <c r="AH1399" s="7">
        <v>1</v>
      </c>
      <c r="AI1399" s="4"/>
      <c r="AJ1399" s="4">
        <f>=ROUNDDOWN({0},0)</f>
      </c>
      <c r="AK1399" s="5"/>
      <c r="AL1399" s="2" t="s">
        <v>233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/>
      <c r="BD1399" s="8"/>
      <c r="BE1399" s="4"/>
      <c r="BF1399" s="8"/>
      <c r="BG1399" s="7"/>
      <c r="BH1399" s="7"/>
      <c r="BI1399" s="7"/>
      <c r="BJ1399" s="4">
        <v>7</v>
      </c>
      <c r="BK1399" s="8">
        <v>743.05</v>
      </c>
      <c r="BL1399" s="2" t="s">
        <v>6783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6784</v>
      </c>
      <c r="BV1399" s="2" t="s">
        <v>233</v>
      </c>
      <c r="BW1399" s="2" t="s">
        <v>233</v>
      </c>
      <c r="BX1399" s="2" t="s">
        <v>233</v>
      </c>
      <c r="BY1399" s="2" t="s">
        <v>280</v>
      </c>
      <c r="BZ1399" s="2" t="s">
        <v>245</v>
      </c>
      <c r="CA1399" s="2" t="s">
        <v>4498</v>
      </c>
      <c r="CB1399" s="2" t="s">
        <v>6785</v>
      </c>
      <c r="CC1399" s="2" t="s">
        <v>246</v>
      </c>
      <c r="CD1399" s="2" t="s">
        <v>233</v>
      </c>
      <c r="CE1399" s="4"/>
      <c r="CF1399" s="4">
        <v>34</v>
      </c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</row>
    <row r="1400">
      <c r="A1400" s="2" t="s">
        <v>6786</v>
      </c>
      <c r="B1400" s="2" t="s">
        <v>1242</v>
      </c>
      <c r="C1400" s="2" t="s">
        <v>2145</v>
      </c>
      <c r="D1400" s="2" t="s">
        <v>969</v>
      </c>
      <c r="E1400" s="2" t="s">
        <v>970</v>
      </c>
      <c r="F1400" s="2" t="s">
        <v>6787</v>
      </c>
      <c r="G1400" s="2" t="s">
        <v>6788</v>
      </c>
      <c r="H1400" s="2" t="s">
        <v>1789</v>
      </c>
      <c r="I1400" s="2" t="s">
        <v>6789</v>
      </c>
      <c r="J1400" s="2" t="s">
        <v>918</v>
      </c>
      <c r="K1400" s="2" t="s">
        <v>6790</v>
      </c>
      <c r="L1400" s="3">
        <v>19.04</v>
      </c>
      <c r="M1400" s="3">
        <v>19.99</v>
      </c>
      <c r="N1400" s="3">
        <v>39.99</v>
      </c>
      <c r="O1400" s="2" t="s">
        <v>245</v>
      </c>
      <c r="P1400" s="2" t="s">
        <v>311</v>
      </c>
      <c r="Q1400" s="2" t="s">
        <v>239</v>
      </c>
      <c r="R1400" s="2" t="s">
        <v>233</v>
      </c>
      <c r="S1400" s="2" t="s">
        <v>6791</v>
      </c>
      <c r="T1400" s="2" t="s">
        <v>395</v>
      </c>
      <c r="U1400" s="2" t="s">
        <v>491</v>
      </c>
      <c r="V1400" s="2" t="s">
        <v>1340</v>
      </c>
      <c r="W1400" s="2" t="s">
        <v>275</v>
      </c>
      <c r="X1400" s="2" t="s">
        <v>397</v>
      </c>
      <c r="Y1400" s="2" t="s">
        <v>761</v>
      </c>
      <c r="Z1400" s="4">
        <v>674</v>
      </c>
      <c r="AA1400" s="4">
        <f>=ROUNDDOWN(56.1666666666667,0)</f>
      </c>
      <c r="AB1400" s="5">
        <v>12</v>
      </c>
      <c r="AC1400" s="2" t="s">
        <v>4725</v>
      </c>
      <c r="AD1400" s="4">
        <v>96</v>
      </c>
      <c r="AE1400" s="4">
        <v>291</v>
      </c>
      <c r="AF1400" s="6">
        <v>63</v>
      </c>
      <c r="AG1400" s="6">
        <v>46</v>
      </c>
      <c r="AH1400" s="7">
        <v>1</v>
      </c>
      <c r="AI1400" s="4"/>
      <c r="AJ1400" s="4">
        <f>=ROUNDDOWN({0},0)</f>
      </c>
      <c r="AK1400" s="5"/>
      <c r="AL1400" s="2" t="s">
        <v>233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233</v>
      </c>
      <c r="AW1400" s="8" t="s">
        <v>233</v>
      </c>
      <c r="AX1400" s="4" t="s">
        <v>233</v>
      </c>
      <c r="AY1400" s="8" t="s">
        <v>233</v>
      </c>
      <c r="AZ1400" s="7" t="s">
        <v>233</v>
      </c>
      <c r="BA1400" s="7" t="s">
        <v>233</v>
      </c>
      <c r="BB1400" s="7"/>
      <c r="BC1400" s="4" t="s">
        <v>233</v>
      </c>
      <c r="BD1400" s="8" t="s">
        <v>233</v>
      </c>
      <c r="BE1400" s="4" t="s">
        <v>233</v>
      </c>
      <c r="BF1400" s="8" t="s">
        <v>233</v>
      </c>
      <c r="BG1400" s="7" t="s">
        <v>233</v>
      </c>
      <c r="BH1400" s="7" t="s">
        <v>233</v>
      </c>
      <c r="BI1400" s="7"/>
      <c r="BJ1400" s="4">
        <v>23</v>
      </c>
      <c r="BK1400" s="8">
        <v>464.27</v>
      </c>
      <c r="BL1400" s="2" t="s">
        <v>6792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6793</v>
      </c>
      <c r="BV1400" s="2" t="s">
        <v>233</v>
      </c>
      <c r="BW1400" s="2" t="s">
        <v>233</v>
      </c>
      <c r="BX1400" s="2" t="s">
        <v>6794</v>
      </c>
      <c r="BY1400" s="2" t="s">
        <v>280</v>
      </c>
      <c r="BZ1400" s="2" t="s">
        <v>245</v>
      </c>
      <c r="CA1400" s="2" t="s">
        <v>1009</v>
      </c>
      <c r="CB1400" s="2" t="s">
        <v>1001</v>
      </c>
      <c r="CC1400" s="2" t="s">
        <v>246</v>
      </c>
      <c r="CD1400" s="2" t="s">
        <v>233</v>
      </c>
      <c r="CE1400" s="4">
        <v>405</v>
      </c>
      <c r="CF1400" s="4"/>
      <c r="CG1400" s="4"/>
      <c r="CH1400" s="4"/>
      <c r="CI1400" s="4">
        <v>269</v>
      </c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>
        <v>96</v>
      </c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>
        <v>195</v>
      </c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</row>
    <row r="1401">
      <c r="A1401" s="2" t="s">
        <v>6795</v>
      </c>
      <c r="B1401" s="2" t="s">
        <v>1242</v>
      </c>
      <c r="C1401" s="2" t="s">
        <v>2145</v>
      </c>
      <c r="D1401" s="2" t="s">
        <v>969</v>
      </c>
      <c r="E1401" s="2" t="s">
        <v>970</v>
      </c>
      <c r="F1401" s="2" t="s">
        <v>6787</v>
      </c>
      <c r="G1401" s="2" t="s">
        <v>6788</v>
      </c>
      <c r="H1401" s="2" t="s">
        <v>1789</v>
      </c>
      <c r="I1401" s="2" t="s">
        <v>6789</v>
      </c>
      <c r="J1401" s="2" t="s">
        <v>981</v>
      </c>
      <c r="K1401" s="2" t="s">
        <v>6790</v>
      </c>
      <c r="L1401" s="3">
        <v>21.42</v>
      </c>
      <c r="M1401" s="3">
        <v>22.49</v>
      </c>
      <c r="N1401" s="3">
        <v>44.99</v>
      </c>
      <c r="O1401" s="2" t="s">
        <v>245</v>
      </c>
      <c r="P1401" s="2" t="s">
        <v>311</v>
      </c>
      <c r="Q1401" s="2" t="s">
        <v>239</v>
      </c>
      <c r="R1401" s="2" t="s">
        <v>233</v>
      </c>
      <c r="S1401" s="2" t="s">
        <v>6791</v>
      </c>
      <c r="T1401" s="2" t="s">
        <v>395</v>
      </c>
      <c r="U1401" s="2" t="s">
        <v>475</v>
      </c>
      <c r="V1401" s="2" t="s">
        <v>1340</v>
      </c>
      <c r="W1401" s="2" t="s">
        <v>275</v>
      </c>
      <c r="X1401" s="2" t="s">
        <v>397</v>
      </c>
      <c r="Y1401" s="2" t="s">
        <v>761</v>
      </c>
      <c r="Z1401" s="4">
        <v>1255</v>
      </c>
      <c r="AA1401" s="4">
        <f>=ROUNDDOWN(62.75,0)</f>
      </c>
      <c r="AB1401" s="5">
        <v>20</v>
      </c>
      <c r="AC1401" s="2" t="s">
        <v>825</v>
      </c>
      <c r="AD1401" s="4">
        <v>456</v>
      </c>
      <c r="AE1401" s="4">
        <v>456</v>
      </c>
      <c r="AF1401" s="6">
        <v>63</v>
      </c>
      <c r="AG1401" s="6">
        <v>46</v>
      </c>
      <c r="AH1401" s="7">
        <v>1</v>
      </c>
      <c r="AI1401" s="4"/>
      <c r="AJ1401" s="4">
        <f>=ROUNDDOWN({0},0)</f>
      </c>
      <c r="AK1401" s="5"/>
      <c r="AL1401" s="2" t="s">
        <v>233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233</v>
      </c>
      <c r="AW1401" s="8" t="s">
        <v>233</v>
      </c>
      <c r="AX1401" s="4" t="s">
        <v>233</v>
      </c>
      <c r="AY1401" s="8" t="s">
        <v>233</v>
      </c>
      <c r="AZ1401" s="7" t="s">
        <v>233</v>
      </c>
      <c r="BA1401" s="7" t="s">
        <v>233</v>
      </c>
      <c r="BB1401" s="7"/>
      <c r="BC1401" s="4" t="s">
        <v>233</v>
      </c>
      <c r="BD1401" s="8" t="s">
        <v>233</v>
      </c>
      <c r="BE1401" s="4" t="s">
        <v>233</v>
      </c>
      <c r="BF1401" s="8" t="s">
        <v>233</v>
      </c>
      <c r="BG1401" s="7" t="s">
        <v>233</v>
      </c>
      <c r="BH1401" s="7" t="s">
        <v>233</v>
      </c>
      <c r="BI1401" s="7"/>
      <c r="BJ1401" s="4">
        <v>47</v>
      </c>
      <c r="BK1401" s="8">
        <v>1112.55</v>
      </c>
      <c r="BL1401" s="2" t="s">
        <v>6796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6797</v>
      </c>
      <c r="BV1401" s="2" t="s">
        <v>233</v>
      </c>
      <c r="BW1401" s="2" t="s">
        <v>233</v>
      </c>
      <c r="BX1401" s="2" t="s">
        <v>6794</v>
      </c>
      <c r="BY1401" s="2" t="s">
        <v>280</v>
      </c>
      <c r="BZ1401" s="2" t="s">
        <v>245</v>
      </c>
      <c r="CA1401" s="2" t="s">
        <v>1009</v>
      </c>
      <c r="CB1401" s="2" t="s">
        <v>2799</v>
      </c>
      <c r="CC1401" s="2" t="s">
        <v>246</v>
      </c>
      <c r="CD1401" s="2" t="s">
        <v>233</v>
      </c>
      <c r="CE1401" s="4">
        <v>480</v>
      </c>
      <c r="CF1401" s="4"/>
      <c r="CG1401" s="4"/>
      <c r="CH1401" s="4"/>
      <c r="CI1401" s="4">
        <v>775</v>
      </c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>
        <v>456</v>
      </c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</row>
    <row r="1402">
      <c r="A1402" s="2" t="s">
        <v>6798</v>
      </c>
      <c r="B1402" s="2" t="s">
        <v>1066</v>
      </c>
      <c r="C1402" s="2" t="s">
        <v>530</v>
      </c>
      <c r="D1402" s="2" t="s">
        <v>1067</v>
      </c>
      <c r="E1402" s="2" t="s">
        <v>1068</v>
      </c>
      <c r="F1402" s="2" t="s">
        <v>6799</v>
      </c>
      <c r="G1402" s="2" t="s">
        <v>6800</v>
      </c>
      <c r="H1402" s="2" t="s">
        <v>6801</v>
      </c>
      <c r="I1402" s="2" t="s">
        <v>6802</v>
      </c>
      <c r="J1402" s="2" t="s">
        <v>892</v>
      </c>
      <c r="K1402" s="2" t="s">
        <v>853</v>
      </c>
      <c r="L1402" s="3">
        <v>209.76</v>
      </c>
      <c r="M1402" s="3">
        <v>220.25</v>
      </c>
      <c r="N1402" s="3">
        <v>439</v>
      </c>
      <c r="O1402" s="2" t="s">
        <v>245</v>
      </c>
      <c r="P1402" s="2" t="s">
        <v>393</v>
      </c>
      <c r="Q1402" s="2" t="s">
        <v>239</v>
      </c>
      <c r="R1402" s="2" t="s">
        <v>233</v>
      </c>
      <c r="S1402" s="2" t="s">
        <v>233</v>
      </c>
      <c r="T1402" s="2" t="s">
        <v>233</v>
      </c>
      <c r="U1402" s="2" t="s">
        <v>396</v>
      </c>
      <c r="V1402" s="2" t="s">
        <v>893</v>
      </c>
      <c r="W1402" s="2" t="s">
        <v>397</v>
      </c>
      <c r="X1402" s="2" t="s">
        <v>977</v>
      </c>
      <c r="Y1402" s="2" t="s">
        <v>5406</v>
      </c>
      <c r="Z1402" s="4">
        <v>45</v>
      </c>
      <c r="AA1402" s="4">
        <f>=ROUNDDOWN(22.5,0)</f>
      </c>
      <c r="AB1402" s="5">
        <v>2</v>
      </c>
      <c r="AC1402" s="2" t="s">
        <v>233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233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/>
      <c r="AW1402" s="8"/>
      <c r="AX1402" s="4"/>
      <c r="AY1402" s="8"/>
      <c r="AZ1402" s="7"/>
      <c r="BA1402" s="7"/>
      <c r="BB1402" s="7"/>
      <c r="BC1402" s="4"/>
      <c r="BD1402" s="8"/>
      <c r="BE1402" s="4"/>
      <c r="BF1402" s="8"/>
      <c r="BG1402" s="7"/>
      <c r="BH1402" s="7"/>
      <c r="BI1402" s="7"/>
      <c r="BJ1402" s="4">
        <v>10</v>
      </c>
      <c r="BK1402" s="8">
        <v>2289.8</v>
      </c>
      <c r="BL1402" s="2" t="s">
        <v>1023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6803</v>
      </c>
      <c r="BV1402" s="2" t="s">
        <v>233</v>
      </c>
      <c r="BW1402" s="2" t="s">
        <v>233</v>
      </c>
      <c r="BX1402" s="2" t="s">
        <v>243</v>
      </c>
      <c r="BY1402" s="2" t="s">
        <v>280</v>
      </c>
      <c r="BZ1402" s="2" t="s">
        <v>245</v>
      </c>
      <c r="CA1402" s="2" t="s">
        <v>3674</v>
      </c>
      <c r="CB1402" s="2" t="s">
        <v>233</v>
      </c>
      <c r="CC1402" s="2" t="s">
        <v>246</v>
      </c>
      <c r="CD1402" s="2" t="s">
        <v>233</v>
      </c>
      <c r="CE1402" s="4"/>
      <c r="CF1402" s="4">
        <v>45</v>
      </c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</row>
    <row r="1403">
      <c r="A1403" s="2" t="s">
        <v>6804</v>
      </c>
      <c r="B1403" s="2" t="s">
        <v>1066</v>
      </c>
      <c r="C1403" s="2" t="s">
        <v>530</v>
      </c>
      <c r="D1403" s="2" t="s">
        <v>1111</v>
      </c>
      <c r="E1403" s="2" t="s">
        <v>1723</v>
      </c>
      <c r="F1403" s="2" t="s">
        <v>6805</v>
      </c>
      <c r="G1403" s="2" t="s">
        <v>6806</v>
      </c>
      <c r="H1403" s="2" t="s">
        <v>6807</v>
      </c>
      <c r="I1403" s="2" t="s">
        <v>1900</v>
      </c>
      <c r="J1403" s="2" t="s">
        <v>892</v>
      </c>
      <c r="K1403" s="2" t="s">
        <v>823</v>
      </c>
      <c r="L1403" s="3">
        <v>261.25</v>
      </c>
      <c r="M1403" s="3">
        <v>274.31</v>
      </c>
      <c r="N1403" s="3">
        <v>549</v>
      </c>
      <c r="O1403" s="2" t="s">
        <v>245</v>
      </c>
      <c r="P1403" s="2" t="s">
        <v>272</v>
      </c>
      <c r="Q1403" s="2" t="s">
        <v>239</v>
      </c>
      <c r="R1403" s="2" t="s">
        <v>233</v>
      </c>
      <c r="S1403" s="2" t="s">
        <v>6808</v>
      </c>
      <c r="T1403" s="2" t="s">
        <v>233</v>
      </c>
      <c r="U1403" s="2" t="s">
        <v>233</v>
      </c>
      <c r="V1403" s="2" t="s">
        <v>241</v>
      </c>
      <c r="W1403" s="2" t="s">
        <v>451</v>
      </c>
      <c r="X1403" s="2" t="s">
        <v>233</v>
      </c>
      <c r="Y1403" s="2" t="s">
        <v>6809</v>
      </c>
      <c r="Z1403" s="4">
        <v>52</v>
      </c>
      <c r="AA1403" s="4">
        <f>=ROUNDDOWN(7.42857142857143,0)</f>
      </c>
      <c r="AB1403" s="5">
        <v>7</v>
      </c>
      <c r="AC1403" s="2" t="s">
        <v>873</v>
      </c>
      <c r="AD1403" s="4">
        <v>81</v>
      </c>
      <c r="AE1403" s="4">
        <v>213</v>
      </c>
      <c r="AF1403" s="6">
        <v>66</v>
      </c>
      <c r="AG1403" s="6">
        <v>49</v>
      </c>
      <c r="AH1403" s="7">
        <v>1</v>
      </c>
      <c r="AI1403" s="4"/>
      <c r="AJ1403" s="4">
        <f>=ROUNDDOWN({0},0)</f>
      </c>
      <c r="AK1403" s="5"/>
      <c r="AL1403" s="2" t="s">
        <v>233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/>
      <c r="BD1403" s="8"/>
      <c r="BE1403" s="4"/>
      <c r="BF1403" s="8"/>
      <c r="BG1403" s="7"/>
      <c r="BH1403" s="7"/>
      <c r="BI1403" s="7"/>
      <c r="BJ1403" s="4">
        <v>78</v>
      </c>
      <c r="BK1403" s="8">
        <v>19332.47</v>
      </c>
      <c r="BL1403" s="2" t="s">
        <v>6810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6811</v>
      </c>
      <c r="BV1403" s="2" t="s">
        <v>233</v>
      </c>
      <c r="BW1403" s="2" t="s">
        <v>233</v>
      </c>
      <c r="BX1403" s="2" t="s">
        <v>233</v>
      </c>
      <c r="BY1403" s="2" t="s">
        <v>280</v>
      </c>
      <c r="BZ1403" s="2" t="s">
        <v>245</v>
      </c>
      <c r="CA1403" s="2" t="s">
        <v>6812</v>
      </c>
      <c r="CB1403" s="2" t="s">
        <v>4946</v>
      </c>
      <c r="CC1403" s="2" t="s">
        <v>246</v>
      </c>
      <c r="CD1403" s="2" t="s">
        <v>233</v>
      </c>
      <c r="CE1403" s="4"/>
      <c r="CF1403" s="4">
        <v>44</v>
      </c>
      <c r="CG1403" s="4"/>
      <c r="CH1403" s="4"/>
      <c r="CI1403" s="4">
        <v>8</v>
      </c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>
        <v>81</v>
      </c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>
        <v>132</v>
      </c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</row>
    <row r="1404">
      <c r="A1404" s="2" t="s">
        <v>6813</v>
      </c>
      <c r="B1404" s="2" t="s">
        <v>1174</v>
      </c>
      <c r="C1404" s="2" t="s">
        <v>1447</v>
      </c>
      <c r="D1404" s="2" t="s">
        <v>1175</v>
      </c>
      <c r="E1404" s="2" t="s">
        <v>1448</v>
      </c>
      <c r="F1404" s="2" t="s">
        <v>6814</v>
      </c>
      <c r="G1404" s="2" t="s">
        <v>6815</v>
      </c>
      <c r="H1404" s="2" t="s">
        <v>6816</v>
      </c>
      <c r="I1404" s="2" t="s">
        <v>6817</v>
      </c>
      <c r="J1404" s="2" t="s">
        <v>1490</v>
      </c>
      <c r="K1404" s="2" t="s">
        <v>1218</v>
      </c>
      <c r="L1404" s="3">
        <v>18</v>
      </c>
      <c r="M1404" s="3">
        <v>18.9</v>
      </c>
      <c r="N1404" s="3">
        <v>39.99</v>
      </c>
      <c r="O1404" s="2" t="s">
        <v>245</v>
      </c>
      <c r="P1404" s="2" t="s">
        <v>272</v>
      </c>
      <c r="Q1404" s="2" t="s">
        <v>239</v>
      </c>
      <c r="R1404" s="2" t="s">
        <v>233</v>
      </c>
      <c r="S1404" s="2" t="s">
        <v>6818</v>
      </c>
      <c r="T1404" s="2" t="s">
        <v>233</v>
      </c>
      <c r="U1404" s="2" t="s">
        <v>233</v>
      </c>
      <c r="V1404" s="2" t="s">
        <v>379</v>
      </c>
      <c r="W1404" s="2" t="s">
        <v>275</v>
      </c>
      <c r="X1404" s="2" t="s">
        <v>2589</v>
      </c>
      <c r="Y1404" s="2" t="s">
        <v>6819</v>
      </c>
      <c r="Z1404" s="4">
        <v>89</v>
      </c>
      <c r="AA1404" s="4">
        <f>=ROUNDDOWN(12.7142857142857,0)</f>
      </c>
      <c r="AB1404" s="5">
        <v>7</v>
      </c>
      <c r="AC1404" s="2" t="s">
        <v>233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233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/>
      <c r="AW1404" s="8"/>
      <c r="AX1404" s="4"/>
      <c r="AY1404" s="8"/>
      <c r="AZ1404" s="7"/>
      <c r="BA1404" s="7"/>
      <c r="BB1404" s="7"/>
      <c r="BC1404" s="4"/>
      <c r="BD1404" s="8"/>
      <c r="BE1404" s="4"/>
      <c r="BF1404" s="8"/>
      <c r="BG1404" s="7"/>
      <c r="BH1404" s="7"/>
      <c r="BI1404" s="7"/>
      <c r="BJ1404" s="4">
        <v>9</v>
      </c>
      <c r="BK1404" s="8">
        <v>165.83</v>
      </c>
      <c r="BL1404" s="2" t="s">
        <v>6820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6821</v>
      </c>
      <c r="BV1404" s="2" t="s">
        <v>233</v>
      </c>
      <c r="BW1404" s="2" t="s">
        <v>233</v>
      </c>
      <c r="BX1404" s="2" t="s">
        <v>233</v>
      </c>
      <c r="BY1404" s="2" t="s">
        <v>280</v>
      </c>
      <c r="BZ1404" s="2" t="s">
        <v>245</v>
      </c>
      <c r="CA1404" s="2" t="s">
        <v>6822</v>
      </c>
      <c r="CB1404" s="2" t="s">
        <v>4427</v>
      </c>
      <c r="CC1404" s="2" t="s">
        <v>246</v>
      </c>
      <c r="CD1404" s="2" t="s">
        <v>233</v>
      </c>
      <c r="CE1404" s="4">
        <v>89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</row>
    <row r="1405">
      <c r="A1405" s="2" t="s">
        <v>6823</v>
      </c>
      <c r="B1405" s="2" t="s">
        <v>1242</v>
      </c>
      <c r="C1405" s="2" t="s">
        <v>1986</v>
      </c>
      <c r="D1405" s="2" t="s">
        <v>969</v>
      </c>
      <c r="E1405" s="2" t="s">
        <v>1078</v>
      </c>
      <c r="F1405" s="2" t="s">
        <v>6824</v>
      </c>
      <c r="G1405" s="2" t="s">
        <v>6824</v>
      </c>
      <c r="H1405" s="2" t="s">
        <v>6824</v>
      </c>
      <c r="I1405" s="2" t="s">
        <v>6825</v>
      </c>
      <c r="J1405" s="2" t="s">
        <v>348</v>
      </c>
      <c r="K1405" s="2" t="s">
        <v>6826</v>
      </c>
      <c r="L1405" s="3">
        <v>170.23</v>
      </c>
      <c r="M1405" s="3">
        <v>178.75</v>
      </c>
      <c r="N1405" s="3">
        <v>499.99</v>
      </c>
      <c r="O1405" s="2" t="s">
        <v>245</v>
      </c>
      <c r="P1405" s="2" t="s">
        <v>272</v>
      </c>
      <c r="Q1405" s="2" t="s">
        <v>239</v>
      </c>
      <c r="R1405" s="2" t="s">
        <v>233</v>
      </c>
      <c r="S1405" s="2" t="s">
        <v>233</v>
      </c>
      <c r="T1405" s="2" t="s">
        <v>233</v>
      </c>
      <c r="U1405" s="2" t="s">
        <v>342</v>
      </c>
      <c r="V1405" s="2" t="s">
        <v>1869</v>
      </c>
      <c r="W1405" s="2" t="s">
        <v>776</v>
      </c>
      <c r="X1405" s="2" t="s">
        <v>233</v>
      </c>
      <c r="Y1405" s="2" t="s">
        <v>3379</v>
      </c>
      <c r="Z1405" s="4"/>
      <c r="AA1405" s="4">
        <f>=ROUNDDOWN({0},0)</f>
      </c>
      <c r="AB1405" s="5">
        <v>8</v>
      </c>
      <c r="AC1405" s="2" t="s">
        <v>1754</v>
      </c>
      <c r="AD1405" s="4">
        <v>185</v>
      </c>
      <c r="AE1405" s="4">
        <v>185</v>
      </c>
      <c r="AF1405" s="6">
        <v>65</v>
      </c>
      <c r="AG1405" s="6"/>
      <c r="AH1405" s="7">
        <v>0.0968</v>
      </c>
      <c r="AI1405" s="4"/>
      <c r="AJ1405" s="4">
        <f>=ROUNDDOWN({0},0)</f>
      </c>
      <c r="AK1405" s="5"/>
      <c r="AL1405" s="2" t="s">
        <v>233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233</v>
      </c>
      <c r="AW1405" s="8" t="s">
        <v>233</v>
      </c>
      <c r="AX1405" s="4" t="s">
        <v>233</v>
      </c>
      <c r="AY1405" s="8" t="s">
        <v>233</v>
      </c>
      <c r="AZ1405" s="7" t="s">
        <v>233</v>
      </c>
      <c r="BA1405" s="7" t="s">
        <v>233</v>
      </c>
      <c r="BB1405" s="7"/>
      <c r="BC1405" s="4" t="s">
        <v>233</v>
      </c>
      <c r="BD1405" s="8" t="s">
        <v>233</v>
      </c>
      <c r="BE1405" s="4" t="s">
        <v>233</v>
      </c>
      <c r="BF1405" s="8" t="s">
        <v>233</v>
      </c>
      <c r="BG1405" s="7" t="s">
        <v>233</v>
      </c>
      <c r="BH1405" s="7" t="s">
        <v>233</v>
      </c>
      <c r="BI1405" s="7"/>
      <c r="BJ1405" s="4">
        <v>10</v>
      </c>
      <c r="BK1405" s="8">
        <v>1957.6</v>
      </c>
      <c r="BL1405" s="2" t="s">
        <v>1292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6827</v>
      </c>
      <c r="BV1405" s="2" t="s">
        <v>233</v>
      </c>
      <c r="BW1405" s="2" t="s">
        <v>233</v>
      </c>
      <c r="BX1405" s="2" t="s">
        <v>243</v>
      </c>
      <c r="BY1405" s="2" t="s">
        <v>280</v>
      </c>
      <c r="BZ1405" s="2" t="s">
        <v>245</v>
      </c>
      <c r="CA1405" s="2" t="s">
        <v>3147</v>
      </c>
      <c r="CB1405" s="2" t="s">
        <v>761</v>
      </c>
      <c r="CC1405" s="2" t="s">
        <v>246</v>
      </c>
      <c r="CD1405" s="2" t="s">
        <v>233</v>
      </c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>
        <v>185</v>
      </c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</row>
    <row r="1406">
      <c r="A1406" s="2" t="s">
        <v>6828</v>
      </c>
      <c r="B1406" s="2" t="s">
        <v>1242</v>
      </c>
      <c r="C1406" s="2" t="s">
        <v>1986</v>
      </c>
      <c r="D1406" s="2" t="s">
        <v>969</v>
      </c>
      <c r="E1406" s="2" t="s">
        <v>1078</v>
      </c>
      <c r="F1406" s="2" t="s">
        <v>6824</v>
      </c>
      <c r="G1406" s="2" t="s">
        <v>6824</v>
      </c>
      <c r="H1406" s="2" t="s">
        <v>6824</v>
      </c>
      <c r="I1406" s="2" t="s">
        <v>6825</v>
      </c>
      <c r="J1406" s="2" t="s">
        <v>546</v>
      </c>
      <c r="K1406" s="2" t="s">
        <v>6826</v>
      </c>
      <c r="L1406" s="3">
        <v>204.28</v>
      </c>
      <c r="M1406" s="3">
        <v>214.5</v>
      </c>
      <c r="N1406" s="3">
        <v>599.99</v>
      </c>
      <c r="O1406" s="2" t="s">
        <v>245</v>
      </c>
      <c r="P1406" s="2" t="s">
        <v>272</v>
      </c>
      <c r="Q1406" s="2" t="s">
        <v>239</v>
      </c>
      <c r="R1406" s="2" t="s">
        <v>233</v>
      </c>
      <c r="S1406" s="2" t="s">
        <v>233</v>
      </c>
      <c r="T1406" s="2" t="s">
        <v>233</v>
      </c>
      <c r="U1406" s="2" t="s">
        <v>342</v>
      </c>
      <c r="V1406" s="2" t="s">
        <v>1869</v>
      </c>
      <c r="W1406" s="2" t="s">
        <v>776</v>
      </c>
      <c r="X1406" s="2" t="s">
        <v>233</v>
      </c>
      <c r="Y1406" s="2" t="s">
        <v>3379</v>
      </c>
      <c r="Z1406" s="4"/>
      <c r="AA1406" s="4">
        <f>=ROUNDDOWN({0},0)</f>
      </c>
      <c r="AB1406" s="5">
        <v>5</v>
      </c>
      <c r="AC1406" s="2" t="s">
        <v>1754</v>
      </c>
      <c r="AD1406" s="4">
        <v>100</v>
      </c>
      <c r="AE1406" s="4">
        <v>100</v>
      </c>
      <c r="AF1406" s="6">
        <v>65</v>
      </c>
      <c r="AG1406" s="6"/>
      <c r="AH1406" s="7">
        <v>0</v>
      </c>
      <c r="AI1406" s="4"/>
      <c r="AJ1406" s="4">
        <f>=ROUNDDOWN({0},0)</f>
      </c>
      <c r="AK1406" s="5"/>
      <c r="AL1406" s="2" t="s">
        <v>233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233</v>
      </c>
      <c r="AW1406" s="8" t="s">
        <v>233</v>
      </c>
      <c r="AX1406" s="4" t="s">
        <v>233</v>
      </c>
      <c r="AY1406" s="8" t="s">
        <v>233</v>
      </c>
      <c r="AZ1406" s="7" t="s">
        <v>233</v>
      </c>
      <c r="BA1406" s="7" t="s">
        <v>233</v>
      </c>
      <c r="BB1406" s="7"/>
      <c r="BC1406" s="4" t="s">
        <v>233</v>
      </c>
      <c r="BD1406" s="8" t="s">
        <v>233</v>
      </c>
      <c r="BE1406" s="4" t="s">
        <v>233</v>
      </c>
      <c r="BF1406" s="8" t="s">
        <v>233</v>
      </c>
      <c r="BG1406" s="7" t="s">
        <v>233</v>
      </c>
      <c r="BH1406" s="7" t="s">
        <v>233</v>
      </c>
      <c r="BI1406" s="7"/>
      <c r="BJ1406" s="4">
        <v>3</v>
      </c>
      <c r="BK1406" s="8">
        <v>704.76</v>
      </c>
      <c r="BL1406" s="2" t="s">
        <v>1292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6829</v>
      </c>
      <c r="BV1406" s="2" t="s">
        <v>233</v>
      </c>
      <c r="BW1406" s="2" t="s">
        <v>233</v>
      </c>
      <c r="BX1406" s="2" t="s">
        <v>233</v>
      </c>
      <c r="BY1406" s="2" t="s">
        <v>280</v>
      </c>
      <c r="BZ1406" s="2" t="s">
        <v>245</v>
      </c>
      <c r="CA1406" s="2" t="s">
        <v>3147</v>
      </c>
      <c r="CB1406" s="2" t="s">
        <v>2423</v>
      </c>
      <c r="CC1406" s="2" t="s">
        <v>246</v>
      </c>
      <c r="CD1406" s="2" t="s">
        <v>233</v>
      </c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>
        <v>100</v>
      </c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</row>
    <row r="1407">
      <c r="A1407" s="2" t="s">
        <v>6830</v>
      </c>
      <c r="B1407" s="2" t="s">
        <v>1242</v>
      </c>
      <c r="C1407" s="2" t="s">
        <v>1986</v>
      </c>
      <c r="D1407" s="2" t="s">
        <v>969</v>
      </c>
      <c r="E1407" s="2" t="s">
        <v>1078</v>
      </c>
      <c r="F1407" s="2" t="s">
        <v>6824</v>
      </c>
      <c r="G1407" s="2" t="s">
        <v>6824</v>
      </c>
      <c r="H1407" s="2" t="s">
        <v>6824</v>
      </c>
      <c r="I1407" s="2" t="s">
        <v>6825</v>
      </c>
      <c r="J1407" s="2" t="s">
        <v>348</v>
      </c>
      <c r="K1407" s="2" t="s">
        <v>1994</v>
      </c>
      <c r="L1407" s="3">
        <v>170.23</v>
      </c>
      <c r="M1407" s="3">
        <v>178.74</v>
      </c>
      <c r="N1407" s="3">
        <v>499.99</v>
      </c>
      <c r="O1407" s="2" t="s">
        <v>245</v>
      </c>
      <c r="P1407" s="2" t="s">
        <v>272</v>
      </c>
      <c r="Q1407" s="2" t="s">
        <v>239</v>
      </c>
      <c r="R1407" s="2" t="s">
        <v>233</v>
      </c>
      <c r="S1407" s="2" t="s">
        <v>233</v>
      </c>
      <c r="T1407" s="2" t="s">
        <v>233</v>
      </c>
      <c r="U1407" s="2" t="s">
        <v>342</v>
      </c>
      <c r="V1407" s="2" t="s">
        <v>1869</v>
      </c>
      <c r="W1407" s="2" t="s">
        <v>776</v>
      </c>
      <c r="X1407" s="2" t="s">
        <v>233</v>
      </c>
      <c r="Y1407" s="2" t="s">
        <v>5734</v>
      </c>
      <c r="Z1407" s="4"/>
      <c r="AA1407" s="4">
        <f>=ROUNDDOWN({0},0)</f>
      </c>
      <c r="AB1407" s="5">
        <v>5</v>
      </c>
      <c r="AC1407" s="2" t="s">
        <v>3626</v>
      </c>
      <c r="AD1407" s="4">
        <v>180</v>
      </c>
      <c r="AE1407" s="4">
        <v>180</v>
      </c>
      <c r="AF1407" s="6">
        <v>65</v>
      </c>
      <c r="AG1407" s="6"/>
      <c r="AH1407" s="7">
        <v>0</v>
      </c>
      <c r="AI1407" s="4"/>
      <c r="AJ1407" s="4">
        <f>=ROUNDDOWN({0},0)</f>
      </c>
      <c r="AK1407" s="5"/>
      <c r="AL1407" s="2" t="s">
        <v>233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233</v>
      </c>
      <c r="AW1407" s="8" t="s">
        <v>233</v>
      </c>
      <c r="AX1407" s="4" t="s">
        <v>233</v>
      </c>
      <c r="AY1407" s="8" t="s">
        <v>233</v>
      </c>
      <c r="AZ1407" s="7" t="s">
        <v>233</v>
      </c>
      <c r="BA1407" s="7" t="s">
        <v>233</v>
      </c>
      <c r="BB1407" s="7"/>
      <c r="BC1407" s="4" t="s">
        <v>233</v>
      </c>
      <c r="BD1407" s="8" t="s">
        <v>233</v>
      </c>
      <c r="BE1407" s="4" t="s">
        <v>233</v>
      </c>
      <c r="BF1407" s="8" t="s">
        <v>233</v>
      </c>
      <c r="BG1407" s="7" t="s">
        <v>233</v>
      </c>
      <c r="BH1407" s="7" t="s">
        <v>233</v>
      </c>
      <c r="BI1407" s="7"/>
      <c r="BJ1407" s="4"/>
      <c r="BK1407" s="8"/>
      <c r="BL1407" s="2" t="s">
        <v>744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6831</v>
      </c>
      <c r="BV1407" s="2" t="s">
        <v>233</v>
      </c>
      <c r="BW1407" s="2" t="s">
        <v>233</v>
      </c>
      <c r="BX1407" s="2" t="s">
        <v>233</v>
      </c>
      <c r="BY1407" s="2" t="s">
        <v>280</v>
      </c>
      <c r="BZ1407" s="2" t="s">
        <v>245</v>
      </c>
      <c r="CA1407" s="2" t="s">
        <v>3147</v>
      </c>
      <c r="CB1407" s="2" t="s">
        <v>750</v>
      </c>
      <c r="CC1407" s="2" t="s">
        <v>246</v>
      </c>
      <c r="CD1407" s="2" t="s">
        <v>233</v>
      </c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>
        <v>180</v>
      </c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</row>
    <row r="1408">
      <c r="A1408" s="2" t="s">
        <v>6832</v>
      </c>
      <c r="B1408" s="2" t="s">
        <v>1242</v>
      </c>
      <c r="C1408" s="2" t="s">
        <v>1986</v>
      </c>
      <c r="D1408" s="2" t="s">
        <v>969</v>
      </c>
      <c r="E1408" s="2" t="s">
        <v>1078</v>
      </c>
      <c r="F1408" s="2" t="s">
        <v>6824</v>
      </c>
      <c r="G1408" s="2" t="s">
        <v>6824</v>
      </c>
      <c r="H1408" s="2" t="s">
        <v>6824</v>
      </c>
      <c r="I1408" s="2" t="s">
        <v>6825</v>
      </c>
      <c r="J1408" s="2" t="s">
        <v>546</v>
      </c>
      <c r="K1408" s="2" t="s">
        <v>1994</v>
      </c>
      <c r="L1408" s="3">
        <v>204.28</v>
      </c>
      <c r="M1408" s="3">
        <v>214.49</v>
      </c>
      <c r="N1408" s="3">
        <v>599.99</v>
      </c>
      <c r="O1408" s="2" t="s">
        <v>245</v>
      </c>
      <c r="P1408" s="2" t="s">
        <v>272</v>
      </c>
      <c r="Q1408" s="2" t="s">
        <v>239</v>
      </c>
      <c r="R1408" s="2" t="s">
        <v>233</v>
      </c>
      <c r="S1408" s="2" t="s">
        <v>233</v>
      </c>
      <c r="T1408" s="2" t="s">
        <v>233</v>
      </c>
      <c r="U1408" s="2" t="s">
        <v>342</v>
      </c>
      <c r="V1408" s="2" t="s">
        <v>1869</v>
      </c>
      <c r="W1408" s="2" t="s">
        <v>776</v>
      </c>
      <c r="X1408" s="2" t="s">
        <v>233</v>
      </c>
      <c r="Y1408" s="2" t="s">
        <v>5734</v>
      </c>
      <c r="Z1408" s="4"/>
      <c r="AA1408" s="4">
        <f>=ROUNDDOWN({0},0)</f>
      </c>
      <c r="AB1408" s="5">
        <v>3</v>
      </c>
      <c r="AC1408" s="2" t="s">
        <v>3626</v>
      </c>
      <c r="AD1408" s="4">
        <v>90</v>
      </c>
      <c r="AE1408" s="4">
        <v>90</v>
      </c>
      <c r="AF1408" s="6">
        <v>65</v>
      </c>
      <c r="AG1408" s="6"/>
      <c r="AH1408" s="7">
        <v>0</v>
      </c>
      <c r="AI1408" s="4"/>
      <c r="AJ1408" s="4">
        <f>=ROUNDDOWN({0},0)</f>
      </c>
      <c r="AK1408" s="5"/>
      <c r="AL1408" s="2" t="s">
        <v>233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233</v>
      </c>
      <c r="AW1408" s="8" t="s">
        <v>233</v>
      </c>
      <c r="AX1408" s="4" t="s">
        <v>233</v>
      </c>
      <c r="AY1408" s="8" t="s">
        <v>233</v>
      </c>
      <c r="AZ1408" s="7" t="s">
        <v>233</v>
      </c>
      <c r="BA1408" s="7" t="s">
        <v>233</v>
      </c>
      <c r="BB1408" s="7"/>
      <c r="BC1408" s="4" t="s">
        <v>233</v>
      </c>
      <c r="BD1408" s="8" t="s">
        <v>233</v>
      </c>
      <c r="BE1408" s="4" t="s">
        <v>233</v>
      </c>
      <c r="BF1408" s="8" t="s">
        <v>233</v>
      </c>
      <c r="BG1408" s="7" t="s">
        <v>233</v>
      </c>
      <c r="BH1408" s="7" t="s">
        <v>233</v>
      </c>
      <c r="BI1408" s="7"/>
      <c r="BJ1408" s="4"/>
      <c r="BK1408" s="8"/>
      <c r="BL1408" s="2" t="s">
        <v>233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243</v>
      </c>
      <c r="BV1408" s="2" t="s">
        <v>233</v>
      </c>
      <c r="BW1408" s="2" t="s">
        <v>233</v>
      </c>
      <c r="BX1408" s="2" t="s">
        <v>243</v>
      </c>
      <c r="BY1408" s="2" t="s">
        <v>244</v>
      </c>
      <c r="BZ1408" s="2" t="s">
        <v>245</v>
      </c>
      <c r="CA1408" s="2" t="s">
        <v>233</v>
      </c>
      <c r="CB1408" s="2" t="s">
        <v>233</v>
      </c>
      <c r="CC1408" s="2" t="s">
        <v>246</v>
      </c>
      <c r="CD1408" s="2" t="s">
        <v>233</v>
      </c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>
        <v>90</v>
      </c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</row>
    <row r="1409">
      <c r="A1409" s="2" t="s">
        <v>6833</v>
      </c>
      <c r="B1409" s="2" t="s">
        <v>2965</v>
      </c>
      <c r="C1409" s="2" t="s">
        <v>1277</v>
      </c>
      <c r="D1409" s="2" t="s">
        <v>2966</v>
      </c>
      <c r="E1409" s="2" t="s">
        <v>2967</v>
      </c>
      <c r="F1409" s="2" t="s">
        <v>6834</v>
      </c>
      <c r="G1409" s="2" t="s">
        <v>6834</v>
      </c>
      <c r="H1409" s="2" t="s">
        <v>6834</v>
      </c>
      <c r="I1409" s="2" t="s">
        <v>6835</v>
      </c>
      <c r="J1409" s="2" t="s">
        <v>892</v>
      </c>
      <c r="K1409" s="2" t="s">
        <v>1561</v>
      </c>
      <c r="L1409" s="3">
        <v>6.54</v>
      </c>
      <c r="M1409" s="3">
        <v>6.87</v>
      </c>
      <c r="N1409" s="3">
        <v>14.99</v>
      </c>
      <c r="O1409" s="2" t="s">
        <v>245</v>
      </c>
      <c r="P1409" s="2" t="s">
        <v>238</v>
      </c>
      <c r="Q1409" s="2" t="s">
        <v>239</v>
      </c>
      <c r="R1409" s="2" t="s">
        <v>233</v>
      </c>
      <c r="S1409" s="2" t="s">
        <v>233</v>
      </c>
      <c r="T1409" s="2" t="s">
        <v>233</v>
      </c>
      <c r="U1409" s="2" t="s">
        <v>396</v>
      </c>
      <c r="V1409" s="2" t="s">
        <v>893</v>
      </c>
      <c r="W1409" s="2" t="s">
        <v>275</v>
      </c>
      <c r="X1409" s="2" t="s">
        <v>233</v>
      </c>
      <c r="Y1409" s="2" t="s">
        <v>5820</v>
      </c>
      <c r="Z1409" s="4">
        <v>597</v>
      </c>
      <c r="AA1409" s="4">
        <f>=ROUNDDOWN(54.2727272727273,0)</f>
      </c>
      <c r="AB1409" s="5">
        <v>11</v>
      </c>
      <c r="AC1409" s="2" t="s">
        <v>233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233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/>
      <c r="BD1409" s="8"/>
      <c r="BE1409" s="4"/>
      <c r="BF1409" s="8"/>
      <c r="BG1409" s="7"/>
      <c r="BH1409" s="7"/>
      <c r="BI1409" s="7"/>
      <c r="BJ1409" s="4"/>
      <c r="BK1409" s="8"/>
      <c r="BL1409" s="2" t="s">
        <v>233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243</v>
      </c>
      <c r="BV1409" s="2" t="s">
        <v>233</v>
      </c>
      <c r="BW1409" s="2" t="s">
        <v>233</v>
      </c>
      <c r="BX1409" s="2" t="s">
        <v>243</v>
      </c>
      <c r="BY1409" s="2" t="s">
        <v>346</v>
      </c>
      <c r="BZ1409" s="2" t="s">
        <v>245</v>
      </c>
      <c r="CA1409" s="2" t="s">
        <v>233</v>
      </c>
      <c r="CB1409" s="2" t="s">
        <v>233</v>
      </c>
      <c r="CC1409" s="2" t="s">
        <v>246</v>
      </c>
      <c r="CD1409" s="2" t="s">
        <v>233</v>
      </c>
      <c r="CE1409" s="4"/>
      <c r="CF1409" s="4">
        <v>298</v>
      </c>
      <c r="CG1409" s="4"/>
      <c r="CH1409" s="4"/>
      <c r="CI1409" s="4">
        <v>299</v>
      </c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</row>
    <row r="1410">
      <c r="A1410" s="2" t="s">
        <v>6836</v>
      </c>
      <c r="B1410" s="2" t="s">
        <v>928</v>
      </c>
      <c r="C1410" s="2" t="s">
        <v>530</v>
      </c>
      <c r="D1410" s="2" t="s">
        <v>961</v>
      </c>
      <c r="E1410" s="2" t="s">
        <v>2028</v>
      </c>
      <c r="F1410" s="2" t="s">
        <v>6837</v>
      </c>
      <c r="G1410" s="2" t="s">
        <v>6837</v>
      </c>
      <c r="H1410" s="2" t="s">
        <v>6837</v>
      </c>
      <c r="I1410" s="2" t="s">
        <v>6838</v>
      </c>
      <c r="J1410" s="2" t="s">
        <v>892</v>
      </c>
      <c r="K1410" s="2" t="s">
        <v>6839</v>
      </c>
      <c r="L1410" s="3">
        <v>8.33</v>
      </c>
      <c r="M1410" s="3">
        <v>8.75</v>
      </c>
      <c r="N1410" s="3">
        <v>24.99</v>
      </c>
      <c r="O1410" s="2" t="s">
        <v>245</v>
      </c>
      <c r="P1410" s="2" t="s">
        <v>238</v>
      </c>
      <c r="Q1410" s="2" t="s">
        <v>239</v>
      </c>
      <c r="R1410" s="2" t="s">
        <v>233</v>
      </c>
      <c r="S1410" s="2" t="s">
        <v>233</v>
      </c>
      <c r="T1410" s="2" t="s">
        <v>233</v>
      </c>
      <c r="U1410" s="2" t="s">
        <v>396</v>
      </c>
      <c r="V1410" s="2" t="s">
        <v>2225</v>
      </c>
      <c r="W1410" s="2" t="s">
        <v>451</v>
      </c>
      <c r="X1410" s="2" t="s">
        <v>275</v>
      </c>
      <c r="Y1410" s="2" t="s">
        <v>5912</v>
      </c>
      <c r="Z1410" s="4">
        <v>27</v>
      </c>
      <c r="AA1410" s="4">
        <f>=ROUNDDOWN(9,0)</f>
      </c>
      <c r="AB1410" s="5">
        <v>3</v>
      </c>
      <c r="AC1410" s="2" t="s">
        <v>547</v>
      </c>
      <c r="AD1410" s="4">
        <v>60</v>
      </c>
      <c r="AE1410" s="4">
        <v>60</v>
      </c>
      <c r="AF1410" s="6">
        <v>63</v>
      </c>
      <c r="AG1410" s="6"/>
      <c r="AH1410" s="7">
        <v>1</v>
      </c>
      <c r="AI1410" s="4"/>
      <c r="AJ1410" s="4">
        <f>=ROUNDDOWN({0},0)</f>
      </c>
      <c r="AK1410" s="5"/>
      <c r="AL1410" s="2" t="s">
        <v>233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233</v>
      </c>
      <c r="BD1410" s="8" t="s">
        <v>233</v>
      </c>
      <c r="BE1410" s="4" t="s">
        <v>233</v>
      </c>
      <c r="BF1410" s="8" t="s">
        <v>233</v>
      </c>
      <c r="BG1410" s="7" t="s">
        <v>233</v>
      </c>
      <c r="BH1410" s="7" t="s">
        <v>233</v>
      </c>
      <c r="BI1410" s="7"/>
      <c r="BJ1410" s="4"/>
      <c r="BK1410" s="8"/>
      <c r="BL1410" s="2" t="s">
        <v>233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6840</v>
      </c>
      <c r="BV1410" s="2" t="s">
        <v>233</v>
      </c>
      <c r="BW1410" s="2" t="s">
        <v>233</v>
      </c>
      <c r="BX1410" s="2" t="s">
        <v>243</v>
      </c>
      <c r="BY1410" s="2" t="s">
        <v>280</v>
      </c>
      <c r="BZ1410" s="2" t="s">
        <v>245</v>
      </c>
      <c r="CA1410" s="2" t="s">
        <v>4815</v>
      </c>
      <c r="CB1410" s="2" t="s">
        <v>233</v>
      </c>
      <c r="CC1410" s="2" t="s">
        <v>246</v>
      </c>
      <c r="CD1410" s="2" t="s">
        <v>233</v>
      </c>
      <c r="CE1410" s="4"/>
      <c r="CF1410" s="4">
        <v>27</v>
      </c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>
        <v>60</v>
      </c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</row>
    <row r="1411">
      <c r="A1411" s="2" t="s">
        <v>6841</v>
      </c>
      <c r="B1411" s="2" t="s">
        <v>928</v>
      </c>
      <c r="C1411" s="2" t="s">
        <v>530</v>
      </c>
      <c r="D1411" s="2" t="s">
        <v>961</v>
      </c>
      <c r="E1411" s="2" t="s">
        <v>2028</v>
      </c>
      <c r="F1411" s="2" t="s">
        <v>6837</v>
      </c>
      <c r="G1411" s="2" t="s">
        <v>6837</v>
      </c>
      <c r="H1411" s="2" t="s">
        <v>6837</v>
      </c>
      <c r="I1411" s="2" t="s">
        <v>6842</v>
      </c>
      <c r="J1411" s="2" t="s">
        <v>892</v>
      </c>
      <c r="K1411" s="2" t="s">
        <v>6843</v>
      </c>
      <c r="L1411" s="3">
        <v>8.33</v>
      </c>
      <c r="M1411" s="3">
        <v>8.75</v>
      </c>
      <c r="N1411" s="3">
        <v>24.99</v>
      </c>
      <c r="O1411" s="2" t="s">
        <v>245</v>
      </c>
      <c r="P1411" s="2" t="s">
        <v>238</v>
      </c>
      <c r="Q1411" s="2" t="s">
        <v>239</v>
      </c>
      <c r="R1411" s="2" t="s">
        <v>233</v>
      </c>
      <c r="S1411" s="2" t="s">
        <v>233</v>
      </c>
      <c r="T1411" s="2" t="s">
        <v>233</v>
      </c>
      <c r="U1411" s="2" t="s">
        <v>396</v>
      </c>
      <c r="V1411" s="2" t="s">
        <v>2225</v>
      </c>
      <c r="W1411" s="2" t="s">
        <v>451</v>
      </c>
      <c r="X1411" s="2" t="s">
        <v>275</v>
      </c>
      <c r="Y1411" s="2" t="s">
        <v>5912</v>
      </c>
      <c r="Z1411" s="4">
        <v>39</v>
      </c>
      <c r="AA1411" s="4">
        <f>=ROUNDDOWN(19.5,0)</f>
      </c>
      <c r="AB1411" s="5">
        <v>2</v>
      </c>
      <c r="AC1411" s="2" t="s">
        <v>547</v>
      </c>
      <c r="AD1411" s="4">
        <v>80</v>
      </c>
      <c r="AE1411" s="4">
        <v>80</v>
      </c>
      <c r="AF1411" s="6">
        <v>63</v>
      </c>
      <c r="AG1411" s="6"/>
      <c r="AH1411" s="7">
        <v>1</v>
      </c>
      <c r="AI1411" s="4"/>
      <c r="AJ1411" s="4">
        <f>=ROUNDDOWN({0},0)</f>
      </c>
      <c r="AK1411" s="5"/>
      <c r="AL1411" s="2" t="s">
        <v>233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 t="s">
        <v>233</v>
      </c>
      <c r="BD1411" s="8" t="s">
        <v>233</v>
      </c>
      <c r="BE1411" s="4" t="s">
        <v>233</v>
      </c>
      <c r="BF1411" s="8" t="s">
        <v>233</v>
      </c>
      <c r="BG1411" s="7" t="s">
        <v>233</v>
      </c>
      <c r="BH1411" s="7" t="s">
        <v>233</v>
      </c>
      <c r="BI1411" s="7"/>
      <c r="BJ1411" s="4"/>
      <c r="BK1411" s="8"/>
      <c r="BL1411" s="2" t="s">
        <v>233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6844</v>
      </c>
      <c r="BV1411" s="2" t="s">
        <v>233</v>
      </c>
      <c r="BW1411" s="2" t="s">
        <v>233</v>
      </c>
      <c r="BX1411" s="2" t="s">
        <v>243</v>
      </c>
      <c r="BY1411" s="2" t="s">
        <v>280</v>
      </c>
      <c r="BZ1411" s="2" t="s">
        <v>245</v>
      </c>
      <c r="CA1411" s="2" t="s">
        <v>4815</v>
      </c>
      <c r="CB1411" s="2" t="s">
        <v>233</v>
      </c>
      <c r="CC1411" s="2" t="s">
        <v>246</v>
      </c>
      <c r="CD1411" s="2" t="s">
        <v>233</v>
      </c>
      <c r="CE1411" s="4"/>
      <c r="CF1411" s="4">
        <v>39</v>
      </c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>
        <v>80</v>
      </c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</row>
    <row r="1412">
      <c r="A1412" s="2" t="s">
        <v>6845</v>
      </c>
      <c r="B1412" s="2" t="s">
        <v>928</v>
      </c>
      <c r="C1412" s="2" t="s">
        <v>530</v>
      </c>
      <c r="D1412" s="2" t="s">
        <v>961</v>
      </c>
      <c r="E1412" s="2" t="s">
        <v>2028</v>
      </c>
      <c r="F1412" s="2" t="s">
        <v>6837</v>
      </c>
      <c r="G1412" s="2" t="s">
        <v>6837</v>
      </c>
      <c r="H1412" s="2" t="s">
        <v>6837</v>
      </c>
      <c r="I1412" s="2" t="s">
        <v>6846</v>
      </c>
      <c r="J1412" s="2" t="s">
        <v>892</v>
      </c>
      <c r="K1412" s="2" t="s">
        <v>6847</v>
      </c>
      <c r="L1412" s="3">
        <v>8.33</v>
      </c>
      <c r="M1412" s="3">
        <v>8.75</v>
      </c>
      <c r="N1412" s="3">
        <v>24.99</v>
      </c>
      <c r="O1412" s="2" t="s">
        <v>245</v>
      </c>
      <c r="P1412" s="2" t="s">
        <v>238</v>
      </c>
      <c r="Q1412" s="2" t="s">
        <v>239</v>
      </c>
      <c r="R1412" s="2" t="s">
        <v>233</v>
      </c>
      <c r="S1412" s="2" t="s">
        <v>233</v>
      </c>
      <c r="T1412" s="2" t="s">
        <v>233</v>
      </c>
      <c r="U1412" s="2" t="s">
        <v>396</v>
      </c>
      <c r="V1412" s="2" t="s">
        <v>2225</v>
      </c>
      <c r="W1412" s="2" t="s">
        <v>451</v>
      </c>
      <c r="X1412" s="2" t="s">
        <v>275</v>
      </c>
      <c r="Y1412" s="2" t="s">
        <v>5912</v>
      </c>
      <c r="Z1412" s="4">
        <v>63</v>
      </c>
      <c r="AA1412" s="4">
        <f>=ROUNDDOWN(21,0)</f>
      </c>
      <c r="AB1412" s="5">
        <v>3</v>
      </c>
      <c r="AC1412" s="2" t="s">
        <v>547</v>
      </c>
      <c r="AD1412" s="4">
        <v>50</v>
      </c>
      <c r="AE1412" s="4">
        <v>50</v>
      </c>
      <c r="AF1412" s="6">
        <v>63</v>
      </c>
      <c r="AG1412" s="6"/>
      <c r="AH1412" s="7">
        <v>1</v>
      </c>
      <c r="AI1412" s="4"/>
      <c r="AJ1412" s="4">
        <f>=ROUNDDOWN({0},0)</f>
      </c>
      <c r="AK1412" s="5"/>
      <c r="AL1412" s="2" t="s">
        <v>233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 t="s">
        <v>233</v>
      </c>
      <c r="BD1412" s="8" t="s">
        <v>233</v>
      </c>
      <c r="BE1412" s="4" t="s">
        <v>233</v>
      </c>
      <c r="BF1412" s="8" t="s">
        <v>233</v>
      </c>
      <c r="BG1412" s="7" t="s">
        <v>233</v>
      </c>
      <c r="BH1412" s="7" t="s">
        <v>233</v>
      </c>
      <c r="BI1412" s="7"/>
      <c r="BJ1412" s="4"/>
      <c r="BK1412" s="8"/>
      <c r="BL1412" s="2" t="s">
        <v>233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6848</v>
      </c>
      <c r="BV1412" s="2" t="s">
        <v>233</v>
      </c>
      <c r="BW1412" s="2" t="s">
        <v>233</v>
      </c>
      <c r="BX1412" s="2" t="s">
        <v>243</v>
      </c>
      <c r="BY1412" s="2" t="s">
        <v>280</v>
      </c>
      <c r="BZ1412" s="2" t="s">
        <v>245</v>
      </c>
      <c r="CA1412" s="2" t="s">
        <v>4815</v>
      </c>
      <c r="CB1412" s="2" t="s">
        <v>233</v>
      </c>
      <c r="CC1412" s="2" t="s">
        <v>246</v>
      </c>
      <c r="CD1412" s="2" t="s">
        <v>233</v>
      </c>
      <c r="CE1412" s="4"/>
      <c r="CF1412" s="4">
        <v>63</v>
      </c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>
        <v>50</v>
      </c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</row>
    <row r="1413">
      <c r="A1413" s="2" t="s">
        <v>6849</v>
      </c>
      <c r="B1413" s="2" t="s">
        <v>910</v>
      </c>
      <c r="C1413" s="2" t="s">
        <v>1130</v>
      </c>
      <c r="D1413" s="2" t="s">
        <v>969</v>
      </c>
      <c r="E1413" s="2" t="s">
        <v>970</v>
      </c>
      <c r="F1413" s="2" t="s">
        <v>6850</v>
      </c>
      <c r="G1413" s="2" t="s">
        <v>1853</v>
      </c>
      <c r="H1413" s="2" t="s">
        <v>2489</v>
      </c>
      <c r="I1413" s="2" t="s">
        <v>6851</v>
      </c>
      <c r="J1413" s="2" t="s">
        <v>918</v>
      </c>
      <c r="K1413" s="2" t="s">
        <v>236</v>
      </c>
      <c r="L1413" s="3">
        <v>33.33</v>
      </c>
      <c r="M1413" s="3">
        <v>35</v>
      </c>
      <c r="N1413" s="3">
        <v>69.99</v>
      </c>
      <c r="O1413" s="2" t="s">
        <v>245</v>
      </c>
      <c r="P1413" s="2" t="s">
        <v>238</v>
      </c>
      <c r="Q1413" s="2" t="s">
        <v>239</v>
      </c>
      <c r="R1413" s="2" t="s">
        <v>233</v>
      </c>
      <c r="S1413" s="2" t="s">
        <v>6852</v>
      </c>
      <c r="T1413" s="2" t="s">
        <v>3634</v>
      </c>
      <c r="U1413" s="2" t="s">
        <v>491</v>
      </c>
      <c r="V1413" s="2" t="s">
        <v>241</v>
      </c>
      <c r="W1413" s="2" t="s">
        <v>397</v>
      </c>
      <c r="X1413" s="2" t="s">
        <v>275</v>
      </c>
      <c r="Y1413" s="2" t="s">
        <v>5331</v>
      </c>
      <c r="Z1413" s="4">
        <v>60</v>
      </c>
      <c r="AA1413" s="4">
        <f>=ROUNDDOWN({0},0)</f>
      </c>
      <c r="AB1413" s="5"/>
      <c r="AC1413" s="2" t="s">
        <v>1514</v>
      </c>
      <c r="AD1413" s="4">
        <v>60</v>
      </c>
      <c r="AE1413" s="4">
        <v>60</v>
      </c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233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233</v>
      </c>
      <c r="AW1413" s="8" t="s">
        <v>233</v>
      </c>
      <c r="AX1413" s="4" t="s">
        <v>233</v>
      </c>
      <c r="AY1413" s="8" t="s">
        <v>233</v>
      </c>
      <c r="AZ1413" s="7" t="s">
        <v>233</v>
      </c>
      <c r="BA1413" s="7" t="s">
        <v>233</v>
      </c>
      <c r="BB1413" s="7"/>
      <c r="BC1413" s="4" t="s">
        <v>233</v>
      </c>
      <c r="BD1413" s="8" t="s">
        <v>233</v>
      </c>
      <c r="BE1413" s="4" t="s">
        <v>233</v>
      </c>
      <c r="BF1413" s="8" t="s">
        <v>233</v>
      </c>
      <c r="BG1413" s="7" t="s">
        <v>233</v>
      </c>
      <c r="BH1413" s="7" t="s">
        <v>233</v>
      </c>
      <c r="BI1413" s="7"/>
      <c r="BJ1413" s="4"/>
      <c r="BK1413" s="8"/>
      <c r="BL1413" s="2" t="s">
        <v>233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6853</v>
      </c>
      <c r="BV1413" s="2" t="s">
        <v>233</v>
      </c>
      <c r="BW1413" s="2" t="s">
        <v>233</v>
      </c>
      <c r="BX1413" s="2" t="s">
        <v>243</v>
      </c>
      <c r="BY1413" s="2" t="s">
        <v>280</v>
      </c>
      <c r="BZ1413" s="2" t="s">
        <v>245</v>
      </c>
      <c r="CA1413" s="2" t="s">
        <v>795</v>
      </c>
      <c r="CB1413" s="2" t="s">
        <v>233</v>
      </c>
      <c r="CC1413" s="2" t="s">
        <v>246</v>
      </c>
      <c r="CD1413" s="2" t="s">
        <v>233</v>
      </c>
      <c r="CE1413" s="4">
        <v>60</v>
      </c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>
        <v>60</v>
      </c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</row>
    <row r="1414">
      <c r="A1414" s="2" t="s">
        <v>6854</v>
      </c>
      <c r="B1414" s="2" t="s">
        <v>910</v>
      </c>
      <c r="C1414" s="2" t="s">
        <v>1130</v>
      </c>
      <c r="D1414" s="2" t="s">
        <v>969</v>
      </c>
      <c r="E1414" s="2" t="s">
        <v>970</v>
      </c>
      <c r="F1414" s="2" t="s">
        <v>6850</v>
      </c>
      <c r="G1414" s="2" t="s">
        <v>1853</v>
      </c>
      <c r="H1414" s="2" t="s">
        <v>2489</v>
      </c>
      <c r="I1414" s="2" t="s">
        <v>6851</v>
      </c>
      <c r="J1414" s="2" t="s">
        <v>981</v>
      </c>
      <c r="K1414" s="2" t="s">
        <v>236</v>
      </c>
      <c r="L1414" s="3">
        <v>38.09</v>
      </c>
      <c r="M1414" s="3">
        <v>39.99</v>
      </c>
      <c r="N1414" s="3">
        <v>79.99</v>
      </c>
      <c r="O1414" s="2" t="s">
        <v>245</v>
      </c>
      <c r="P1414" s="2" t="s">
        <v>238</v>
      </c>
      <c r="Q1414" s="2" t="s">
        <v>239</v>
      </c>
      <c r="R1414" s="2" t="s">
        <v>233</v>
      </c>
      <c r="S1414" s="2" t="s">
        <v>6852</v>
      </c>
      <c r="T1414" s="2" t="s">
        <v>3634</v>
      </c>
      <c r="U1414" s="2" t="s">
        <v>475</v>
      </c>
      <c r="V1414" s="2" t="s">
        <v>241</v>
      </c>
      <c r="W1414" s="2" t="s">
        <v>397</v>
      </c>
      <c r="X1414" s="2" t="s">
        <v>275</v>
      </c>
      <c r="Y1414" s="2" t="s">
        <v>5331</v>
      </c>
      <c r="Z1414" s="4">
        <v>180</v>
      </c>
      <c r="AA1414" s="4">
        <f>=ROUNDDOWN({0},0)</f>
      </c>
      <c r="AB1414" s="5"/>
      <c r="AC1414" s="2" t="s">
        <v>1514</v>
      </c>
      <c r="AD1414" s="4">
        <v>180</v>
      </c>
      <c r="AE1414" s="4">
        <v>180</v>
      </c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233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233</v>
      </c>
      <c r="AW1414" s="8" t="s">
        <v>233</v>
      </c>
      <c r="AX1414" s="4" t="s">
        <v>233</v>
      </c>
      <c r="AY1414" s="8" t="s">
        <v>233</v>
      </c>
      <c r="AZ1414" s="7" t="s">
        <v>233</v>
      </c>
      <c r="BA1414" s="7" t="s">
        <v>233</v>
      </c>
      <c r="BB1414" s="7"/>
      <c r="BC1414" s="4" t="s">
        <v>233</v>
      </c>
      <c r="BD1414" s="8" t="s">
        <v>233</v>
      </c>
      <c r="BE1414" s="4" t="s">
        <v>233</v>
      </c>
      <c r="BF1414" s="8" t="s">
        <v>233</v>
      </c>
      <c r="BG1414" s="7" t="s">
        <v>233</v>
      </c>
      <c r="BH1414" s="7" t="s">
        <v>233</v>
      </c>
      <c r="BI1414" s="7"/>
      <c r="BJ1414" s="4"/>
      <c r="BK1414" s="8"/>
      <c r="BL1414" s="2" t="s">
        <v>233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6855</v>
      </c>
      <c r="BV1414" s="2" t="s">
        <v>233</v>
      </c>
      <c r="BW1414" s="2" t="s">
        <v>233</v>
      </c>
      <c r="BX1414" s="2" t="s">
        <v>243</v>
      </c>
      <c r="BY1414" s="2" t="s">
        <v>280</v>
      </c>
      <c r="BZ1414" s="2" t="s">
        <v>245</v>
      </c>
      <c r="CA1414" s="2" t="s">
        <v>795</v>
      </c>
      <c r="CB1414" s="2" t="s">
        <v>233</v>
      </c>
      <c r="CC1414" s="2" t="s">
        <v>246</v>
      </c>
      <c r="CD1414" s="2" t="s">
        <v>233</v>
      </c>
      <c r="CE1414" s="4">
        <v>180</v>
      </c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>
        <v>180</v>
      </c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  <c r="HN1414" s="4"/>
      <c r="HO1414" s="4"/>
      <c r="HP1414" s="4"/>
      <c r="HQ1414" s="4"/>
      <c r="HR1414" s="4"/>
    </row>
    <row r="1415">
      <c r="A1415" s="2" t="s">
        <v>6856</v>
      </c>
      <c r="B1415" s="2" t="s">
        <v>910</v>
      </c>
      <c r="C1415" s="2" t="s">
        <v>1130</v>
      </c>
      <c r="D1415" s="2" t="s">
        <v>969</v>
      </c>
      <c r="E1415" s="2" t="s">
        <v>970</v>
      </c>
      <c r="F1415" s="2" t="s">
        <v>6850</v>
      </c>
      <c r="G1415" s="2" t="s">
        <v>1853</v>
      </c>
      <c r="H1415" s="2" t="s">
        <v>2489</v>
      </c>
      <c r="I1415" s="2" t="s">
        <v>6851</v>
      </c>
      <c r="J1415" s="2" t="s">
        <v>1142</v>
      </c>
      <c r="K1415" s="2" t="s">
        <v>236</v>
      </c>
      <c r="L1415" s="3">
        <v>42.85</v>
      </c>
      <c r="M1415" s="3">
        <v>44.99</v>
      </c>
      <c r="N1415" s="3">
        <v>89.99</v>
      </c>
      <c r="O1415" s="2" t="s">
        <v>245</v>
      </c>
      <c r="P1415" s="2" t="s">
        <v>238</v>
      </c>
      <c r="Q1415" s="2" t="s">
        <v>239</v>
      </c>
      <c r="R1415" s="2" t="s">
        <v>233</v>
      </c>
      <c r="S1415" s="2" t="s">
        <v>6852</v>
      </c>
      <c r="T1415" s="2" t="s">
        <v>3634</v>
      </c>
      <c r="U1415" s="2" t="s">
        <v>475</v>
      </c>
      <c r="V1415" s="2" t="s">
        <v>241</v>
      </c>
      <c r="W1415" s="2" t="s">
        <v>397</v>
      </c>
      <c r="X1415" s="2" t="s">
        <v>275</v>
      </c>
      <c r="Y1415" s="2" t="s">
        <v>5331</v>
      </c>
      <c r="Z1415" s="4">
        <v>160</v>
      </c>
      <c r="AA1415" s="4">
        <f>=ROUNDDOWN({0},0)</f>
      </c>
      <c r="AB1415" s="5"/>
      <c r="AC1415" s="2" t="s">
        <v>1514</v>
      </c>
      <c r="AD1415" s="4">
        <v>160</v>
      </c>
      <c r="AE1415" s="4">
        <v>160</v>
      </c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233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233</v>
      </c>
      <c r="AW1415" s="8" t="s">
        <v>233</v>
      </c>
      <c r="AX1415" s="4" t="s">
        <v>233</v>
      </c>
      <c r="AY1415" s="8" t="s">
        <v>233</v>
      </c>
      <c r="AZ1415" s="7" t="s">
        <v>233</v>
      </c>
      <c r="BA1415" s="7" t="s">
        <v>233</v>
      </c>
      <c r="BB1415" s="7"/>
      <c r="BC1415" s="4" t="s">
        <v>233</v>
      </c>
      <c r="BD1415" s="8" t="s">
        <v>233</v>
      </c>
      <c r="BE1415" s="4" t="s">
        <v>233</v>
      </c>
      <c r="BF1415" s="8" t="s">
        <v>233</v>
      </c>
      <c r="BG1415" s="7" t="s">
        <v>233</v>
      </c>
      <c r="BH1415" s="7" t="s">
        <v>233</v>
      </c>
      <c r="BI1415" s="7"/>
      <c r="BJ1415" s="4"/>
      <c r="BK1415" s="8"/>
      <c r="BL1415" s="2" t="s">
        <v>233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6857</v>
      </c>
      <c r="BV1415" s="2" t="s">
        <v>233</v>
      </c>
      <c r="BW1415" s="2" t="s">
        <v>233</v>
      </c>
      <c r="BX1415" s="2" t="s">
        <v>243</v>
      </c>
      <c r="BY1415" s="2" t="s">
        <v>280</v>
      </c>
      <c r="BZ1415" s="2" t="s">
        <v>245</v>
      </c>
      <c r="CA1415" s="2" t="s">
        <v>795</v>
      </c>
      <c r="CB1415" s="2" t="s">
        <v>233</v>
      </c>
      <c r="CC1415" s="2" t="s">
        <v>246</v>
      </c>
      <c r="CD1415" s="2" t="s">
        <v>233</v>
      </c>
      <c r="CE1415" s="4">
        <v>160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>
        <v>160</v>
      </c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</row>
    <row r="1416">
      <c r="A1416" s="2" t="s">
        <v>6858</v>
      </c>
      <c r="B1416" s="2" t="s">
        <v>910</v>
      </c>
      <c r="C1416" s="2" t="s">
        <v>1130</v>
      </c>
      <c r="D1416" s="2" t="s">
        <v>969</v>
      </c>
      <c r="E1416" s="2" t="s">
        <v>970</v>
      </c>
      <c r="F1416" s="2" t="s">
        <v>6850</v>
      </c>
      <c r="G1416" s="2" t="s">
        <v>1853</v>
      </c>
      <c r="H1416" s="2" t="s">
        <v>2489</v>
      </c>
      <c r="I1416" s="2" t="s">
        <v>6851</v>
      </c>
      <c r="J1416" s="2" t="s">
        <v>918</v>
      </c>
      <c r="K1416" s="2" t="s">
        <v>297</v>
      </c>
      <c r="L1416" s="3">
        <v>33.33</v>
      </c>
      <c r="M1416" s="3">
        <v>35</v>
      </c>
      <c r="N1416" s="3">
        <v>69.99</v>
      </c>
      <c r="O1416" s="2" t="s">
        <v>245</v>
      </c>
      <c r="P1416" s="2" t="s">
        <v>238</v>
      </c>
      <c r="Q1416" s="2" t="s">
        <v>239</v>
      </c>
      <c r="R1416" s="2" t="s">
        <v>233</v>
      </c>
      <c r="S1416" s="2" t="s">
        <v>6859</v>
      </c>
      <c r="T1416" s="2" t="s">
        <v>3634</v>
      </c>
      <c r="U1416" s="2" t="s">
        <v>491</v>
      </c>
      <c r="V1416" s="2" t="s">
        <v>241</v>
      </c>
      <c r="W1416" s="2" t="s">
        <v>397</v>
      </c>
      <c r="X1416" s="2" t="s">
        <v>275</v>
      </c>
      <c r="Y1416" s="2" t="s">
        <v>5331</v>
      </c>
      <c r="Z1416" s="4">
        <v>60</v>
      </c>
      <c r="AA1416" s="4">
        <f>=ROUNDDOWN({0},0)</f>
      </c>
      <c r="AB1416" s="5"/>
      <c r="AC1416" s="2" t="s">
        <v>1514</v>
      </c>
      <c r="AD1416" s="4">
        <v>60</v>
      </c>
      <c r="AE1416" s="4">
        <v>60</v>
      </c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233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233</v>
      </c>
      <c r="AW1416" s="8" t="s">
        <v>233</v>
      </c>
      <c r="AX1416" s="4" t="s">
        <v>233</v>
      </c>
      <c r="AY1416" s="8" t="s">
        <v>233</v>
      </c>
      <c r="AZ1416" s="7" t="s">
        <v>233</v>
      </c>
      <c r="BA1416" s="7" t="s">
        <v>233</v>
      </c>
      <c r="BB1416" s="7"/>
      <c r="BC1416" s="4" t="s">
        <v>233</v>
      </c>
      <c r="BD1416" s="8" t="s">
        <v>233</v>
      </c>
      <c r="BE1416" s="4" t="s">
        <v>233</v>
      </c>
      <c r="BF1416" s="8" t="s">
        <v>233</v>
      </c>
      <c r="BG1416" s="7" t="s">
        <v>233</v>
      </c>
      <c r="BH1416" s="7" t="s">
        <v>233</v>
      </c>
      <c r="BI1416" s="7"/>
      <c r="BJ1416" s="4"/>
      <c r="BK1416" s="8"/>
      <c r="BL1416" s="2" t="s">
        <v>233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6860</v>
      </c>
      <c r="BV1416" s="2" t="s">
        <v>233</v>
      </c>
      <c r="BW1416" s="2" t="s">
        <v>233</v>
      </c>
      <c r="BX1416" s="2" t="s">
        <v>243</v>
      </c>
      <c r="BY1416" s="2" t="s">
        <v>280</v>
      </c>
      <c r="BZ1416" s="2" t="s">
        <v>245</v>
      </c>
      <c r="CA1416" s="2" t="s">
        <v>795</v>
      </c>
      <c r="CB1416" s="2" t="s">
        <v>233</v>
      </c>
      <c r="CC1416" s="2" t="s">
        <v>246</v>
      </c>
      <c r="CD1416" s="2" t="s">
        <v>233</v>
      </c>
      <c r="CE1416" s="4">
        <v>60</v>
      </c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>
        <v>60</v>
      </c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</row>
    <row r="1417">
      <c r="A1417" s="2" t="s">
        <v>6861</v>
      </c>
      <c r="B1417" s="2" t="s">
        <v>910</v>
      </c>
      <c r="C1417" s="2" t="s">
        <v>1130</v>
      </c>
      <c r="D1417" s="2" t="s">
        <v>969</v>
      </c>
      <c r="E1417" s="2" t="s">
        <v>970</v>
      </c>
      <c r="F1417" s="2" t="s">
        <v>6850</v>
      </c>
      <c r="G1417" s="2" t="s">
        <v>1853</v>
      </c>
      <c r="H1417" s="2" t="s">
        <v>2489</v>
      </c>
      <c r="I1417" s="2" t="s">
        <v>6851</v>
      </c>
      <c r="J1417" s="2" t="s">
        <v>981</v>
      </c>
      <c r="K1417" s="2" t="s">
        <v>297</v>
      </c>
      <c r="L1417" s="3">
        <v>38.09</v>
      </c>
      <c r="M1417" s="3">
        <v>39.99</v>
      </c>
      <c r="N1417" s="3">
        <v>79.99</v>
      </c>
      <c r="O1417" s="2" t="s">
        <v>245</v>
      </c>
      <c r="P1417" s="2" t="s">
        <v>238</v>
      </c>
      <c r="Q1417" s="2" t="s">
        <v>239</v>
      </c>
      <c r="R1417" s="2" t="s">
        <v>233</v>
      </c>
      <c r="S1417" s="2" t="s">
        <v>6859</v>
      </c>
      <c r="T1417" s="2" t="s">
        <v>3634</v>
      </c>
      <c r="U1417" s="2" t="s">
        <v>475</v>
      </c>
      <c r="V1417" s="2" t="s">
        <v>241</v>
      </c>
      <c r="W1417" s="2" t="s">
        <v>397</v>
      </c>
      <c r="X1417" s="2" t="s">
        <v>275</v>
      </c>
      <c r="Y1417" s="2" t="s">
        <v>5331</v>
      </c>
      <c r="Z1417" s="4">
        <v>180</v>
      </c>
      <c r="AA1417" s="4">
        <f>=ROUNDDOWN({0},0)</f>
      </c>
      <c r="AB1417" s="5"/>
      <c r="AC1417" s="2" t="s">
        <v>1514</v>
      </c>
      <c r="AD1417" s="4">
        <v>180</v>
      </c>
      <c r="AE1417" s="4">
        <v>180</v>
      </c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233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233</v>
      </c>
      <c r="AW1417" s="8" t="s">
        <v>233</v>
      </c>
      <c r="AX1417" s="4" t="s">
        <v>233</v>
      </c>
      <c r="AY1417" s="8" t="s">
        <v>233</v>
      </c>
      <c r="AZ1417" s="7" t="s">
        <v>233</v>
      </c>
      <c r="BA1417" s="7" t="s">
        <v>233</v>
      </c>
      <c r="BB1417" s="7"/>
      <c r="BC1417" s="4" t="s">
        <v>233</v>
      </c>
      <c r="BD1417" s="8" t="s">
        <v>233</v>
      </c>
      <c r="BE1417" s="4" t="s">
        <v>233</v>
      </c>
      <c r="BF1417" s="8" t="s">
        <v>233</v>
      </c>
      <c r="BG1417" s="7" t="s">
        <v>233</v>
      </c>
      <c r="BH1417" s="7" t="s">
        <v>233</v>
      </c>
      <c r="BI1417" s="7"/>
      <c r="BJ1417" s="4"/>
      <c r="BK1417" s="8"/>
      <c r="BL1417" s="2" t="s">
        <v>233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6862</v>
      </c>
      <c r="BV1417" s="2" t="s">
        <v>233</v>
      </c>
      <c r="BW1417" s="2" t="s">
        <v>233</v>
      </c>
      <c r="BX1417" s="2" t="s">
        <v>243</v>
      </c>
      <c r="BY1417" s="2" t="s">
        <v>280</v>
      </c>
      <c r="BZ1417" s="2" t="s">
        <v>245</v>
      </c>
      <c r="CA1417" s="2" t="s">
        <v>795</v>
      </c>
      <c r="CB1417" s="2" t="s">
        <v>233</v>
      </c>
      <c r="CC1417" s="2" t="s">
        <v>246</v>
      </c>
      <c r="CD1417" s="2" t="s">
        <v>233</v>
      </c>
      <c r="CE1417" s="4">
        <v>180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>
        <v>180</v>
      </c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</row>
    <row r="1418">
      <c r="A1418" s="2" t="s">
        <v>6863</v>
      </c>
      <c r="B1418" s="2" t="s">
        <v>910</v>
      </c>
      <c r="C1418" s="2" t="s">
        <v>1130</v>
      </c>
      <c r="D1418" s="2" t="s">
        <v>969</v>
      </c>
      <c r="E1418" s="2" t="s">
        <v>970</v>
      </c>
      <c r="F1418" s="2" t="s">
        <v>6850</v>
      </c>
      <c r="G1418" s="2" t="s">
        <v>1853</v>
      </c>
      <c r="H1418" s="2" t="s">
        <v>2489</v>
      </c>
      <c r="I1418" s="2" t="s">
        <v>6851</v>
      </c>
      <c r="J1418" s="2" t="s">
        <v>1142</v>
      </c>
      <c r="K1418" s="2" t="s">
        <v>297</v>
      </c>
      <c r="L1418" s="3">
        <v>42.85</v>
      </c>
      <c r="M1418" s="3">
        <v>44.99</v>
      </c>
      <c r="N1418" s="3">
        <v>89.99</v>
      </c>
      <c r="O1418" s="2" t="s">
        <v>245</v>
      </c>
      <c r="P1418" s="2" t="s">
        <v>238</v>
      </c>
      <c r="Q1418" s="2" t="s">
        <v>239</v>
      </c>
      <c r="R1418" s="2" t="s">
        <v>233</v>
      </c>
      <c r="S1418" s="2" t="s">
        <v>6859</v>
      </c>
      <c r="T1418" s="2" t="s">
        <v>3634</v>
      </c>
      <c r="U1418" s="2" t="s">
        <v>475</v>
      </c>
      <c r="V1418" s="2" t="s">
        <v>241</v>
      </c>
      <c r="W1418" s="2" t="s">
        <v>397</v>
      </c>
      <c r="X1418" s="2" t="s">
        <v>275</v>
      </c>
      <c r="Y1418" s="2" t="s">
        <v>5331</v>
      </c>
      <c r="Z1418" s="4">
        <v>160</v>
      </c>
      <c r="AA1418" s="4">
        <f>=ROUNDDOWN({0},0)</f>
      </c>
      <c r="AB1418" s="5"/>
      <c r="AC1418" s="2" t="s">
        <v>1514</v>
      </c>
      <c r="AD1418" s="4">
        <v>320</v>
      </c>
      <c r="AE1418" s="4">
        <v>320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233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233</v>
      </c>
      <c r="AW1418" s="8" t="s">
        <v>233</v>
      </c>
      <c r="AX1418" s="4" t="s">
        <v>233</v>
      </c>
      <c r="AY1418" s="8" t="s">
        <v>233</v>
      </c>
      <c r="AZ1418" s="7" t="s">
        <v>233</v>
      </c>
      <c r="BA1418" s="7" t="s">
        <v>233</v>
      </c>
      <c r="BB1418" s="7"/>
      <c r="BC1418" s="4" t="s">
        <v>233</v>
      </c>
      <c r="BD1418" s="8" t="s">
        <v>233</v>
      </c>
      <c r="BE1418" s="4" t="s">
        <v>233</v>
      </c>
      <c r="BF1418" s="8" t="s">
        <v>233</v>
      </c>
      <c r="BG1418" s="7" t="s">
        <v>233</v>
      </c>
      <c r="BH1418" s="7" t="s">
        <v>233</v>
      </c>
      <c r="BI1418" s="7"/>
      <c r="BJ1418" s="4"/>
      <c r="BK1418" s="8"/>
      <c r="BL1418" s="2" t="s">
        <v>233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6864</v>
      </c>
      <c r="BV1418" s="2" t="s">
        <v>233</v>
      </c>
      <c r="BW1418" s="2" t="s">
        <v>233</v>
      </c>
      <c r="BX1418" s="2" t="s">
        <v>243</v>
      </c>
      <c r="BY1418" s="2" t="s">
        <v>280</v>
      </c>
      <c r="BZ1418" s="2" t="s">
        <v>245</v>
      </c>
      <c r="CA1418" s="2" t="s">
        <v>795</v>
      </c>
      <c r="CB1418" s="2" t="s">
        <v>233</v>
      </c>
      <c r="CC1418" s="2" t="s">
        <v>246</v>
      </c>
      <c r="CD1418" s="2" t="s">
        <v>233</v>
      </c>
      <c r="CE1418" s="4">
        <v>160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>
        <v>320</v>
      </c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</row>
    <row r="1419">
      <c r="A1419" s="2" t="s">
        <v>6865</v>
      </c>
      <c r="B1419" s="2" t="s">
        <v>1066</v>
      </c>
      <c r="C1419" s="2" t="s">
        <v>1157</v>
      </c>
      <c r="D1419" s="2" t="s">
        <v>1067</v>
      </c>
      <c r="E1419" s="2" t="s">
        <v>2543</v>
      </c>
      <c r="F1419" s="2" t="s">
        <v>6866</v>
      </c>
      <c r="G1419" s="2" t="s">
        <v>6866</v>
      </c>
      <c r="H1419" s="2" t="s">
        <v>6866</v>
      </c>
      <c r="I1419" s="2" t="s">
        <v>6867</v>
      </c>
      <c r="J1419" s="2" t="s">
        <v>892</v>
      </c>
      <c r="K1419" s="2" t="s">
        <v>4785</v>
      </c>
      <c r="L1419" s="3">
        <v>112.1</v>
      </c>
      <c r="M1419" s="3">
        <v>117.7</v>
      </c>
      <c r="N1419" s="3">
        <v>239</v>
      </c>
      <c r="O1419" s="2" t="s">
        <v>245</v>
      </c>
      <c r="P1419" s="2" t="s">
        <v>238</v>
      </c>
      <c r="Q1419" s="2" t="s">
        <v>239</v>
      </c>
      <c r="R1419" s="2" t="s">
        <v>233</v>
      </c>
      <c r="S1419" s="2" t="s">
        <v>233</v>
      </c>
      <c r="T1419" s="2" t="s">
        <v>233</v>
      </c>
      <c r="U1419" s="2" t="s">
        <v>396</v>
      </c>
      <c r="V1419" s="2" t="s">
        <v>893</v>
      </c>
      <c r="W1419" s="2" t="s">
        <v>451</v>
      </c>
      <c r="X1419" s="2" t="s">
        <v>397</v>
      </c>
      <c r="Y1419" s="2" t="s">
        <v>4793</v>
      </c>
      <c r="Z1419" s="4">
        <v>180</v>
      </c>
      <c r="AA1419" s="4">
        <f>=ROUNDDOWN(22.5,0)</f>
      </c>
      <c r="AB1419" s="5">
        <v>8</v>
      </c>
      <c r="AC1419" s="2" t="s">
        <v>4787</v>
      </c>
      <c r="AD1419" s="4">
        <v>100</v>
      </c>
      <c r="AE1419" s="4">
        <v>100</v>
      </c>
      <c r="AF1419" s="6">
        <v>74</v>
      </c>
      <c r="AG1419" s="6"/>
      <c r="AH1419" s="7">
        <v>1</v>
      </c>
      <c r="AI1419" s="4"/>
      <c r="AJ1419" s="4">
        <f>=ROUNDDOWN({0},0)</f>
      </c>
      <c r="AK1419" s="5"/>
      <c r="AL1419" s="2" t="s">
        <v>233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 t="s">
        <v>233</v>
      </c>
      <c r="BD1419" s="8" t="s">
        <v>233</v>
      </c>
      <c r="BE1419" s="4" t="s">
        <v>233</v>
      </c>
      <c r="BF1419" s="8" t="s">
        <v>233</v>
      </c>
      <c r="BG1419" s="7" t="s">
        <v>233</v>
      </c>
      <c r="BH1419" s="7" t="s">
        <v>233</v>
      </c>
      <c r="BI1419" s="7"/>
      <c r="BJ1419" s="4"/>
      <c r="BK1419" s="8"/>
      <c r="BL1419" s="2" t="s">
        <v>233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6868</v>
      </c>
      <c r="BV1419" s="2" t="s">
        <v>233</v>
      </c>
      <c r="BW1419" s="2" t="s">
        <v>233</v>
      </c>
      <c r="BX1419" s="2" t="s">
        <v>243</v>
      </c>
      <c r="BY1419" s="2" t="s">
        <v>280</v>
      </c>
      <c r="BZ1419" s="2" t="s">
        <v>245</v>
      </c>
      <c r="CA1419" s="2" t="s">
        <v>1580</v>
      </c>
      <c r="CB1419" s="2" t="s">
        <v>233</v>
      </c>
      <c r="CC1419" s="2" t="s">
        <v>246</v>
      </c>
      <c r="CD1419" s="2" t="s">
        <v>233</v>
      </c>
      <c r="CE1419" s="4"/>
      <c r="CF1419" s="4">
        <v>180</v>
      </c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>
        <v>100</v>
      </c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</row>
    <row r="1420">
      <c r="A1420" s="2" t="s">
        <v>6869</v>
      </c>
      <c r="B1420" s="2" t="s">
        <v>1066</v>
      </c>
      <c r="C1420" s="2" t="s">
        <v>1157</v>
      </c>
      <c r="D1420" s="2" t="s">
        <v>1067</v>
      </c>
      <c r="E1420" s="2" t="s">
        <v>2543</v>
      </c>
      <c r="F1420" s="2" t="s">
        <v>6866</v>
      </c>
      <c r="G1420" s="2" t="s">
        <v>6866</v>
      </c>
      <c r="H1420" s="2" t="s">
        <v>6866</v>
      </c>
      <c r="I1420" s="2" t="s">
        <v>6867</v>
      </c>
      <c r="J1420" s="2" t="s">
        <v>892</v>
      </c>
      <c r="K1420" s="2" t="s">
        <v>255</v>
      </c>
      <c r="L1420" s="3">
        <v>112.1</v>
      </c>
      <c r="M1420" s="3">
        <v>117.7</v>
      </c>
      <c r="N1420" s="3">
        <v>239</v>
      </c>
      <c r="O1420" s="2" t="s">
        <v>245</v>
      </c>
      <c r="P1420" s="2" t="s">
        <v>311</v>
      </c>
      <c r="Q1420" s="2" t="s">
        <v>239</v>
      </c>
      <c r="R1420" s="2" t="s">
        <v>233</v>
      </c>
      <c r="S1420" s="2" t="s">
        <v>233</v>
      </c>
      <c r="T1420" s="2" t="s">
        <v>233</v>
      </c>
      <c r="U1420" s="2" t="s">
        <v>396</v>
      </c>
      <c r="V1420" s="2" t="s">
        <v>893</v>
      </c>
      <c r="W1420" s="2" t="s">
        <v>451</v>
      </c>
      <c r="X1420" s="2" t="s">
        <v>397</v>
      </c>
      <c r="Y1420" s="2" t="s">
        <v>3578</v>
      </c>
      <c r="Z1420" s="4">
        <v>26</v>
      </c>
      <c r="AA1420" s="4">
        <f>=ROUNDDOWN(8.66666666666667,0)</f>
      </c>
      <c r="AB1420" s="5">
        <v>3</v>
      </c>
      <c r="AC1420" s="2" t="s">
        <v>233</v>
      </c>
      <c r="AD1420" s="4"/>
      <c r="AE1420" s="4"/>
      <c r="AF1420" s="6">
        <v>74</v>
      </c>
      <c r="AG1420" s="6"/>
      <c r="AH1420" s="7">
        <v>1</v>
      </c>
      <c r="AI1420" s="4"/>
      <c r="AJ1420" s="4">
        <f>=ROUNDDOWN({0},0)</f>
      </c>
      <c r="AK1420" s="5"/>
      <c r="AL1420" s="2" t="s">
        <v>233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 t="s">
        <v>233</v>
      </c>
      <c r="BD1420" s="8" t="s">
        <v>233</v>
      </c>
      <c r="BE1420" s="4" t="s">
        <v>233</v>
      </c>
      <c r="BF1420" s="8" t="s">
        <v>233</v>
      </c>
      <c r="BG1420" s="7" t="s">
        <v>233</v>
      </c>
      <c r="BH1420" s="7" t="s">
        <v>233</v>
      </c>
      <c r="BI1420" s="7"/>
      <c r="BJ1420" s="4">
        <v>6</v>
      </c>
      <c r="BK1420" s="8">
        <v>835.55</v>
      </c>
      <c r="BL1420" s="2" t="s">
        <v>6870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6871</v>
      </c>
      <c r="BV1420" s="2" t="s">
        <v>233</v>
      </c>
      <c r="BW1420" s="2" t="s">
        <v>233</v>
      </c>
      <c r="BX1420" s="2" t="s">
        <v>243</v>
      </c>
      <c r="BY1420" s="2" t="s">
        <v>280</v>
      </c>
      <c r="BZ1420" s="2" t="s">
        <v>245</v>
      </c>
      <c r="CA1420" s="2" t="s">
        <v>3543</v>
      </c>
      <c r="CB1420" s="2" t="s">
        <v>233</v>
      </c>
      <c r="CC1420" s="2" t="s">
        <v>246</v>
      </c>
      <c r="CD1420" s="2" t="s">
        <v>233</v>
      </c>
      <c r="CE1420" s="4"/>
      <c r="CF1420" s="4">
        <v>26</v>
      </c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</row>
    <row r="1421">
      <c r="A1421" s="2" t="s">
        <v>6872</v>
      </c>
      <c r="B1421" s="2" t="s">
        <v>1066</v>
      </c>
      <c r="C1421" s="2" t="s">
        <v>1157</v>
      </c>
      <c r="D1421" s="2" t="s">
        <v>1067</v>
      </c>
      <c r="E1421" s="2" t="s">
        <v>2543</v>
      </c>
      <c r="F1421" s="2" t="s">
        <v>6866</v>
      </c>
      <c r="G1421" s="2" t="s">
        <v>6866</v>
      </c>
      <c r="H1421" s="2" t="s">
        <v>6866</v>
      </c>
      <c r="I1421" s="2" t="s">
        <v>6867</v>
      </c>
      <c r="J1421" s="2" t="s">
        <v>892</v>
      </c>
      <c r="K1421" s="2" t="s">
        <v>853</v>
      </c>
      <c r="L1421" s="3">
        <v>112.1</v>
      </c>
      <c r="M1421" s="3">
        <v>117.7</v>
      </c>
      <c r="N1421" s="3">
        <v>239</v>
      </c>
      <c r="O1421" s="2" t="s">
        <v>245</v>
      </c>
      <c r="P1421" s="2" t="s">
        <v>238</v>
      </c>
      <c r="Q1421" s="2" t="s">
        <v>239</v>
      </c>
      <c r="R1421" s="2" t="s">
        <v>233</v>
      </c>
      <c r="S1421" s="2" t="s">
        <v>233</v>
      </c>
      <c r="T1421" s="2" t="s">
        <v>233</v>
      </c>
      <c r="U1421" s="2" t="s">
        <v>396</v>
      </c>
      <c r="V1421" s="2" t="s">
        <v>893</v>
      </c>
      <c r="W1421" s="2" t="s">
        <v>451</v>
      </c>
      <c r="X1421" s="2" t="s">
        <v>397</v>
      </c>
      <c r="Y1421" s="2" t="s">
        <v>233</v>
      </c>
      <c r="Z1421" s="4"/>
      <c r="AA1421" s="4">
        <f>=ROUNDDOWN({0},0)</f>
      </c>
      <c r="AB1421" s="5">
        <v>3</v>
      </c>
      <c r="AC1421" s="2" t="s">
        <v>2679</v>
      </c>
      <c r="AD1421" s="4">
        <v>100</v>
      </c>
      <c r="AE1421" s="4">
        <v>100</v>
      </c>
      <c r="AF1421" s="6">
        <v>74</v>
      </c>
      <c r="AG1421" s="6"/>
      <c r="AH1421" s="7">
        <v>0</v>
      </c>
      <c r="AI1421" s="4"/>
      <c r="AJ1421" s="4">
        <f>=ROUNDDOWN({0},0)</f>
      </c>
      <c r="AK1421" s="5"/>
      <c r="AL1421" s="2" t="s">
        <v>233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233</v>
      </c>
      <c r="BD1421" s="8" t="s">
        <v>233</v>
      </c>
      <c r="BE1421" s="4" t="s">
        <v>233</v>
      </c>
      <c r="BF1421" s="8" t="s">
        <v>233</v>
      </c>
      <c r="BG1421" s="7" t="s">
        <v>233</v>
      </c>
      <c r="BH1421" s="7" t="s">
        <v>233</v>
      </c>
      <c r="BI1421" s="7"/>
      <c r="BJ1421" s="4"/>
      <c r="BK1421" s="8"/>
      <c r="BL1421" s="2" t="s">
        <v>233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243</v>
      </c>
      <c r="BV1421" s="2" t="s">
        <v>233</v>
      </c>
      <c r="BW1421" s="2" t="s">
        <v>233</v>
      </c>
      <c r="BX1421" s="2" t="s">
        <v>243</v>
      </c>
      <c r="BY1421" s="2" t="s">
        <v>244</v>
      </c>
      <c r="BZ1421" s="2" t="s">
        <v>245</v>
      </c>
      <c r="CA1421" s="2" t="s">
        <v>233</v>
      </c>
      <c r="CB1421" s="2" t="s">
        <v>233</v>
      </c>
      <c r="CC1421" s="2" t="s">
        <v>246</v>
      </c>
      <c r="CD1421" s="2" t="s">
        <v>233</v>
      </c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>
        <v>100</v>
      </c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</row>
    <row r="1422">
      <c r="A1422" s="2" t="s">
        <v>6873</v>
      </c>
      <c r="B1422" s="2" t="s">
        <v>1066</v>
      </c>
      <c r="C1422" s="2" t="s">
        <v>1157</v>
      </c>
      <c r="D1422" s="2" t="s">
        <v>1067</v>
      </c>
      <c r="E1422" s="2" t="s">
        <v>2543</v>
      </c>
      <c r="F1422" s="2" t="s">
        <v>6866</v>
      </c>
      <c r="G1422" s="2" t="s">
        <v>6866</v>
      </c>
      <c r="H1422" s="2" t="s">
        <v>6866</v>
      </c>
      <c r="I1422" s="2" t="s">
        <v>6867</v>
      </c>
      <c r="J1422" s="2" t="s">
        <v>892</v>
      </c>
      <c r="K1422" s="2" t="s">
        <v>2197</v>
      </c>
      <c r="L1422" s="3">
        <v>112.1</v>
      </c>
      <c r="M1422" s="3">
        <v>117.7</v>
      </c>
      <c r="N1422" s="3">
        <v>239</v>
      </c>
      <c r="O1422" s="2" t="s">
        <v>245</v>
      </c>
      <c r="P1422" s="2" t="s">
        <v>238</v>
      </c>
      <c r="Q1422" s="2" t="s">
        <v>239</v>
      </c>
      <c r="R1422" s="2" t="s">
        <v>233</v>
      </c>
      <c r="S1422" s="2" t="s">
        <v>233</v>
      </c>
      <c r="T1422" s="2" t="s">
        <v>233</v>
      </c>
      <c r="U1422" s="2" t="s">
        <v>396</v>
      </c>
      <c r="V1422" s="2" t="s">
        <v>893</v>
      </c>
      <c r="W1422" s="2" t="s">
        <v>451</v>
      </c>
      <c r="X1422" s="2" t="s">
        <v>397</v>
      </c>
      <c r="Y1422" s="2" t="s">
        <v>3578</v>
      </c>
      <c r="Z1422" s="4">
        <v>56</v>
      </c>
      <c r="AA1422" s="4">
        <f>=ROUNDDOWN(28,0)</f>
      </c>
      <c r="AB1422" s="5">
        <v>2</v>
      </c>
      <c r="AC1422" s="2" t="s">
        <v>233</v>
      </c>
      <c r="AD1422" s="4"/>
      <c r="AE1422" s="4"/>
      <c r="AF1422" s="6">
        <v>74</v>
      </c>
      <c r="AG1422" s="6"/>
      <c r="AH1422" s="7">
        <v>1</v>
      </c>
      <c r="AI1422" s="4"/>
      <c r="AJ1422" s="4">
        <f>=ROUNDDOWN({0},0)</f>
      </c>
      <c r="AK1422" s="5"/>
      <c r="AL1422" s="2" t="s">
        <v>233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233</v>
      </c>
      <c r="BD1422" s="8" t="s">
        <v>233</v>
      </c>
      <c r="BE1422" s="4" t="s">
        <v>233</v>
      </c>
      <c r="BF1422" s="8" t="s">
        <v>233</v>
      </c>
      <c r="BG1422" s="7" t="s">
        <v>233</v>
      </c>
      <c r="BH1422" s="7" t="s">
        <v>233</v>
      </c>
      <c r="BI1422" s="7"/>
      <c r="BJ1422" s="4">
        <v>5</v>
      </c>
      <c r="BK1422" s="8">
        <v>652.23</v>
      </c>
      <c r="BL1422" s="2" t="s">
        <v>6874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243</v>
      </c>
      <c r="BV1422" s="2" t="s">
        <v>233</v>
      </c>
      <c r="BW1422" s="2" t="s">
        <v>233</v>
      </c>
      <c r="BX1422" s="2" t="s">
        <v>243</v>
      </c>
      <c r="BY1422" s="2" t="s">
        <v>2514</v>
      </c>
      <c r="BZ1422" s="2" t="s">
        <v>245</v>
      </c>
      <c r="CA1422" s="2" t="s">
        <v>233</v>
      </c>
      <c r="CB1422" s="2" t="s">
        <v>233</v>
      </c>
      <c r="CC1422" s="2" t="s">
        <v>246</v>
      </c>
      <c r="CD1422" s="2" t="s">
        <v>233</v>
      </c>
      <c r="CE1422" s="4"/>
      <c r="CF1422" s="4">
        <v>56</v>
      </c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</row>
    <row r="1423">
      <c r="A1423" s="2" t="s">
        <v>6875</v>
      </c>
      <c r="B1423" s="2" t="s">
        <v>928</v>
      </c>
      <c r="C1423" s="2" t="s">
        <v>530</v>
      </c>
      <c r="D1423" s="2" t="s">
        <v>961</v>
      </c>
      <c r="E1423" s="2" t="s">
        <v>930</v>
      </c>
      <c r="F1423" s="2" t="s">
        <v>6876</v>
      </c>
      <c r="G1423" s="2" t="s">
        <v>6876</v>
      </c>
      <c r="H1423" s="2" t="s">
        <v>6876</v>
      </c>
      <c r="I1423" s="2" t="s">
        <v>6877</v>
      </c>
      <c r="J1423" s="2" t="s">
        <v>892</v>
      </c>
      <c r="K1423" s="2" t="s">
        <v>6366</v>
      </c>
      <c r="L1423" s="3">
        <v>38.67</v>
      </c>
      <c r="M1423" s="3">
        <v>40.6</v>
      </c>
      <c r="N1423" s="3">
        <v>79.99</v>
      </c>
      <c r="O1423" s="2" t="s">
        <v>237</v>
      </c>
      <c r="P1423" s="2" t="s">
        <v>311</v>
      </c>
      <c r="Q1423" s="2" t="s">
        <v>239</v>
      </c>
      <c r="R1423" s="2" t="s">
        <v>233</v>
      </c>
      <c r="S1423" s="2" t="s">
        <v>233</v>
      </c>
      <c r="T1423" s="2" t="s">
        <v>233</v>
      </c>
      <c r="U1423" s="2" t="s">
        <v>491</v>
      </c>
      <c r="V1423" s="2" t="s">
        <v>379</v>
      </c>
      <c r="W1423" s="2" t="s">
        <v>275</v>
      </c>
      <c r="X1423" s="2" t="s">
        <v>977</v>
      </c>
      <c r="Y1423" s="2" t="s">
        <v>6878</v>
      </c>
      <c r="Z1423" s="4">
        <v>35</v>
      </c>
      <c r="AA1423" s="4">
        <f>=ROUNDDOWN(19.4444444444444,0)</f>
      </c>
      <c r="AB1423" s="5">
        <v>1.8</v>
      </c>
      <c r="AC1423" s="2" t="s">
        <v>233</v>
      </c>
      <c r="AD1423" s="4"/>
      <c r="AE1423" s="4"/>
      <c r="AF1423" s="6">
        <v>63</v>
      </c>
      <c r="AG1423" s="6"/>
      <c r="AH1423" s="7">
        <v>1</v>
      </c>
      <c r="AI1423" s="4"/>
      <c r="AJ1423" s="4">
        <f>=ROUNDDOWN({0},0)</f>
      </c>
      <c r="AK1423" s="5"/>
      <c r="AL1423" s="2" t="s">
        <v>233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/>
      <c r="BD1423" s="8"/>
      <c r="BE1423" s="4"/>
      <c r="BF1423" s="8"/>
      <c r="BG1423" s="7"/>
      <c r="BH1423" s="7"/>
      <c r="BI1423" s="7"/>
      <c r="BJ1423" s="4">
        <v>5</v>
      </c>
      <c r="BK1423" s="8">
        <v>208.2</v>
      </c>
      <c r="BL1423" s="2" t="s">
        <v>6879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6880</v>
      </c>
      <c r="BV1423" s="2" t="s">
        <v>233</v>
      </c>
      <c r="BW1423" s="2" t="s">
        <v>233</v>
      </c>
      <c r="BX1423" s="2" t="s">
        <v>233</v>
      </c>
      <c r="BY1423" s="2" t="s">
        <v>280</v>
      </c>
      <c r="BZ1423" s="2" t="s">
        <v>245</v>
      </c>
      <c r="CA1423" s="2" t="s">
        <v>6881</v>
      </c>
      <c r="CB1423" s="2" t="s">
        <v>3021</v>
      </c>
      <c r="CC1423" s="2" t="s">
        <v>246</v>
      </c>
      <c r="CD1423" s="2" t="s">
        <v>233</v>
      </c>
      <c r="CE1423" s="4"/>
      <c r="CF1423" s="4">
        <v>35</v>
      </c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</row>
    <row r="1424">
      <c r="A1424" s="2" t="s">
        <v>6882</v>
      </c>
      <c r="B1424" s="2" t="s">
        <v>1066</v>
      </c>
      <c r="C1424" s="2" t="s">
        <v>530</v>
      </c>
      <c r="D1424" s="2" t="s">
        <v>1111</v>
      </c>
      <c r="E1424" s="2" t="s">
        <v>1112</v>
      </c>
      <c r="F1424" s="2" t="s">
        <v>1179</v>
      </c>
      <c r="G1424" s="2" t="s">
        <v>6883</v>
      </c>
      <c r="H1424" s="2" t="s">
        <v>6884</v>
      </c>
      <c r="I1424" s="2" t="s">
        <v>2644</v>
      </c>
      <c r="J1424" s="2" t="s">
        <v>892</v>
      </c>
      <c r="K1424" s="2" t="s">
        <v>449</v>
      </c>
      <c r="L1424" s="3">
        <v>216.6</v>
      </c>
      <c r="M1424" s="3">
        <v>227.43</v>
      </c>
      <c r="N1424" s="3">
        <v>449</v>
      </c>
      <c r="O1424" s="2" t="s">
        <v>245</v>
      </c>
      <c r="P1424" s="2" t="s">
        <v>393</v>
      </c>
      <c r="Q1424" s="2" t="s">
        <v>239</v>
      </c>
      <c r="R1424" s="2" t="s">
        <v>233</v>
      </c>
      <c r="S1424" s="2" t="s">
        <v>233</v>
      </c>
      <c r="T1424" s="2" t="s">
        <v>233</v>
      </c>
      <c r="U1424" s="2" t="s">
        <v>233</v>
      </c>
      <c r="V1424" s="2" t="s">
        <v>241</v>
      </c>
      <c r="W1424" s="2" t="s">
        <v>397</v>
      </c>
      <c r="X1424" s="2" t="s">
        <v>705</v>
      </c>
      <c r="Y1424" s="2" t="s">
        <v>5992</v>
      </c>
      <c r="Z1424" s="4">
        <v>58</v>
      </c>
      <c r="AA1424" s="4">
        <f>=ROUNDDOWN(18.7096774193548,0)</f>
      </c>
      <c r="AB1424" s="5">
        <v>3.1</v>
      </c>
      <c r="AC1424" s="2" t="s">
        <v>319</v>
      </c>
      <c r="AD1424" s="4">
        <v>56</v>
      </c>
      <c r="AE1424" s="4">
        <v>56</v>
      </c>
      <c r="AF1424" s="6">
        <v>66</v>
      </c>
      <c r="AG1424" s="6"/>
      <c r="AH1424" s="7">
        <v>1</v>
      </c>
      <c r="AI1424" s="4"/>
      <c r="AJ1424" s="4">
        <f>=ROUNDDOWN({0},0)</f>
      </c>
      <c r="AK1424" s="5"/>
      <c r="AL1424" s="2" t="s">
        <v>233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/>
      <c r="BD1424" s="8"/>
      <c r="BE1424" s="4"/>
      <c r="BF1424" s="8"/>
      <c r="BG1424" s="7"/>
      <c r="BH1424" s="7"/>
      <c r="BI1424" s="7"/>
      <c r="BJ1424" s="4">
        <v>14</v>
      </c>
      <c r="BK1424" s="8">
        <v>3207.66</v>
      </c>
      <c r="BL1424" s="2" t="s">
        <v>1023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6885</v>
      </c>
      <c r="BV1424" s="2" t="s">
        <v>233</v>
      </c>
      <c r="BW1424" s="2" t="s">
        <v>233</v>
      </c>
      <c r="BX1424" s="2" t="s">
        <v>243</v>
      </c>
      <c r="BY1424" s="2" t="s">
        <v>280</v>
      </c>
      <c r="BZ1424" s="2" t="s">
        <v>245</v>
      </c>
      <c r="CA1424" s="2" t="s">
        <v>5992</v>
      </c>
      <c r="CB1424" s="2" t="s">
        <v>6886</v>
      </c>
      <c r="CC1424" s="2" t="s">
        <v>246</v>
      </c>
      <c r="CD1424" s="2" t="s">
        <v>233</v>
      </c>
      <c r="CE1424" s="4"/>
      <c r="CF1424" s="4">
        <v>58</v>
      </c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>
        <v>56</v>
      </c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</row>
    <row r="1425">
      <c r="A1425" s="2" t="s">
        <v>6887</v>
      </c>
      <c r="B1425" s="2" t="s">
        <v>1242</v>
      </c>
      <c r="C1425" s="2" t="s">
        <v>901</v>
      </c>
      <c r="D1425" s="2" t="s">
        <v>912</v>
      </c>
      <c r="E1425" s="2" t="s">
        <v>1139</v>
      </c>
      <c r="F1425" s="2" t="s">
        <v>6888</v>
      </c>
      <c r="G1425" s="2" t="s">
        <v>6888</v>
      </c>
      <c r="H1425" s="2" t="s">
        <v>6888</v>
      </c>
      <c r="I1425" s="2" t="s">
        <v>6889</v>
      </c>
      <c r="J1425" s="2" t="s">
        <v>981</v>
      </c>
      <c r="K1425" s="2" t="s">
        <v>236</v>
      </c>
      <c r="L1425" s="3">
        <v>55</v>
      </c>
      <c r="M1425" s="3">
        <v>57.74</v>
      </c>
      <c r="N1425" s="3">
        <v>109.99</v>
      </c>
      <c r="O1425" s="2" t="s">
        <v>245</v>
      </c>
      <c r="P1425" s="2" t="s">
        <v>763</v>
      </c>
      <c r="Q1425" s="2" t="s">
        <v>239</v>
      </c>
      <c r="R1425" s="2" t="s">
        <v>233</v>
      </c>
      <c r="S1425" s="2" t="s">
        <v>6890</v>
      </c>
      <c r="T1425" s="2" t="s">
        <v>341</v>
      </c>
      <c r="U1425" s="2" t="s">
        <v>475</v>
      </c>
      <c r="V1425" s="2" t="s">
        <v>241</v>
      </c>
      <c r="W1425" s="2" t="s">
        <v>6891</v>
      </c>
      <c r="X1425" s="2" t="s">
        <v>275</v>
      </c>
      <c r="Y1425" s="2" t="s">
        <v>455</v>
      </c>
      <c r="Z1425" s="4">
        <v>161</v>
      </c>
      <c r="AA1425" s="4">
        <f>=ROUNDDOWN(20.125,0)</f>
      </c>
      <c r="AB1425" s="5">
        <v>8</v>
      </c>
      <c r="AC1425" s="2" t="s">
        <v>6892</v>
      </c>
      <c r="AD1425" s="4">
        <v>180</v>
      </c>
      <c r="AE1425" s="4">
        <v>180</v>
      </c>
      <c r="AF1425" s="6">
        <v>67</v>
      </c>
      <c r="AG1425" s="6"/>
      <c r="AH1425" s="7">
        <v>1</v>
      </c>
      <c r="AI1425" s="4"/>
      <c r="AJ1425" s="4">
        <f>=ROUNDDOWN({0},0)</f>
      </c>
      <c r="AK1425" s="5"/>
      <c r="AL1425" s="2" t="s">
        <v>233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 t="s">
        <v>233</v>
      </c>
      <c r="BD1425" s="8" t="s">
        <v>233</v>
      </c>
      <c r="BE1425" s="4" t="s">
        <v>233</v>
      </c>
      <c r="BF1425" s="8" t="s">
        <v>233</v>
      </c>
      <c r="BG1425" s="7" t="s">
        <v>233</v>
      </c>
      <c r="BH1425" s="7" t="s">
        <v>233</v>
      </c>
      <c r="BI1425" s="7"/>
      <c r="BJ1425" s="4">
        <v>8</v>
      </c>
      <c r="BK1425" s="8">
        <v>495.52</v>
      </c>
      <c r="BL1425" s="2" t="s">
        <v>6893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6894</v>
      </c>
      <c r="BV1425" s="2" t="s">
        <v>233</v>
      </c>
      <c r="BW1425" s="2" t="s">
        <v>233</v>
      </c>
      <c r="BX1425" s="2" t="s">
        <v>233</v>
      </c>
      <c r="BY1425" s="2" t="s">
        <v>280</v>
      </c>
      <c r="BZ1425" s="2" t="s">
        <v>245</v>
      </c>
      <c r="CA1425" s="2" t="s">
        <v>1796</v>
      </c>
      <c r="CB1425" s="2" t="s">
        <v>1799</v>
      </c>
      <c r="CC1425" s="2" t="s">
        <v>246</v>
      </c>
      <c r="CD1425" s="2" t="s">
        <v>233</v>
      </c>
      <c r="CE1425" s="4">
        <v>161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>
        <v>180</v>
      </c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</row>
    <row r="1426">
      <c r="A1426" s="2" t="s">
        <v>6895</v>
      </c>
      <c r="B1426" s="2" t="s">
        <v>1242</v>
      </c>
      <c r="C1426" s="2" t="s">
        <v>901</v>
      </c>
      <c r="D1426" s="2" t="s">
        <v>969</v>
      </c>
      <c r="E1426" s="2" t="s">
        <v>970</v>
      </c>
      <c r="F1426" s="2" t="s">
        <v>6888</v>
      </c>
      <c r="G1426" s="2" t="s">
        <v>6888</v>
      </c>
      <c r="H1426" s="2" t="s">
        <v>6888</v>
      </c>
      <c r="I1426" s="2" t="s">
        <v>3006</v>
      </c>
      <c r="J1426" s="2" t="s">
        <v>1142</v>
      </c>
      <c r="K1426" s="2" t="s">
        <v>569</v>
      </c>
      <c r="L1426" s="3">
        <v>80</v>
      </c>
      <c r="M1426" s="3">
        <v>83.99</v>
      </c>
      <c r="N1426" s="3">
        <v>159.99</v>
      </c>
      <c r="O1426" s="2" t="s">
        <v>245</v>
      </c>
      <c r="P1426" s="2" t="s">
        <v>272</v>
      </c>
      <c r="Q1426" s="2" t="s">
        <v>239</v>
      </c>
      <c r="R1426" s="2" t="s">
        <v>233</v>
      </c>
      <c r="S1426" s="2" t="s">
        <v>6896</v>
      </c>
      <c r="T1426" s="2" t="s">
        <v>341</v>
      </c>
      <c r="U1426" s="2" t="s">
        <v>475</v>
      </c>
      <c r="V1426" s="2" t="s">
        <v>241</v>
      </c>
      <c r="W1426" s="2" t="s">
        <v>6891</v>
      </c>
      <c r="X1426" s="2" t="s">
        <v>275</v>
      </c>
      <c r="Y1426" s="2" t="s">
        <v>455</v>
      </c>
      <c r="Z1426" s="4">
        <v>206</v>
      </c>
      <c r="AA1426" s="4">
        <f>=ROUNDDOWN(41.2,0)</f>
      </c>
      <c r="AB1426" s="5">
        <v>5</v>
      </c>
      <c r="AC1426" s="2" t="s">
        <v>1341</v>
      </c>
      <c r="AD1426" s="4">
        <v>90</v>
      </c>
      <c r="AE1426" s="4">
        <v>90</v>
      </c>
      <c r="AF1426" s="6">
        <v>67</v>
      </c>
      <c r="AG1426" s="6"/>
      <c r="AH1426" s="7">
        <v>1</v>
      </c>
      <c r="AI1426" s="4"/>
      <c r="AJ1426" s="4">
        <f>=ROUNDDOWN({0},0)</f>
      </c>
      <c r="AK1426" s="5"/>
      <c r="AL1426" s="2" t="s">
        <v>233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233</v>
      </c>
      <c r="AW1426" s="8" t="s">
        <v>233</v>
      </c>
      <c r="AX1426" s="4" t="s">
        <v>233</v>
      </c>
      <c r="AY1426" s="8" t="s">
        <v>233</v>
      </c>
      <c r="AZ1426" s="7" t="s">
        <v>233</v>
      </c>
      <c r="BA1426" s="7" t="s">
        <v>233</v>
      </c>
      <c r="BB1426" s="7" t="s">
        <v>233</v>
      </c>
      <c r="BC1426" s="4" t="s">
        <v>233</v>
      </c>
      <c r="BD1426" s="8" t="s">
        <v>233</v>
      </c>
      <c r="BE1426" s="4" t="s">
        <v>233</v>
      </c>
      <c r="BF1426" s="8" t="s">
        <v>233</v>
      </c>
      <c r="BG1426" s="7" t="s">
        <v>233</v>
      </c>
      <c r="BH1426" s="7" t="s">
        <v>233</v>
      </c>
      <c r="BI1426" s="7"/>
      <c r="BJ1426" s="4">
        <v>13</v>
      </c>
      <c r="BK1426" s="8">
        <v>1146.95</v>
      </c>
      <c r="BL1426" s="2" t="s">
        <v>6897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6898</v>
      </c>
      <c r="BV1426" s="2" t="s">
        <v>233</v>
      </c>
      <c r="BW1426" s="2" t="s">
        <v>233</v>
      </c>
      <c r="BX1426" s="2" t="s">
        <v>233</v>
      </c>
      <c r="BY1426" s="2" t="s">
        <v>280</v>
      </c>
      <c r="BZ1426" s="2" t="s">
        <v>245</v>
      </c>
      <c r="CA1426" s="2" t="s">
        <v>1796</v>
      </c>
      <c r="CB1426" s="2" t="s">
        <v>997</v>
      </c>
      <c r="CC1426" s="2" t="s">
        <v>246</v>
      </c>
      <c r="CD1426" s="2" t="s">
        <v>233</v>
      </c>
      <c r="CE1426" s="4">
        <v>206</v>
      </c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>
        <v>90</v>
      </c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</row>
    <row r="1427">
      <c r="A1427" s="2" t="s">
        <v>6899</v>
      </c>
      <c r="B1427" s="2" t="s">
        <v>1242</v>
      </c>
      <c r="C1427" s="2" t="s">
        <v>901</v>
      </c>
      <c r="D1427" s="2" t="s">
        <v>912</v>
      </c>
      <c r="E1427" s="2" t="s">
        <v>1139</v>
      </c>
      <c r="F1427" s="2" t="s">
        <v>6888</v>
      </c>
      <c r="G1427" s="2" t="s">
        <v>6888</v>
      </c>
      <c r="H1427" s="2" t="s">
        <v>6888</v>
      </c>
      <c r="I1427" s="2" t="s">
        <v>6889</v>
      </c>
      <c r="J1427" s="2" t="s">
        <v>1142</v>
      </c>
      <c r="K1427" s="2" t="s">
        <v>569</v>
      </c>
      <c r="L1427" s="3">
        <v>70</v>
      </c>
      <c r="M1427" s="3">
        <v>73.49</v>
      </c>
      <c r="N1427" s="3">
        <v>139.99</v>
      </c>
      <c r="O1427" s="2" t="s">
        <v>245</v>
      </c>
      <c r="P1427" s="2" t="s">
        <v>272</v>
      </c>
      <c r="Q1427" s="2" t="s">
        <v>239</v>
      </c>
      <c r="R1427" s="2" t="s">
        <v>233</v>
      </c>
      <c r="S1427" s="2" t="s">
        <v>6896</v>
      </c>
      <c r="T1427" s="2" t="s">
        <v>341</v>
      </c>
      <c r="U1427" s="2" t="s">
        <v>475</v>
      </c>
      <c r="V1427" s="2" t="s">
        <v>241</v>
      </c>
      <c r="W1427" s="2" t="s">
        <v>6891</v>
      </c>
      <c r="X1427" s="2" t="s">
        <v>275</v>
      </c>
      <c r="Y1427" s="2" t="s">
        <v>455</v>
      </c>
      <c r="Z1427" s="4">
        <v>179</v>
      </c>
      <c r="AA1427" s="4">
        <f>=ROUNDDOWN(35.8,0)</f>
      </c>
      <c r="AB1427" s="5">
        <v>5</v>
      </c>
      <c r="AC1427" s="2" t="s">
        <v>1341</v>
      </c>
      <c r="AD1427" s="4">
        <v>130</v>
      </c>
      <c r="AE1427" s="4">
        <v>130</v>
      </c>
      <c r="AF1427" s="6">
        <v>67</v>
      </c>
      <c r="AG1427" s="6"/>
      <c r="AH1427" s="7">
        <v>1</v>
      </c>
      <c r="AI1427" s="4"/>
      <c r="AJ1427" s="4">
        <f>=ROUNDDOWN({0},0)</f>
      </c>
      <c r="AK1427" s="5"/>
      <c r="AL1427" s="2" t="s">
        <v>233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233</v>
      </c>
      <c r="AW1427" s="8" t="s">
        <v>233</v>
      </c>
      <c r="AX1427" s="4" t="s">
        <v>233</v>
      </c>
      <c r="AY1427" s="8" t="s">
        <v>233</v>
      </c>
      <c r="AZ1427" s="7" t="s">
        <v>233</v>
      </c>
      <c r="BA1427" s="7" t="s">
        <v>233</v>
      </c>
      <c r="BB1427" s="7" t="s">
        <v>233</v>
      </c>
      <c r="BC1427" s="4" t="s">
        <v>233</v>
      </c>
      <c r="BD1427" s="8" t="s">
        <v>233</v>
      </c>
      <c r="BE1427" s="4" t="s">
        <v>233</v>
      </c>
      <c r="BF1427" s="8" t="s">
        <v>233</v>
      </c>
      <c r="BG1427" s="7" t="s">
        <v>233</v>
      </c>
      <c r="BH1427" s="7" t="s">
        <v>233</v>
      </c>
      <c r="BI1427" s="7"/>
      <c r="BJ1427" s="4">
        <v>7</v>
      </c>
      <c r="BK1427" s="8">
        <v>527.95</v>
      </c>
      <c r="BL1427" s="2" t="s">
        <v>2380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6900</v>
      </c>
      <c r="BV1427" s="2" t="s">
        <v>233</v>
      </c>
      <c r="BW1427" s="2" t="s">
        <v>233</v>
      </c>
      <c r="BX1427" s="2" t="s">
        <v>233</v>
      </c>
      <c r="BY1427" s="2" t="s">
        <v>280</v>
      </c>
      <c r="BZ1427" s="2" t="s">
        <v>245</v>
      </c>
      <c r="CA1427" s="2" t="s">
        <v>1796</v>
      </c>
      <c r="CB1427" s="2" t="s">
        <v>518</v>
      </c>
      <c r="CC1427" s="2" t="s">
        <v>246</v>
      </c>
      <c r="CD1427" s="2" t="s">
        <v>233</v>
      </c>
      <c r="CE1427" s="4">
        <v>179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>
        <v>130</v>
      </c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</row>
    <row r="1428">
      <c r="A1428" s="2" t="s">
        <v>6901</v>
      </c>
      <c r="B1428" s="2" t="s">
        <v>1242</v>
      </c>
      <c r="C1428" s="2" t="s">
        <v>334</v>
      </c>
      <c r="D1428" s="2" t="s">
        <v>969</v>
      </c>
      <c r="E1428" s="2" t="s">
        <v>1078</v>
      </c>
      <c r="F1428" s="2" t="s">
        <v>6902</v>
      </c>
      <c r="G1428" s="2" t="s">
        <v>6903</v>
      </c>
      <c r="H1428" s="2" t="s">
        <v>6136</v>
      </c>
      <c r="I1428" s="2" t="s">
        <v>6904</v>
      </c>
      <c r="J1428" s="2" t="s">
        <v>1142</v>
      </c>
      <c r="K1428" s="2" t="s">
        <v>255</v>
      </c>
      <c r="L1428" s="3">
        <v>36.8</v>
      </c>
      <c r="M1428" s="3">
        <v>38.64</v>
      </c>
      <c r="N1428" s="3">
        <v>79.99</v>
      </c>
      <c r="O1428" s="2" t="s">
        <v>252</v>
      </c>
      <c r="P1428" s="2" t="s">
        <v>311</v>
      </c>
      <c r="Q1428" s="2" t="s">
        <v>239</v>
      </c>
      <c r="R1428" s="2" t="s">
        <v>233</v>
      </c>
      <c r="S1428" s="2" t="s">
        <v>6905</v>
      </c>
      <c r="T1428" s="2" t="s">
        <v>233</v>
      </c>
      <c r="U1428" s="2" t="s">
        <v>1482</v>
      </c>
      <c r="V1428" s="2" t="s">
        <v>241</v>
      </c>
      <c r="W1428" s="2" t="s">
        <v>275</v>
      </c>
      <c r="X1428" s="2" t="s">
        <v>5911</v>
      </c>
      <c r="Y1428" s="2" t="s">
        <v>5651</v>
      </c>
      <c r="Z1428" s="4"/>
      <c r="AA1428" s="4">
        <f>=ROUNDDOWN({0},0)</f>
      </c>
      <c r="AB1428" s="5">
        <v>0.2</v>
      </c>
      <c r="AC1428" s="2" t="s">
        <v>233</v>
      </c>
      <c r="AD1428" s="4"/>
      <c r="AE1428" s="4"/>
      <c r="AF1428" s="6">
        <v>64</v>
      </c>
      <c r="AG1428" s="6"/>
      <c r="AH1428" s="7">
        <v>0</v>
      </c>
      <c r="AI1428" s="4"/>
      <c r="AJ1428" s="4">
        <f>=ROUNDDOWN({0},0)</f>
      </c>
      <c r="AK1428" s="5"/>
      <c r="AL1428" s="2" t="s">
        <v>233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/>
      <c r="BD1428" s="8"/>
      <c r="BE1428" s="4"/>
      <c r="BF1428" s="8"/>
      <c r="BG1428" s="7"/>
      <c r="BH1428" s="7"/>
      <c r="BI1428" s="7"/>
      <c r="BJ1428" s="4"/>
      <c r="BK1428" s="8"/>
      <c r="BL1428" s="2" t="s">
        <v>233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6906</v>
      </c>
      <c r="BV1428" s="2" t="s">
        <v>233</v>
      </c>
      <c r="BW1428" s="2" t="s">
        <v>233</v>
      </c>
      <c r="BX1428" s="2" t="s">
        <v>233</v>
      </c>
      <c r="BY1428" s="2" t="s">
        <v>280</v>
      </c>
      <c r="BZ1428" s="2" t="s">
        <v>245</v>
      </c>
      <c r="CA1428" s="2" t="s">
        <v>4562</v>
      </c>
      <c r="CB1428" s="2" t="s">
        <v>4394</v>
      </c>
      <c r="CC1428" s="2" t="s">
        <v>246</v>
      </c>
      <c r="CD1428" s="2" t="s">
        <v>233</v>
      </c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</row>
    <row r="1429">
      <c r="A1429" s="2" t="s">
        <v>6907</v>
      </c>
      <c r="B1429" s="2" t="s">
        <v>1276</v>
      </c>
      <c r="C1429" s="2" t="s">
        <v>1277</v>
      </c>
      <c r="D1429" s="2" t="s">
        <v>1278</v>
      </c>
      <c r="E1429" s="2" t="s">
        <v>1279</v>
      </c>
      <c r="F1429" s="2" t="s">
        <v>6908</v>
      </c>
      <c r="G1429" s="2" t="s">
        <v>6908</v>
      </c>
      <c r="H1429" s="2" t="s">
        <v>6908</v>
      </c>
      <c r="I1429" s="2" t="s">
        <v>6909</v>
      </c>
      <c r="J1429" s="2" t="s">
        <v>1282</v>
      </c>
      <c r="K1429" s="2" t="s">
        <v>255</v>
      </c>
      <c r="L1429" s="3">
        <v>13.72</v>
      </c>
      <c r="M1429" s="3">
        <v>14.41</v>
      </c>
      <c r="N1429" s="3">
        <v>30.99</v>
      </c>
      <c r="O1429" s="2" t="s">
        <v>245</v>
      </c>
      <c r="P1429" s="2" t="s">
        <v>238</v>
      </c>
      <c r="Q1429" s="2" t="s">
        <v>239</v>
      </c>
      <c r="R1429" s="2" t="s">
        <v>233</v>
      </c>
      <c r="S1429" s="2" t="s">
        <v>233</v>
      </c>
      <c r="T1429" s="2" t="s">
        <v>233</v>
      </c>
      <c r="U1429" s="2" t="s">
        <v>396</v>
      </c>
      <c r="V1429" s="2" t="s">
        <v>893</v>
      </c>
      <c r="W1429" s="2" t="s">
        <v>275</v>
      </c>
      <c r="X1429" s="2" t="s">
        <v>233</v>
      </c>
      <c r="Y1429" s="2" t="s">
        <v>1283</v>
      </c>
      <c r="Z1429" s="4">
        <v>62</v>
      </c>
      <c r="AA1429" s="4">
        <f>=ROUNDDOWN(16.7567567567568,0)</f>
      </c>
      <c r="AB1429" s="5">
        <v>3.7</v>
      </c>
      <c r="AC1429" s="2" t="s">
        <v>233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233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233</v>
      </c>
      <c r="AW1429" s="8" t="s">
        <v>233</v>
      </c>
      <c r="AX1429" s="4" t="s">
        <v>233</v>
      </c>
      <c r="AY1429" s="8" t="s">
        <v>233</v>
      </c>
      <c r="AZ1429" s="7" t="s">
        <v>233</v>
      </c>
      <c r="BA1429" s="7" t="s">
        <v>233</v>
      </c>
      <c r="BB1429" s="7"/>
      <c r="BC1429" s="4" t="s">
        <v>233</v>
      </c>
      <c r="BD1429" s="8" t="s">
        <v>233</v>
      </c>
      <c r="BE1429" s="4" t="s">
        <v>233</v>
      </c>
      <c r="BF1429" s="8" t="s">
        <v>233</v>
      </c>
      <c r="BG1429" s="7" t="s">
        <v>233</v>
      </c>
      <c r="BH1429" s="7" t="s">
        <v>233</v>
      </c>
      <c r="BI1429" s="7"/>
      <c r="BJ1429" s="4">
        <v>9</v>
      </c>
      <c r="BK1429" s="8">
        <v>129.69</v>
      </c>
      <c r="BL1429" s="2" t="s">
        <v>1028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243</v>
      </c>
      <c r="BV1429" s="2" t="s">
        <v>233</v>
      </c>
      <c r="BW1429" s="2" t="s">
        <v>233</v>
      </c>
      <c r="BX1429" s="2" t="s">
        <v>243</v>
      </c>
      <c r="BY1429" s="2" t="s">
        <v>346</v>
      </c>
      <c r="BZ1429" s="2" t="s">
        <v>245</v>
      </c>
      <c r="CA1429" s="2" t="s">
        <v>233</v>
      </c>
      <c r="CB1429" s="2" t="s">
        <v>233</v>
      </c>
      <c r="CC1429" s="2" t="s">
        <v>246</v>
      </c>
      <c r="CD1429" s="2" t="s">
        <v>233</v>
      </c>
      <c r="CE1429" s="4">
        <v>62</v>
      </c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</row>
    <row r="1430">
      <c r="A1430" s="2" t="s">
        <v>6910</v>
      </c>
      <c r="B1430" s="2" t="s">
        <v>1276</v>
      </c>
      <c r="C1430" s="2" t="s">
        <v>1277</v>
      </c>
      <c r="D1430" s="2" t="s">
        <v>1278</v>
      </c>
      <c r="E1430" s="2" t="s">
        <v>1279</v>
      </c>
      <c r="F1430" s="2" t="s">
        <v>6908</v>
      </c>
      <c r="G1430" s="2" t="s">
        <v>6908</v>
      </c>
      <c r="H1430" s="2" t="s">
        <v>6908</v>
      </c>
      <c r="I1430" s="2" t="s">
        <v>6911</v>
      </c>
      <c r="J1430" s="2" t="s">
        <v>1287</v>
      </c>
      <c r="K1430" s="2" t="s">
        <v>255</v>
      </c>
      <c r="L1430" s="3">
        <v>17.07</v>
      </c>
      <c r="M1430" s="3">
        <v>17.92</v>
      </c>
      <c r="N1430" s="3">
        <v>37.99</v>
      </c>
      <c r="O1430" s="2" t="s">
        <v>245</v>
      </c>
      <c r="P1430" s="2" t="s">
        <v>238</v>
      </c>
      <c r="Q1430" s="2" t="s">
        <v>239</v>
      </c>
      <c r="R1430" s="2" t="s">
        <v>233</v>
      </c>
      <c r="S1430" s="2" t="s">
        <v>233</v>
      </c>
      <c r="T1430" s="2" t="s">
        <v>233</v>
      </c>
      <c r="U1430" s="2" t="s">
        <v>396</v>
      </c>
      <c r="V1430" s="2" t="s">
        <v>893</v>
      </c>
      <c r="W1430" s="2" t="s">
        <v>275</v>
      </c>
      <c r="X1430" s="2" t="s">
        <v>233</v>
      </c>
      <c r="Y1430" s="2" t="s">
        <v>1283</v>
      </c>
      <c r="Z1430" s="4">
        <v>421</v>
      </c>
      <c r="AA1430" s="4">
        <f>=ROUNDDOWN(49.5294117647059,0)</f>
      </c>
      <c r="AB1430" s="5">
        <v>8.5</v>
      </c>
      <c r="AC1430" s="2" t="s">
        <v>233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233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233</v>
      </c>
      <c r="AW1430" s="8" t="s">
        <v>233</v>
      </c>
      <c r="AX1430" s="4" t="s">
        <v>233</v>
      </c>
      <c r="AY1430" s="8" t="s">
        <v>233</v>
      </c>
      <c r="AZ1430" s="7" t="s">
        <v>233</v>
      </c>
      <c r="BA1430" s="7" t="s">
        <v>233</v>
      </c>
      <c r="BB1430" s="7"/>
      <c r="BC1430" s="4" t="s">
        <v>233</v>
      </c>
      <c r="BD1430" s="8" t="s">
        <v>233</v>
      </c>
      <c r="BE1430" s="4" t="s">
        <v>233</v>
      </c>
      <c r="BF1430" s="8" t="s">
        <v>233</v>
      </c>
      <c r="BG1430" s="7" t="s">
        <v>233</v>
      </c>
      <c r="BH1430" s="7" t="s">
        <v>233</v>
      </c>
      <c r="BI1430" s="7"/>
      <c r="BJ1430" s="4">
        <v>30</v>
      </c>
      <c r="BK1430" s="8">
        <v>537.6</v>
      </c>
      <c r="BL1430" s="2" t="s">
        <v>1028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243</v>
      </c>
      <c r="BV1430" s="2" t="s">
        <v>233</v>
      </c>
      <c r="BW1430" s="2" t="s">
        <v>233</v>
      </c>
      <c r="BX1430" s="2" t="s">
        <v>243</v>
      </c>
      <c r="BY1430" s="2" t="s">
        <v>346</v>
      </c>
      <c r="BZ1430" s="2" t="s">
        <v>245</v>
      </c>
      <c r="CA1430" s="2" t="s">
        <v>233</v>
      </c>
      <c r="CB1430" s="2" t="s">
        <v>233</v>
      </c>
      <c r="CC1430" s="2" t="s">
        <v>246</v>
      </c>
      <c r="CD1430" s="2" t="s">
        <v>233</v>
      </c>
      <c r="CE1430" s="4">
        <v>421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</row>
    <row r="1431">
      <c r="A1431" s="2" t="s">
        <v>6912</v>
      </c>
      <c r="B1431" s="2" t="s">
        <v>1276</v>
      </c>
      <c r="C1431" s="2" t="s">
        <v>1277</v>
      </c>
      <c r="D1431" s="2" t="s">
        <v>1278</v>
      </c>
      <c r="E1431" s="2" t="s">
        <v>1279</v>
      </c>
      <c r="F1431" s="2" t="s">
        <v>6908</v>
      </c>
      <c r="G1431" s="2" t="s">
        <v>6908</v>
      </c>
      <c r="H1431" s="2" t="s">
        <v>6908</v>
      </c>
      <c r="I1431" s="2" t="s">
        <v>6913</v>
      </c>
      <c r="J1431" s="2" t="s">
        <v>1290</v>
      </c>
      <c r="K1431" s="2" t="s">
        <v>255</v>
      </c>
      <c r="L1431" s="3">
        <v>23.36</v>
      </c>
      <c r="M1431" s="3">
        <v>24.53</v>
      </c>
      <c r="N1431" s="3">
        <v>51.99</v>
      </c>
      <c r="O1431" s="2" t="s">
        <v>245</v>
      </c>
      <c r="P1431" s="2" t="s">
        <v>238</v>
      </c>
      <c r="Q1431" s="2" t="s">
        <v>239</v>
      </c>
      <c r="R1431" s="2" t="s">
        <v>233</v>
      </c>
      <c r="S1431" s="2" t="s">
        <v>233</v>
      </c>
      <c r="T1431" s="2" t="s">
        <v>233</v>
      </c>
      <c r="U1431" s="2" t="s">
        <v>396</v>
      </c>
      <c r="V1431" s="2" t="s">
        <v>893</v>
      </c>
      <c r="W1431" s="2" t="s">
        <v>275</v>
      </c>
      <c r="X1431" s="2" t="s">
        <v>233</v>
      </c>
      <c r="Y1431" s="2" t="s">
        <v>1283</v>
      </c>
      <c r="Z1431" s="4">
        <v>126</v>
      </c>
      <c r="AA1431" s="4">
        <f>=ROUNDDOWN(9.1970802919708,0)</f>
      </c>
      <c r="AB1431" s="5">
        <v>13.7</v>
      </c>
      <c r="AC1431" s="2" t="s">
        <v>233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233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233</v>
      </c>
      <c r="AW1431" s="8" t="s">
        <v>233</v>
      </c>
      <c r="AX1431" s="4" t="s">
        <v>233</v>
      </c>
      <c r="AY1431" s="8" t="s">
        <v>233</v>
      </c>
      <c r="AZ1431" s="7" t="s">
        <v>233</v>
      </c>
      <c r="BA1431" s="7" t="s">
        <v>233</v>
      </c>
      <c r="BB1431" s="7"/>
      <c r="BC1431" s="4" t="s">
        <v>233</v>
      </c>
      <c r="BD1431" s="8" t="s">
        <v>233</v>
      </c>
      <c r="BE1431" s="4" t="s">
        <v>233</v>
      </c>
      <c r="BF1431" s="8" t="s">
        <v>233</v>
      </c>
      <c r="BG1431" s="7" t="s">
        <v>233</v>
      </c>
      <c r="BH1431" s="7" t="s">
        <v>233</v>
      </c>
      <c r="BI1431" s="7"/>
      <c r="BJ1431" s="4">
        <v>45</v>
      </c>
      <c r="BK1431" s="8">
        <v>1103.85</v>
      </c>
      <c r="BL1431" s="2" t="s">
        <v>1028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243</v>
      </c>
      <c r="BV1431" s="2" t="s">
        <v>233</v>
      </c>
      <c r="BW1431" s="2" t="s">
        <v>233</v>
      </c>
      <c r="BX1431" s="2" t="s">
        <v>243</v>
      </c>
      <c r="BY1431" s="2" t="s">
        <v>346</v>
      </c>
      <c r="BZ1431" s="2" t="s">
        <v>245</v>
      </c>
      <c r="CA1431" s="2" t="s">
        <v>233</v>
      </c>
      <c r="CB1431" s="2" t="s">
        <v>233</v>
      </c>
      <c r="CC1431" s="2" t="s">
        <v>246</v>
      </c>
      <c r="CD1431" s="2" t="s">
        <v>233</v>
      </c>
      <c r="CE1431" s="4">
        <v>126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</row>
    <row r="1432">
      <c r="A1432" s="2" t="s">
        <v>6914</v>
      </c>
      <c r="B1432" s="2" t="s">
        <v>1276</v>
      </c>
      <c r="C1432" s="2" t="s">
        <v>1277</v>
      </c>
      <c r="D1432" s="2" t="s">
        <v>1278</v>
      </c>
      <c r="E1432" s="2" t="s">
        <v>1279</v>
      </c>
      <c r="F1432" s="2" t="s">
        <v>6908</v>
      </c>
      <c r="G1432" s="2" t="s">
        <v>6908</v>
      </c>
      <c r="H1432" s="2" t="s">
        <v>6908</v>
      </c>
      <c r="I1432" s="2" t="s">
        <v>6909</v>
      </c>
      <c r="J1432" s="2" t="s">
        <v>1282</v>
      </c>
      <c r="K1432" s="2" t="s">
        <v>582</v>
      </c>
      <c r="L1432" s="3">
        <v>13.72</v>
      </c>
      <c r="M1432" s="3">
        <v>14.41</v>
      </c>
      <c r="N1432" s="3">
        <v>30.99</v>
      </c>
      <c r="O1432" s="2" t="s">
        <v>245</v>
      </c>
      <c r="P1432" s="2" t="s">
        <v>238</v>
      </c>
      <c r="Q1432" s="2" t="s">
        <v>239</v>
      </c>
      <c r="R1432" s="2" t="s">
        <v>233</v>
      </c>
      <c r="S1432" s="2" t="s">
        <v>233</v>
      </c>
      <c r="T1432" s="2" t="s">
        <v>233</v>
      </c>
      <c r="U1432" s="2" t="s">
        <v>396</v>
      </c>
      <c r="V1432" s="2" t="s">
        <v>893</v>
      </c>
      <c r="W1432" s="2" t="s">
        <v>275</v>
      </c>
      <c r="X1432" s="2" t="s">
        <v>233</v>
      </c>
      <c r="Y1432" s="2" t="s">
        <v>1283</v>
      </c>
      <c r="Z1432" s="4">
        <v>29</v>
      </c>
      <c r="AA1432" s="4">
        <f>=ROUNDDOWN(14.5,0)</f>
      </c>
      <c r="AB1432" s="5">
        <v>2</v>
      </c>
      <c r="AC1432" s="2" t="s">
        <v>233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233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233</v>
      </c>
      <c r="AW1432" s="8" t="s">
        <v>233</v>
      </c>
      <c r="AX1432" s="4" t="s">
        <v>233</v>
      </c>
      <c r="AY1432" s="8" t="s">
        <v>233</v>
      </c>
      <c r="AZ1432" s="7" t="s">
        <v>233</v>
      </c>
      <c r="BA1432" s="7" t="s">
        <v>233</v>
      </c>
      <c r="BB1432" s="7"/>
      <c r="BC1432" s="4" t="s">
        <v>233</v>
      </c>
      <c r="BD1432" s="8" t="s">
        <v>233</v>
      </c>
      <c r="BE1432" s="4" t="s">
        <v>233</v>
      </c>
      <c r="BF1432" s="8" t="s">
        <v>233</v>
      </c>
      <c r="BG1432" s="7" t="s">
        <v>233</v>
      </c>
      <c r="BH1432" s="7" t="s">
        <v>233</v>
      </c>
      <c r="BI1432" s="7"/>
      <c r="BJ1432" s="4">
        <v>3</v>
      </c>
      <c r="BK1432" s="8">
        <v>43.23</v>
      </c>
      <c r="BL1432" s="2" t="s">
        <v>1028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243</v>
      </c>
      <c r="BV1432" s="2" t="s">
        <v>233</v>
      </c>
      <c r="BW1432" s="2" t="s">
        <v>233</v>
      </c>
      <c r="BX1432" s="2" t="s">
        <v>243</v>
      </c>
      <c r="BY1432" s="2" t="s">
        <v>346</v>
      </c>
      <c r="BZ1432" s="2" t="s">
        <v>245</v>
      </c>
      <c r="CA1432" s="2" t="s">
        <v>233</v>
      </c>
      <c r="CB1432" s="2" t="s">
        <v>233</v>
      </c>
      <c r="CC1432" s="2" t="s">
        <v>246</v>
      </c>
      <c r="CD1432" s="2" t="s">
        <v>233</v>
      </c>
      <c r="CE1432" s="4">
        <v>29</v>
      </c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</row>
    <row r="1433">
      <c r="A1433" s="2" t="s">
        <v>6915</v>
      </c>
      <c r="B1433" s="2" t="s">
        <v>1276</v>
      </c>
      <c r="C1433" s="2" t="s">
        <v>1277</v>
      </c>
      <c r="D1433" s="2" t="s">
        <v>1278</v>
      </c>
      <c r="E1433" s="2" t="s">
        <v>1279</v>
      </c>
      <c r="F1433" s="2" t="s">
        <v>6908</v>
      </c>
      <c r="G1433" s="2" t="s">
        <v>6908</v>
      </c>
      <c r="H1433" s="2" t="s">
        <v>6908</v>
      </c>
      <c r="I1433" s="2" t="s">
        <v>6911</v>
      </c>
      <c r="J1433" s="2" t="s">
        <v>1287</v>
      </c>
      <c r="K1433" s="2" t="s">
        <v>582</v>
      </c>
      <c r="L1433" s="3">
        <v>17.07</v>
      </c>
      <c r="M1433" s="3">
        <v>17.92</v>
      </c>
      <c r="N1433" s="3">
        <v>37.99</v>
      </c>
      <c r="O1433" s="2" t="s">
        <v>245</v>
      </c>
      <c r="P1433" s="2" t="s">
        <v>238</v>
      </c>
      <c r="Q1433" s="2" t="s">
        <v>239</v>
      </c>
      <c r="R1433" s="2" t="s">
        <v>233</v>
      </c>
      <c r="S1433" s="2" t="s">
        <v>233</v>
      </c>
      <c r="T1433" s="2" t="s">
        <v>233</v>
      </c>
      <c r="U1433" s="2" t="s">
        <v>396</v>
      </c>
      <c r="V1433" s="2" t="s">
        <v>893</v>
      </c>
      <c r="W1433" s="2" t="s">
        <v>275</v>
      </c>
      <c r="X1433" s="2" t="s">
        <v>233</v>
      </c>
      <c r="Y1433" s="2" t="s">
        <v>1283</v>
      </c>
      <c r="Z1433" s="4">
        <v>33</v>
      </c>
      <c r="AA1433" s="4">
        <f>=ROUNDDOWN(16.5,0)</f>
      </c>
      <c r="AB1433" s="5">
        <v>2</v>
      </c>
      <c r="AC1433" s="2" t="s">
        <v>233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233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233</v>
      </c>
      <c r="AW1433" s="8" t="s">
        <v>233</v>
      </c>
      <c r="AX1433" s="4" t="s">
        <v>233</v>
      </c>
      <c r="AY1433" s="8" t="s">
        <v>233</v>
      </c>
      <c r="AZ1433" s="7" t="s">
        <v>233</v>
      </c>
      <c r="BA1433" s="7" t="s">
        <v>233</v>
      </c>
      <c r="BB1433" s="7"/>
      <c r="BC1433" s="4" t="s">
        <v>233</v>
      </c>
      <c r="BD1433" s="8" t="s">
        <v>233</v>
      </c>
      <c r="BE1433" s="4" t="s">
        <v>233</v>
      </c>
      <c r="BF1433" s="8" t="s">
        <v>233</v>
      </c>
      <c r="BG1433" s="7" t="s">
        <v>233</v>
      </c>
      <c r="BH1433" s="7" t="s">
        <v>233</v>
      </c>
      <c r="BI1433" s="7"/>
      <c r="BJ1433" s="4">
        <v>14</v>
      </c>
      <c r="BK1433" s="8">
        <v>250.88</v>
      </c>
      <c r="BL1433" s="2" t="s">
        <v>1028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243</v>
      </c>
      <c r="BV1433" s="2" t="s">
        <v>233</v>
      </c>
      <c r="BW1433" s="2" t="s">
        <v>233</v>
      </c>
      <c r="BX1433" s="2" t="s">
        <v>243</v>
      </c>
      <c r="BY1433" s="2" t="s">
        <v>346</v>
      </c>
      <c r="BZ1433" s="2" t="s">
        <v>245</v>
      </c>
      <c r="CA1433" s="2" t="s">
        <v>233</v>
      </c>
      <c r="CB1433" s="2" t="s">
        <v>233</v>
      </c>
      <c r="CC1433" s="2" t="s">
        <v>246</v>
      </c>
      <c r="CD1433" s="2" t="s">
        <v>233</v>
      </c>
      <c r="CE1433" s="4">
        <v>33</v>
      </c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</row>
    <row r="1434">
      <c r="A1434" s="2" t="s">
        <v>6916</v>
      </c>
      <c r="B1434" s="2" t="s">
        <v>1276</v>
      </c>
      <c r="C1434" s="2" t="s">
        <v>1277</v>
      </c>
      <c r="D1434" s="2" t="s">
        <v>1278</v>
      </c>
      <c r="E1434" s="2" t="s">
        <v>1279</v>
      </c>
      <c r="F1434" s="2" t="s">
        <v>6908</v>
      </c>
      <c r="G1434" s="2" t="s">
        <v>6908</v>
      </c>
      <c r="H1434" s="2" t="s">
        <v>6908</v>
      </c>
      <c r="I1434" s="2" t="s">
        <v>6913</v>
      </c>
      <c r="J1434" s="2" t="s">
        <v>1290</v>
      </c>
      <c r="K1434" s="2" t="s">
        <v>582</v>
      </c>
      <c r="L1434" s="3">
        <v>23.36</v>
      </c>
      <c r="M1434" s="3">
        <v>24.53</v>
      </c>
      <c r="N1434" s="3">
        <v>51.99</v>
      </c>
      <c r="O1434" s="2" t="s">
        <v>245</v>
      </c>
      <c r="P1434" s="2" t="s">
        <v>238</v>
      </c>
      <c r="Q1434" s="2" t="s">
        <v>239</v>
      </c>
      <c r="R1434" s="2" t="s">
        <v>233</v>
      </c>
      <c r="S1434" s="2" t="s">
        <v>233</v>
      </c>
      <c r="T1434" s="2" t="s">
        <v>233</v>
      </c>
      <c r="U1434" s="2" t="s">
        <v>396</v>
      </c>
      <c r="V1434" s="2" t="s">
        <v>893</v>
      </c>
      <c r="W1434" s="2" t="s">
        <v>275</v>
      </c>
      <c r="X1434" s="2" t="s">
        <v>233</v>
      </c>
      <c r="Y1434" s="2" t="s">
        <v>1283</v>
      </c>
      <c r="Z1434" s="4">
        <v>31</v>
      </c>
      <c r="AA1434" s="4">
        <f>=ROUNDDOWN(10.3333333333333,0)</f>
      </c>
      <c r="AB1434" s="5">
        <v>3</v>
      </c>
      <c r="AC1434" s="2" t="s">
        <v>233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233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233</v>
      </c>
      <c r="AW1434" s="8" t="s">
        <v>233</v>
      </c>
      <c r="AX1434" s="4" t="s">
        <v>233</v>
      </c>
      <c r="AY1434" s="8" t="s">
        <v>233</v>
      </c>
      <c r="AZ1434" s="7" t="s">
        <v>233</v>
      </c>
      <c r="BA1434" s="7" t="s">
        <v>233</v>
      </c>
      <c r="BB1434" s="7"/>
      <c r="BC1434" s="4" t="s">
        <v>233</v>
      </c>
      <c r="BD1434" s="8" t="s">
        <v>233</v>
      </c>
      <c r="BE1434" s="4" t="s">
        <v>233</v>
      </c>
      <c r="BF1434" s="8" t="s">
        <v>233</v>
      </c>
      <c r="BG1434" s="7" t="s">
        <v>233</v>
      </c>
      <c r="BH1434" s="7" t="s">
        <v>233</v>
      </c>
      <c r="BI1434" s="7"/>
      <c r="BJ1434" s="4">
        <v>11</v>
      </c>
      <c r="BK1434" s="8">
        <v>269.83</v>
      </c>
      <c r="BL1434" s="2" t="s">
        <v>1028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243</v>
      </c>
      <c r="BV1434" s="2" t="s">
        <v>233</v>
      </c>
      <c r="BW1434" s="2" t="s">
        <v>233</v>
      </c>
      <c r="BX1434" s="2" t="s">
        <v>243</v>
      </c>
      <c r="BY1434" s="2" t="s">
        <v>346</v>
      </c>
      <c r="BZ1434" s="2" t="s">
        <v>245</v>
      </c>
      <c r="CA1434" s="2" t="s">
        <v>233</v>
      </c>
      <c r="CB1434" s="2" t="s">
        <v>233</v>
      </c>
      <c r="CC1434" s="2" t="s">
        <v>246</v>
      </c>
      <c r="CD1434" s="2" t="s">
        <v>233</v>
      </c>
      <c r="CE1434" s="4">
        <v>31</v>
      </c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</row>
    <row r="1435">
      <c r="A1435" s="2" t="s">
        <v>6917</v>
      </c>
      <c r="B1435" s="2" t="s">
        <v>1276</v>
      </c>
      <c r="C1435" s="2" t="s">
        <v>1277</v>
      </c>
      <c r="D1435" s="2" t="s">
        <v>1278</v>
      </c>
      <c r="E1435" s="2" t="s">
        <v>1279</v>
      </c>
      <c r="F1435" s="2" t="s">
        <v>6908</v>
      </c>
      <c r="G1435" s="2" t="s">
        <v>6908</v>
      </c>
      <c r="H1435" s="2" t="s">
        <v>6908</v>
      </c>
      <c r="I1435" s="2" t="s">
        <v>6909</v>
      </c>
      <c r="J1435" s="2" t="s">
        <v>1282</v>
      </c>
      <c r="K1435" s="2" t="s">
        <v>257</v>
      </c>
      <c r="L1435" s="3">
        <v>13.72</v>
      </c>
      <c r="M1435" s="3">
        <v>14.41</v>
      </c>
      <c r="N1435" s="3">
        <v>30.99</v>
      </c>
      <c r="O1435" s="2" t="s">
        <v>245</v>
      </c>
      <c r="P1435" s="2" t="s">
        <v>238</v>
      </c>
      <c r="Q1435" s="2" t="s">
        <v>239</v>
      </c>
      <c r="R1435" s="2" t="s">
        <v>233</v>
      </c>
      <c r="S1435" s="2" t="s">
        <v>233</v>
      </c>
      <c r="T1435" s="2" t="s">
        <v>233</v>
      </c>
      <c r="U1435" s="2" t="s">
        <v>396</v>
      </c>
      <c r="V1435" s="2" t="s">
        <v>893</v>
      </c>
      <c r="W1435" s="2" t="s">
        <v>275</v>
      </c>
      <c r="X1435" s="2" t="s">
        <v>233</v>
      </c>
      <c r="Y1435" s="2" t="s">
        <v>1283</v>
      </c>
      <c r="Z1435" s="4">
        <v>53</v>
      </c>
      <c r="AA1435" s="4">
        <f>=ROUNDDOWN(26.5,0)</f>
      </c>
      <c r="AB1435" s="5">
        <v>2</v>
      </c>
      <c r="AC1435" s="2" t="s">
        <v>233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233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233</v>
      </c>
      <c r="AW1435" s="8" t="s">
        <v>233</v>
      </c>
      <c r="AX1435" s="4" t="s">
        <v>233</v>
      </c>
      <c r="AY1435" s="8" t="s">
        <v>233</v>
      </c>
      <c r="AZ1435" s="7" t="s">
        <v>233</v>
      </c>
      <c r="BA1435" s="7" t="s">
        <v>233</v>
      </c>
      <c r="BB1435" s="7"/>
      <c r="BC1435" s="4" t="s">
        <v>233</v>
      </c>
      <c r="BD1435" s="8" t="s">
        <v>233</v>
      </c>
      <c r="BE1435" s="4" t="s">
        <v>233</v>
      </c>
      <c r="BF1435" s="8" t="s">
        <v>233</v>
      </c>
      <c r="BG1435" s="7" t="s">
        <v>233</v>
      </c>
      <c r="BH1435" s="7" t="s">
        <v>233</v>
      </c>
      <c r="BI1435" s="7"/>
      <c r="BJ1435" s="4">
        <v>5</v>
      </c>
      <c r="BK1435" s="8">
        <v>72.05</v>
      </c>
      <c r="BL1435" s="2" t="s">
        <v>1028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243</v>
      </c>
      <c r="BV1435" s="2" t="s">
        <v>233</v>
      </c>
      <c r="BW1435" s="2" t="s">
        <v>233</v>
      </c>
      <c r="BX1435" s="2" t="s">
        <v>243</v>
      </c>
      <c r="BY1435" s="2" t="s">
        <v>346</v>
      </c>
      <c r="BZ1435" s="2" t="s">
        <v>245</v>
      </c>
      <c r="CA1435" s="2" t="s">
        <v>233</v>
      </c>
      <c r="CB1435" s="2" t="s">
        <v>233</v>
      </c>
      <c r="CC1435" s="2" t="s">
        <v>246</v>
      </c>
      <c r="CD1435" s="2" t="s">
        <v>233</v>
      </c>
      <c r="CE1435" s="4">
        <v>53</v>
      </c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</row>
    <row r="1436">
      <c r="A1436" s="2" t="s">
        <v>6918</v>
      </c>
      <c r="B1436" s="2" t="s">
        <v>1276</v>
      </c>
      <c r="C1436" s="2" t="s">
        <v>1277</v>
      </c>
      <c r="D1436" s="2" t="s">
        <v>1278</v>
      </c>
      <c r="E1436" s="2" t="s">
        <v>1279</v>
      </c>
      <c r="F1436" s="2" t="s">
        <v>6908</v>
      </c>
      <c r="G1436" s="2" t="s">
        <v>6908</v>
      </c>
      <c r="H1436" s="2" t="s">
        <v>6908</v>
      </c>
      <c r="I1436" s="2" t="s">
        <v>6911</v>
      </c>
      <c r="J1436" s="2" t="s">
        <v>1287</v>
      </c>
      <c r="K1436" s="2" t="s">
        <v>257</v>
      </c>
      <c r="L1436" s="3">
        <v>17.07</v>
      </c>
      <c r="M1436" s="3">
        <v>17.92</v>
      </c>
      <c r="N1436" s="3">
        <v>37.99</v>
      </c>
      <c r="O1436" s="2" t="s">
        <v>245</v>
      </c>
      <c r="P1436" s="2" t="s">
        <v>238</v>
      </c>
      <c r="Q1436" s="2" t="s">
        <v>239</v>
      </c>
      <c r="R1436" s="2" t="s">
        <v>233</v>
      </c>
      <c r="S1436" s="2" t="s">
        <v>233</v>
      </c>
      <c r="T1436" s="2" t="s">
        <v>233</v>
      </c>
      <c r="U1436" s="2" t="s">
        <v>396</v>
      </c>
      <c r="V1436" s="2" t="s">
        <v>893</v>
      </c>
      <c r="W1436" s="2" t="s">
        <v>275</v>
      </c>
      <c r="X1436" s="2" t="s">
        <v>233</v>
      </c>
      <c r="Y1436" s="2" t="s">
        <v>1283</v>
      </c>
      <c r="Z1436" s="4">
        <v>50</v>
      </c>
      <c r="AA1436" s="4">
        <f>=ROUNDDOWN(16.6666666666667,0)</f>
      </c>
      <c r="AB1436" s="5">
        <v>3</v>
      </c>
      <c r="AC1436" s="2" t="s">
        <v>233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233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233</v>
      </c>
      <c r="AW1436" s="8" t="s">
        <v>233</v>
      </c>
      <c r="AX1436" s="4" t="s">
        <v>233</v>
      </c>
      <c r="AY1436" s="8" t="s">
        <v>233</v>
      </c>
      <c r="AZ1436" s="7" t="s">
        <v>233</v>
      </c>
      <c r="BA1436" s="7" t="s">
        <v>233</v>
      </c>
      <c r="BB1436" s="7"/>
      <c r="BC1436" s="4" t="s">
        <v>233</v>
      </c>
      <c r="BD1436" s="8" t="s">
        <v>233</v>
      </c>
      <c r="BE1436" s="4" t="s">
        <v>233</v>
      </c>
      <c r="BF1436" s="8" t="s">
        <v>233</v>
      </c>
      <c r="BG1436" s="7" t="s">
        <v>233</v>
      </c>
      <c r="BH1436" s="7" t="s">
        <v>233</v>
      </c>
      <c r="BI1436" s="7"/>
      <c r="BJ1436" s="4">
        <v>3</v>
      </c>
      <c r="BK1436" s="8">
        <v>61.33</v>
      </c>
      <c r="BL1436" s="2" t="s">
        <v>3705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243</v>
      </c>
      <c r="BV1436" s="2" t="s">
        <v>233</v>
      </c>
      <c r="BW1436" s="2" t="s">
        <v>233</v>
      </c>
      <c r="BX1436" s="2" t="s">
        <v>243</v>
      </c>
      <c r="BY1436" s="2" t="s">
        <v>346</v>
      </c>
      <c r="BZ1436" s="2" t="s">
        <v>245</v>
      </c>
      <c r="CA1436" s="2" t="s">
        <v>233</v>
      </c>
      <c r="CB1436" s="2" t="s">
        <v>233</v>
      </c>
      <c r="CC1436" s="2" t="s">
        <v>246</v>
      </c>
      <c r="CD1436" s="2" t="s">
        <v>233</v>
      </c>
      <c r="CE1436" s="4">
        <v>50</v>
      </c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</row>
    <row r="1437">
      <c r="A1437" s="2" t="s">
        <v>6919</v>
      </c>
      <c r="B1437" s="2" t="s">
        <v>1276</v>
      </c>
      <c r="C1437" s="2" t="s">
        <v>1277</v>
      </c>
      <c r="D1437" s="2" t="s">
        <v>1278</v>
      </c>
      <c r="E1437" s="2" t="s">
        <v>1279</v>
      </c>
      <c r="F1437" s="2" t="s">
        <v>6908</v>
      </c>
      <c r="G1437" s="2" t="s">
        <v>6908</v>
      </c>
      <c r="H1437" s="2" t="s">
        <v>6908</v>
      </c>
      <c r="I1437" s="2" t="s">
        <v>6913</v>
      </c>
      <c r="J1437" s="2" t="s">
        <v>1290</v>
      </c>
      <c r="K1437" s="2" t="s">
        <v>257</v>
      </c>
      <c r="L1437" s="3">
        <v>23.36</v>
      </c>
      <c r="M1437" s="3">
        <v>24.53</v>
      </c>
      <c r="N1437" s="3">
        <v>51.99</v>
      </c>
      <c r="O1437" s="2" t="s">
        <v>245</v>
      </c>
      <c r="P1437" s="2" t="s">
        <v>238</v>
      </c>
      <c r="Q1437" s="2" t="s">
        <v>239</v>
      </c>
      <c r="R1437" s="2" t="s">
        <v>233</v>
      </c>
      <c r="S1437" s="2" t="s">
        <v>233</v>
      </c>
      <c r="T1437" s="2" t="s">
        <v>233</v>
      </c>
      <c r="U1437" s="2" t="s">
        <v>396</v>
      </c>
      <c r="V1437" s="2" t="s">
        <v>893</v>
      </c>
      <c r="W1437" s="2" t="s">
        <v>275</v>
      </c>
      <c r="X1437" s="2" t="s">
        <v>233</v>
      </c>
      <c r="Y1437" s="2" t="s">
        <v>1283</v>
      </c>
      <c r="Z1437" s="4">
        <v>17</v>
      </c>
      <c r="AA1437" s="4">
        <f>=ROUNDDOWN(17,0)</f>
      </c>
      <c r="AB1437" s="5">
        <v>1</v>
      </c>
      <c r="AC1437" s="2" t="s">
        <v>233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233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233</v>
      </c>
      <c r="AW1437" s="8" t="s">
        <v>233</v>
      </c>
      <c r="AX1437" s="4" t="s">
        <v>233</v>
      </c>
      <c r="AY1437" s="8" t="s">
        <v>233</v>
      </c>
      <c r="AZ1437" s="7" t="s">
        <v>233</v>
      </c>
      <c r="BA1437" s="7" t="s">
        <v>233</v>
      </c>
      <c r="BB1437" s="7"/>
      <c r="BC1437" s="4" t="s">
        <v>233</v>
      </c>
      <c r="BD1437" s="8" t="s">
        <v>233</v>
      </c>
      <c r="BE1437" s="4" t="s">
        <v>233</v>
      </c>
      <c r="BF1437" s="8" t="s">
        <v>233</v>
      </c>
      <c r="BG1437" s="7" t="s">
        <v>233</v>
      </c>
      <c r="BH1437" s="7" t="s">
        <v>233</v>
      </c>
      <c r="BI1437" s="7"/>
      <c r="BJ1437" s="4">
        <v>12</v>
      </c>
      <c r="BK1437" s="8">
        <v>294.36</v>
      </c>
      <c r="BL1437" s="2" t="s">
        <v>1028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243</v>
      </c>
      <c r="BV1437" s="2" t="s">
        <v>233</v>
      </c>
      <c r="BW1437" s="2" t="s">
        <v>233</v>
      </c>
      <c r="BX1437" s="2" t="s">
        <v>243</v>
      </c>
      <c r="BY1437" s="2" t="s">
        <v>346</v>
      </c>
      <c r="BZ1437" s="2" t="s">
        <v>245</v>
      </c>
      <c r="CA1437" s="2" t="s">
        <v>233</v>
      </c>
      <c r="CB1437" s="2" t="s">
        <v>233</v>
      </c>
      <c r="CC1437" s="2" t="s">
        <v>246</v>
      </c>
      <c r="CD1437" s="2" t="s">
        <v>233</v>
      </c>
      <c r="CE1437" s="4">
        <v>17</v>
      </c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</row>
    <row r="1438">
      <c r="A1438" s="2" t="s">
        <v>6920</v>
      </c>
      <c r="B1438" s="2" t="s">
        <v>1242</v>
      </c>
      <c r="C1438" s="2" t="s">
        <v>530</v>
      </c>
      <c r="D1438" s="2" t="s">
        <v>1862</v>
      </c>
      <c r="E1438" s="2" t="s">
        <v>1863</v>
      </c>
      <c r="F1438" s="2" t="s">
        <v>6921</v>
      </c>
      <c r="G1438" s="2" t="s">
        <v>6746</v>
      </c>
      <c r="H1438" s="2" t="s">
        <v>2833</v>
      </c>
      <c r="I1438" s="2" t="s">
        <v>6922</v>
      </c>
      <c r="J1438" s="2" t="s">
        <v>918</v>
      </c>
      <c r="K1438" s="2" t="s">
        <v>645</v>
      </c>
      <c r="L1438" s="3">
        <v>28.34</v>
      </c>
      <c r="M1438" s="3">
        <v>29.76</v>
      </c>
      <c r="N1438" s="3">
        <v>54.99</v>
      </c>
      <c r="O1438" s="2" t="s">
        <v>245</v>
      </c>
      <c r="P1438" s="2" t="s">
        <v>272</v>
      </c>
      <c r="Q1438" s="2" t="s">
        <v>239</v>
      </c>
      <c r="R1438" s="2" t="s">
        <v>233</v>
      </c>
      <c r="S1438" s="2" t="s">
        <v>6923</v>
      </c>
      <c r="T1438" s="2" t="s">
        <v>233</v>
      </c>
      <c r="U1438" s="2" t="s">
        <v>491</v>
      </c>
      <c r="V1438" s="2" t="s">
        <v>241</v>
      </c>
      <c r="W1438" s="2" t="s">
        <v>275</v>
      </c>
      <c r="X1438" s="2" t="s">
        <v>1813</v>
      </c>
      <c r="Y1438" s="2" t="s">
        <v>6924</v>
      </c>
      <c r="Z1438" s="4">
        <v>180</v>
      </c>
      <c r="AA1438" s="4">
        <f>=ROUNDDOWN(30,0)</f>
      </c>
      <c r="AB1438" s="5">
        <v>6</v>
      </c>
      <c r="AC1438" s="2" t="s">
        <v>795</v>
      </c>
      <c r="AD1438" s="4">
        <v>30</v>
      </c>
      <c r="AE1438" s="4">
        <v>80</v>
      </c>
      <c r="AF1438" s="6">
        <v>65</v>
      </c>
      <c r="AG1438" s="6">
        <v>48</v>
      </c>
      <c r="AH1438" s="7">
        <v>1</v>
      </c>
      <c r="AI1438" s="4"/>
      <c r="AJ1438" s="4">
        <f>=ROUNDDOWN({0},0)</f>
      </c>
      <c r="AK1438" s="5"/>
      <c r="AL1438" s="2" t="s">
        <v>233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/>
      <c r="AW1438" s="8"/>
      <c r="AX1438" s="4"/>
      <c r="AY1438" s="8"/>
      <c r="AZ1438" s="7"/>
      <c r="BA1438" s="7"/>
      <c r="BB1438" s="7"/>
      <c r="BC1438" s="4" t="s">
        <v>233</v>
      </c>
      <c r="BD1438" s="8" t="s">
        <v>233</v>
      </c>
      <c r="BE1438" s="4" t="s">
        <v>233</v>
      </c>
      <c r="BF1438" s="8" t="s">
        <v>233</v>
      </c>
      <c r="BG1438" s="7" t="s">
        <v>233</v>
      </c>
      <c r="BH1438" s="7" t="s">
        <v>233</v>
      </c>
      <c r="BI1438" s="7"/>
      <c r="BJ1438" s="4">
        <v>14</v>
      </c>
      <c r="BK1438" s="8">
        <v>413.03</v>
      </c>
      <c r="BL1438" s="2" t="s">
        <v>3386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6925</v>
      </c>
      <c r="BV1438" s="2" t="s">
        <v>233</v>
      </c>
      <c r="BW1438" s="2" t="s">
        <v>233</v>
      </c>
      <c r="BX1438" s="2" t="s">
        <v>798</v>
      </c>
      <c r="BY1438" s="2" t="s">
        <v>280</v>
      </c>
      <c r="BZ1438" s="2" t="s">
        <v>245</v>
      </c>
      <c r="CA1438" s="2" t="s">
        <v>6926</v>
      </c>
      <c r="CB1438" s="2" t="s">
        <v>6927</v>
      </c>
      <c r="CC1438" s="2" t="s">
        <v>246</v>
      </c>
      <c r="CD1438" s="2" t="s">
        <v>233</v>
      </c>
      <c r="CE1438" s="4">
        <v>141</v>
      </c>
      <c r="CF1438" s="4"/>
      <c r="CG1438" s="4"/>
      <c r="CH1438" s="4"/>
      <c r="CI1438" s="4">
        <v>39</v>
      </c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>
        <v>30</v>
      </c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>
        <v>50</v>
      </c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</row>
    <row r="1439">
      <c r="A1439" s="2" t="s">
        <v>6928</v>
      </c>
      <c r="B1439" s="2" t="s">
        <v>1242</v>
      </c>
      <c r="C1439" s="2" t="s">
        <v>530</v>
      </c>
      <c r="D1439" s="2" t="s">
        <v>1862</v>
      </c>
      <c r="E1439" s="2" t="s">
        <v>1863</v>
      </c>
      <c r="F1439" s="2" t="s">
        <v>6921</v>
      </c>
      <c r="G1439" s="2" t="s">
        <v>6746</v>
      </c>
      <c r="H1439" s="2" t="s">
        <v>2833</v>
      </c>
      <c r="I1439" s="2" t="s">
        <v>6922</v>
      </c>
      <c r="J1439" s="2" t="s">
        <v>918</v>
      </c>
      <c r="K1439" s="2" t="s">
        <v>1191</v>
      </c>
      <c r="L1439" s="3">
        <v>28.34</v>
      </c>
      <c r="M1439" s="3">
        <v>29.76</v>
      </c>
      <c r="N1439" s="3">
        <v>54.99</v>
      </c>
      <c r="O1439" s="2" t="s">
        <v>245</v>
      </c>
      <c r="P1439" s="2" t="s">
        <v>272</v>
      </c>
      <c r="Q1439" s="2" t="s">
        <v>239</v>
      </c>
      <c r="R1439" s="2" t="s">
        <v>233</v>
      </c>
      <c r="S1439" s="2" t="s">
        <v>6929</v>
      </c>
      <c r="T1439" s="2" t="s">
        <v>233</v>
      </c>
      <c r="U1439" s="2" t="s">
        <v>491</v>
      </c>
      <c r="V1439" s="2" t="s">
        <v>241</v>
      </c>
      <c r="W1439" s="2" t="s">
        <v>275</v>
      </c>
      <c r="X1439" s="2" t="s">
        <v>1813</v>
      </c>
      <c r="Y1439" s="2" t="s">
        <v>276</v>
      </c>
      <c r="Z1439" s="4">
        <v>232</v>
      </c>
      <c r="AA1439" s="4">
        <f>=ROUNDDOWN(38.6666666666667,0)</f>
      </c>
      <c r="AB1439" s="5">
        <v>6</v>
      </c>
      <c r="AC1439" s="2" t="s">
        <v>233</v>
      </c>
      <c r="AD1439" s="4"/>
      <c r="AE1439" s="4"/>
      <c r="AF1439" s="6">
        <v>65</v>
      </c>
      <c r="AG1439" s="6">
        <v>48</v>
      </c>
      <c r="AH1439" s="7">
        <v>1</v>
      </c>
      <c r="AI1439" s="4"/>
      <c r="AJ1439" s="4">
        <f>=ROUNDDOWN({0},0)</f>
      </c>
      <c r="AK1439" s="5"/>
      <c r="AL1439" s="2" t="s">
        <v>233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 t="s">
        <v>233</v>
      </c>
      <c r="BD1439" s="8" t="s">
        <v>233</v>
      </c>
      <c r="BE1439" s="4" t="s">
        <v>233</v>
      </c>
      <c r="BF1439" s="8" t="s">
        <v>233</v>
      </c>
      <c r="BG1439" s="7" t="s">
        <v>233</v>
      </c>
      <c r="BH1439" s="7" t="s">
        <v>233</v>
      </c>
      <c r="BI1439" s="7"/>
      <c r="BJ1439" s="4">
        <v>24</v>
      </c>
      <c r="BK1439" s="8">
        <v>673.41</v>
      </c>
      <c r="BL1439" s="2" t="s">
        <v>6930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6931</v>
      </c>
      <c r="BV1439" s="2" t="s">
        <v>233</v>
      </c>
      <c r="BW1439" s="2" t="s">
        <v>233</v>
      </c>
      <c r="BX1439" s="2" t="s">
        <v>798</v>
      </c>
      <c r="BY1439" s="2" t="s">
        <v>280</v>
      </c>
      <c r="BZ1439" s="2" t="s">
        <v>245</v>
      </c>
      <c r="CA1439" s="2" t="s">
        <v>281</v>
      </c>
      <c r="CB1439" s="2" t="s">
        <v>670</v>
      </c>
      <c r="CC1439" s="2" t="s">
        <v>246</v>
      </c>
      <c r="CD1439" s="2" t="s">
        <v>233</v>
      </c>
      <c r="CE1439" s="4">
        <v>153</v>
      </c>
      <c r="CF1439" s="4"/>
      <c r="CG1439" s="4"/>
      <c r="CH1439" s="4"/>
      <c r="CI1439" s="4">
        <v>79</v>
      </c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</row>
    <row r="1440">
      <c r="A1440" s="2" t="s">
        <v>6932</v>
      </c>
      <c r="B1440" s="2" t="s">
        <v>1242</v>
      </c>
      <c r="C1440" s="2" t="s">
        <v>530</v>
      </c>
      <c r="D1440" s="2" t="s">
        <v>1862</v>
      </c>
      <c r="E1440" s="2" t="s">
        <v>1863</v>
      </c>
      <c r="F1440" s="2" t="s">
        <v>6921</v>
      </c>
      <c r="G1440" s="2" t="s">
        <v>6746</v>
      </c>
      <c r="H1440" s="2" t="s">
        <v>2833</v>
      </c>
      <c r="I1440" s="2" t="s">
        <v>6922</v>
      </c>
      <c r="J1440" s="2" t="s">
        <v>918</v>
      </c>
      <c r="K1440" s="2" t="s">
        <v>257</v>
      </c>
      <c r="L1440" s="3">
        <v>28.34</v>
      </c>
      <c r="M1440" s="3">
        <v>29.76</v>
      </c>
      <c r="N1440" s="3">
        <v>54.99</v>
      </c>
      <c r="O1440" s="2" t="s">
        <v>245</v>
      </c>
      <c r="P1440" s="2" t="s">
        <v>272</v>
      </c>
      <c r="Q1440" s="2" t="s">
        <v>239</v>
      </c>
      <c r="R1440" s="2" t="s">
        <v>233</v>
      </c>
      <c r="S1440" s="2" t="s">
        <v>6933</v>
      </c>
      <c r="T1440" s="2" t="s">
        <v>233</v>
      </c>
      <c r="U1440" s="2" t="s">
        <v>491</v>
      </c>
      <c r="V1440" s="2" t="s">
        <v>241</v>
      </c>
      <c r="W1440" s="2" t="s">
        <v>275</v>
      </c>
      <c r="X1440" s="2" t="s">
        <v>1813</v>
      </c>
      <c r="Y1440" s="2" t="s">
        <v>4026</v>
      </c>
      <c r="Z1440" s="4">
        <v>316</v>
      </c>
      <c r="AA1440" s="4">
        <f>=ROUNDDOWN(26.3333333333333,0)</f>
      </c>
      <c r="AB1440" s="5">
        <v>12</v>
      </c>
      <c r="AC1440" s="2" t="s">
        <v>795</v>
      </c>
      <c r="AD1440" s="4">
        <v>30</v>
      </c>
      <c r="AE1440" s="4">
        <v>130</v>
      </c>
      <c r="AF1440" s="6">
        <v>65</v>
      </c>
      <c r="AG1440" s="6">
        <v>48</v>
      </c>
      <c r="AH1440" s="7">
        <v>1</v>
      </c>
      <c r="AI1440" s="4"/>
      <c r="AJ1440" s="4">
        <f>=ROUNDDOWN({0},0)</f>
      </c>
      <c r="AK1440" s="5"/>
      <c r="AL1440" s="2" t="s">
        <v>233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 t="s">
        <v>233</v>
      </c>
      <c r="BD1440" s="8" t="s">
        <v>233</v>
      </c>
      <c r="BE1440" s="4" t="s">
        <v>233</v>
      </c>
      <c r="BF1440" s="8" t="s">
        <v>233</v>
      </c>
      <c r="BG1440" s="7" t="s">
        <v>233</v>
      </c>
      <c r="BH1440" s="7" t="s">
        <v>233</v>
      </c>
      <c r="BI1440" s="7"/>
      <c r="BJ1440" s="4">
        <v>28</v>
      </c>
      <c r="BK1440" s="8">
        <v>778.8</v>
      </c>
      <c r="BL1440" s="2" t="s">
        <v>6934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6935</v>
      </c>
      <c r="BV1440" s="2" t="s">
        <v>233</v>
      </c>
      <c r="BW1440" s="2" t="s">
        <v>233</v>
      </c>
      <c r="BX1440" s="2" t="s">
        <v>798</v>
      </c>
      <c r="BY1440" s="2" t="s">
        <v>280</v>
      </c>
      <c r="BZ1440" s="2" t="s">
        <v>245</v>
      </c>
      <c r="CA1440" s="2" t="s">
        <v>2632</v>
      </c>
      <c r="CB1440" s="2" t="s">
        <v>1318</v>
      </c>
      <c r="CC1440" s="2" t="s">
        <v>246</v>
      </c>
      <c r="CD1440" s="2" t="s">
        <v>233</v>
      </c>
      <c r="CE1440" s="4">
        <v>233</v>
      </c>
      <c r="CF1440" s="4"/>
      <c r="CG1440" s="4"/>
      <c r="CH1440" s="4"/>
      <c r="CI1440" s="4">
        <v>83</v>
      </c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>
        <v>30</v>
      </c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>
        <v>100</v>
      </c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</row>
    <row r="1441">
      <c r="A1441" s="2" t="s">
        <v>6936</v>
      </c>
      <c r="B1441" s="2" t="s">
        <v>1066</v>
      </c>
      <c r="C1441" s="2" t="s">
        <v>901</v>
      </c>
      <c r="D1441" s="2" t="s">
        <v>1782</v>
      </c>
      <c r="E1441" s="2" t="s">
        <v>2131</v>
      </c>
      <c r="F1441" s="2" t="s">
        <v>6937</v>
      </c>
      <c r="G1441" s="2" t="s">
        <v>6937</v>
      </c>
      <c r="H1441" s="2" t="s">
        <v>6937</v>
      </c>
      <c r="I1441" s="2" t="s">
        <v>6938</v>
      </c>
      <c r="J1441" s="2" t="s">
        <v>892</v>
      </c>
      <c r="K1441" s="2" t="s">
        <v>6939</v>
      </c>
      <c r="L1441" s="3">
        <v>210</v>
      </c>
      <c r="M1441" s="3">
        <v>220.5</v>
      </c>
      <c r="N1441" s="3">
        <v>449</v>
      </c>
      <c r="O1441" s="2" t="s">
        <v>245</v>
      </c>
      <c r="P1441" s="2" t="s">
        <v>1916</v>
      </c>
      <c r="Q1441" s="2" t="s">
        <v>239</v>
      </c>
      <c r="R1441" s="2" t="s">
        <v>233</v>
      </c>
      <c r="S1441" s="2" t="s">
        <v>233</v>
      </c>
      <c r="T1441" s="2" t="s">
        <v>233</v>
      </c>
      <c r="U1441" s="2" t="s">
        <v>396</v>
      </c>
      <c r="V1441" s="2" t="s">
        <v>893</v>
      </c>
      <c r="W1441" s="2" t="s">
        <v>397</v>
      </c>
      <c r="X1441" s="2" t="s">
        <v>275</v>
      </c>
      <c r="Y1441" s="2" t="s">
        <v>6940</v>
      </c>
      <c r="Z1441" s="4"/>
      <c r="AA1441" s="4">
        <f>=ROUNDDOWN({0},0)</f>
      </c>
      <c r="AB1441" s="5"/>
      <c r="AC1441" s="2" t="s">
        <v>1917</v>
      </c>
      <c r="AD1441" s="4">
        <v>100</v>
      </c>
      <c r="AE1441" s="4">
        <v>100</v>
      </c>
      <c r="AF1441" s="6">
        <v>74</v>
      </c>
      <c r="AG1441" s="6"/>
      <c r="AH1441" s="7">
        <v>0</v>
      </c>
      <c r="AI1441" s="4"/>
      <c r="AJ1441" s="4">
        <f>=ROUNDDOWN({0},0)</f>
      </c>
      <c r="AK1441" s="5"/>
      <c r="AL1441" s="2" t="s">
        <v>233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/>
      <c r="BD1441" s="8"/>
      <c r="BE1441" s="4"/>
      <c r="BF1441" s="8"/>
      <c r="BG1441" s="7"/>
      <c r="BH1441" s="7"/>
      <c r="BI1441" s="7"/>
      <c r="BJ1441" s="4"/>
      <c r="BK1441" s="8"/>
      <c r="BL1441" s="2" t="s">
        <v>233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243</v>
      </c>
      <c r="BV1441" s="2" t="s">
        <v>233</v>
      </c>
      <c r="BW1441" s="2" t="s">
        <v>233</v>
      </c>
      <c r="BX1441" s="2" t="s">
        <v>243</v>
      </c>
      <c r="BY1441" s="2" t="s">
        <v>244</v>
      </c>
      <c r="BZ1441" s="2" t="s">
        <v>245</v>
      </c>
      <c r="CA1441" s="2" t="s">
        <v>233</v>
      </c>
      <c r="CB1441" s="2" t="s">
        <v>233</v>
      </c>
      <c r="CC1441" s="2" t="s">
        <v>246</v>
      </c>
      <c r="CD1441" s="2" t="s">
        <v>233</v>
      </c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>
        <v>100</v>
      </c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</row>
    <row r="1442">
      <c r="A1442" s="2" t="s">
        <v>6941</v>
      </c>
      <c r="B1442" s="2" t="s">
        <v>886</v>
      </c>
      <c r="C1442" s="2" t="s">
        <v>901</v>
      </c>
      <c r="D1442" s="2" t="s">
        <v>1326</v>
      </c>
      <c r="E1442" s="2" t="s">
        <v>1327</v>
      </c>
      <c r="F1442" s="2" t="s">
        <v>6942</v>
      </c>
      <c r="G1442" s="2" t="s">
        <v>6942</v>
      </c>
      <c r="H1442" s="2" t="s">
        <v>6942</v>
      </c>
      <c r="I1442" s="2" t="s">
        <v>6943</v>
      </c>
      <c r="J1442" s="2" t="s">
        <v>892</v>
      </c>
      <c r="K1442" s="2" t="s">
        <v>6944</v>
      </c>
      <c r="L1442" s="3">
        <v>78.49</v>
      </c>
      <c r="M1442" s="3">
        <v>82.41</v>
      </c>
      <c r="N1442" s="3">
        <v>174.99</v>
      </c>
      <c r="O1442" s="2" t="s">
        <v>245</v>
      </c>
      <c r="P1442" s="2" t="s">
        <v>393</v>
      </c>
      <c r="Q1442" s="2" t="s">
        <v>239</v>
      </c>
      <c r="R1442" s="2" t="s">
        <v>233</v>
      </c>
      <c r="S1442" s="2" t="s">
        <v>233</v>
      </c>
      <c r="T1442" s="2" t="s">
        <v>233</v>
      </c>
      <c r="U1442" s="2" t="s">
        <v>396</v>
      </c>
      <c r="V1442" s="2" t="s">
        <v>893</v>
      </c>
      <c r="W1442" s="2" t="s">
        <v>275</v>
      </c>
      <c r="X1442" s="2" t="s">
        <v>233</v>
      </c>
      <c r="Y1442" s="2" t="s">
        <v>2256</v>
      </c>
      <c r="Z1442" s="4">
        <v>63</v>
      </c>
      <c r="AA1442" s="4">
        <f>=ROUNDDOWN(105,0)</f>
      </c>
      <c r="AB1442" s="5">
        <v>0.6</v>
      </c>
      <c r="AC1442" s="2" t="s">
        <v>233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233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/>
      <c r="BD1442" s="8"/>
      <c r="BE1442" s="4"/>
      <c r="BF1442" s="8"/>
      <c r="BG1442" s="7"/>
      <c r="BH1442" s="7"/>
      <c r="BI1442" s="7"/>
      <c r="BJ1442" s="4">
        <v>3</v>
      </c>
      <c r="BK1442" s="8">
        <v>274.83</v>
      </c>
      <c r="BL1442" s="2" t="s">
        <v>896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6945</v>
      </c>
      <c r="BV1442" s="2" t="s">
        <v>233</v>
      </c>
      <c r="BW1442" s="2" t="s">
        <v>233</v>
      </c>
      <c r="BX1442" s="2" t="s">
        <v>233</v>
      </c>
      <c r="BY1442" s="2" t="s">
        <v>280</v>
      </c>
      <c r="BZ1442" s="2" t="s">
        <v>245</v>
      </c>
      <c r="CA1442" s="2" t="s">
        <v>6946</v>
      </c>
      <c r="CB1442" s="2" t="s">
        <v>6947</v>
      </c>
      <c r="CC1442" s="2" t="s">
        <v>246</v>
      </c>
      <c r="CD1442" s="2" t="s">
        <v>233</v>
      </c>
      <c r="CE1442" s="4"/>
      <c r="CF1442" s="4">
        <v>63</v>
      </c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</row>
    <row r="1443">
      <c r="A1443" s="2" t="s">
        <v>6948</v>
      </c>
      <c r="B1443" s="2" t="s">
        <v>1066</v>
      </c>
      <c r="C1443" s="2" t="s">
        <v>901</v>
      </c>
      <c r="D1443" s="2" t="s">
        <v>1923</v>
      </c>
      <c r="E1443" s="2" t="s">
        <v>1924</v>
      </c>
      <c r="F1443" s="2" t="s">
        <v>1269</v>
      </c>
      <c r="G1443" s="2" t="s">
        <v>1269</v>
      </c>
      <c r="H1443" s="2" t="s">
        <v>1269</v>
      </c>
      <c r="I1443" s="2" t="s">
        <v>6949</v>
      </c>
      <c r="J1443" s="2" t="s">
        <v>892</v>
      </c>
      <c r="K1443" s="2" t="s">
        <v>984</v>
      </c>
      <c r="L1443" s="3">
        <v>203</v>
      </c>
      <c r="M1443" s="3">
        <v>213.15</v>
      </c>
      <c r="N1443" s="3">
        <v>429</v>
      </c>
      <c r="O1443" s="2" t="s">
        <v>245</v>
      </c>
      <c r="P1443" s="2" t="s">
        <v>272</v>
      </c>
      <c r="Q1443" s="2" t="s">
        <v>239</v>
      </c>
      <c r="R1443" s="2" t="s">
        <v>233</v>
      </c>
      <c r="S1443" s="2" t="s">
        <v>233</v>
      </c>
      <c r="T1443" s="2" t="s">
        <v>233</v>
      </c>
      <c r="U1443" s="2" t="s">
        <v>491</v>
      </c>
      <c r="V1443" s="2" t="s">
        <v>893</v>
      </c>
      <c r="W1443" s="2" t="s">
        <v>275</v>
      </c>
      <c r="X1443" s="2" t="s">
        <v>397</v>
      </c>
      <c r="Y1443" s="2" t="s">
        <v>5992</v>
      </c>
      <c r="Z1443" s="4">
        <v>216</v>
      </c>
      <c r="AA1443" s="4">
        <f>=ROUNDDOWN(21.6,0)</f>
      </c>
      <c r="AB1443" s="5">
        <v>10</v>
      </c>
      <c r="AC1443" s="2" t="s">
        <v>2819</v>
      </c>
      <c r="AD1443" s="4">
        <v>100</v>
      </c>
      <c r="AE1443" s="4">
        <v>100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233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>
        <v>34</v>
      </c>
      <c r="BK1443" s="8">
        <v>6655.02</v>
      </c>
      <c r="BL1443" s="2" t="s">
        <v>6950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6951</v>
      </c>
      <c r="BV1443" s="2" t="s">
        <v>233</v>
      </c>
      <c r="BW1443" s="2" t="s">
        <v>233</v>
      </c>
      <c r="BX1443" s="2" t="s">
        <v>243</v>
      </c>
      <c r="BY1443" s="2" t="s">
        <v>280</v>
      </c>
      <c r="BZ1443" s="2" t="s">
        <v>245</v>
      </c>
      <c r="CA1443" s="2" t="s">
        <v>6952</v>
      </c>
      <c r="CB1443" s="2" t="s">
        <v>2062</v>
      </c>
      <c r="CC1443" s="2" t="s">
        <v>246</v>
      </c>
      <c r="CD1443" s="2" t="s">
        <v>233</v>
      </c>
      <c r="CE1443" s="4"/>
      <c r="CF1443" s="4">
        <v>215</v>
      </c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>
        <v>1</v>
      </c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>
        <v>100</v>
      </c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</row>
    <row r="1444">
      <c r="A1444" s="2" t="s">
        <v>6953</v>
      </c>
      <c r="B1444" s="2" t="s">
        <v>1066</v>
      </c>
      <c r="C1444" s="2" t="s">
        <v>530</v>
      </c>
      <c r="D1444" s="2" t="s">
        <v>1851</v>
      </c>
      <c r="E1444" s="2" t="s">
        <v>1852</v>
      </c>
      <c r="F1444" s="2" t="s">
        <v>6954</v>
      </c>
      <c r="G1444" s="2" t="s">
        <v>2574</v>
      </c>
      <c r="H1444" s="2" t="s">
        <v>2070</v>
      </c>
      <c r="I1444" s="2" t="s">
        <v>6955</v>
      </c>
      <c r="J1444" s="2" t="s">
        <v>892</v>
      </c>
      <c r="K1444" s="2" t="s">
        <v>984</v>
      </c>
      <c r="L1444" s="3">
        <v>95</v>
      </c>
      <c r="M1444" s="3">
        <v>99.75</v>
      </c>
      <c r="N1444" s="3">
        <v>199</v>
      </c>
      <c r="O1444" s="2" t="s">
        <v>237</v>
      </c>
      <c r="P1444" s="2" t="s">
        <v>311</v>
      </c>
      <c r="Q1444" s="2" t="s">
        <v>239</v>
      </c>
      <c r="R1444" s="2" t="s">
        <v>233</v>
      </c>
      <c r="S1444" s="2" t="s">
        <v>6956</v>
      </c>
      <c r="T1444" s="2" t="s">
        <v>233</v>
      </c>
      <c r="U1444" s="2" t="s">
        <v>233</v>
      </c>
      <c r="V1444" s="2" t="s">
        <v>241</v>
      </c>
      <c r="W1444" s="2" t="s">
        <v>397</v>
      </c>
      <c r="X1444" s="2" t="s">
        <v>233</v>
      </c>
      <c r="Y1444" s="2" t="s">
        <v>276</v>
      </c>
      <c r="Z1444" s="4">
        <v>16</v>
      </c>
      <c r="AA1444" s="4">
        <f>=ROUNDDOWN(7.27272727272727,0)</f>
      </c>
      <c r="AB1444" s="5">
        <v>2.2</v>
      </c>
      <c r="AC1444" s="2" t="s">
        <v>233</v>
      </c>
      <c r="AD1444" s="4"/>
      <c r="AE1444" s="4"/>
      <c r="AF1444" s="6">
        <v>65</v>
      </c>
      <c r="AG1444" s="6">
        <v>48</v>
      </c>
      <c r="AH1444" s="7">
        <v>1</v>
      </c>
      <c r="AI1444" s="4"/>
      <c r="AJ1444" s="4">
        <f>=ROUNDDOWN({0},0)</f>
      </c>
      <c r="AK1444" s="5"/>
      <c r="AL1444" s="2" t="s">
        <v>233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 t="s">
        <v>233</v>
      </c>
      <c r="BD1444" s="8" t="s">
        <v>233</v>
      </c>
      <c r="BE1444" s="4" t="s">
        <v>233</v>
      </c>
      <c r="BF1444" s="8" t="s">
        <v>233</v>
      </c>
      <c r="BG1444" s="7" t="s">
        <v>233</v>
      </c>
      <c r="BH1444" s="7" t="s">
        <v>233</v>
      </c>
      <c r="BI1444" s="7"/>
      <c r="BJ1444" s="4">
        <v>12</v>
      </c>
      <c r="BK1444" s="8">
        <v>1127.16</v>
      </c>
      <c r="BL1444" s="2" t="s">
        <v>6957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6958</v>
      </c>
      <c r="BV1444" s="2" t="s">
        <v>233</v>
      </c>
      <c r="BW1444" s="2" t="s">
        <v>233</v>
      </c>
      <c r="BX1444" s="2" t="s">
        <v>233</v>
      </c>
      <c r="BY1444" s="2" t="s">
        <v>280</v>
      </c>
      <c r="BZ1444" s="2" t="s">
        <v>245</v>
      </c>
      <c r="CA1444" s="2" t="s">
        <v>281</v>
      </c>
      <c r="CB1444" s="2" t="s">
        <v>1330</v>
      </c>
      <c r="CC1444" s="2" t="s">
        <v>246</v>
      </c>
      <c r="CD1444" s="2" t="s">
        <v>233</v>
      </c>
      <c r="CE1444" s="4"/>
      <c r="CF1444" s="4">
        <v>16</v>
      </c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</row>
    <row r="1445">
      <c r="A1445" s="2" t="s">
        <v>6959</v>
      </c>
      <c r="B1445" s="2" t="s">
        <v>1066</v>
      </c>
      <c r="C1445" s="2" t="s">
        <v>530</v>
      </c>
      <c r="D1445" s="2" t="s">
        <v>1851</v>
      </c>
      <c r="E1445" s="2" t="s">
        <v>1852</v>
      </c>
      <c r="F1445" s="2" t="s">
        <v>6954</v>
      </c>
      <c r="G1445" s="2" t="s">
        <v>2574</v>
      </c>
      <c r="H1445" s="2" t="s">
        <v>2070</v>
      </c>
      <c r="I1445" s="2" t="s">
        <v>6955</v>
      </c>
      <c r="J1445" s="2" t="s">
        <v>892</v>
      </c>
      <c r="K1445" s="2" t="s">
        <v>255</v>
      </c>
      <c r="L1445" s="3">
        <v>95</v>
      </c>
      <c r="M1445" s="3">
        <v>99.75</v>
      </c>
      <c r="N1445" s="3">
        <v>199</v>
      </c>
      <c r="O1445" s="2" t="s">
        <v>245</v>
      </c>
      <c r="P1445" s="2" t="s">
        <v>311</v>
      </c>
      <c r="Q1445" s="2" t="s">
        <v>239</v>
      </c>
      <c r="R1445" s="2" t="s">
        <v>233</v>
      </c>
      <c r="S1445" s="2" t="s">
        <v>6960</v>
      </c>
      <c r="T1445" s="2" t="s">
        <v>233</v>
      </c>
      <c r="U1445" s="2" t="s">
        <v>396</v>
      </c>
      <c r="V1445" s="2" t="s">
        <v>241</v>
      </c>
      <c r="W1445" s="2" t="s">
        <v>275</v>
      </c>
      <c r="X1445" s="2" t="s">
        <v>233</v>
      </c>
      <c r="Y1445" s="2" t="s">
        <v>6961</v>
      </c>
      <c r="Z1445" s="4">
        <v>9</v>
      </c>
      <c r="AA1445" s="4">
        <f>=ROUNDDOWN(15,0)</f>
      </c>
      <c r="AB1445" s="5">
        <v>0.6</v>
      </c>
      <c r="AC1445" s="2" t="s">
        <v>233</v>
      </c>
      <c r="AD1445" s="4"/>
      <c r="AE1445" s="4"/>
      <c r="AF1445" s="6">
        <v>65</v>
      </c>
      <c r="AG1445" s="6">
        <v>48</v>
      </c>
      <c r="AH1445" s="7">
        <v>1</v>
      </c>
      <c r="AI1445" s="4"/>
      <c r="AJ1445" s="4">
        <f>=ROUNDDOWN({0},0)</f>
      </c>
      <c r="AK1445" s="5"/>
      <c r="AL1445" s="2" t="s">
        <v>233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 t="s">
        <v>233</v>
      </c>
      <c r="BD1445" s="8" t="s">
        <v>233</v>
      </c>
      <c r="BE1445" s="4" t="s">
        <v>233</v>
      </c>
      <c r="BF1445" s="8" t="s">
        <v>233</v>
      </c>
      <c r="BG1445" s="7" t="s">
        <v>233</v>
      </c>
      <c r="BH1445" s="7" t="s">
        <v>233</v>
      </c>
      <c r="BI1445" s="7"/>
      <c r="BJ1445" s="4">
        <v>2</v>
      </c>
      <c r="BK1445" s="8">
        <v>154.17</v>
      </c>
      <c r="BL1445" s="2" t="s">
        <v>6962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6963</v>
      </c>
      <c r="BV1445" s="2" t="s">
        <v>233</v>
      </c>
      <c r="BW1445" s="2" t="s">
        <v>233</v>
      </c>
      <c r="BX1445" s="2" t="s">
        <v>233</v>
      </c>
      <c r="BY1445" s="2" t="s">
        <v>280</v>
      </c>
      <c r="BZ1445" s="2" t="s">
        <v>245</v>
      </c>
      <c r="CA1445" s="2" t="s">
        <v>2479</v>
      </c>
      <c r="CB1445" s="2" t="s">
        <v>5435</v>
      </c>
      <c r="CC1445" s="2" t="s">
        <v>246</v>
      </c>
      <c r="CD1445" s="2" t="s">
        <v>233</v>
      </c>
      <c r="CE1445" s="4"/>
      <c r="CF1445" s="4">
        <v>9</v>
      </c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</row>
    <row r="1446">
      <c r="A1446" s="2" t="s">
        <v>6964</v>
      </c>
      <c r="B1446" s="2" t="s">
        <v>1066</v>
      </c>
      <c r="C1446" s="2" t="s">
        <v>530</v>
      </c>
      <c r="D1446" s="2" t="s">
        <v>1851</v>
      </c>
      <c r="E1446" s="2" t="s">
        <v>1852</v>
      </c>
      <c r="F1446" s="2" t="s">
        <v>6954</v>
      </c>
      <c r="G1446" s="2" t="s">
        <v>2574</v>
      </c>
      <c r="H1446" s="2" t="s">
        <v>2070</v>
      </c>
      <c r="I1446" s="2" t="s">
        <v>6955</v>
      </c>
      <c r="J1446" s="2" t="s">
        <v>892</v>
      </c>
      <c r="K1446" s="2" t="s">
        <v>499</v>
      </c>
      <c r="L1446" s="3">
        <v>95</v>
      </c>
      <c r="M1446" s="3">
        <v>99.75</v>
      </c>
      <c r="N1446" s="3">
        <v>199</v>
      </c>
      <c r="O1446" s="2" t="s">
        <v>245</v>
      </c>
      <c r="P1446" s="2" t="s">
        <v>393</v>
      </c>
      <c r="Q1446" s="2" t="s">
        <v>239</v>
      </c>
      <c r="R1446" s="2" t="s">
        <v>233</v>
      </c>
      <c r="S1446" s="2" t="s">
        <v>6965</v>
      </c>
      <c r="T1446" s="2" t="s">
        <v>233</v>
      </c>
      <c r="U1446" s="2" t="s">
        <v>233</v>
      </c>
      <c r="V1446" s="2" t="s">
        <v>241</v>
      </c>
      <c r="W1446" s="2" t="s">
        <v>275</v>
      </c>
      <c r="X1446" s="2" t="s">
        <v>233</v>
      </c>
      <c r="Y1446" s="2" t="s">
        <v>276</v>
      </c>
      <c r="Z1446" s="4">
        <v>78</v>
      </c>
      <c r="AA1446" s="4">
        <f>=ROUNDDOWN(26,0)</f>
      </c>
      <c r="AB1446" s="5">
        <v>3</v>
      </c>
      <c r="AC1446" s="2" t="s">
        <v>233</v>
      </c>
      <c r="AD1446" s="4"/>
      <c r="AE1446" s="4"/>
      <c r="AF1446" s="6">
        <v>65</v>
      </c>
      <c r="AG1446" s="6">
        <v>48</v>
      </c>
      <c r="AH1446" s="7">
        <v>1</v>
      </c>
      <c r="AI1446" s="4"/>
      <c r="AJ1446" s="4">
        <f>=ROUNDDOWN({0},0)</f>
      </c>
      <c r="AK1446" s="5"/>
      <c r="AL1446" s="2" t="s">
        <v>233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 t="s">
        <v>233</v>
      </c>
      <c r="BD1446" s="8" t="s">
        <v>233</v>
      </c>
      <c r="BE1446" s="4" t="s">
        <v>233</v>
      </c>
      <c r="BF1446" s="8" t="s">
        <v>233</v>
      </c>
      <c r="BG1446" s="7" t="s">
        <v>233</v>
      </c>
      <c r="BH1446" s="7" t="s">
        <v>233</v>
      </c>
      <c r="BI1446" s="7"/>
      <c r="BJ1446" s="4">
        <v>3</v>
      </c>
      <c r="BK1446" s="8">
        <v>298.07</v>
      </c>
      <c r="BL1446" s="2" t="s">
        <v>6966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6967</v>
      </c>
      <c r="BV1446" s="2" t="s">
        <v>233</v>
      </c>
      <c r="BW1446" s="2" t="s">
        <v>233</v>
      </c>
      <c r="BX1446" s="2" t="s">
        <v>233</v>
      </c>
      <c r="BY1446" s="2" t="s">
        <v>280</v>
      </c>
      <c r="BZ1446" s="2" t="s">
        <v>245</v>
      </c>
      <c r="CA1446" s="2" t="s">
        <v>6968</v>
      </c>
      <c r="CB1446" s="2" t="s">
        <v>6969</v>
      </c>
      <c r="CC1446" s="2" t="s">
        <v>246</v>
      </c>
      <c r="CD1446" s="2" t="s">
        <v>233</v>
      </c>
      <c r="CE1446" s="4"/>
      <c r="CF1446" s="4">
        <v>78</v>
      </c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</row>
    <row r="1447">
      <c r="A1447" s="2" t="s">
        <v>6970</v>
      </c>
      <c r="B1447" s="2" t="s">
        <v>1066</v>
      </c>
      <c r="C1447" s="2" t="s">
        <v>947</v>
      </c>
      <c r="D1447" s="2" t="s">
        <v>1322</v>
      </c>
      <c r="E1447" s="2" t="s">
        <v>2279</v>
      </c>
      <c r="F1447" s="2" t="s">
        <v>6971</v>
      </c>
      <c r="G1447" s="2" t="s">
        <v>6971</v>
      </c>
      <c r="H1447" s="2" t="s">
        <v>6971</v>
      </c>
      <c r="I1447" s="2" t="s">
        <v>6972</v>
      </c>
      <c r="J1447" s="2" t="s">
        <v>348</v>
      </c>
      <c r="K1447" s="2" t="s">
        <v>6973</v>
      </c>
      <c r="L1447" s="3">
        <v>502</v>
      </c>
      <c r="M1447" s="3">
        <v>527.1</v>
      </c>
      <c r="N1447" s="3">
        <v>1049</v>
      </c>
      <c r="O1447" s="2" t="s">
        <v>245</v>
      </c>
      <c r="P1447" s="2" t="s">
        <v>238</v>
      </c>
      <c r="Q1447" s="2" t="s">
        <v>239</v>
      </c>
      <c r="R1447" s="2" t="s">
        <v>233</v>
      </c>
      <c r="S1447" s="2" t="s">
        <v>233</v>
      </c>
      <c r="T1447" s="2" t="s">
        <v>233</v>
      </c>
      <c r="U1447" s="2" t="s">
        <v>396</v>
      </c>
      <c r="V1447" s="2" t="s">
        <v>893</v>
      </c>
      <c r="W1447" s="2" t="s">
        <v>776</v>
      </c>
      <c r="X1447" s="2" t="s">
        <v>5825</v>
      </c>
      <c r="Y1447" s="2" t="s">
        <v>1136</v>
      </c>
      <c r="Z1447" s="4">
        <v>99</v>
      </c>
      <c r="AA1447" s="4">
        <f>=ROUNDDOWN({0},0)</f>
      </c>
      <c r="AB1447" s="5"/>
      <c r="AC1447" s="2" t="s">
        <v>3556</v>
      </c>
      <c r="AD1447" s="4">
        <v>1</v>
      </c>
      <c r="AE1447" s="4">
        <v>1</v>
      </c>
      <c r="AF1447" s="6">
        <v>76</v>
      </c>
      <c r="AG1447" s="6"/>
      <c r="AH1447" s="7">
        <v>0</v>
      </c>
      <c r="AI1447" s="4"/>
      <c r="AJ1447" s="4">
        <f>=ROUNDDOWN({0},0)</f>
      </c>
      <c r="AK1447" s="5"/>
      <c r="AL1447" s="2" t="s">
        <v>233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233</v>
      </c>
      <c r="AW1447" s="8" t="s">
        <v>233</v>
      </c>
      <c r="AX1447" s="4" t="s">
        <v>233</v>
      </c>
      <c r="AY1447" s="8" t="s">
        <v>233</v>
      </c>
      <c r="AZ1447" s="7" t="s">
        <v>233</v>
      </c>
      <c r="BA1447" s="7" t="s">
        <v>233</v>
      </c>
      <c r="BB1447" s="7"/>
      <c r="BC1447" s="4" t="s">
        <v>233</v>
      </c>
      <c r="BD1447" s="8" t="s">
        <v>233</v>
      </c>
      <c r="BE1447" s="4" t="s">
        <v>233</v>
      </c>
      <c r="BF1447" s="8" t="s">
        <v>233</v>
      </c>
      <c r="BG1447" s="7" t="s">
        <v>233</v>
      </c>
      <c r="BH1447" s="7" t="s">
        <v>233</v>
      </c>
      <c r="BI1447" s="7"/>
      <c r="BJ1447" s="4"/>
      <c r="BK1447" s="8"/>
      <c r="BL1447" s="2" t="s">
        <v>233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6974</v>
      </c>
      <c r="BV1447" s="2" t="s">
        <v>233</v>
      </c>
      <c r="BW1447" s="2" t="s">
        <v>233</v>
      </c>
      <c r="BX1447" s="2" t="s">
        <v>243</v>
      </c>
      <c r="BY1447" s="2" t="s">
        <v>280</v>
      </c>
      <c r="BZ1447" s="2" t="s">
        <v>245</v>
      </c>
      <c r="CA1447" s="2" t="s">
        <v>233</v>
      </c>
      <c r="CB1447" s="2" t="s">
        <v>233</v>
      </c>
      <c r="CC1447" s="2" t="s">
        <v>246</v>
      </c>
      <c r="CD1447" s="2" t="s">
        <v>233</v>
      </c>
      <c r="CE1447" s="4"/>
      <c r="CF1447" s="4">
        <v>99</v>
      </c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>
        <v>1</v>
      </c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</row>
    <row r="1448">
      <c r="A1448" s="2" t="s">
        <v>6975</v>
      </c>
      <c r="B1448" s="2" t="s">
        <v>1066</v>
      </c>
      <c r="C1448" s="2" t="s">
        <v>947</v>
      </c>
      <c r="D1448" s="2" t="s">
        <v>2285</v>
      </c>
      <c r="E1448" s="2" t="s">
        <v>2286</v>
      </c>
      <c r="F1448" s="2" t="s">
        <v>6971</v>
      </c>
      <c r="G1448" s="2" t="s">
        <v>6971</v>
      </c>
      <c r="H1448" s="2" t="s">
        <v>6971</v>
      </c>
      <c r="I1448" s="2" t="s">
        <v>2286</v>
      </c>
      <c r="J1448" s="2" t="s">
        <v>892</v>
      </c>
      <c r="K1448" s="2" t="s">
        <v>6973</v>
      </c>
      <c r="L1448" s="3">
        <v>127</v>
      </c>
      <c r="M1448" s="3">
        <v>133.35</v>
      </c>
      <c r="N1448" s="3">
        <v>269</v>
      </c>
      <c r="O1448" s="2" t="s">
        <v>245</v>
      </c>
      <c r="P1448" s="2" t="s">
        <v>238</v>
      </c>
      <c r="Q1448" s="2" t="s">
        <v>239</v>
      </c>
      <c r="R1448" s="2" t="s">
        <v>233</v>
      </c>
      <c r="S1448" s="2" t="s">
        <v>233</v>
      </c>
      <c r="T1448" s="2" t="s">
        <v>233</v>
      </c>
      <c r="U1448" s="2" t="s">
        <v>396</v>
      </c>
      <c r="V1448" s="2" t="s">
        <v>893</v>
      </c>
      <c r="W1448" s="2" t="s">
        <v>776</v>
      </c>
      <c r="X1448" s="2" t="s">
        <v>5825</v>
      </c>
      <c r="Y1448" s="2" t="s">
        <v>1136</v>
      </c>
      <c r="Z1448" s="4">
        <v>99</v>
      </c>
      <c r="AA1448" s="4">
        <f>=ROUNDDOWN({0},0)</f>
      </c>
      <c r="AB1448" s="5"/>
      <c r="AC1448" s="2" t="s">
        <v>3556</v>
      </c>
      <c r="AD1448" s="4">
        <v>1</v>
      </c>
      <c r="AE1448" s="4">
        <v>1</v>
      </c>
      <c r="AF1448" s="6">
        <v>76</v>
      </c>
      <c r="AG1448" s="6"/>
      <c r="AH1448" s="7">
        <v>0</v>
      </c>
      <c r="AI1448" s="4"/>
      <c r="AJ1448" s="4">
        <f>=ROUNDDOWN({0},0)</f>
      </c>
      <c r="AK1448" s="5"/>
      <c r="AL1448" s="2" t="s">
        <v>233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233</v>
      </c>
      <c r="AW1448" s="8" t="s">
        <v>233</v>
      </c>
      <c r="AX1448" s="4" t="s">
        <v>233</v>
      </c>
      <c r="AY1448" s="8" t="s">
        <v>233</v>
      </c>
      <c r="AZ1448" s="7" t="s">
        <v>233</v>
      </c>
      <c r="BA1448" s="7" t="s">
        <v>233</v>
      </c>
      <c r="BB1448" s="7"/>
      <c r="BC1448" s="4" t="s">
        <v>233</v>
      </c>
      <c r="BD1448" s="8" t="s">
        <v>233</v>
      </c>
      <c r="BE1448" s="4" t="s">
        <v>233</v>
      </c>
      <c r="BF1448" s="8" t="s">
        <v>233</v>
      </c>
      <c r="BG1448" s="7" t="s">
        <v>233</v>
      </c>
      <c r="BH1448" s="7" t="s">
        <v>233</v>
      </c>
      <c r="BI1448" s="7"/>
      <c r="BJ1448" s="4"/>
      <c r="BK1448" s="8"/>
      <c r="BL1448" s="2" t="s">
        <v>233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6976</v>
      </c>
      <c r="BV1448" s="2" t="s">
        <v>233</v>
      </c>
      <c r="BW1448" s="2" t="s">
        <v>233</v>
      </c>
      <c r="BX1448" s="2" t="s">
        <v>243</v>
      </c>
      <c r="BY1448" s="2" t="s">
        <v>280</v>
      </c>
      <c r="BZ1448" s="2" t="s">
        <v>245</v>
      </c>
      <c r="CA1448" s="2" t="s">
        <v>233</v>
      </c>
      <c r="CB1448" s="2" t="s">
        <v>233</v>
      </c>
      <c r="CC1448" s="2" t="s">
        <v>246</v>
      </c>
      <c r="CD1448" s="2" t="s">
        <v>233</v>
      </c>
      <c r="CE1448" s="4"/>
      <c r="CF1448" s="4">
        <v>99</v>
      </c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>
        <v>1</v>
      </c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</row>
    <row r="1449">
      <c r="A1449" s="2" t="s">
        <v>6977</v>
      </c>
      <c r="B1449" s="2" t="s">
        <v>1242</v>
      </c>
      <c r="C1449" s="2" t="s">
        <v>701</v>
      </c>
      <c r="D1449" s="2" t="s">
        <v>969</v>
      </c>
      <c r="E1449" s="2" t="s">
        <v>970</v>
      </c>
      <c r="F1449" s="2" t="s">
        <v>6978</v>
      </c>
      <c r="G1449" s="2" t="s">
        <v>6978</v>
      </c>
      <c r="H1449" s="2" t="s">
        <v>6978</v>
      </c>
      <c r="I1449" s="2" t="s">
        <v>6979</v>
      </c>
      <c r="J1449" s="2" t="s">
        <v>981</v>
      </c>
      <c r="K1449" s="2" t="s">
        <v>271</v>
      </c>
      <c r="L1449" s="3">
        <v>45.71</v>
      </c>
      <c r="M1449" s="3">
        <v>48</v>
      </c>
      <c r="N1449" s="3">
        <v>99.99</v>
      </c>
      <c r="O1449" s="2" t="s">
        <v>245</v>
      </c>
      <c r="P1449" s="2" t="s">
        <v>311</v>
      </c>
      <c r="Q1449" s="2" t="s">
        <v>239</v>
      </c>
      <c r="R1449" s="2" t="s">
        <v>233</v>
      </c>
      <c r="S1449" s="2" t="s">
        <v>6980</v>
      </c>
      <c r="T1449" s="2" t="s">
        <v>233</v>
      </c>
      <c r="U1449" s="2" t="s">
        <v>475</v>
      </c>
      <c r="V1449" s="2" t="s">
        <v>359</v>
      </c>
      <c r="W1449" s="2" t="s">
        <v>275</v>
      </c>
      <c r="X1449" s="2" t="s">
        <v>233</v>
      </c>
      <c r="Y1449" s="2" t="s">
        <v>1680</v>
      </c>
      <c r="Z1449" s="4">
        <v>30</v>
      </c>
      <c r="AA1449" s="4">
        <f>=ROUNDDOWN(10,0)</f>
      </c>
      <c r="AB1449" s="5">
        <v>3</v>
      </c>
      <c r="AC1449" s="2" t="s">
        <v>233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233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233</v>
      </c>
      <c r="AW1449" s="8" t="s">
        <v>233</v>
      </c>
      <c r="AX1449" s="4" t="s">
        <v>233</v>
      </c>
      <c r="AY1449" s="8" t="s">
        <v>233</v>
      </c>
      <c r="AZ1449" s="7" t="s">
        <v>233</v>
      </c>
      <c r="BA1449" s="7" t="s">
        <v>233</v>
      </c>
      <c r="BB1449" s="7" t="s">
        <v>233</v>
      </c>
      <c r="BC1449" s="4" t="s">
        <v>233</v>
      </c>
      <c r="BD1449" s="8" t="s">
        <v>233</v>
      </c>
      <c r="BE1449" s="4" t="s">
        <v>233</v>
      </c>
      <c r="BF1449" s="8" t="s">
        <v>233</v>
      </c>
      <c r="BG1449" s="7" t="s">
        <v>233</v>
      </c>
      <c r="BH1449" s="7" t="s">
        <v>233</v>
      </c>
      <c r="BI1449" s="7"/>
      <c r="BJ1449" s="4">
        <v>13</v>
      </c>
      <c r="BK1449" s="8">
        <v>623.04</v>
      </c>
      <c r="BL1449" s="2" t="s">
        <v>6981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6982</v>
      </c>
      <c r="BV1449" s="2" t="s">
        <v>233</v>
      </c>
      <c r="BW1449" s="2" t="s">
        <v>233</v>
      </c>
      <c r="BX1449" s="2" t="s">
        <v>233</v>
      </c>
      <c r="BY1449" s="2" t="s">
        <v>280</v>
      </c>
      <c r="BZ1449" s="2" t="s">
        <v>245</v>
      </c>
      <c r="CA1449" s="2" t="s">
        <v>1683</v>
      </c>
      <c r="CB1449" s="2" t="s">
        <v>6983</v>
      </c>
      <c r="CC1449" s="2" t="s">
        <v>246</v>
      </c>
      <c r="CD1449" s="2" t="s">
        <v>233</v>
      </c>
      <c r="CE1449" s="4">
        <v>30</v>
      </c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</row>
    <row r="1450">
      <c r="A1450" s="2" t="s">
        <v>6984</v>
      </c>
      <c r="B1450" s="2" t="s">
        <v>1242</v>
      </c>
      <c r="C1450" s="2" t="s">
        <v>701</v>
      </c>
      <c r="D1450" s="2" t="s">
        <v>912</v>
      </c>
      <c r="E1450" s="2" t="s">
        <v>1139</v>
      </c>
      <c r="F1450" s="2" t="s">
        <v>6978</v>
      </c>
      <c r="G1450" s="2" t="s">
        <v>6978</v>
      </c>
      <c r="H1450" s="2" t="s">
        <v>6978</v>
      </c>
      <c r="I1450" s="2" t="s">
        <v>6985</v>
      </c>
      <c r="J1450" s="2" t="s">
        <v>981</v>
      </c>
      <c r="K1450" s="2" t="s">
        <v>271</v>
      </c>
      <c r="L1450" s="3">
        <v>32</v>
      </c>
      <c r="M1450" s="3">
        <v>33.6</v>
      </c>
      <c r="N1450" s="3">
        <v>69.99</v>
      </c>
      <c r="O1450" s="2" t="s">
        <v>245</v>
      </c>
      <c r="P1450" s="2" t="s">
        <v>311</v>
      </c>
      <c r="Q1450" s="2" t="s">
        <v>239</v>
      </c>
      <c r="R1450" s="2" t="s">
        <v>233</v>
      </c>
      <c r="S1450" s="2" t="s">
        <v>6980</v>
      </c>
      <c r="T1450" s="2" t="s">
        <v>233</v>
      </c>
      <c r="U1450" s="2" t="s">
        <v>475</v>
      </c>
      <c r="V1450" s="2" t="s">
        <v>359</v>
      </c>
      <c r="W1450" s="2" t="s">
        <v>275</v>
      </c>
      <c r="X1450" s="2" t="s">
        <v>233</v>
      </c>
      <c r="Y1450" s="2" t="s">
        <v>1680</v>
      </c>
      <c r="Z1450" s="4">
        <v>97</v>
      </c>
      <c r="AA1450" s="4">
        <f>=ROUNDDOWN(48.5,0)</f>
      </c>
      <c r="AB1450" s="5">
        <v>2</v>
      </c>
      <c r="AC1450" s="2" t="s">
        <v>233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233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233</v>
      </c>
      <c r="AW1450" s="8" t="s">
        <v>233</v>
      </c>
      <c r="AX1450" s="4" t="s">
        <v>233</v>
      </c>
      <c r="AY1450" s="8" t="s">
        <v>233</v>
      </c>
      <c r="AZ1450" s="7" t="s">
        <v>233</v>
      </c>
      <c r="BA1450" s="7" t="s">
        <v>233</v>
      </c>
      <c r="BB1450" s="7" t="s">
        <v>233</v>
      </c>
      <c r="BC1450" s="4" t="s">
        <v>233</v>
      </c>
      <c r="BD1450" s="8" t="s">
        <v>233</v>
      </c>
      <c r="BE1450" s="4" t="s">
        <v>233</v>
      </c>
      <c r="BF1450" s="8" t="s">
        <v>233</v>
      </c>
      <c r="BG1450" s="7" t="s">
        <v>233</v>
      </c>
      <c r="BH1450" s="7" t="s">
        <v>233</v>
      </c>
      <c r="BI1450" s="7"/>
      <c r="BJ1450" s="4">
        <v>3</v>
      </c>
      <c r="BK1450" s="8">
        <v>106.85</v>
      </c>
      <c r="BL1450" s="2" t="s">
        <v>5814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6986</v>
      </c>
      <c r="BV1450" s="2" t="s">
        <v>233</v>
      </c>
      <c r="BW1450" s="2" t="s">
        <v>233</v>
      </c>
      <c r="BX1450" s="2" t="s">
        <v>233</v>
      </c>
      <c r="BY1450" s="2" t="s">
        <v>280</v>
      </c>
      <c r="BZ1450" s="2" t="s">
        <v>245</v>
      </c>
      <c r="CA1450" s="2" t="s">
        <v>1683</v>
      </c>
      <c r="CB1450" s="2" t="s">
        <v>401</v>
      </c>
      <c r="CC1450" s="2" t="s">
        <v>246</v>
      </c>
      <c r="CD1450" s="2" t="s">
        <v>233</v>
      </c>
      <c r="CE1450" s="4">
        <v>97</v>
      </c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</row>
    <row r="1451">
      <c r="A1451" s="2" t="s">
        <v>6987</v>
      </c>
      <c r="B1451" s="2" t="s">
        <v>1242</v>
      </c>
      <c r="C1451" s="2" t="s">
        <v>701</v>
      </c>
      <c r="D1451" s="2" t="s">
        <v>912</v>
      </c>
      <c r="E1451" s="2" t="s">
        <v>1139</v>
      </c>
      <c r="F1451" s="2" t="s">
        <v>6978</v>
      </c>
      <c r="G1451" s="2" t="s">
        <v>6978</v>
      </c>
      <c r="H1451" s="2" t="s">
        <v>6978</v>
      </c>
      <c r="I1451" s="2" t="s">
        <v>6985</v>
      </c>
      <c r="J1451" s="2" t="s">
        <v>1142</v>
      </c>
      <c r="K1451" s="2" t="s">
        <v>2197</v>
      </c>
      <c r="L1451" s="3">
        <v>36.57</v>
      </c>
      <c r="M1451" s="3">
        <v>38.4</v>
      </c>
      <c r="N1451" s="3">
        <v>79.99</v>
      </c>
      <c r="O1451" s="2" t="s">
        <v>237</v>
      </c>
      <c r="P1451" s="2" t="s">
        <v>311</v>
      </c>
      <c r="Q1451" s="2" t="s">
        <v>239</v>
      </c>
      <c r="R1451" s="2" t="s">
        <v>233</v>
      </c>
      <c r="S1451" s="2" t="s">
        <v>6988</v>
      </c>
      <c r="T1451" s="2" t="s">
        <v>233</v>
      </c>
      <c r="U1451" s="2" t="s">
        <v>475</v>
      </c>
      <c r="V1451" s="2" t="s">
        <v>359</v>
      </c>
      <c r="W1451" s="2" t="s">
        <v>275</v>
      </c>
      <c r="X1451" s="2" t="s">
        <v>233</v>
      </c>
      <c r="Y1451" s="2" t="s">
        <v>1680</v>
      </c>
      <c r="Z1451" s="4">
        <v>13</v>
      </c>
      <c r="AA1451" s="4">
        <f>=ROUNDDOWN(6.5,0)</f>
      </c>
      <c r="AB1451" s="5">
        <v>2</v>
      </c>
      <c r="AC1451" s="2" t="s">
        <v>233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233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233</v>
      </c>
      <c r="BD1451" s="8" t="s">
        <v>233</v>
      </c>
      <c r="BE1451" s="4" t="s">
        <v>233</v>
      </c>
      <c r="BF1451" s="8" t="s">
        <v>233</v>
      </c>
      <c r="BG1451" s="7" t="s">
        <v>233</v>
      </c>
      <c r="BH1451" s="7" t="s">
        <v>233</v>
      </c>
      <c r="BI1451" s="7"/>
      <c r="BJ1451" s="4">
        <v>6</v>
      </c>
      <c r="BK1451" s="8">
        <v>192.51</v>
      </c>
      <c r="BL1451" s="2" t="s">
        <v>6989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6990</v>
      </c>
      <c r="BV1451" s="2" t="s">
        <v>233</v>
      </c>
      <c r="BW1451" s="2" t="s">
        <v>233</v>
      </c>
      <c r="BX1451" s="2" t="s">
        <v>233</v>
      </c>
      <c r="BY1451" s="2" t="s">
        <v>280</v>
      </c>
      <c r="BZ1451" s="2" t="s">
        <v>245</v>
      </c>
      <c r="CA1451" s="2" t="s">
        <v>1683</v>
      </c>
      <c r="CB1451" s="2" t="s">
        <v>1500</v>
      </c>
      <c r="CC1451" s="2" t="s">
        <v>246</v>
      </c>
      <c r="CD1451" s="2" t="s">
        <v>233</v>
      </c>
      <c r="CE1451" s="4">
        <v>13</v>
      </c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</row>
    <row r="1452">
      <c r="A1452" s="2" t="s">
        <v>6991</v>
      </c>
      <c r="B1452" s="2" t="s">
        <v>1414</v>
      </c>
      <c r="C1452" s="2" t="s">
        <v>530</v>
      </c>
      <c r="D1452" s="2" t="s">
        <v>1414</v>
      </c>
      <c r="E1452" s="2" t="s">
        <v>1414</v>
      </c>
      <c r="F1452" s="2" t="s">
        <v>6992</v>
      </c>
      <c r="G1452" s="2" t="s">
        <v>6993</v>
      </c>
      <c r="H1452" s="2" t="s">
        <v>6994</v>
      </c>
      <c r="I1452" s="2" t="s">
        <v>6995</v>
      </c>
      <c r="J1452" s="2" t="s">
        <v>2054</v>
      </c>
      <c r="K1452" s="2" t="s">
        <v>5989</v>
      </c>
      <c r="L1452" s="3">
        <v>22</v>
      </c>
      <c r="M1452" s="3">
        <v>23.1</v>
      </c>
      <c r="N1452" s="3">
        <v>50</v>
      </c>
      <c r="O1452" s="2" t="s">
        <v>245</v>
      </c>
      <c r="P1452" s="2" t="s">
        <v>311</v>
      </c>
      <c r="Q1452" s="2" t="s">
        <v>239</v>
      </c>
      <c r="R1452" s="2" t="s">
        <v>233</v>
      </c>
      <c r="S1452" s="2" t="s">
        <v>6996</v>
      </c>
      <c r="T1452" s="2" t="s">
        <v>233</v>
      </c>
      <c r="U1452" s="2" t="s">
        <v>396</v>
      </c>
      <c r="V1452" s="2" t="s">
        <v>3103</v>
      </c>
      <c r="W1452" s="2" t="s">
        <v>1763</v>
      </c>
      <c r="X1452" s="2" t="s">
        <v>233</v>
      </c>
      <c r="Y1452" s="2" t="s">
        <v>1796</v>
      </c>
      <c r="Z1452" s="4">
        <v>12</v>
      </c>
      <c r="AA1452" s="4">
        <f>=ROUNDDOWN(60,0)</f>
      </c>
      <c r="AB1452" s="5">
        <v>0.2</v>
      </c>
      <c r="AC1452" s="2" t="s">
        <v>233</v>
      </c>
      <c r="AD1452" s="4"/>
      <c r="AE1452" s="4"/>
      <c r="AF1452" s="6">
        <v>63</v>
      </c>
      <c r="AG1452" s="6"/>
      <c r="AH1452" s="7">
        <v>1</v>
      </c>
      <c r="AI1452" s="4"/>
      <c r="AJ1452" s="4">
        <f>=ROUNDDOWN({0},0)</f>
      </c>
      <c r="AK1452" s="5"/>
      <c r="AL1452" s="2" t="s">
        <v>233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233</v>
      </c>
      <c r="AW1452" s="8" t="s">
        <v>233</v>
      </c>
      <c r="AX1452" s="4" t="s">
        <v>233</v>
      </c>
      <c r="AY1452" s="8" t="s">
        <v>233</v>
      </c>
      <c r="AZ1452" s="7" t="s">
        <v>233</v>
      </c>
      <c r="BA1452" s="7" t="s">
        <v>233</v>
      </c>
      <c r="BB1452" s="7"/>
      <c r="BC1452" s="4" t="s">
        <v>233</v>
      </c>
      <c r="BD1452" s="8" t="s">
        <v>233</v>
      </c>
      <c r="BE1452" s="4" t="s">
        <v>233</v>
      </c>
      <c r="BF1452" s="8" t="s">
        <v>233</v>
      </c>
      <c r="BG1452" s="7" t="s">
        <v>233</v>
      </c>
      <c r="BH1452" s="7" t="s">
        <v>233</v>
      </c>
      <c r="BI1452" s="7"/>
      <c r="BJ1452" s="4">
        <v>2</v>
      </c>
      <c r="BK1452" s="8">
        <v>51.86</v>
      </c>
      <c r="BL1452" s="2" t="s">
        <v>6997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6998</v>
      </c>
      <c r="BV1452" s="2" t="s">
        <v>233</v>
      </c>
      <c r="BW1452" s="2" t="s">
        <v>233</v>
      </c>
      <c r="BX1452" s="2" t="s">
        <v>233</v>
      </c>
      <c r="BY1452" s="2" t="s">
        <v>280</v>
      </c>
      <c r="BZ1452" s="2" t="s">
        <v>245</v>
      </c>
      <c r="CA1452" s="2" t="s">
        <v>5398</v>
      </c>
      <c r="CB1452" s="2" t="s">
        <v>233</v>
      </c>
      <c r="CC1452" s="2" t="s">
        <v>246</v>
      </c>
      <c r="CD1452" s="2" t="s">
        <v>233</v>
      </c>
      <c r="CE1452" s="4"/>
      <c r="CF1452" s="4">
        <v>12</v>
      </c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</row>
    <row r="1453">
      <c r="A1453" s="2" t="s">
        <v>6999</v>
      </c>
      <c r="B1453" s="2" t="s">
        <v>1414</v>
      </c>
      <c r="C1453" s="2" t="s">
        <v>530</v>
      </c>
      <c r="D1453" s="2" t="s">
        <v>1414</v>
      </c>
      <c r="E1453" s="2" t="s">
        <v>1414</v>
      </c>
      <c r="F1453" s="2" t="s">
        <v>6992</v>
      </c>
      <c r="G1453" s="2" t="s">
        <v>6993</v>
      </c>
      <c r="H1453" s="2" t="s">
        <v>6994</v>
      </c>
      <c r="I1453" s="2" t="s">
        <v>6995</v>
      </c>
      <c r="J1453" s="2" t="s">
        <v>1418</v>
      </c>
      <c r="K1453" s="2" t="s">
        <v>5989</v>
      </c>
      <c r="L1453" s="3">
        <v>59</v>
      </c>
      <c r="M1453" s="3">
        <v>61.95</v>
      </c>
      <c r="N1453" s="3">
        <v>139.99</v>
      </c>
      <c r="O1453" s="2" t="s">
        <v>245</v>
      </c>
      <c r="P1453" s="2" t="s">
        <v>311</v>
      </c>
      <c r="Q1453" s="2" t="s">
        <v>239</v>
      </c>
      <c r="R1453" s="2" t="s">
        <v>233</v>
      </c>
      <c r="S1453" s="2" t="s">
        <v>6996</v>
      </c>
      <c r="T1453" s="2" t="s">
        <v>233</v>
      </c>
      <c r="U1453" s="2" t="s">
        <v>396</v>
      </c>
      <c r="V1453" s="2" t="s">
        <v>3103</v>
      </c>
      <c r="W1453" s="2" t="s">
        <v>1763</v>
      </c>
      <c r="X1453" s="2" t="s">
        <v>233</v>
      </c>
      <c r="Y1453" s="2" t="s">
        <v>1796</v>
      </c>
      <c r="Z1453" s="4">
        <v>23</v>
      </c>
      <c r="AA1453" s="4">
        <f>=ROUNDDOWN(23,0)</f>
      </c>
      <c r="AB1453" s="5">
        <v>1</v>
      </c>
      <c r="AC1453" s="2" t="s">
        <v>233</v>
      </c>
      <c r="AD1453" s="4"/>
      <c r="AE1453" s="4"/>
      <c r="AF1453" s="6">
        <v>63</v>
      </c>
      <c r="AG1453" s="6"/>
      <c r="AH1453" s="7">
        <v>1</v>
      </c>
      <c r="AI1453" s="4"/>
      <c r="AJ1453" s="4">
        <f>=ROUNDDOWN({0},0)</f>
      </c>
      <c r="AK1453" s="5"/>
      <c r="AL1453" s="2" t="s">
        <v>233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233</v>
      </c>
      <c r="AW1453" s="8" t="s">
        <v>233</v>
      </c>
      <c r="AX1453" s="4" t="s">
        <v>233</v>
      </c>
      <c r="AY1453" s="8" t="s">
        <v>233</v>
      </c>
      <c r="AZ1453" s="7" t="s">
        <v>233</v>
      </c>
      <c r="BA1453" s="7" t="s">
        <v>233</v>
      </c>
      <c r="BB1453" s="7"/>
      <c r="BC1453" s="4" t="s">
        <v>233</v>
      </c>
      <c r="BD1453" s="8" t="s">
        <v>233</v>
      </c>
      <c r="BE1453" s="4" t="s">
        <v>233</v>
      </c>
      <c r="BF1453" s="8" t="s">
        <v>233</v>
      </c>
      <c r="BG1453" s="7" t="s">
        <v>233</v>
      </c>
      <c r="BH1453" s="7" t="s">
        <v>233</v>
      </c>
      <c r="BI1453" s="7"/>
      <c r="BJ1453" s="4"/>
      <c r="BK1453" s="8"/>
      <c r="BL1453" s="2" t="s">
        <v>3080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7000</v>
      </c>
      <c r="BV1453" s="2" t="s">
        <v>233</v>
      </c>
      <c r="BW1453" s="2" t="s">
        <v>233</v>
      </c>
      <c r="BX1453" s="2" t="s">
        <v>233</v>
      </c>
      <c r="BY1453" s="2" t="s">
        <v>280</v>
      </c>
      <c r="BZ1453" s="2" t="s">
        <v>245</v>
      </c>
      <c r="CA1453" s="2" t="s">
        <v>5398</v>
      </c>
      <c r="CB1453" s="2" t="s">
        <v>3257</v>
      </c>
      <c r="CC1453" s="2" t="s">
        <v>246</v>
      </c>
      <c r="CD1453" s="2" t="s">
        <v>233</v>
      </c>
      <c r="CE1453" s="4"/>
      <c r="CF1453" s="4">
        <v>23</v>
      </c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</row>
    <row r="1454">
      <c r="A1454" s="2" t="s">
        <v>7001</v>
      </c>
      <c r="B1454" s="2" t="s">
        <v>1414</v>
      </c>
      <c r="C1454" s="2" t="s">
        <v>530</v>
      </c>
      <c r="D1454" s="2" t="s">
        <v>1414</v>
      </c>
      <c r="E1454" s="2" t="s">
        <v>1414</v>
      </c>
      <c r="F1454" s="2" t="s">
        <v>6992</v>
      </c>
      <c r="G1454" s="2" t="s">
        <v>6993</v>
      </c>
      <c r="H1454" s="2" t="s">
        <v>6994</v>
      </c>
      <c r="I1454" s="2" t="s">
        <v>6995</v>
      </c>
      <c r="J1454" s="2" t="s">
        <v>1808</v>
      </c>
      <c r="K1454" s="2" t="s">
        <v>5989</v>
      </c>
      <c r="L1454" s="3">
        <v>125</v>
      </c>
      <c r="M1454" s="3">
        <v>131.25</v>
      </c>
      <c r="N1454" s="3">
        <v>279.98</v>
      </c>
      <c r="O1454" s="2" t="s">
        <v>245</v>
      </c>
      <c r="P1454" s="2" t="s">
        <v>311</v>
      </c>
      <c r="Q1454" s="2" t="s">
        <v>239</v>
      </c>
      <c r="R1454" s="2" t="s">
        <v>233</v>
      </c>
      <c r="S1454" s="2" t="s">
        <v>6996</v>
      </c>
      <c r="T1454" s="2" t="s">
        <v>233</v>
      </c>
      <c r="U1454" s="2" t="s">
        <v>396</v>
      </c>
      <c r="V1454" s="2" t="s">
        <v>3103</v>
      </c>
      <c r="W1454" s="2" t="s">
        <v>1763</v>
      </c>
      <c r="X1454" s="2" t="s">
        <v>233</v>
      </c>
      <c r="Y1454" s="2" t="s">
        <v>1796</v>
      </c>
      <c r="Z1454" s="4">
        <v>68</v>
      </c>
      <c r="AA1454" s="4">
        <f>=ROUNDDOWN(136,0)</f>
      </c>
      <c r="AB1454" s="5">
        <v>0.5</v>
      </c>
      <c r="AC1454" s="2" t="s">
        <v>233</v>
      </c>
      <c r="AD1454" s="4"/>
      <c r="AE1454" s="4"/>
      <c r="AF1454" s="6">
        <v>63</v>
      </c>
      <c r="AG1454" s="6"/>
      <c r="AH1454" s="7">
        <v>1</v>
      </c>
      <c r="AI1454" s="4"/>
      <c r="AJ1454" s="4">
        <f>=ROUNDDOWN({0},0)</f>
      </c>
      <c r="AK1454" s="5"/>
      <c r="AL1454" s="2" t="s">
        <v>233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233</v>
      </c>
      <c r="AW1454" s="8" t="s">
        <v>233</v>
      </c>
      <c r="AX1454" s="4" t="s">
        <v>233</v>
      </c>
      <c r="AY1454" s="8" t="s">
        <v>233</v>
      </c>
      <c r="AZ1454" s="7" t="s">
        <v>233</v>
      </c>
      <c r="BA1454" s="7" t="s">
        <v>233</v>
      </c>
      <c r="BB1454" s="7"/>
      <c r="BC1454" s="4" t="s">
        <v>233</v>
      </c>
      <c r="BD1454" s="8" t="s">
        <v>233</v>
      </c>
      <c r="BE1454" s="4" t="s">
        <v>233</v>
      </c>
      <c r="BF1454" s="8" t="s">
        <v>233</v>
      </c>
      <c r="BG1454" s="7" t="s">
        <v>233</v>
      </c>
      <c r="BH1454" s="7" t="s">
        <v>233</v>
      </c>
      <c r="BI1454" s="7"/>
      <c r="BJ1454" s="4">
        <v>2</v>
      </c>
      <c r="BK1454" s="8">
        <v>350</v>
      </c>
      <c r="BL1454" s="2" t="s">
        <v>3080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7002</v>
      </c>
      <c r="BV1454" s="2" t="s">
        <v>233</v>
      </c>
      <c r="BW1454" s="2" t="s">
        <v>233</v>
      </c>
      <c r="BX1454" s="2" t="s">
        <v>233</v>
      </c>
      <c r="BY1454" s="2" t="s">
        <v>280</v>
      </c>
      <c r="BZ1454" s="2" t="s">
        <v>245</v>
      </c>
      <c r="CA1454" s="2" t="s">
        <v>5398</v>
      </c>
      <c r="CB1454" s="2" t="s">
        <v>233</v>
      </c>
      <c r="CC1454" s="2" t="s">
        <v>246</v>
      </c>
      <c r="CD1454" s="2" t="s">
        <v>233</v>
      </c>
      <c r="CE1454" s="4"/>
      <c r="CF1454" s="4">
        <v>68</v>
      </c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</row>
    <row r="1455">
      <c r="A1455" s="2" t="s">
        <v>7003</v>
      </c>
      <c r="B1455" s="2" t="s">
        <v>1242</v>
      </c>
      <c r="C1455" s="2" t="s">
        <v>1781</v>
      </c>
      <c r="D1455" s="2" t="s">
        <v>912</v>
      </c>
      <c r="E1455" s="2" t="s">
        <v>913</v>
      </c>
      <c r="F1455" s="2" t="s">
        <v>7004</v>
      </c>
      <c r="G1455" s="2" t="s">
        <v>7004</v>
      </c>
      <c r="H1455" s="2" t="s">
        <v>7004</v>
      </c>
      <c r="I1455" s="2" t="s">
        <v>7005</v>
      </c>
      <c r="J1455" s="2" t="s">
        <v>981</v>
      </c>
      <c r="K1455" s="2" t="s">
        <v>271</v>
      </c>
      <c r="L1455" s="3">
        <v>72</v>
      </c>
      <c r="M1455" s="3">
        <v>75.6</v>
      </c>
      <c r="N1455" s="3">
        <v>149.99</v>
      </c>
      <c r="O1455" s="2" t="s">
        <v>245</v>
      </c>
      <c r="P1455" s="2" t="s">
        <v>238</v>
      </c>
      <c r="Q1455" s="2" t="s">
        <v>239</v>
      </c>
      <c r="R1455" s="2" t="s">
        <v>233</v>
      </c>
      <c r="S1455" s="2" t="s">
        <v>7006</v>
      </c>
      <c r="T1455" s="2" t="s">
        <v>341</v>
      </c>
      <c r="U1455" s="2" t="s">
        <v>1482</v>
      </c>
      <c r="V1455" s="2" t="s">
        <v>343</v>
      </c>
      <c r="W1455" s="2" t="s">
        <v>343</v>
      </c>
      <c r="X1455" s="2" t="s">
        <v>275</v>
      </c>
      <c r="Y1455" s="2" t="s">
        <v>4310</v>
      </c>
      <c r="Z1455" s="4">
        <v>90</v>
      </c>
      <c r="AA1455" s="4">
        <f>=ROUNDDOWN(45,0)</f>
      </c>
      <c r="AB1455" s="5">
        <v>2</v>
      </c>
      <c r="AC1455" s="2" t="s">
        <v>233</v>
      </c>
      <c r="AD1455" s="4"/>
      <c r="AE1455" s="4"/>
      <c r="AF1455" s="6">
        <v>70</v>
      </c>
      <c r="AG1455" s="6"/>
      <c r="AH1455" s="7">
        <v>1</v>
      </c>
      <c r="AI1455" s="4"/>
      <c r="AJ1455" s="4">
        <f>=ROUNDDOWN({0},0)</f>
      </c>
      <c r="AK1455" s="5"/>
      <c r="AL1455" s="2" t="s">
        <v>233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/>
      <c r="AW1455" s="8"/>
      <c r="AX1455" s="4"/>
      <c r="AY1455" s="8"/>
      <c r="AZ1455" s="7"/>
      <c r="BA1455" s="7"/>
      <c r="BB1455" s="7"/>
      <c r="BC1455" s="4"/>
      <c r="BD1455" s="8"/>
      <c r="BE1455" s="4"/>
      <c r="BF1455" s="8"/>
      <c r="BG1455" s="7"/>
      <c r="BH1455" s="7"/>
      <c r="BI1455" s="7"/>
      <c r="BJ1455" s="4">
        <v>3</v>
      </c>
      <c r="BK1455" s="8">
        <v>223.78</v>
      </c>
      <c r="BL1455" s="2" t="s">
        <v>662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7007</v>
      </c>
      <c r="BV1455" s="2" t="s">
        <v>233</v>
      </c>
      <c r="BW1455" s="2" t="s">
        <v>233</v>
      </c>
      <c r="BX1455" s="2" t="s">
        <v>243</v>
      </c>
      <c r="BY1455" s="2" t="s">
        <v>280</v>
      </c>
      <c r="BZ1455" s="2" t="s">
        <v>245</v>
      </c>
      <c r="CA1455" s="2" t="s">
        <v>4310</v>
      </c>
      <c r="CB1455" s="2" t="s">
        <v>7008</v>
      </c>
      <c r="CC1455" s="2" t="s">
        <v>246</v>
      </c>
      <c r="CD1455" s="2" t="s">
        <v>233</v>
      </c>
      <c r="CE1455" s="4">
        <v>90</v>
      </c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</row>
    <row r="1456">
      <c r="A1456" s="2" t="s">
        <v>7009</v>
      </c>
      <c r="B1456" s="2" t="s">
        <v>1242</v>
      </c>
      <c r="C1456" s="2" t="s">
        <v>701</v>
      </c>
      <c r="D1456" s="2" t="s">
        <v>969</v>
      </c>
      <c r="E1456" s="2" t="s">
        <v>1078</v>
      </c>
      <c r="F1456" s="2" t="s">
        <v>7010</v>
      </c>
      <c r="G1456" s="2" t="s">
        <v>7010</v>
      </c>
      <c r="H1456" s="2" t="s">
        <v>7010</v>
      </c>
      <c r="I1456" s="2" t="s">
        <v>7011</v>
      </c>
      <c r="J1456" s="2" t="s">
        <v>981</v>
      </c>
      <c r="K1456" s="2" t="s">
        <v>1454</v>
      </c>
      <c r="L1456" s="3">
        <v>47.61</v>
      </c>
      <c r="M1456" s="3">
        <v>49.99</v>
      </c>
      <c r="N1456" s="3">
        <v>99.99</v>
      </c>
      <c r="O1456" s="2" t="s">
        <v>245</v>
      </c>
      <c r="P1456" s="2" t="s">
        <v>311</v>
      </c>
      <c r="Q1456" s="2" t="s">
        <v>239</v>
      </c>
      <c r="R1456" s="2" t="s">
        <v>233</v>
      </c>
      <c r="S1456" s="2" t="s">
        <v>7012</v>
      </c>
      <c r="T1456" s="2" t="s">
        <v>3570</v>
      </c>
      <c r="U1456" s="2" t="s">
        <v>1482</v>
      </c>
      <c r="V1456" s="2" t="s">
        <v>1085</v>
      </c>
      <c r="W1456" s="2" t="s">
        <v>397</v>
      </c>
      <c r="X1456" s="2" t="s">
        <v>233</v>
      </c>
      <c r="Y1456" s="2" t="s">
        <v>7013</v>
      </c>
      <c r="Z1456" s="4">
        <v>54</v>
      </c>
      <c r="AA1456" s="4">
        <f>=ROUNDDOWN(7.3972602739726,0)</f>
      </c>
      <c r="AB1456" s="5">
        <v>7.3</v>
      </c>
      <c r="AC1456" s="2" t="s">
        <v>233</v>
      </c>
      <c r="AD1456" s="4"/>
      <c r="AE1456" s="4"/>
      <c r="AF1456" s="6"/>
      <c r="AG1456" s="6"/>
      <c r="AH1456" s="7">
        <v>1</v>
      </c>
      <c r="AI1456" s="4"/>
      <c r="AJ1456" s="4">
        <f>=ROUNDDOWN({0},0)</f>
      </c>
      <c r="AK1456" s="5"/>
      <c r="AL1456" s="2" t="s">
        <v>233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233</v>
      </c>
      <c r="AW1456" s="8" t="s">
        <v>233</v>
      </c>
      <c r="AX1456" s="4" t="s">
        <v>233</v>
      </c>
      <c r="AY1456" s="8" t="s">
        <v>233</v>
      </c>
      <c r="AZ1456" s="7" t="s">
        <v>233</v>
      </c>
      <c r="BA1456" s="7" t="s">
        <v>233</v>
      </c>
      <c r="BB1456" s="7"/>
      <c r="BC1456" s="4" t="s">
        <v>233</v>
      </c>
      <c r="BD1456" s="8" t="s">
        <v>233</v>
      </c>
      <c r="BE1456" s="4" t="s">
        <v>233</v>
      </c>
      <c r="BF1456" s="8" t="s">
        <v>233</v>
      </c>
      <c r="BG1456" s="7" t="s">
        <v>233</v>
      </c>
      <c r="BH1456" s="7" t="s">
        <v>233</v>
      </c>
      <c r="BI1456" s="7"/>
      <c r="BJ1456" s="4">
        <v>8</v>
      </c>
      <c r="BK1456" s="8">
        <v>168</v>
      </c>
      <c r="BL1456" s="2" t="s">
        <v>501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7014</v>
      </c>
      <c r="BV1456" s="2" t="s">
        <v>233</v>
      </c>
      <c r="BW1456" s="2" t="s">
        <v>233</v>
      </c>
      <c r="BX1456" s="2" t="s">
        <v>233</v>
      </c>
      <c r="BY1456" s="2" t="s">
        <v>280</v>
      </c>
      <c r="BZ1456" s="2" t="s">
        <v>245</v>
      </c>
      <c r="CA1456" s="2" t="s">
        <v>6707</v>
      </c>
      <c r="CB1456" s="2" t="s">
        <v>6676</v>
      </c>
      <c r="CC1456" s="2" t="s">
        <v>246</v>
      </c>
      <c r="CD1456" s="2" t="s">
        <v>233</v>
      </c>
      <c r="CE1456" s="4">
        <v>54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</row>
    <row r="1457">
      <c r="A1457" s="2" t="s">
        <v>7015</v>
      </c>
      <c r="B1457" s="2" t="s">
        <v>1242</v>
      </c>
      <c r="C1457" s="2" t="s">
        <v>701</v>
      </c>
      <c r="D1457" s="2" t="s">
        <v>969</v>
      </c>
      <c r="E1457" s="2" t="s">
        <v>1078</v>
      </c>
      <c r="F1457" s="2" t="s">
        <v>7010</v>
      </c>
      <c r="G1457" s="2" t="s">
        <v>7010</v>
      </c>
      <c r="H1457" s="2" t="s">
        <v>7010</v>
      </c>
      <c r="I1457" s="2" t="s">
        <v>7011</v>
      </c>
      <c r="J1457" s="2" t="s">
        <v>1142</v>
      </c>
      <c r="K1457" s="2" t="s">
        <v>1454</v>
      </c>
      <c r="L1457" s="3">
        <v>52.38</v>
      </c>
      <c r="M1457" s="3">
        <v>55</v>
      </c>
      <c r="N1457" s="3">
        <v>109.99</v>
      </c>
      <c r="O1457" s="2" t="s">
        <v>245</v>
      </c>
      <c r="P1457" s="2" t="s">
        <v>311</v>
      </c>
      <c r="Q1457" s="2" t="s">
        <v>239</v>
      </c>
      <c r="R1457" s="2" t="s">
        <v>233</v>
      </c>
      <c r="S1457" s="2" t="s">
        <v>7012</v>
      </c>
      <c r="T1457" s="2" t="s">
        <v>3570</v>
      </c>
      <c r="U1457" s="2" t="s">
        <v>1482</v>
      </c>
      <c r="V1457" s="2" t="s">
        <v>1085</v>
      </c>
      <c r="W1457" s="2" t="s">
        <v>397</v>
      </c>
      <c r="X1457" s="2" t="s">
        <v>233</v>
      </c>
      <c r="Y1457" s="2" t="s">
        <v>7013</v>
      </c>
      <c r="Z1457" s="4"/>
      <c r="AA1457" s="4">
        <f>=ROUNDDOWN({0},0)</f>
      </c>
      <c r="AB1457" s="5">
        <v>1.8</v>
      </c>
      <c r="AC1457" s="2" t="s">
        <v>233</v>
      </c>
      <c r="AD1457" s="4"/>
      <c r="AE1457" s="4"/>
      <c r="AF1457" s="6"/>
      <c r="AG1457" s="6"/>
      <c r="AH1457" s="7">
        <v>0.5484</v>
      </c>
      <c r="AI1457" s="4"/>
      <c r="AJ1457" s="4">
        <f>=ROUNDDOWN({0},0)</f>
      </c>
      <c r="AK1457" s="5"/>
      <c r="AL1457" s="2" t="s">
        <v>233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233</v>
      </c>
      <c r="AW1457" s="8" t="s">
        <v>233</v>
      </c>
      <c r="AX1457" s="4" t="s">
        <v>233</v>
      </c>
      <c r="AY1457" s="8" t="s">
        <v>233</v>
      </c>
      <c r="AZ1457" s="7" t="s">
        <v>233</v>
      </c>
      <c r="BA1457" s="7" t="s">
        <v>233</v>
      </c>
      <c r="BB1457" s="7"/>
      <c r="BC1457" s="4" t="s">
        <v>233</v>
      </c>
      <c r="BD1457" s="8" t="s">
        <v>233</v>
      </c>
      <c r="BE1457" s="4" t="s">
        <v>233</v>
      </c>
      <c r="BF1457" s="8" t="s">
        <v>233</v>
      </c>
      <c r="BG1457" s="7" t="s">
        <v>233</v>
      </c>
      <c r="BH1457" s="7" t="s">
        <v>233</v>
      </c>
      <c r="BI1457" s="7"/>
      <c r="BJ1457" s="4">
        <v>1</v>
      </c>
      <c r="BK1457" s="8">
        <v>30.03</v>
      </c>
      <c r="BL1457" s="2" t="s">
        <v>4744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7016</v>
      </c>
      <c r="BV1457" s="2" t="s">
        <v>233</v>
      </c>
      <c r="BW1457" s="2" t="s">
        <v>233</v>
      </c>
      <c r="BX1457" s="2" t="s">
        <v>233</v>
      </c>
      <c r="BY1457" s="2" t="s">
        <v>280</v>
      </c>
      <c r="BZ1457" s="2" t="s">
        <v>245</v>
      </c>
      <c r="CA1457" s="2" t="s">
        <v>6707</v>
      </c>
      <c r="CB1457" s="2" t="s">
        <v>2260</v>
      </c>
      <c r="CC1457" s="2" t="s">
        <v>246</v>
      </c>
      <c r="CD1457" s="2" t="s">
        <v>233</v>
      </c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</row>
    <row r="1458">
      <c r="A1458" s="2" t="s">
        <v>7017</v>
      </c>
      <c r="B1458" s="2" t="s">
        <v>1242</v>
      </c>
      <c r="C1458" s="2" t="s">
        <v>701</v>
      </c>
      <c r="D1458" s="2" t="s">
        <v>969</v>
      </c>
      <c r="E1458" s="2" t="s">
        <v>1078</v>
      </c>
      <c r="F1458" s="2" t="s">
        <v>7010</v>
      </c>
      <c r="G1458" s="2" t="s">
        <v>7010</v>
      </c>
      <c r="H1458" s="2" t="s">
        <v>7010</v>
      </c>
      <c r="I1458" s="2" t="s">
        <v>7011</v>
      </c>
      <c r="J1458" s="2" t="s">
        <v>981</v>
      </c>
      <c r="K1458" s="2" t="s">
        <v>525</v>
      </c>
      <c r="L1458" s="3">
        <v>47.61</v>
      </c>
      <c r="M1458" s="3">
        <v>49.99</v>
      </c>
      <c r="N1458" s="3">
        <v>99.99</v>
      </c>
      <c r="O1458" s="2" t="s">
        <v>245</v>
      </c>
      <c r="P1458" s="2" t="s">
        <v>311</v>
      </c>
      <c r="Q1458" s="2" t="s">
        <v>239</v>
      </c>
      <c r="R1458" s="2" t="s">
        <v>233</v>
      </c>
      <c r="S1458" s="2" t="s">
        <v>7018</v>
      </c>
      <c r="T1458" s="2" t="s">
        <v>3570</v>
      </c>
      <c r="U1458" s="2" t="s">
        <v>1482</v>
      </c>
      <c r="V1458" s="2" t="s">
        <v>1085</v>
      </c>
      <c r="W1458" s="2" t="s">
        <v>397</v>
      </c>
      <c r="X1458" s="2" t="s">
        <v>233</v>
      </c>
      <c r="Y1458" s="2" t="s">
        <v>6713</v>
      </c>
      <c r="Z1458" s="4">
        <v>128</v>
      </c>
      <c r="AA1458" s="4">
        <f>=ROUNDDOWN(15.0588235294118,0)</f>
      </c>
      <c r="AB1458" s="5">
        <v>8.5</v>
      </c>
      <c r="AC1458" s="2" t="s">
        <v>233</v>
      </c>
      <c r="AD1458" s="4"/>
      <c r="AE1458" s="4"/>
      <c r="AF1458" s="6"/>
      <c r="AG1458" s="6"/>
      <c r="AH1458" s="7">
        <v>1</v>
      </c>
      <c r="AI1458" s="4"/>
      <c r="AJ1458" s="4">
        <f>=ROUNDDOWN({0},0)</f>
      </c>
      <c r="AK1458" s="5"/>
      <c r="AL1458" s="2" t="s">
        <v>233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 t="s">
        <v>233</v>
      </c>
      <c r="BD1458" s="8" t="s">
        <v>233</v>
      </c>
      <c r="BE1458" s="4" t="s">
        <v>233</v>
      </c>
      <c r="BF1458" s="8" t="s">
        <v>233</v>
      </c>
      <c r="BG1458" s="7" t="s">
        <v>233</v>
      </c>
      <c r="BH1458" s="7" t="s">
        <v>233</v>
      </c>
      <c r="BI1458" s="7"/>
      <c r="BJ1458" s="4">
        <v>19</v>
      </c>
      <c r="BK1458" s="8">
        <v>399</v>
      </c>
      <c r="BL1458" s="2" t="s">
        <v>7019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7020</v>
      </c>
      <c r="BV1458" s="2" t="s">
        <v>233</v>
      </c>
      <c r="BW1458" s="2" t="s">
        <v>233</v>
      </c>
      <c r="BX1458" s="2" t="s">
        <v>233</v>
      </c>
      <c r="BY1458" s="2" t="s">
        <v>280</v>
      </c>
      <c r="BZ1458" s="2" t="s">
        <v>245</v>
      </c>
      <c r="CA1458" s="2" t="s">
        <v>6707</v>
      </c>
      <c r="CB1458" s="2" t="s">
        <v>7021</v>
      </c>
      <c r="CC1458" s="2" t="s">
        <v>246</v>
      </c>
      <c r="CD1458" s="2" t="s">
        <v>233</v>
      </c>
      <c r="CE1458" s="4">
        <v>128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</row>
    <row r="1459">
      <c r="A1459" s="2" t="s">
        <v>7022</v>
      </c>
      <c r="B1459" s="2" t="s">
        <v>1066</v>
      </c>
      <c r="C1459" s="2" t="s">
        <v>530</v>
      </c>
      <c r="D1459" s="2" t="s">
        <v>1090</v>
      </c>
      <c r="E1459" s="2" t="s">
        <v>1091</v>
      </c>
      <c r="F1459" s="2" t="s">
        <v>7023</v>
      </c>
      <c r="G1459" s="2" t="s">
        <v>7024</v>
      </c>
      <c r="H1459" s="2" t="s">
        <v>1051</v>
      </c>
      <c r="I1459" s="2" t="s">
        <v>7025</v>
      </c>
      <c r="J1459" s="2" t="s">
        <v>892</v>
      </c>
      <c r="K1459" s="2" t="s">
        <v>7026</v>
      </c>
      <c r="L1459" s="3">
        <v>208</v>
      </c>
      <c r="M1459" s="3">
        <v>218.4</v>
      </c>
      <c r="N1459" s="3">
        <v>439</v>
      </c>
      <c r="O1459" s="2" t="s">
        <v>237</v>
      </c>
      <c r="P1459" s="2" t="s">
        <v>311</v>
      </c>
      <c r="Q1459" s="2" t="s">
        <v>239</v>
      </c>
      <c r="R1459" s="2" t="s">
        <v>233</v>
      </c>
      <c r="S1459" s="2" t="s">
        <v>233</v>
      </c>
      <c r="T1459" s="2" t="s">
        <v>233</v>
      </c>
      <c r="U1459" s="2" t="s">
        <v>396</v>
      </c>
      <c r="V1459" s="2" t="s">
        <v>893</v>
      </c>
      <c r="W1459" s="2" t="s">
        <v>275</v>
      </c>
      <c r="X1459" s="2" t="s">
        <v>397</v>
      </c>
      <c r="Y1459" s="2" t="s">
        <v>1707</v>
      </c>
      <c r="Z1459" s="4">
        <v>203</v>
      </c>
      <c r="AA1459" s="4">
        <f>=ROUNDDOWN(2030,0)</f>
      </c>
      <c r="AB1459" s="5">
        <v>0.1</v>
      </c>
      <c r="AC1459" s="2" t="s">
        <v>233</v>
      </c>
      <c r="AD1459" s="4"/>
      <c r="AE1459" s="4"/>
      <c r="AF1459" s="6">
        <v>74</v>
      </c>
      <c r="AG1459" s="6"/>
      <c r="AH1459" s="7">
        <v>1</v>
      </c>
      <c r="AI1459" s="4"/>
      <c r="AJ1459" s="4">
        <f>=ROUNDDOWN({0},0)</f>
      </c>
      <c r="AK1459" s="5"/>
      <c r="AL1459" s="2" t="s">
        <v>233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/>
      <c r="BK1459" s="8"/>
      <c r="BL1459" s="2" t="s">
        <v>1023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7027</v>
      </c>
      <c r="BV1459" s="2" t="s">
        <v>233</v>
      </c>
      <c r="BW1459" s="2" t="s">
        <v>233</v>
      </c>
      <c r="BX1459" s="2" t="s">
        <v>233</v>
      </c>
      <c r="BY1459" s="2" t="s">
        <v>280</v>
      </c>
      <c r="BZ1459" s="2" t="s">
        <v>245</v>
      </c>
      <c r="CA1459" s="2" t="s">
        <v>1128</v>
      </c>
      <c r="CB1459" s="2" t="s">
        <v>2256</v>
      </c>
      <c r="CC1459" s="2" t="s">
        <v>246</v>
      </c>
      <c r="CD1459" s="2" t="s">
        <v>233</v>
      </c>
      <c r="CE1459" s="4"/>
      <c r="CF1459" s="4">
        <v>203</v>
      </c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</row>
    <row r="1460">
      <c r="A1460" s="2" t="s">
        <v>7028</v>
      </c>
      <c r="B1460" s="2" t="s">
        <v>1066</v>
      </c>
      <c r="C1460" s="2" t="s">
        <v>530</v>
      </c>
      <c r="D1460" s="2" t="s">
        <v>1713</v>
      </c>
      <c r="E1460" s="2" t="s">
        <v>1714</v>
      </c>
      <c r="F1460" s="2" t="s">
        <v>7029</v>
      </c>
      <c r="G1460" s="2" t="s">
        <v>7030</v>
      </c>
      <c r="H1460" s="2" t="s">
        <v>7031</v>
      </c>
      <c r="I1460" s="2" t="s">
        <v>7032</v>
      </c>
      <c r="J1460" s="2" t="s">
        <v>892</v>
      </c>
      <c r="K1460" s="2" t="s">
        <v>7033</v>
      </c>
      <c r="L1460" s="3">
        <v>165</v>
      </c>
      <c r="M1460" s="3">
        <v>173.25</v>
      </c>
      <c r="N1460" s="3">
        <v>349</v>
      </c>
      <c r="O1460" s="2" t="s">
        <v>245</v>
      </c>
      <c r="P1460" s="2" t="s">
        <v>272</v>
      </c>
      <c r="Q1460" s="2" t="s">
        <v>239</v>
      </c>
      <c r="R1460" s="2" t="s">
        <v>233</v>
      </c>
      <c r="S1460" s="2" t="s">
        <v>233</v>
      </c>
      <c r="T1460" s="2" t="s">
        <v>233</v>
      </c>
      <c r="U1460" s="2" t="s">
        <v>396</v>
      </c>
      <c r="V1460" s="2" t="s">
        <v>241</v>
      </c>
      <c r="W1460" s="2" t="s">
        <v>451</v>
      </c>
      <c r="X1460" s="2" t="s">
        <v>977</v>
      </c>
      <c r="Y1460" s="2" t="s">
        <v>3635</v>
      </c>
      <c r="Z1460" s="4"/>
      <c r="AA1460" s="4">
        <f>=ROUNDDOWN({0},0)</f>
      </c>
      <c r="AB1460" s="5">
        <v>3</v>
      </c>
      <c r="AC1460" s="2" t="s">
        <v>1821</v>
      </c>
      <c r="AD1460" s="4">
        <v>110</v>
      </c>
      <c r="AE1460" s="4">
        <v>110</v>
      </c>
      <c r="AF1460" s="6">
        <v>65</v>
      </c>
      <c r="AG1460" s="6"/>
      <c r="AH1460" s="7">
        <v>0</v>
      </c>
      <c r="AI1460" s="4"/>
      <c r="AJ1460" s="4">
        <f>=ROUNDDOWN({0},0)</f>
      </c>
      <c r="AK1460" s="5"/>
      <c r="AL1460" s="2" t="s">
        <v>233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/>
      <c r="BD1460" s="8"/>
      <c r="BE1460" s="4"/>
      <c r="BF1460" s="8"/>
      <c r="BG1460" s="7"/>
      <c r="BH1460" s="7"/>
      <c r="BI1460" s="7"/>
      <c r="BJ1460" s="4"/>
      <c r="BK1460" s="8"/>
      <c r="BL1460" s="2" t="s">
        <v>233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7034</v>
      </c>
      <c r="BV1460" s="2" t="s">
        <v>233</v>
      </c>
      <c r="BW1460" s="2" t="s">
        <v>233</v>
      </c>
      <c r="BX1460" s="2" t="s">
        <v>233</v>
      </c>
      <c r="BY1460" s="2" t="s">
        <v>280</v>
      </c>
      <c r="BZ1460" s="2" t="s">
        <v>245</v>
      </c>
      <c r="CA1460" s="2" t="s">
        <v>7035</v>
      </c>
      <c r="CB1460" s="2" t="s">
        <v>2865</v>
      </c>
      <c r="CC1460" s="2" t="s">
        <v>246</v>
      </c>
      <c r="CD1460" s="2" t="s">
        <v>233</v>
      </c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>
        <v>110</v>
      </c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</row>
    <row r="1461">
      <c r="A1461" s="2" t="s">
        <v>7036</v>
      </c>
      <c r="B1461" s="2" t="s">
        <v>1066</v>
      </c>
      <c r="C1461" s="2" t="s">
        <v>530</v>
      </c>
      <c r="D1461" s="2" t="s">
        <v>1919</v>
      </c>
      <c r="E1461" s="2" t="s">
        <v>1920</v>
      </c>
      <c r="F1461" s="2" t="s">
        <v>7037</v>
      </c>
      <c r="G1461" s="2" t="s">
        <v>7038</v>
      </c>
      <c r="H1461" s="2" t="s">
        <v>7039</v>
      </c>
      <c r="I1461" s="2" t="s">
        <v>7040</v>
      </c>
      <c r="J1461" s="2" t="s">
        <v>892</v>
      </c>
      <c r="K1461" s="2" t="s">
        <v>1537</v>
      </c>
      <c r="L1461" s="3">
        <v>171</v>
      </c>
      <c r="M1461" s="3">
        <v>179.55</v>
      </c>
      <c r="N1461" s="3">
        <v>359</v>
      </c>
      <c r="O1461" s="2" t="s">
        <v>237</v>
      </c>
      <c r="P1461" s="2" t="s">
        <v>311</v>
      </c>
      <c r="Q1461" s="2" t="s">
        <v>239</v>
      </c>
      <c r="R1461" s="2" t="s">
        <v>233</v>
      </c>
      <c r="S1461" s="2" t="s">
        <v>233</v>
      </c>
      <c r="T1461" s="2" t="s">
        <v>233</v>
      </c>
      <c r="U1461" s="2" t="s">
        <v>396</v>
      </c>
      <c r="V1461" s="2" t="s">
        <v>893</v>
      </c>
      <c r="W1461" s="2" t="s">
        <v>451</v>
      </c>
      <c r="X1461" s="2" t="s">
        <v>233</v>
      </c>
      <c r="Y1461" s="2" t="s">
        <v>1710</v>
      </c>
      <c r="Z1461" s="4">
        <v>233</v>
      </c>
      <c r="AA1461" s="4">
        <f>=ROUNDDOWN(116.5,0)</f>
      </c>
      <c r="AB1461" s="5">
        <v>2</v>
      </c>
      <c r="AC1461" s="2" t="s">
        <v>233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233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/>
      <c r="BD1461" s="8"/>
      <c r="BE1461" s="4"/>
      <c r="BF1461" s="8"/>
      <c r="BG1461" s="7"/>
      <c r="BH1461" s="7"/>
      <c r="BI1461" s="7"/>
      <c r="BJ1461" s="4">
        <v>4</v>
      </c>
      <c r="BK1461" s="8">
        <v>532.13</v>
      </c>
      <c r="BL1461" s="2" t="s">
        <v>662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7041</v>
      </c>
      <c r="BV1461" s="2" t="s">
        <v>233</v>
      </c>
      <c r="BW1461" s="2" t="s">
        <v>233</v>
      </c>
      <c r="BX1461" s="2" t="s">
        <v>233</v>
      </c>
      <c r="BY1461" s="2" t="s">
        <v>280</v>
      </c>
      <c r="BZ1461" s="2" t="s">
        <v>245</v>
      </c>
      <c r="CA1461" s="2" t="s">
        <v>3020</v>
      </c>
      <c r="CB1461" s="2" t="s">
        <v>1665</v>
      </c>
      <c r="CC1461" s="2" t="s">
        <v>246</v>
      </c>
      <c r="CD1461" s="2" t="s">
        <v>233</v>
      </c>
      <c r="CE1461" s="4"/>
      <c r="CF1461" s="4">
        <v>233</v>
      </c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</row>
    <row r="1462">
      <c r="A1462" s="2" t="s">
        <v>7042</v>
      </c>
      <c r="B1462" s="2" t="s">
        <v>1174</v>
      </c>
      <c r="C1462" s="2" t="s">
        <v>530</v>
      </c>
      <c r="D1462" s="2" t="s">
        <v>1175</v>
      </c>
      <c r="E1462" s="2" t="s">
        <v>1206</v>
      </c>
      <c r="F1462" s="2" t="s">
        <v>7043</v>
      </c>
      <c r="G1462" s="2" t="s">
        <v>7044</v>
      </c>
      <c r="H1462" s="2" t="s">
        <v>6866</v>
      </c>
      <c r="I1462" s="2" t="s">
        <v>7045</v>
      </c>
      <c r="J1462" s="2" t="s">
        <v>7046</v>
      </c>
      <c r="K1462" s="2" t="s">
        <v>255</v>
      </c>
      <c r="L1462" s="3">
        <v>22.75</v>
      </c>
      <c r="M1462" s="3">
        <v>23.89</v>
      </c>
      <c r="N1462" s="3">
        <v>47.99</v>
      </c>
      <c r="O1462" s="2" t="s">
        <v>245</v>
      </c>
      <c r="P1462" s="2" t="s">
        <v>311</v>
      </c>
      <c r="Q1462" s="2" t="s">
        <v>239</v>
      </c>
      <c r="R1462" s="2" t="s">
        <v>233</v>
      </c>
      <c r="S1462" s="2" t="s">
        <v>7047</v>
      </c>
      <c r="T1462" s="2" t="s">
        <v>233</v>
      </c>
      <c r="U1462" s="2" t="s">
        <v>491</v>
      </c>
      <c r="V1462" s="2" t="s">
        <v>241</v>
      </c>
      <c r="W1462" s="2" t="s">
        <v>275</v>
      </c>
      <c r="X1462" s="2" t="s">
        <v>233</v>
      </c>
      <c r="Y1462" s="2" t="s">
        <v>7048</v>
      </c>
      <c r="Z1462" s="4">
        <v>159</v>
      </c>
      <c r="AA1462" s="4">
        <f>=ROUNDDOWN(53,0)</f>
      </c>
      <c r="AB1462" s="5">
        <v>3</v>
      </c>
      <c r="AC1462" s="2" t="s">
        <v>233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233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233</v>
      </c>
      <c r="AW1462" s="8" t="s">
        <v>233</v>
      </c>
      <c r="AX1462" s="4" t="s">
        <v>233</v>
      </c>
      <c r="AY1462" s="8" t="s">
        <v>233</v>
      </c>
      <c r="AZ1462" s="7" t="s">
        <v>233</v>
      </c>
      <c r="BA1462" s="7" t="s">
        <v>233</v>
      </c>
      <c r="BB1462" s="7"/>
      <c r="BC1462" s="4" t="s">
        <v>233</v>
      </c>
      <c r="BD1462" s="8" t="s">
        <v>233</v>
      </c>
      <c r="BE1462" s="4" t="s">
        <v>233</v>
      </c>
      <c r="BF1462" s="8" t="s">
        <v>233</v>
      </c>
      <c r="BG1462" s="7" t="s">
        <v>233</v>
      </c>
      <c r="BH1462" s="7" t="s">
        <v>233</v>
      </c>
      <c r="BI1462" s="7"/>
      <c r="BJ1462" s="4">
        <v>6</v>
      </c>
      <c r="BK1462" s="8">
        <v>127.55</v>
      </c>
      <c r="BL1462" s="2" t="s">
        <v>7049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7050</v>
      </c>
      <c r="BV1462" s="2" t="s">
        <v>233</v>
      </c>
      <c r="BW1462" s="2" t="s">
        <v>233</v>
      </c>
      <c r="BX1462" s="2" t="s">
        <v>233</v>
      </c>
      <c r="BY1462" s="2" t="s">
        <v>280</v>
      </c>
      <c r="BZ1462" s="2" t="s">
        <v>245</v>
      </c>
      <c r="CA1462" s="2" t="s">
        <v>452</v>
      </c>
      <c r="CB1462" s="2" t="s">
        <v>2002</v>
      </c>
      <c r="CC1462" s="2" t="s">
        <v>246</v>
      </c>
      <c r="CD1462" s="2" t="s">
        <v>233</v>
      </c>
      <c r="CE1462" s="4">
        <v>159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</row>
    <row r="1463">
      <c r="A1463" s="2" t="s">
        <v>7051</v>
      </c>
      <c r="B1463" s="2" t="s">
        <v>1174</v>
      </c>
      <c r="C1463" s="2" t="s">
        <v>530</v>
      </c>
      <c r="D1463" s="2" t="s">
        <v>1175</v>
      </c>
      <c r="E1463" s="2" t="s">
        <v>3661</v>
      </c>
      <c r="F1463" s="2" t="s">
        <v>7043</v>
      </c>
      <c r="G1463" s="2" t="s">
        <v>7044</v>
      </c>
      <c r="H1463" s="2" t="s">
        <v>6866</v>
      </c>
      <c r="I1463" s="2" t="s">
        <v>7052</v>
      </c>
      <c r="J1463" s="2" t="s">
        <v>3666</v>
      </c>
      <c r="K1463" s="2" t="s">
        <v>255</v>
      </c>
      <c r="L1463" s="3">
        <v>31.05</v>
      </c>
      <c r="M1463" s="3">
        <v>32.6</v>
      </c>
      <c r="N1463" s="3">
        <v>66.99</v>
      </c>
      <c r="O1463" s="2" t="s">
        <v>245</v>
      </c>
      <c r="P1463" s="2" t="s">
        <v>311</v>
      </c>
      <c r="Q1463" s="2" t="s">
        <v>239</v>
      </c>
      <c r="R1463" s="2" t="s">
        <v>233</v>
      </c>
      <c r="S1463" s="2" t="s">
        <v>7047</v>
      </c>
      <c r="T1463" s="2" t="s">
        <v>395</v>
      </c>
      <c r="U1463" s="2" t="s">
        <v>396</v>
      </c>
      <c r="V1463" s="2" t="s">
        <v>241</v>
      </c>
      <c r="W1463" s="2" t="s">
        <v>275</v>
      </c>
      <c r="X1463" s="2" t="s">
        <v>233</v>
      </c>
      <c r="Y1463" s="2" t="s">
        <v>1183</v>
      </c>
      <c r="Z1463" s="4">
        <v>518</v>
      </c>
      <c r="AA1463" s="4">
        <f>=ROUNDDOWN(518,0)</f>
      </c>
      <c r="AB1463" s="5">
        <v>1</v>
      </c>
      <c r="AC1463" s="2" t="s">
        <v>233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233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 t="s">
        <v>233</v>
      </c>
      <c r="AW1463" s="8" t="s">
        <v>233</v>
      </c>
      <c r="AX1463" s="4" t="s">
        <v>233</v>
      </c>
      <c r="AY1463" s="8" t="s">
        <v>233</v>
      </c>
      <c r="AZ1463" s="7" t="s">
        <v>233</v>
      </c>
      <c r="BA1463" s="7" t="s">
        <v>233</v>
      </c>
      <c r="BB1463" s="7"/>
      <c r="BC1463" s="4" t="s">
        <v>233</v>
      </c>
      <c r="BD1463" s="8" t="s">
        <v>233</v>
      </c>
      <c r="BE1463" s="4" t="s">
        <v>233</v>
      </c>
      <c r="BF1463" s="8" t="s">
        <v>233</v>
      </c>
      <c r="BG1463" s="7" t="s">
        <v>233</v>
      </c>
      <c r="BH1463" s="7" t="s">
        <v>233</v>
      </c>
      <c r="BI1463" s="7"/>
      <c r="BJ1463" s="4">
        <v>3</v>
      </c>
      <c r="BK1463" s="8">
        <v>69.11</v>
      </c>
      <c r="BL1463" s="2" t="s">
        <v>7053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7054</v>
      </c>
      <c r="BV1463" s="2" t="s">
        <v>233</v>
      </c>
      <c r="BW1463" s="2" t="s">
        <v>233</v>
      </c>
      <c r="BX1463" s="2" t="s">
        <v>233</v>
      </c>
      <c r="BY1463" s="2" t="s">
        <v>280</v>
      </c>
      <c r="BZ1463" s="2" t="s">
        <v>245</v>
      </c>
      <c r="CA1463" s="2" t="s">
        <v>1186</v>
      </c>
      <c r="CB1463" s="2" t="s">
        <v>3465</v>
      </c>
      <c r="CC1463" s="2" t="s">
        <v>246</v>
      </c>
      <c r="CD1463" s="2" t="s">
        <v>233</v>
      </c>
      <c r="CE1463" s="4">
        <v>518</v>
      </c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</row>
    <row r="1464">
      <c r="A1464" s="2" t="s">
        <v>7055</v>
      </c>
      <c r="B1464" s="2" t="s">
        <v>1174</v>
      </c>
      <c r="C1464" s="2" t="s">
        <v>530</v>
      </c>
      <c r="D1464" s="2" t="s">
        <v>1175</v>
      </c>
      <c r="E1464" s="2" t="s">
        <v>3661</v>
      </c>
      <c r="F1464" s="2" t="s">
        <v>7043</v>
      </c>
      <c r="G1464" s="2" t="s">
        <v>7044</v>
      </c>
      <c r="H1464" s="2" t="s">
        <v>6866</v>
      </c>
      <c r="I1464" s="2" t="s">
        <v>7052</v>
      </c>
      <c r="J1464" s="2" t="s">
        <v>3671</v>
      </c>
      <c r="K1464" s="2" t="s">
        <v>255</v>
      </c>
      <c r="L1464" s="3">
        <v>33.65</v>
      </c>
      <c r="M1464" s="3">
        <v>35.33</v>
      </c>
      <c r="N1464" s="3">
        <v>71.99</v>
      </c>
      <c r="O1464" s="2" t="s">
        <v>245</v>
      </c>
      <c r="P1464" s="2" t="s">
        <v>311</v>
      </c>
      <c r="Q1464" s="2" t="s">
        <v>239</v>
      </c>
      <c r="R1464" s="2" t="s">
        <v>233</v>
      </c>
      <c r="S1464" s="2" t="s">
        <v>7047</v>
      </c>
      <c r="T1464" s="2" t="s">
        <v>395</v>
      </c>
      <c r="U1464" s="2" t="s">
        <v>396</v>
      </c>
      <c r="V1464" s="2" t="s">
        <v>241</v>
      </c>
      <c r="W1464" s="2" t="s">
        <v>275</v>
      </c>
      <c r="X1464" s="2" t="s">
        <v>233</v>
      </c>
      <c r="Y1464" s="2" t="s">
        <v>1183</v>
      </c>
      <c r="Z1464" s="4">
        <v>461</v>
      </c>
      <c r="AA1464" s="4">
        <f>=ROUNDDOWN(92.2,0)</f>
      </c>
      <c r="AB1464" s="5">
        <v>5</v>
      </c>
      <c r="AC1464" s="2" t="s">
        <v>233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233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233</v>
      </c>
      <c r="AW1464" s="8" t="s">
        <v>233</v>
      </c>
      <c r="AX1464" s="4" t="s">
        <v>233</v>
      </c>
      <c r="AY1464" s="8" t="s">
        <v>233</v>
      </c>
      <c r="AZ1464" s="7" t="s">
        <v>233</v>
      </c>
      <c r="BA1464" s="7" t="s">
        <v>233</v>
      </c>
      <c r="BB1464" s="7"/>
      <c r="BC1464" s="4" t="s">
        <v>233</v>
      </c>
      <c r="BD1464" s="8" t="s">
        <v>233</v>
      </c>
      <c r="BE1464" s="4" t="s">
        <v>233</v>
      </c>
      <c r="BF1464" s="8" t="s">
        <v>233</v>
      </c>
      <c r="BG1464" s="7" t="s">
        <v>233</v>
      </c>
      <c r="BH1464" s="7" t="s">
        <v>233</v>
      </c>
      <c r="BI1464" s="7"/>
      <c r="BJ1464" s="4">
        <v>19</v>
      </c>
      <c r="BK1464" s="8">
        <v>356.76</v>
      </c>
      <c r="BL1464" s="2" t="s">
        <v>3668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7056</v>
      </c>
      <c r="BV1464" s="2" t="s">
        <v>233</v>
      </c>
      <c r="BW1464" s="2" t="s">
        <v>233</v>
      </c>
      <c r="BX1464" s="2" t="s">
        <v>233</v>
      </c>
      <c r="BY1464" s="2" t="s">
        <v>280</v>
      </c>
      <c r="BZ1464" s="2" t="s">
        <v>245</v>
      </c>
      <c r="CA1464" s="2" t="s">
        <v>1186</v>
      </c>
      <c r="CB1464" s="2" t="s">
        <v>3465</v>
      </c>
      <c r="CC1464" s="2" t="s">
        <v>246</v>
      </c>
      <c r="CD1464" s="2" t="s">
        <v>233</v>
      </c>
      <c r="CE1464" s="4">
        <v>461</v>
      </c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</row>
    <row r="1465">
      <c r="A1465" s="2" t="s">
        <v>7057</v>
      </c>
      <c r="B1465" s="2" t="s">
        <v>1174</v>
      </c>
      <c r="C1465" s="2" t="s">
        <v>530</v>
      </c>
      <c r="D1465" s="2" t="s">
        <v>1175</v>
      </c>
      <c r="E1465" s="2" t="s">
        <v>3661</v>
      </c>
      <c r="F1465" s="2" t="s">
        <v>7043</v>
      </c>
      <c r="G1465" s="2" t="s">
        <v>7044</v>
      </c>
      <c r="H1465" s="2" t="s">
        <v>6866</v>
      </c>
      <c r="I1465" s="2" t="s">
        <v>7052</v>
      </c>
      <c r="J1465" s="2" t="s">
        <v>5690</v>
      </c>
      <c r="K1465" s="2" t="s">
        <v>255</v>
      </c>
      <c r="L1465" s="3">
        <v>38.5</v>
      </c>
      <c r="M1465" s="3">
        <v>40.43</v>
      </c>
      <c r="N1465" s="3">
        <v>81.99</v>
      </c>
      <c r="O1465" s="2" t="s">
        <v>245</v>
      </c>
      <c r="P1465" s="2" t="s">
        <v>311</v>
      </c>
      <c r="Q1465" s="2" t="s">
        <v>239</v>
      </c>
      <c r="R1465" s="2" t="s">
        <v>233</v>
      </c>
      <c r="S1465" s="2" t="s">
        <v>7047</v>
      </c>
      <c r="T1465" s="2" t="s">
        <v>395</v>
      </c>
      <c r="U1465" s="2" t="s">
        <v>396</v>
      </c>
      <c r="V1465" s="2" t="s">
        <v>241</v>
      </c>
      <c r="W1465" s="2" t="s">
        <v>275</v>
      </c>
      <c r="X1465" s="2" t="s">
        <v>233</v>
      </c>
      <c r="Y1465" s="2" t="s">
        <v>1183</v>
      </c>
      <c r="Z1465" s="4">
        <v>552</v>
      </c>
      <c r="AA1465" s="4">
        <f>=ROUNDDOWN(552,0)</f>
      </c>
      <c r="AB1465" s="5">
        <v>1</v>
      </c>
      <c r="AC1465" s="2" t="s">
        <v>233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233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233</v>
      </c>
      <c r="AW1465" s="8" t="s">
        <v>233</v>
      </c>
      <c r="AX1465" s="4" t="s">
        <v>233</v>
      </c>
      <c r="AY1465" s="8" t="s">
        <v>233</v>
      </c>
      <c r="AZ1465" s="7" t="s">
        <v>233</v>
      </c>
      <c r="BA1465" s="7" t="s">
        <v>233</v>
      </c>
      <c r="BB1465" s="7"/>
      <c r="BC1465" s="4" t="s">
        <v>233</v>
      </c>
      <c r="BD1465" s="8" t="s">
        <v>233</v>
      </c>
      <c r="BE1465" s="4" t="s">
        <v>233</v>
      </c>
      <c r="BF1465" s="8" t="s">
        <v>233</v>
      </c>
      <c r="BG1465" s="7" t="s">
        <v>233</v>
      </c>
      <c r="BH1465" s="7" t="s">
        <v>233</v>
      </c>
      <c r="BI1465" s="7"/>
      <c r="BJ1465" s="4">
        <v>7</v>
      </c>
      <c r="BK1465" s="8">
        <v>141.47</v>
      </c>
      <c r="BL1465" s="2" t="s">
        <v>3668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7058</v>
      </c>
      <c r="BV1465" s="2" t="s">
        <v>233</v>
      </c>
      <c r="BW1465" s="2" t="s">
        <v>233</v>
      </c>
      <c r="BX1465" s="2" t="s">
        <v>233</v>
      </c>
      <c r="BY1465" s="2" t="s">
        <v>280</v>
      </c>
      <c r="BZ1465" s="2" t="s">
        <v>245</v>
      </c>
      <c r="CA1465" s="2" t="s">
        <v>1186</v>
      </c>
      <c r="CB1465" s="2" t="s">
        <v>1962</v>
      </c>
      <c r="CC1465" s="2" t="s">
        <v>246</v>
      </c>
      <c r="CD1465" s="2" t="s">
        <v>233</v>
      </c>
      <c r="CE1465" s="4">
        <v>552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</row>
    <row r="1466">
      <c r="A1466" s="2" t="s">
        <v>7059</v>
      </c>
      <c r="B1466" s="2" t="s">
        <v>1174</v>
      </c>
      <c r="C1466" s="2" t="s">
        <v>530</v>
      </c>
      <c r="D1466" s="2" t="s">
        <v>1175</v>
      </c>
      <c r="E1466" s="2" t="s">
        <v>3661</v>
      </c>
      <c r="F1466" s="2" t="s">
        <v>7043</v>
      </c>
      <c r="G1466" s="2" t="s">
        <v>7044</v>
      </c>
      <c r="H1466" s="2" t="s">
        <v>6866</v>
      </c>
      <c r="I1466" s="2" t="s">
        <v>7052</v>
      </c>
      <c r="J1466" s="2" t="s">
        <v>3700</v>
      </c>
      <c r="K1466" s="2" t="s">
        <v>255</v>
      </c>
      <c r="L1466" s="3">
        <v>39.65</v>
      </c>
      <c r="M1466" s="3">
        <v>41.63</v>
      </c>
      <c r="N1466" s="3">
        <v>83.99</v>
      </c>
      <c r="O1466" s="2" t="s">
        <v>245</v>
      </c>
      <c r="P1466" s="2" t="s">
        <v>311</v>
      </c>
      <c r="Q1466" s="2" t="s">
        <v>239</v>
      </c>
      <c r="R1466" s="2" t="s">
        <v>233</v>
      </c>
      <c r="S1466" s="2" t="s">
        <v>7047</v>
      </c>
      <c r="T1466" s="2" t="s">
        <v>395</v>
      </c>
      <c r="U1466" s="2" t="s">
        <v>396</v>
      </c>
      <c r="V1466" s="2" t="s">
        <v>241</v>
      </c>
      <c r="W1466" s="2" t="s">
        <v>275</v>
      </c>
      <c r="X1466" s="2" t="s">
        <v>233</v>
      </c>
      <c r="Y1466" s="2" t="s">
        <v>1183</v>
      </c>
      <c r="Z1466" s="4">
        <v>408</v>
      </c>
      <c r="AA1466" s="4">
        <f>=ROUNDDOWN(340,0)</f>
      </c>
      <c r="AB1466" s="5">
        <v>1.2</v>
      </c>
      <c r="AC1466" s="2" t="s">
        <v>233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233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233</v>
      </c>
      <c r="AW1466" s="8" t="s">
        <v>233</v>
      </c>
      <c r="AX1466" s="4" t="s">
        <v>233</v>
      </c>
      <c r="AY1466" s="8" t="s">
        <v>233</v>
      </c>
      <c r="AZ1466" s="7" t="s">
        <v>233</v>
      </c>
      <c r="BA1466" s="7" t="s">
        <v>233</v>
      </c>
      <c r="BB1466" s="7"/>
      <c r="BC1466" s="4" t="s">
        <v>233</v>
      </c>
      <c r="BD1466" s="8" t="s">
        <v>233</v>
      </c>
      <c r="BE1466" s="4" t="s">
        <v>233</v>
      </c>
      <c r="BF1466" s="8" t="s">
        <v>233</v>
      </c>
      <c r="BG1466" s="7" t="s">
        <v>233</v>
      </c>
      <c r="BH1466" s="7" t="s">
        <v>233</v>
      </c>
      <c r="BI1466" s="7"/>
      <c r="BJ1466" s="4">
        <v>4</v>
      </c>
      <c r="BK1466" s="8">
        <v>109.09</v>
      </c>
      <c r="BL1466" s="2" t="s">
        <v>7060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7061</v>
      </c>
      <c r="BV1466" s="2" t="s">
        <v>233</v>
      </c>
      <c r="BW1466" s="2" t="s">
        <v>233</v>
      </c>
      <c r="BX1466" s="2" t="s">
        <v>233</v>
      </c>
      <c r="BY1466" s="2" t="s">
        <v>280</v>
      </c>
      <c r="BZ1466" s="2" t="s">
        <v>245</v>
      </c>
      <c r="CA1466" s="2" t="s">
        <v>1186</v>
      </c>
      <c r="CB1466" s="2" t="s">
        <v>1361</v>
      </c>
      <c r="CC1466" s="2" t="s">
        <v>246</v>
      </c>
      <c r="CD1466" s="2" t="s">
        <v>233</v>
      </c>
      <c r="CE1466" s="4">
        <v>408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</row>
    <row r="1467">
      <c r="A1467" s="2" t="s">
        <v>7062</v>
      </c>
      <c r="B1467" s="2" t="s">
        <v>1174</v>
      </c>
      <c r="C1467" s="2" t="s">
        <v>530</v>
      </c>
      <c r="D1467" s="2" t="s">
        <v>1175</v>
      </c>
      <c r="E1467" s="2" t="s">
        <v>1206</v>
      </c>
      <c r="F1467" s="2" t="s">
        <v>7043</v>
      </c>
      <c r="G1467" s="2" t="s">
        <v>7044</v>
      </c>
      <c r="H1467" s="2" t="s">
        <v>6866</v>
      </c>
      <c r="I1467" s="2" t="s">
        <v>7045</v>
      </c>
      <c r="J1467" s="2" t="s">
        <v>7046</v>
      </c>
      <c r="K1467" s="2" t="s">
        <v>297</v>
      </c>
      <c r="L1467" s="3">
        <v>22.75</v>
      </c>
      <c r="M1467" s="3">
        <v>23.89</v>
      </c>
      <c r="N1467" s="3">
        <v>47.99</v>
      </c>
      <c r="O1467" s="2" t="s">
        <v>245</v>
      </c>
      <c r="P1467" s="2" t="s">
        <v>272</v>
      </c>
      <c r="Q1467" s="2" t="s">
        <v>239</v>
      </c>
      <c r="R1467" s="2" t="s">
        <v>233</v>
      </c>
      <c r="S1467" s="2" t="s">
        <v>7063</v>
      </c>
      <c r="T1467" s="2" t="s">
        <v>233</v>
      </c>
      <c r="U1467" s="2" t="s">
        <v>491</v>
      </c>
      <c r="V1467" s="2" t="s">
        <v>241</v>
      </c>
      <c r="W1467" s="2" t="s">
        <v>275</v>
      </c>
      <c r="X1467" s="2" t="s">
        <v>1526</v>
      </c>
      <c r="Y1467" s="2" t="s">
        <v>7048</v>
      </c>
      <c r="Z1467" s="4">
        <v>293</v>
      </c>
      <c r="AA1467" s="4">
        <f>=ROUNDDOWN(20.9285714285714,0)</f>
      </c>
      <c r="AB1467" s="5">
        <v>14</v>
      </c>
      <c r="AC1467" s="2" t="s">
        <v>5084</v>
      </c>
      <c r="AD1467" s="4">
        <v>676</v>
      </c>
      <c r="AE1467" s="4">
        <v>676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233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 t="s">
        <v>233</v>
      </c>
      <c r="BD1467" s="8" t="s">
        <v>233</v>
      </c>
      <c r="BE1467" s="4" t="s">
        <v>233</v>
      </c>
      <c r="BF1467" s="8" t="s">
        <v>233</v>
      </c>
      <c r="BG1467" s="7" t="s">
        <v>233</v>
      </c>
      <c r="BH1467" s="7" t="s">
        <v>233</v>
      </c>
      <c r="BI1467" s="7"/>
      <c r="BJ1467" s="4">
        <v>19</v>
      </c>
      <c r="BK1467" s="8">
        <v>502.84</v>
      </c>
      <c r="BL1467" s="2" t="s">
        <v>7064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7065</v>
      </c>
      <c r="BV1467" s="2" t="s">
        <v>233</v>
      </c>
      <c r="BW1467" s="2" t="s">
        <v>233</v>
      </c>
      <c r="BX1467" s="2" t="s">
        <v>233</v>
      </c>
      <c r="BY1467" s="2" t="s">
        <v>280</v>
      </c>
      <c r="BZ1467" s="2" t="s">
        <v>245</v>
      </c>
      <c r="CA1467" s="2" t="s">
        <v>452</v>
      </c>
      <c r="CB1467" s="2" t="s">
        <v>233</v>
      </c>
      <c r="CC1467" s="2" t="s">
        <v>246</v>
      </c>
      <c r="CD1467" s="2" t="s">
        <v>233</v>
      </c>
      <c r="CE1467" s="4">
        <v>293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>
        <v>676</v>
      </c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</row>
    <row r="1468">
      <c r="A1468" s="2" t="s">
        <v>7066</v>
      </c>
      <c r="B1468" s="2" t="s">
        <v>1242</v>
      </c>
      <c r="C1468" s="2" t="s">
        <v>530</v>
      </c>
      <c r="D1468" s="2" t="s">
        <v>969</v>
      </c>
      <c r="E1468" s="2" t="s">
        <v>1078</v>
      </c>
      <c r="F1468" s="2" t="s">
        <v>7067</v>
      </c>
      <c r="G1468" s="2" t="s">
        <v>7068</v>
      </c>
      <c r="H1468" s="2" t="s">
        <v>7069</v>
      </c>
      <c r="I1468" s="2" t="s">
        <v>7070</v>
      </c>
      <c r="J1468" s="2" t="s">
        <v>348</v>
      </c>
      <c r="K1468" s="2" t="s">
        <v>255</v>
      </c>
      <c r="L1468" s="3">
        <v>42.85</v>
      </c>
      <c r="M1468" s="3">
        <v>44.99</v>
      </c>
      <c r="N1468" s="3">
        <v>89.99</v>
      </c>
      <c r="O1468" s="2" t="s">
        <v>245</v>
      </c>
      <c r="P1468" s="2" t="s">
        <v>238</v>
      </c>
      <c r="Q1468" s="2" t="s">
        <v>239</v>
      </c>
      <c r="R1468" s="2" t="s">
        <v>233</v>
      </c>
      <c r="S1468" s="2" t="s">
        <v>7071</v>
      </c>
      <c r="T1468" s="2" t="s">
        <v>395</v>
      </c>
      <c r="U1468" s="2" t="s">
        <v>1507</v>
      </c>
      <c r="V1468" s="2" t="s">
        <v>359</v>
      </c>
      <c r="W1468" s="2" t="s">
        <v>451</v>
      </c>
      <c r="X1468" s="2" t="s">
        <v>977</v>
      </c>
      <c r="Y1468" s="2" t="s">
        <v>7072</v>
      </c>
      <c r="Z1468" s="4">
        <v>332</v>
      </c>
      <c r="AA1468" s="4">
        <f>=ROUNDDOWN(66.4,0)</f>
      </c>
      <c r="AB1468" s="5">
        <v>5</v>
      </c>
      <c r="AC1468" s="2" t="s">
        <v>233</v>
      </c>
      <c r="AD1468" s="4"/>
      <c r="AE1468" s="4"/>
      <c r="AF1468" s="6">
        <v>64</v>
      </c>
      <c r="AG1468" s="6"/>
      <c r="AH1468" s="7">
        <v>1</v>
      </c>
      <c r="AI1468" s="4"/>
      <c r="AJ1468" s="4">
        <f>=ROUNDDOWN({0},0)</f>
      </c>
      <c r="AK1468" s="5"/>
      <c r="AL1468" s="2" t="s">
        <v>233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233</v>
      </c>
      <c r="BD1468" s="8" t="s">
        <v>233</v>
      </c>
      <c r="BE1468" s="4" t="s">
        <v>233</v>
      </c>
      <c r="BF1468" s="8" t="s">
        <v>233</v>
      </c>
      <c r="BG1468" s="7" t="s">
        <v>233</v>
      </c>
      <c r="BH1468" s="7" t="s">
        <v>233</v>
      </c>
      <c r="BI1468" s="7"/>
      <c r="BJ1468" s="4">
        <v>4</v>
      </c>
      <c r="BK1468" s="8">
        <v>188.06</v>
      </c>
      <c r="BL1468" s="2" t="s">
        <v>7073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7074</v>
      </c>
      <c r="BV1468" s="2" t="s">
        <v>233</v>
      </c>
      <c r="BW1468" s="2" t="s">
        <v>233</v>
      </c>
      <c r="BX1468" s="2" t="s">
        <v>243</v>
      </c>
      <c r="BY1468" s="2" t="s">
        <v>280</v>
      </c>
      <c r="BZ1468" s="2" t="s">
        <v>245</v>
      </c>
      <c r="CA1468" s="2" t="s">
        <v>7075</v>
      </c>
      <c r="CB1468" s="2" t="s">
        <v>5102</v>
      </c>
      <c r="CC1468" s="2" t="s">
        <v>246</v>
      </c>
      <c r="CD1468" s="2" t="s">
        <v>233</v>
      </c>
      <c r="CE1468" s="4">
        <v>332</v>
      </c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</row>
    <row r="1469">
      <c r="A1469" s="2" t="s">
        <v>7076</v>
      </c>
      <c r="B1469" s="2" t="s">
        <v>1242</v>
      </c>
      <c r="C1469" s="2" t="s">
        <v>530</v>
      </c>
      <c r="D1469" s="2" t="s">
        <v>969</v>
      </c>
      <c r="E1469" s="2" t="s">
        <v>1078</v>
      </c>
      <c r="F1469" s="2" t="s">
        <v>7067</v>
      </c>
      <c r="G1469" s="2" t="s">
        <v>7068</v>
      </c>
      <c r="H1469" s="2" t="s">
        <v>7069</v>
      </c>
      <c r="I1469" s="2" t="s">
        <v>7070</v>
      </c>
      <c r="J1469" s="2" t="s">
        <v>546</v>
      </c>
      <c r="K1469" s="2" t="s">
        <v>2197</v>
      </c>
      <c r="L1469" s="3">
        <v>47.61</v>
      </c>
      <c r="M1469" s="3">
        <v>49.99</v>
      </c>
      <c r="N1469" s="3">
        <v>99.99</v>
      </c>
      <c r="O1469" s="2" t="s">
        <v>245</v>
      </c>
      <c r="P1469" s="2" t="s">
        <v>238</v>
      </c>
      <c r="Q1469" s="2" t="s">
        <v>239</v>
      </c>
      <c r="R1469" s="2" t="s">
        <v>233</v>
      </c>
      <c r="S1469" s="2" t="s">
        <v>7077</v>
      </c>
      <c r="T1469" s="2" t="s">
        <v>395</v>
      </c>
      <c r="U1469" s="2" t="s">
        <v>1507</v>
      </c>
      <c r="V1469" s="2" t="s">
        <v>359</v>
      </c>
      <c r="W1469" s="2" t="s">
        <v>451</v>
      </c>
      <c r="X1469" s="2" t="s">
        <v>977</v>
      </c>
      <c r="Y1469" s="2" t="s">
        <v>7078</v>
      </c>
      <c r="Z1469" s="4">
        <v>176</v>
      </c>
      <c r="AA1469" s="4">
        <f>=ROUNDDOWN(29.3333333333333,0)</f>
      </c>
      <c r="AB1469" s="5">
        <v>6</v>
      </c>
      <c r="AC1469" s="2" t="s">
        <v>233</v>
      </c>
      <c r="AD1469" s="4"/>
      <c r="AE1469" s="4"/>
      <c r="AF1469" s="6">
        <v>64</v>
      </c>
      <c r="AG1469" s="6"/>
      <c r="AH1469" s="7">
        <v>1</v>
      </c>
      <c r="AI1469" s="4"/>
      <c r="AJ1469" s="4">
        <f>=ROUNDDOWN({0},0)</f>
      </c>
      <c r="AK1469" s="5"/>
      <c r="AL1469" s="2" t="s">
        <v>233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 t="s">
        <v>233</v>
      </c>
      <c r="BD1469" s="8" t="s">
        <v>233</v>
      </c>
      <c r="BE1469" s="4" t="s">
        <v>233</v>
      </c>
      <c r="BF1469" s="8" t="s">
        <v>233</v>
      </c>
      <c r="BG1469" s="7" t="s">
        <v>233</v>
      </c>
      <c r="BH1469" s="7" t="s">
        <v>233</v>
      </c>
      <c r="BI1469" s="7"/>
      <c r="BJ1469" s="4">
        <v>2</v>
      </c>
      <c r="BK1469" s="8">
        <v>93.98</v>
      </c>
      <c r="BL1469" s="2" t="s">
        <v>5456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7079</v>
      </c>
      <c r="BV1469" s="2" t="s">
        <v>233</v>
      </c>
      <c r="BW1469" s="2" t="s">
        <v>233</v>
      </c>
      <c r="BX1469" s="2" t="s">
        <v>243</v>
      </c>
      <c r="BY1469" s="2" t="s">
        <v>280</v>
      </c>
      <c r="BZ1469" s="2" t="s">
        <v>245</v>
      </c>
      <c r="CA1469" s="2" t="s">
        <v>2959</v>
      </c>
      <c r="CB1469" s="2" t="s">
        <v>7080</v>
      </c>
      <c r="CC1469" s="2" t="s">
        <v>246</v>
      </c>
      <c r="CD1469" s="2" t="s">
        <v>233</v>
      </c>
      <c r="CE1469" s="4">
        <v>176</v>
      </c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</row>
    <row r="1470">
      <c r="A1470" s="2" t="s">
        <v>7081</v>
      </c>
      <c r="B1470" s="2" t="s">
        <v>928</v>
      </c>
      <c r="C1470" s="2" t="s">
        <v>947</v>
      </c>
      <c r="D1470" s="2" t="s">
        <v>929</v>
      </c>
      <c r="E1470" s="2" t="s">
        <v>939</v>
      </c>
      <c r="F1470" s="2" t="s">
        <v>7082</v>
      </c>
      <c r="G1470" s="2" t="s">
        <v>7082</v>
      </c>
      <c r="H1470" s="2" t="s">
        <v>7082</v>
      </c>
      <c r="I1470" s="2" t="s">
        <v>7083</v>
      </c>
      <c r="J1470" s="2" t="s">
        <v>892</v>
      </c>
      <c r="K1470" s="2" t="s">
        <v>449</v>
      </c>
      <c r="L1470" s="3">
        <v>41.91</v>
      </c>
      <c r="M1470" s="3">
        <v>44.01</v>
      </c>
      <c r="N1470" s="3">
        <v>90.94</v>
      </c>
      <c r="O1470" s="2" t="s">
        <v>245</v>
      </c>
      <c r="P1470" s="2" t="s">
        <v>272</v>
      </c>
      <c r="Q1470" s="2" t="s">
        <v>239</v>
      </c>
      <c r="R1470" s="2" t="s">
        <v>233</v>
      </c>
      <c r="S1470" s="2" t="s">
        <v>233</v>
      </c>
      <c r="T1470" s="2" t="s">
        <v>233</v>
      </c>
      <c r="U1470" s="2" t="s">
        <v>475</v>
      </c>
      <c r="V1470" s="2" t="s">
        <v>379</v>
      </c>
      <c r="W1470" s="2" t="s">
        <v>451</v>
      </c>
      <c r="X1470" s="2" t="s">
        <v>953</v>
      </c>
      <c r="Y1470" s="2" t="s">
        <v>7084</v>
      </c>
      <c r="Z1470" s="4">
        <v>92</v>
      </c>
      <c r="AA1470" s="4">
        <f>=ROUNDDOWN(14.1538461538462,0)</f>
      </c>
      <c r="AB1470" s="5">
        <v>6.5</v>
      </c>
      <c r="AC1470" s="2" t="s">
        <v>233</v>
      </c>
      <c r="AD1470" s="4"/>
      <c r="AE1470" s="4"/>
      <c r="AF1470" s="6">
        <v>63</v>
      </c>
      <c r="AG1470" s="6"/>
      <c r="AH1470" s="7">
        <v>1</v>
      </c>
      <c r="AI1470" s="4"/>
      <c r="AJ1470" s="4">
        <f>=ROUNDDOWN({0},0)</f>
      </c>
      <c r="AK1470" s="5"/>
      <c r="AL1470" s="2" t="s">
        <v>233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/>
      <c r="BD1470" s="8"/>
      <c r="BE1470" s="4"/>
      <c r="BF1470" s="8"/>
      <c r="BG1470" s="7"/>
      <c r="BH1470" s="7"/>
      <c r="BI1470" s="7"/>
      <c r="BJ1470" s="4">
        <v>21</v>
      </c>
      <c r="BK1470" s="8">
        <v>1004.21</v>
      </c>
      <c r="BL1470" s="2" t="s">
        <v>7085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7086</v>
      </c>
      <c r="BV1470" s="2" t="s">
        <v>233</v>
      </c>
      <c r="BW1470" s="2" t="s">
        <v>233</v>
      </c>
      <c r="BX1470" s="2" t="s">
        <v>233</v>
      </c>
      <c r="BY1470" s="2" t="s">
        <v>280</v>
      </c>
      <c r="BZ1470" s="2" t="s">
        <v>245</v>
      </c>
      <c r="CA1470" s="2" t="s">
        <v>5609</v>
      </c>
      <c r="CB1470" s="2" t="s">
        <v>4759</v>
      </c>
      <c r="CC1470" s="2" t="s">
        <v>246</v>
      </c>
      <c r="CD1470" s="2" t="s">
        <v>233</v>
      </c>
      <c r="CE1470" s="4"/>
      <c r="CF1470" s="4">
        <v>92</v>
      </c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</row>
    <row r="1471">
      <c r="A1471" s="2" t="s">
        <v>7087</v>
      </c>
      <c r="B1471" s="2" t="s">
        <v>886</v>
      </c>
      <c r="C1471" s="2" t="s">
        <v>901</v>
      </c>
      <c r="D1471" s="2" t="s">
        <v>1326</v>
      </c>
      <c r="E1471" s="2" t="s">
        <v>1327</v>
      </c>
      <c r="F1471" s="2" t="s">
        <v>7088</v>
      </c>
      <c r="G1471" s="2" t="s">
        <v>7088</v>
      </c>
      <c r="H1471" s="2" t="s">
        <v>7088</v>
      </c>
      <c r="I1471" s="2" t="s">
        <v>7089</v>
      </c>
      <c r="J1471" s="2" t="s">
        <v>892</v>
      </c>
      <c r="K1471" s="2" t="s">
        <v>7090</v>
      </c>
      <c r="L1471" s="3">
        <v>76</v>
      </c>
      <c r="M1471" s="3">
        <v>79.8</v>
      </c>
      <c r="N1471" s="3">
        <v>159.99</v>
      </c>
      <c r="O1471" s="2" t="s">
        <v>245</v>
      </c>
      <c r="P1471" s="2" t="s">
        <v>238</v>
      </c>
      <c r="Q1471" s="2" t="s">
        <v>239</v>
      </c>
      <c r="R1471" s="2" t="s">
        <v>233</v>
      </c>
      <c r="S1471" s="2" t="s">
        <v>233</v>
      </c>
      <c r="T1471" s="2" t="s">
        <v>233</v>
      </c>
      <c r="U1471" s="2" t="s">
        <v>396</v>
      </c>
      <c r="V1471" s="2" t="s">
        <v>893</v>
      </c>
      <c r="W1471" s="2" t="s">
        <v>275</v>
      </c>
      <c r="X1471" s="2" t="s">
        <v>397</v>
      </c>
      <c r="Y1471" s="2" t="s">
        <v>233</v>
      </c>
      <c r="Z1471" s="4"/>
      <c r="AA1471" s="4">
        <f>=ROUNDDOWN({0},0)</f>
      </c>
      <c r="AB1471" s="5"/>
      <c r="AC1471" s="2" t="s">
        <v>1701</v>
      </c>
      <c r="AD1471" s="4">
        <v>100</v>
      </c>
      <c r="AE1471" s="4">
        <v>100</v>
      </c>
      <c r="AF1471" s="6"/>
      <c r="AG1471" s="6"/>
      <c r="AH1471" s="7">
        <v>0</v>
      </c>
      <c r="AI1471" s="4"/>
      <c r="AJ1471" s="4">
        <f>=ROUNDDOWN({0},0)</f>
      </c>
      <c r="AK1471" s="5"/>
      <c r="AL1471" s="2" t="s">
        <v>233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233</v>
      </c>
      <c r="AW1471" s="8" t="s">
        <v>233</v>
      </c>
      <c r="AX1471" s="4" t="s">
        <v>233</v>
      </c>
      <c r="AY1471" s="8" t="s">
        <v>233</v>
      </c>
      <c r="AZ1471" s="7" t="s">
        <v>233</v>
      </c>
      <c r="BA1471" s="7" t="s">
        <v>233</v>
      </c>
      <c r="BB1471" s="7" t="s">
        <v>233</v>
      </c>
      <c r="BC1471" s="4" t="s">
        <v>233</v>
      </c>
      <c r="BD1471" s="8" t="s">
        <v>233</v>
      </c>
      <c r="BE1471" s="4" t="s">
        <v>233</v>
      </c>
      <c r="BF1471" s="8" t="s">
        <v>233</v>
      </c>
      <c r="BG1471" s="7" t="s">
        <v>233</v>
      </c>
      <c r="BH1471" s="7" t="s">
        <v>233</v>
      </c>
      <c r="BI1471" s="7"/>
      <c r="BJ1471" s="4"/>
      <c r="BK1471" s="8"/>
      <c r="BL1471" s="2" t="s">
        <v>233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243</v>
      </c>
      <c r="BV1471" s="2" t="s">
        <v>233</v>
      </c>
      <c r="BW1471" s="2" t="s">
        <v>233</v>
      </c>
      <c r="BX1471" s="2" t="s">
        <v>243</v>
      </c>
      <c r="BY1471" s="2" t="s">
        <v>244</v>
      </c>
      <c r="BZ1471" s="2" t="s">
        <v>245</v>
      </c>
      <c r="CA1471" s="2" t="s">
        <v>233</v>
      </c>
      <c r="CB1471" s="2" t="s">
        <v>233</v>
      </c>
      <c r="CC1471" s="2" t="s">
        <v>246</v>
      </c>
      <c r="CD1471" s="2" t="s">
        <v>233</v>
      </c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>
        <v>100</v>
      </c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</row>
    <row r="1472">
      <c r="A1472" s="2" t="s">
        <v>7091</v>
      </c>
      <c r="B1472" s="2" t="s">
        <v>886</v>
      </c>
      <c r="C1472" s="2" t="s">
        <v>901</v>
      </c>
      <c r="D1472" s="2" t="s">
        <v>1167</v>
      </c>
      <c r="E1472" s="2" t="s">
        <v>1168</v>
      </c>
      <c r="F1472" s="2" t="s">
        <v>7088</v>
      </c>
      <c r="G1472" s="2" t="s">
        <v>7088</v>
      </c>
      <c r="H1472" s="2" t="s">
        <v>7088</v>
      </c>
      <c r="I1472" s="2" t="s">
        <v>7092</v>
      </c>
      <c r="J1472" s="2" t="s">
        <v>892</v>
      </c>
      <c r="K1472" s="2" t="s">
        <v>7090</v>
      </c>
      <c r="L1472" s="3">
        <v>55</v>
      </c>
      <c r="M1472" s="3">
        <v>57.75</v>
      </c>
      <c r="N1472" s="3">
        <v>114.99</v>
      </c>
      <c r="O1472" s="2" t="s">
        <v>245</v>
      </c>
      <c r="P1472" s="2" t="s">
        <v>238</v>
      </c>
      <c r="Q1472" s="2" t="s">
        <v>239</v>
      </c>
      <c r="R1472" s="2" t="s">
        <v>233</v>
      </c>
      <c r="S1472" s="2" t="s">
        <v>233</v>
      </c>
      <c r="T1472" s="2" t="s">
        <v>233</v>
      </c>
      <c r="U1472" s="2" t="s">
        <v>396</v>
      </c>
      <c r="V1472" s="2" t="s">
        <v>893</v>
      </c>
      <c r="W1472" s="2" t="s">
        <v>275</v>
      </c>
      <c r="X1472" s="2" t="s">
        <v>397</v>
      </c>
      <c r="Y1472" s="2" t="s">
        <v>4860</v>
      </c>
      <c r="Z1472" s="4">
        <v>98</v>
      </c>
      <c r="AA1472" s="4">
        <f>=ROUNDDOWN(490,0)</f>
      </c>
      <c r="AB1472" s="5">
        <v>0.2</v>
      </c>
      <c r="AC1472" s="2" t="s">
        <v>233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233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233</v>
      </c>
      <c r="AW1472" s="8" t="s">
        <v>233</v>
      </c>
      <c r="AX1472" s="4" t="s">
        <v>233</v>
      </c>
      <c r="AY1472" s="8" t="s">
        <v>233</v>
      </c>
      <c r="AZ1472" s="7" t="s">
        <v>233</v>
      </c>
      <c r="BA1472" s="7" t="s">
        <v>233</v>
      </c>
      <c r="BB1472" s="7" t="s">
        <v>233</v>
      </c>
      <c r="BC1472" s="4" t="s">
        <v>233</v>
      </c>
      <c r="BD1472" s="8" t="s">
        <v>233</v>
      </c>
      <c r="BE1472" s="4" t="s">
        <v>233</v>
      </c>
      <c r="BF1472" s="8" t="s">
        <v>233</v>
      </c>
      <c r="BG1472" s="7" t="s">
        <v>233</v>
      </c>
      <c r="BH1472" s="7" t="s">
        <v>233</v>
      </c>
      <c r="BI1472" s="7"/>
      <c r="BJ1472" s="4">
        <v>2</v>
      </c>
      <c r="BK1472" s="8">
        <v>115.5</v>
      </c>
      <c r="BL1472" s="2" t="s">
        <v>744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7093</v>
      </c>
      <c r="BV1472" s="2" t="s">
        <v>233</v>
      </c>
      <c r="BW1472" s="2" t="s">
        <v>233</v>
      </c>
      <c r="BX1472" s="2" t="s">
        <v>243</v>
      </c>
      <c r="BY1472" s="2" t="s">
        <v>280</v>
      </c>
      <c r="BZ1472" s="2" t="s">
        <v>245</v>
      </c>
      <c r="CA1472" s="2" t="s">
        <v>3027</v>
      </c>
      <c r="CB1472" s="2" t="s">
        <v>233</v>
      </c>
      <c r="CC1472" s="2" t="s">
        <v>246</v>
      </c>
      <c r="CD1472" s="2" t="s">
        <v>233</v>
      </c>
      <c r="CE1472" s="4"/>
      <c r="CF1472" s="4">
        <v>98</v>
      </c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</row>
    <row r="1473">
      <c r="A1473" s="2" t="s">
        <v>7094</v>
      </c>
      <c r="B1473" s="2" t="s">
        <v>228</v>
      </c>
      <c r="C1473" s="2" t="s">
        <v>530</v>
      </c>
      <c r="D1473" s="2" t="s">
        <v>969</v>
      </c>
      <c r="E1473" s="2" t="s">
        <v>970</v>
      </c>
      <c r="F1473" s="2" t="s">
        <v>7095</v>
      </c>
      <c r="G1473" s="2" t="s">
        <v>7096</v>
      </c>
      <c r="H1473" s="2" t="s">
        <v>7096</v>
      </c>
      <c r="I1473" s="2" t="s">
        <v>7097</v>
      </c>
      <c r="J1473" s="2" t="s">
        <v>348</v>
      </c>
      <c r="K1473" s="2" t="s">
        <v>7098</v>
      </c>
      <c r="L1473" s="3">
        <v>44.65</v>
      </c>
      <c r="M1473" s="3">
        <v>46.88</v>
      </c>
      <c r="N1473" s="3">
        <v>94.99</v>
      </c>
      <c r="O1473" s="2" t="s">
        <v>245</v>
      </c>
      <c r="P1473" s="2" t="s">
        <v>311</v>
      </c>
      <c r="Q1473" s="2" t="s">
        <v>239</v>
      </c>
      <c r="R1473" s="2" t="s">
        <v>233</v>
      </c>
      <c r="S1473" s="2" t="s">
        <v>7099</v>
      </c>
      <c r="T1473" s="2" t="s">
        <v>976</v>
      </c>
      <c r="U1473" s="2" t="s">
        <v>475</v>
      </c>
      <c r="V1473" s="2" t="s">
        <v>921</v>
      </c>
      <c r="W1473" s="2" t="s">
        <v>705</v>
      </c>
      <c r="X1473" s="2" t="s">
        <v>397</v>
      </c>
      <c r="Y1473" s="2" t="s">
        <v>4303</v>
      </c>
      <c r="Z1473" s="4">
        <v>112</v>
      </c>
      <c r="AA1473" s="4">
        <f>=ROUNDDOWN(22.4,0)</f>
      </c>
      <c r="AB1473" s="5">
        <v>5</v>
      </c>
      <c r="AC1473" s="2" t="s">
        <v>233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233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/>
      <c r="BD1473" s="8"/>
      <c r="BE1473" s="4"/>
      <c r="BF1473" s="8"/>
      <c r="BG1473" s="7"/>
      <c r="BH1473" s="7"/>
      <c r="BI1473" s="7"/>
      <c r="BJ1473" s="4">
        <v>4</v>
      </c>
      <c r="BK1473" s="8">
        <v>195.88</v>
      </c>
      <c r="BL1473" s="2" t="s">
        <v>7100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7101</v>
      </c>
      <c r="BV1473" s="2" t="s">
        <v>233</v>
      </c>
      <c r="BW1473" s="2" t="s">
        <v>233</v>
      </c>
      <c r="BX1473" s="2" t="s">
        <v>233</v>
      </c>
      <c r="BY1473" s="2" t="s">
        <v>280</v>
      </c>
      <c r="BZ1473" s="2" t="s">
        <v>245</v>
      </c>
      <c r="CA1473" s="2" t="s">
        <v>4303</v>
      </c>
      <c r="CB1473" s="2" t="s">
        <v>5302</v>
      </c>
      <c r="CC1473" s="2" t="s">
        <v>246</v>
      </c>
      <c r="CD1473" s="2" t="s">
        <v>233</v>
      </c>
      <c r="CE1473" s="4">
        <v>112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</row>
    <row r="1474">
      <c r="A1474" s="2" t="s">
        <v>7102</v>
      </c>
      <c r="B1474" s="2" t="s">
        <v>1066</v>
      </c>
      <c r="C1474" s="2" t="s">
        <v>901</v>
      </c>
      <c r="D1474" s="2" t="s">
        <v>2333</v>
      </c>
      <c r="E1474" s="2" t="s">
        <v>2334</v>
      </c>
      <c r="F1474" s="2" t="s">
        <v>7103</v>
      </c>
      <c r="G1474" s="2" t="s">
        <v>233</v>
      </c>
      <c r="H1474" s="2" t="s">
        <v>233</v>
      </c>
      <c r="I1474" s="2" t="s">
        <v>7104</v>
      </c>
      <c r="J1474" s="2" t="s">
        <v>892</v>
      </c>
      <c r="K1474" s="2" t="s">
        <v>7105</v>
      </c>
      <c r="L1474" s="3">
        <v>390</v>
      </c>
      <c r="M1474" s="3">
        <v>409.5</v>
      </c>
      <c r="N1474" s="3">
        <v>829</v>
      </c>
      <c r="O1474" s="2" t="s">
        <v>245</v>
      </c>
      <c r="P1474" s="2" t="s">
        <v>311</v>
      </c>
      <c r="Q1474" s="2" t="s">
        <v>239</v>
      </c>
      <c r="R1474" s="2" t="s">
        <v>233</v>
      </c>
      <c r="S1474" s="2" t="s">
        <v>7106</v>
      </c>
      <c r="T1474" s="2" t="s">
        <v>233</v>
      </c>
      <c r="U1474" s="2" t="s">
        <v>233</v>
      </c>
      <c r="V1474" s="2" t="s">
        <v>241</v>
      </c>
      <c r="W1474" s="2" t="s">
        <v>2652</v>
      </c>
      <c r="X1474" s="2" t="s">
        <v>233</v>
      </c>
      <c r="Y1474" s="2" t="s">
        <v>276</v>
      </c>
      <c r="Z1474" s="4">
        <v>63</v>
      </c>
      <c r="AA1474" s="4">
        <f>=ROUNDDOWN(21,0)</f>
      </c>
      <c r="AB1474" s="5">
        <v>3</v>
      </c>
      <c r="AC1474" s="2" t="s">
        <v>233</v>
      </c>
      <c r="AD1474" s="4"/>
      <c r="AE1474" s="4"/>
      <c r="AF1474" s="6">
        <v>74</v>
      </c>
      <c r="AG1474" s="6">
        <v>60</v>
      </c>
      <c r="AH1474" s="7">
        <v>1</v>
      </c>
      <c r="AI1474" s="4"/>
      <c r="AJ1474" s="4">
        <f>=ROUNDDOWN({0},0)</f>
      </c>
      <c r="AK1474" s="5"/>
      <c r="AL1474" s="2" t="s">
        <v>233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233</v>
      </c>
      <c r="AW1474" s="8" t="s">
        <v>233</v>
      </c>
      <c r="AX1474" s="4" t="s">
        <v>233</v>
      </c>
      <c r="AY1474" s="8" t="s">
        <v>233</v>
      </c>
      <c r="AZ1474" s="7" t="s">
        <v>233</v>
      </c>
      <c r="BA1474" s="7" t="s">
        <v>233</v>
      </c>
      <c r="BB1474" s="7" t="s">
        <v>233</v>
      </c>
      <c r="BC1474" s="4" t="s">
        <v>233</v>
      </c>
      <c r="BD1474" s="8" t="s">
        <v>233</v>
      </c>
      <c r="BE1474" s="4" t="s">
        <v>233</v>
      </c>
      <c r="BF1474" s="8" t="s">
        <v>233</v>
      </c>
      <c r="BG1474" s="7" t="s">
        <v>233</v>
      </c>
      <c r="BH1474" s="7" t="s">
        <v>233</v>
      </c>
      <c r="BI1474" s="7"/>
      <c r="BJ1474" s="4">
        <v>8</v>
      </c>
      <c r="BK1474" s="8">
        <v>2790.89</v>
      </c>
      <c r="BL1474" s="2" t="s">
        <v>1023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7107</v>
      </c>
      <c r="BV1474" s="2" t="s">
        <v>233</v>
      </c>
      <c r="BW1474" s="2" t="s">
        <v>233</v>
      </c>
      <c r="BX1474" s="2" t="s">
        <v>798</v>
      </c>
      <c r="BY1474" s="2" t="s">
        <v>280</v>
      </c>
      <c r="BZ1474" s="2" t="s">
        <v>245</v>
      </c>
      <c r="CA1474" s="2" t="s">
        <v>326</v>
      </c>
      <c r="CB1474" s="2" t="s">
        <v>302</v>
      </c>
      <c r="CC1474" s="2" t="s">
        <v>246</v>
      </c>
      <c r="CD1474" s="2" t="s">
        <v>233</v>
      </c>
      <c r="CE1474" s="4"/>
      <c r="CF1474" s="4">
        <v>50</v>
      </c>
      <c r="CG1474" s="4"/>
      <c r="CH1474" s="4"/>
      <c r="CI1474" s="4">
        <v>13</v>
      </c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</row>
    <row r="1475">
      <c r="A1475" s="2" t="s">
        <v>7108</v>
      </c>
      <c r="B1475" s="2" t="s">
        <v>1066</v>
      </c>
      <c r="C1475" s="2" t="s">
        <v>901</v>
      </c>
      <c r="D1475" s="2" t="s">
        <v>2333</v>
      </c>
      <c r="E1475" s="2" t="s">
        <v>2334</v>
      </c>
      <c r="F1475" s="2" t="s">
        <v>7103</v>
      </c>
      <c r="G1475" s="2" t="s">
        <v>233</v>
      </c>
      <c r="H1475" s="2" t="s">
        <v>233</v>
      </c>
      <c r="I1475" s="2" t="s">
        <v>7109</v>
      </c>
      <c r="J1475" s="2" t="s">
        <v>892</v>
      </c>
      <c r="K1475" s="2" t="s">
        <v>7105</v>
      </c>
      <c r="L1475" s="3">
        <v>451.25</v>
      </c>
      <c r="M1475" s="3">
        <v>473.81</v>
      </c>
      <c r="N1475" s="3">
        <v>949</v>
      </c>
      <c r="O1475" s="2" t="s">
        <v>245</v>
      </c>
      <c r="P1475" s="2" t="s">
        <v>393</v>
      </c>
      <c r="Q1475" s="2" t="s">
        <v>239</v>
      </c>
      <c r="R1475" s="2" t="s">
        <v>233</v>
      </c>
      <c r="S1475" s="2" t="s">
        <v>7106</v>
      </c>
      <c r="T1475" s="2" t="s">
        <v>233</v>
      </c>
      <c r="U1475" s="2" t="s">
        <v>233</v>
      </c>
      <c r="V1475" s="2" t="s">
        <v>241</v>
      </c>
      <c r="W1475" s="2" t="s">
        <v>2652</v>
      </c>
      <c r="X1475" s="2" t="s">
        <v>233</v>
      </c>
      <c r="Y1475" s="2" t="s">
        <v>276</v>
      </c>
      <c r="Z1475" s="4">
        <v>61</v>
      </c>
      <c r="AA1475" s="4">
        <f>=ROUNDDOWN(30.5,0)</f>
      </c>
      <c r="AB1475" s="5">
        <v>2</v>
      </c>
      <c r="AC1475" s="2" t="s">
        <v>7080</v>
      </c>
      <c r="AD1475" s="4">
        <v>59</v>
      </c>
      <c r="AE1475" s="4">
        <v>59</v>
      </c>
      <c r="AF1475" s="6">
        <v>74</v>
      </c>
      <c r="AG1475" s="6"/>
      <c r="AH1475" s="7">
        <v>1</v>
      </c>
      <c r="AI1475" s="4"/>
      <c r="AJ1475" s="4">
        <f>=ROUNDDOWN({0},0)</f>
      </c>
      <c r="AK1475" s="5"/>
      <c r="AL1475" s="2" t="s">
        <v>233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233</v>
      </c>
      <c r="AW1475" s="8" t="s">
        <v>233</v>
      </c>
      <c r="AX1475" s="4" t="s">
        <v>233</v>
      </c>
      <c r="AY1475" s="8" t="s">
        <v>233</v>
      </c>
      <c r="AZ1475" s="7" t="s">
        <v>233</v>
      </c>
      <c r="BA1475" s="7" t="s">
        <v>233</v>
      </c>
      <c r="BB1475" s="7" t="s">
        <v>233</v>
      </c>
      <c r="BC1475" s="4" t="s">
        <v>233</v>
      </c>
      <c r="BD1475" s="8" t="s">
        <v>233</v>
      </c>
      <c r="BE1475" s="4" t="s">
        <v>233</v>
      </c>
      <c r="BF1475" s="8" t="s">
        <v>233</v>
      </c>
      <c r="BG1475" s="7" t="s">
        <v>233</v>
      </c>
      <c r="BH1475" s="7" t="s">
        <v>233</v>
      </c>
      <c r="BI1475" s="7"/>
      <c r="BJ1475" s="4">
        <v>9</v>
      </c>
      <c r="BK1475" s="8">
        <v>3852.46</v>
      </c>
      <c r="BL1475" s="2" t="s">
        <v>7110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7111</v>
      </c>
      <c r="BV1475" s="2" t="s">
        <v>233</v>
      </c>
      <c r="BW1475" s="2" t="s">
        <v>233</v>
      </c>
      <c r="BX1475" s="2" t="s">
        <v>798</v>
      </c>
      <c r="BY1475" s="2" t="s">
        <v>280</v>
      </c>
      <c r="BZ1475" s="2" t="s">
        <v>245</v>
      </c>
      <c r="CA1475" s="2" t="s">
        <v>7112</v>
      </c>
      <c r="CB1475" s="2" t="s">
        <v>7113</v>
      </c>
      <c r="CC1475" s="2" t="s">
        <v>246</v>
      </c>
      <c r="CD1475" s="2" t="s">
        <v>233</v>
      </c>
      <c r="CE1475" s="4"/>
      <c r="CF1475" s="4">
        <v>61</v>
      </c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>
        <v>59</v>
      </c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</row>
    <row r="1476">
      <c r="A1476" s="2" t="s">
        <v>7114</v>
      </c>
      <c r="B1476" s="2" t="s">
        <v>1066</v>
      </c>
      <c r="C1476" s="2" t="s">
        <v>901</v>
      </c>
      <c r="D1476" s="2" t="s">
        <v>1090</v>
      </c>
      <c r="E1476" s="2" t="s">
        <v>1091</v>
      </c>
      <c r="F1476" s="2" t="s">
        <v>7103</v>
      </c>
      <c r="G1476" s="2" t="s">
        <v>7103</v>
      </c>
      <c r="H1476" s="2" t="s">
        <v>233</v>
      </c>
      <c r="I1476" s="2" t="s">
        <v>1091</v>
      </c>
      <c r="J1476" s="2" t="s">
        <v>892</v>
      </c>
      <c r="K1476" s="2" t="s">
        <v>7115</v>
      </c>
      <c r="L1476" s="3">
        <v>310</v>
      </c>
      <c r="M1476" s="3">
        <v>325.5</v>
      </c>
      <c r="N1476" s="3">
        <v>649</v>
      </c>
      <c r="O1476" s="2" t="s">
        <v>237</v>
      </c>
      <c r="P1476" s="2" t="s">
        <v>311</v>
      </c>
      <c r="Q1476" s="2" t="s">
        <v>239</v>
      </c>
      <c r="R1476" s="2" t="s">
        <v>233</v>
      </c>
      <c r="S1476" s="2" t="s">
        <v>7116</v>
      </c>
      <c r="T1476" s="2" t="s">
        <v>233</v>
      </c>
      <c r="U1476" s="2" t="s">
        <v>233</v>
      </c>
      <c r="V1476" s="2" t="s">
        <v>241</v>
      </c>
      <c r="W1476" s="2" t="s">
        <v>2652</v>
      </c>
      <c r="X1476" s="2" t="s">
        <v>233</v>
      </c>
      <c r="Y1476" s="2" t="s">
        <v>276</v>
      </c>
      <c r="Z1476" s="4">
        <v>907</v>
      </c>
      <c r="AA1476" s="4">
        <f>=ROUNDDOWN(226.75,0)</f>
      </c>
      <c r="AB1476" s="5">
        <v>4</v>
      </c>
      <c r="AC1476" s="2" t="s">
        <v>233</v>
      </c>
      <c r="AD1476" s="4"/>
      <c r="AE1476" s="4"/>
      <c r="AF1476" s="6">
        <v>74</v>
      </c>
      <c r="AG1476" s="6">
        <v>60</v>
      </c>
      <c r="AH1476" s="7">
        <v>1</v>
      </c>
      <c r="AI1476" s="4"/>
      <c r="AJ1476" s="4">
        <f>=ROUNDDOWN({0},0)</f>
      </c>
      <c r="AK1476" s="5"/>
      <c r="AL1476" s="2" t="s">
        <v>233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/>
      <c r="AW1476" s="8"/>
      <c r="AX1476" s="4"/>
      <c r="AY1476" s="8"/>
      <c r="AZ1476" s="7"/>
      <c r="BA1476" s="7"/>
      <c r="BB1476" s="7"/>
      <c r="BC1476" s="4" t="s">
        <v>233</v>
      </c>
      <c r="BD1476" s="8" t="s">
        <v>233</v>
      </c>
      <c r="BE1476" s="4" t="s">
        <v>233</v>
      </c>
      <c r="BF1476" s="8" t="s">
        <v>233</v>
      </c>
      <c r="BG1476" s="7" t="s">
        <v>233</v>
      </c>
      <c r="BH1476" s="7" t="s">
        <v>233</v>
      </c>
      <c r="BI1476" s="7"/>
      <c r="BJ1476" s="4">
        <v>53</v>
      </c>
      <c r="BK1476" s="8">
        <v>11745.03</v>
      </c>
      <c r="BL1476" s="2" t="s">
        <v>7117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7118</v>
      </c>
      <c r="BV1476" s="2" t="s">
        <v>233</v>
      </c>
      <c r="BW1476" s="2" t="s">
        <v>233</v>
      </c>
      <c r="BX1476" s="2" t="s">
        <v>233</v>
      </c>
      <c r="BY1476" s="2" t="s">
        <v>280</v>
      </c>
      <c r="BZ1476" s="2" t="s">
        <v>245</v>
      </c>
      <c r="CA1476" s="2" t="s">
        <v>2663</v>
      </c>
      <c r="CB1476" s="2" t="s">
        <v>7119</v>
      </c>
      <c r="CC1476" s="2" t="s">
        <v>246</v>
      </c>
      <c r="CD1476" s="2" t="s">
        <v>233</v>
      </c>
      <c r="CE1476" s="4"/>
      <c r="CF1476" s="4">
        <v>484</v>
      </c>
      <c r="CG1476" s="4"/>
      <c r="CH1476" s="4"/>
      <c r="CI1476" s="4">
        <v>423</v>
      </c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</row>
    <row r="1477">
      <c r="A1477" s="2" t="s">
        <v>7120</v>
      </c>
      <c r="B1477" s="2" t="s">
        <v>1066</v>
      </c>
      <c r="C1477" s="2" t="s">
        <v>901</v>
      </c>
      <c r="D1477" s="2" t="s">
        <v>1090</v>
      </c>
      <c r="E1477" s="2" t="s">
        <v>1091</v>
      </c>
      <c r="F1477" s="2" t="s">
        <v>7103</v>
      </c>
      <c r="G1477" s="2" t="s">
        <v>7103</v>
      </c>
      <c r="H1477" s="2" t="s">
        <v>7103</v>
      </c>
      <c r="I1477" s="2" t="s">
        <v>1091</v>
      </c>
      <c r="J1477" s="2" t="s">
        <v>892</v>
      </c>
      <c r="K1477" s="2" t="s">
        <v>7121</v>
      </c>
      <c r="L1477" s="3">
        <v>310</v>
      </c>
      <c r="M1477" s="3">
        <v>325.5</v>
      </c>
      <c r="N1477" s="3">
        <v>649</v>
      </c>
      <c r="O1477" s="2" t="s">
        <v>237</v>
      </c>
      <c r="P1477" s="2" t="s">
        <v>311</v>
      </c>
      <c r="Q1477" s="2" t="s">
        <v>239</v>
      </c>
      <c r="R1477" s="2" t="s">
        <v>233</v>
      </c>
      <c r="S1477" s="2" t="s">
        <v>233</v>
      </c>
      <c r="T1477" s="2" t="s">
        <v>233</v>
      </c>
      <c r="U1477" s="2" t="s">
        <v>396</v>
      </c>
      <c r="V1477" s="2" t="s">
        <v>241</v>
      </c>
      <c r="W1477" s="2" t="s">
        <v>2652</v>
      </c>
      <c r="X1477" s="2" t="s">
        <v>397</v>
      </c>
      <c r="Y1477" s="2" t="s">
        <v>3908</v>
      </c>
      <c r="Z1477" s="4">
        <v>164</v>
      </c>
      <c r="AA1477" s="4">
        <f>=ROUNDDOWN(35.6521739130435,0)</f>
      </c>
      <c r="AB1477" s="5">
        <v>4.6</v>
      </c>
      <c r="AC1477" s="2" t="s">
        <v>233</v>
      </c>
      <c r="AD1477" s="4"/>
      <c r="AE1477" s="4"/>
      <c r="AF1477" s="6">
        <v>74</v>
      </c>
      <c r="AG1477" s="6"/>
      <c r="AH1477" s="7">
        <v>1</v>
      </c>
      <c r="AI1477" s="4"/>
      <c r="AJ1477" s="4">
        <f>=ROUNDDOWN({0},0)</f>
      </c>
      <c r="AK1477" s="5"/>
      <c r="AL1477" s="2" t="s">
        <v>233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/>
      <c r="AW1477" s="8"/>
      <c r="AX1477" s="4"/>
      <c r="AY1477" s="8"/>
      <c r="AZ1477" s="7"/>
      <c r="BA1477" s="7"/>
      <c r="BB1477" s="7"/>
      <c r="BC1477" s="4" t="s">
        <v>233</v>
      </c>
      <c r="BD1477" s="8" t="s">
        <v>233</v>
      </c>
      <c r="BE1477" s="4" t="s">
        <v>233</v>
      </c>
      <c r="BF1477" s="8" t="s">
        <v>233</v>
      </c>
      <c r="BG1477" s="7" t="s">
        <v>233</v>
      </c>
      <c r="BH1477" s="7" t="s">
        <v>233</v>
      </c>
      <c r="BI1477" s="7"/>
      <c r="BJ1477" s="4">
        <v>19</v>
      </c>
      <c r="BK1477" s="8">
        <v>4442.98</v>
      </c>
      <c r="BL1477" s="2" t="s">
        <v>7117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7122</v>
      </c>
      <c r="BV1477" s="2" t="s">
        <v>233</v>
      </c>
      <c r="BW1477" s="2" t="s">
        <v>233</v>
      </c>
      <c r="BX1477" s="2" t="s">
        <v>233</v>
      </c>
      <c r="BY1477" s="2" t="s">
        <v>280</v>
      </c>
      <c r="BZ1477" s="2" t="s">
        <v>245</v>
      </c>
      <c r="CA1477" s="2" t="s">
        <v>3908</v>
      </c>
      <c r="CB1477" s="2" t="s">
        <v>7123</v>
      </c>
      <c r="CC1477" s="2" t="s">
        <v>246</v>
      </c>
      <c r="CD1477" s="2" t="s">
        <v>233</v>
      </c>
      <c r="CE1477" s="4"/>
      <c r="CF1477" s="4">
        <v>164</v>
      </c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  <c r="HM1477" s="4"/>
      <c r="HN1477" s="4"/>
      <c r="HO1477" s="4"/>
      <c r="HP1477" s="4"/>
      <c r="HQ1477" s="4"/>
      <c r="HR1477" s="4"/>
    </row>
    <row r="1478">
      <c r="A1478" s="2" t="s">
        <v>7124</v>
      </c>
      <c r="B1478" s="2" t="s">
        <v>886</v>
      </c>
      <c r="C1478" s="2" t="s">
        <v>947</v>
      </c>
      <c r="D1478" s="2" t="s">
        <v>1167</v>
      </c>
      <c r="E1478" s="2" t="s">
        <v>1168</v>
      </c>
      <c r="F1478" s="2" t="s">
        <v>7125</v>
      </c>
      <c r="G1478" s="2" t="s">
        <v>7125</v>
      </c>
      <c r="H1478" s="2" t="s">
        <v>7125</v>
      </c>
      <c r="I1478" s="2" t="s">
        <v>7126</v>
      </c>
      <c r="J1478" s="2" t="s">
        <v>892</v>
      </c>
      <c r="K1478" s="2" t="s">
        <v>645</v>
      </c>
      <c r="L1478" s="3">
        <v>45</v>
      </c>
      <c r="M1478" s="3">
        <v>47.25</v>
      </c>
      <c r="N1478" s="3">
        <v>104.99</v>
      </c>
      <c r="O1478" s="2" t="s">
        <v>245</v>
      </c>
      <c r="P1478" s="2" t="s">
        <v>272</v>
      </c>
      <c r="Q1478" s="2" t="s">
        <v>239</v>
      </c>
      <c r="R1478" s="2" t="s">
        <v>233</v>
      </c>
      <c r="S1478" s="2" t="s">
        <v>233</v>
      </c>
      <c r="T1478" s="2" t="s">
        <v>233</v>
      </c>
      <c r="U1478" s="2" t="s">
        <v>396</v>
      </c>
      <c r="V1478" s="2" t="s">
        <v>893</v>
      </c>
      <c r="W1478" s="2" t="s">
        <v>776</v>
      </c>
      <c r="X1478" s="2" t="s">
        <v>5825</v>
      </c>
      <c r="Y1478" s="2" t="s">
        <v>7127</v>
      </c>
      <c r="Z1478" s="4">
        <v>105</v>
      </c>
      <c r="AA1478" s="4">
        <f>=ROUNDDOWN(26.25,0)</f>
      </c>
      <c r="AB1478" s="5">
        <v>4</v>
      </c>
      <c r="AC1478" s="2" t="s">
        <v>233</v>
      </c>
      <c r="AD1478" s="4"/>
      <c r="AE1478" s="4"/>
      <c r="AF1478" s="6">
        <v>63</v>
      </c>
      <c r="AG1478" s="6"/>
      <c r="AH1478" s="7">
        <v>1</v>
      </c>
      <c r="AI1478" s="4"/>
      <c r="AJ1478" s="4">
        <f>=ROUNDDOWN({0},0)</f>
      </c>
      <c r="AK1478" s="5"/>
      <c r="AL1478" s="2" t="s">
        <v>233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/>
      <c r="BD1478" s="8"/>
      <c r="BE1478" s="4"/>
      <c r="BF1478" s="8"/>
      <c r="BG1478" s="7"/>
      <c r="BH1478" s="7"/>
      <c r="BI1478" s="7"/>
      <c r="BJ1478" s="4">
        <v>4</v>
      </c>
      <c r="BK1478" s="8">
        <v>211.91</v>
      </c>
      <c r="BL1478" s="2" t="s">
        <v>3696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7128</v>
      </c>
      <c r="BV1478" s="2" t="s">
        <v>233</v>
      </c>
      <c r="BW1478" s="2" t="s">
        <v>233</v>
      </c>
      <c r="BX1478" s="2" t="s">
        <v>233</v>
      </c>
      <c r="BY1478" s="2" t="s">
        <v>280</v>
      </c>
      <c r="BZ1478" s="2" t="s">
        <v>245</v>
      </c>
      <c r="CA1478" s="2" t="s">
        <v>7129</v>
      </c>
      <c r="CB1478" s="2" t="s">
        <v>5900</v>
      </c>
      <c r="CC1478" s="2" t="s">
        <v>246</v>
      </c>
      <c r="CD1478" s="2" t="s">
        <v>233</v>
      </c>
      <c r="CE1478" s="4"/>
      <c r="CF1478" s="4">
        <v>105</v>
      </c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  <c r="HM1478" s="4"/>
      <c r="HN1478" s="4"/>
      <c r="HO1478" s="4"/>
      <c r="HP1478" s="4"/>
      <c r="HQ1478" s="4"/>
      <c r="HR1478" s="4"/>
    </row>
    <row r="1479">
      <c r="A1479" s="2" t="s">
        <v>7130</v>
      </c>
      <c r="B1479" s="2" t="s">
        <v>1242</v>
      </c>
      <c r="C1479" s="2" t="s">
        <v>530</v>
      </c>
      <c r="D1479" s="2" t="s">
        <v>969</v>
      </c>
      <c r="E1479" s="2" t="s">
        <v>1078</v>
      </c>
      <c r="F1479" s="2" t="s">
        <v>7131</v>
      </c>
      <c r="G1479" s="2" t="s">
        <v>1853</v>
      </c>
      <c r="H1479" s="2" t="s">
        <v>7132</v>
      </c>
      <c r="I1479" s="2" t="s">
        <v>7133</v>
      </c>
      <c r="J1479" s="2" t="s">
        <v>981</v>
      </c>
      <c r="K1479" s="2" t="s">
        <v>6366</v>
      </c>
      <c r="L1479" s="3">
        <v>57.14</v>
      </c>
      <c r="M1479" s="3">
        <v>60</v>
      </c>
      <c r="N1479" s="3">
        <v>119.99</v>
      </c>
      <c r="O1479" s="2" t="s">
        <v>237</v>
      </c>
      <c r="P1479" s="2" t="s">
        <v>311</v>
      </c>
      <c r="Q1479" s="2" t="s">
        <v>239</v>
      </c>
      <c r="R1479" s="2" t="s">
        <v>233</v>
      </c>
      <c r="S1479" s="2" t="s">
        <v>7134</v>
      </c>
      <c r="T1479" s="2" t="s">
        <v>395</v>
      </c>
      <c r="U1479" s="2" t="s">
        <v>1482</v>
      </c>
      <c r="V1479" s="2" t="s">
        <v>359</v>
      </c>
      <c r="W1479" s="2" t="s">
        <v>1763</v>
      </c>
      <c r="X1479" s="2" t="s">
        <v>275</v>
      </c>
      <c r="Y1479" s="2" t="s">
        <v>4732</v>
      </c>
      <c r="Z1479" s="4">
        <v>44</v>
      </c>
      <c r="AA1479" s="4">
        <f>=ROUNDDOWN(9.56521739130435,0)</f>
      </c>
      <c r="AB1479" s="5">
        <v>4.6</v>
      </c>
      <c r="AC1479" s="2" t="s">
        <v>233</v>
      </c>
      <c r="AD1479" s="4"/>
      <c r="AE1479" s="4"/>
      <c r="AF1479" s="6">
        <v>68</v>
      </c>
      <c r="AG1479" s="6"/>
      <c r="AH1479" s="7">
        <v>1</v>
      </c>
      <c r="AI1479" s="4"/>
      <c r="AJ1479" s="4">
        <f>=ROUNDDOWN({0},0)</f>
      </c>
      <c r="AK1479" s="5"/>
      <c r="AL1479" s="2" t="s">
        <v>233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233</v>
      </c>
      <c r="AW1479" s="8" t="s">
        <v>233</v>
      </c>
      <c r="AX1479" s="4" t="s">
        <v>233</v>
      </c>
      <c r="AY1479" s="8" t="s">
        <v>233</v>
      </c>
      <c r="AZ1479" s="7" t="s">
        <v>233</v>
      </c>
      <c r="BA1479" s="7" t="s">
        <v>233</v>
      </c>
      <c r="BB1479" s="7" t="s">
        <v>233</v>
      </c>
      <c r="BC1479" s="4" t="s">
        <v>233</v>
      </c>
      <c r="BD1479" s="8" t="s">
        <v>233</v>
      </c>
      <c r="BE1479" s="4" t="s">
        <v>233</v>
      </c>
      <c r="BF1479" s="8" t="s">
        <v>233</v>
      </c>
      <c r="BG1479" s="7" t="s">
        <v>233</v>
      </c>
      <c r="BH1479" s="7" t="s">
        <v>233</v>
      </c>
      <c r="BI1479" s="7"/>
      <c r="BJ1479" s="4">
        <v>17</v>
      </c>
      <c r="BK1479" s="8">
        <v>831</v>
      </c>
      <c r="BL1479" s="2" t="s">
        <v>7135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7136</v>
      </c>
      <c r="BV1479" s="2" t="s">
        <v>233</v>
      </c>
      <c r="BW1479" s="2" t="s">
        <v>233</v>
      </c>
      <c r="BX1479" s="2" t="s">
        <v>233</v>
      </c>
      <c r="BY1479" s="2" t="s">
        <v>280</v>
      </c>
      <c r="BZ1479" s="2" t="s">
        <v>245</v>
      </c>
      <c r="CA1479" s="2" t="s">
        <v>7137</v>
      </c>
      <c r="CB1479" s="2" t="s">
        <v>2014</v>
      </c>
      <c r="CC1479" s="2" t="s">
        <v>246</v>
      </c>
      <c r="CD1479" s="2" t="s">
        <v>233</v>
      </c>
      <c r="CE1479" s="4">
        <v>44</v>
      </c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  <c r="HM1479" s="4"/>
      <c r="HN1479" s="4"/>
      <c r="HO1479" s="4"/>
      <c r="HP1479" s="4"/>
      <c r="HQ1479" s="4"/>
      <c r="HR1479" s="4"/>
    </row>
    <row r="1480">
      <c r="A1480" s="2" t="s">
        <v>7138</v>
      </c>
      <c r="B1480" s="2" t="s">
        <v>1242</v>
      </c>
      <c r="C1480" s="2" t="s">
        <v>530</v>
      </c>
      <c r="D1480" s="2" t="s">
        <v>912</v>
      </c>
      <c r="E1480" s="2" t="s">
        <v>1139</v>
      </c>
      <c r="F1480" s="2" t="s">
        <v>7131</v>
      </c>
      <c r="G1480" s="2" t="s">
        <v>1853</v>
      </c>
      <c r="H1480" s="2" t="s">
        <v>7132</v>
      </c>
      <c r="I1480" s="2" t="s">
        <v>7139</v>
      </c>
      <c r="J1480" s="2" t="s">
        <v>981</v>
      </c>
      <c r="K1480" s="2" t="s">
        <v>6366</v>
      </c>
      <c r="L1480" s="3">
        <v>33.33</v>
      </c>
      <c r="M1480" s="3">
        <v>35</v>
      </c>
      <c r="N1480" s="3">
        <v>69.99</v>
      </c>
      <c r="O1480" s="2" t="s">
        <v>237</v>
      </c>
      <c r="P1480" s="2" t="s">
        <v>311</v>
      </c>
      <c r="Q1480" s="2" t="s">
        <v>239</v>
      </c>
      <c r="R1480" s="2" t="s">
        <v>233</v>
      </c>
      <c r="S1480" s="2" t="s">
        <v>7140</v>
      </c>
      <c r="T1480" s="2" t="s">
        <v>395</v>
      </c>
      <c r="U1480" s="2" t="s">
        <v>475</v>
      </c>
      <c r="V1480" s="2" t="s">
        <v>359</v>
      </c>
      <c r="W1480" s="2" t="s">
        <v>1763</v>
      </c>
      <c r="X1480" s="2" t="s">
        <v>275</v>
      </c>
      <c r="Y1480" s="2" t="s">
        <v>4732</v>
      </c>
      <c r="Z1480" s="4">
        <v>87</v>
      </c>
      <c r="AA1480" s="4">
        <f>=ROUNDDOWN(17.4,0)</f>
      </c>
      <c r="AB1480" s="5">
        <v>5</v>
      </c>
      <c r="AC1480" s="2" t="s">
        <v>233</v>
      </c>
      <c r="AD1480" s="4"/>
      <c r="AE1480" s="4"/>
      <c r="AF1480" s="6">
        <v>68</v>
      </c>
      <c r="AG1480" s="6"/>
      <c r="AH1480" s="7">
        <v>1</v>
      </c>
      <c r="AI1480" s="4"/>
      <c r="AJ1480" s="4">
        <f>=ROUNDDOWN({0},0)</f>
      </c>
      <c r="AK1480" s="5"/>
      <c r="AL1480" s="2" t="s">
        <v>233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233</v>
      </c>
      <c r="AW1480" s="8" t="s">
        <v>233</v>
      </c>
      <c r="AX1480" s="4" t="s">
        <v>233</v>
      </c>
      <c r="AY1480" s="8" t="s">
        <v>233</v>
      </c>
      <c r="AZ1480" s="7" t="s">
        <v>233</v>
      </c>
      <c r="BA1480" s="7" t="s">
        <v>233</v>
      </c>
      <c r="BB1480" s="7" t="s">
        <v>233</v>
      </c>
      <c r="BC1480" s="4" t="s">
        <v>233</v>
      </c>
      <c r="BD1480" s="8" t="s">
        <v>233</v>
      </c>
      <c r="BE1480" s="4" t="s">
        <v>233</v>
      </c>
      <c r="BF1480" s="8" t="s">
        <v>233</v>
      </c>
      <c r="BG1480" s="7" t="s">
        <v>233</v>
      </c>
      <c r="BH1480" s="7" t="s">
        <v>233</v>
      </c>
      <c r="BI1480" s="7"/>
      <c r="BJ1480" s="4">
        <v>18</v>
      </c>
      <c r="BK1480" s="8">
        <v>347.06</v>
      </c>
      <c r="BL1480" s="2" t="s">
        <v>373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7141</v>
      </c>
      <c r="BV1480" s="2" t="s">
        <v>233</v>
      </c>
      <c r="BW1480" s="2" t="s">
        <v>233</v>
      </c>
      <c r="BX1480" s="2" t="s">
        <v>233</v>
      </c>
      <c r="BY1480" s="2" t="s">
        <v>280</v>
      </c>
      <c r="BZ1480" s="2" t="s">
        <v>245</v>
      </c>
      <c r="CA1480" s="2" t="s">
        <v>7137</v>
      </c>
      <c r="CB1480" s="2" t="s">
        <v>3479</v>
      </c>
      <c r="CC1480" s="2" t="s">
        <v>246</v>
      </c>
      <c r="CD1480" s="2" t="s">
        <v>233</v>
      </c>
      <c r="CE1480" s="4">
        <v>87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  <c r="HM1480" s="4"/>
      <c r="HN1480" s="4"/>
      <c r="HO1480" s="4"/>
      <c r="HP1480" s="4"/>
      <c r="HQ1480" s="4"/>
      <c r="HR1480" s="4"/>
    </row>
    <row r="1481">
      <c r="A1481" s="2" t="s">
        <v>7142</v>
      </c>
      <c r="B1481" s="2" t="s">
        <v>1242</v>
      </c>
      <c r="C1481" s="2" t="s">
        <v>530</v>
      </c>
      <c r="D1481" s="2" t="s">
        <v>969</v>
      </c>
      <c r="E1481" s="2" t="s">
        <v>1078</v>
      </c>
      <c r="F1481" s="2" t="s">
        <v>7131</v>
      </c>
      <c r="G1481" s="2" t="s">
        <v>1853</v>
      </c>
      <c r="H1481" s="2" t="s">
        <v>7132</v>
      </c>
      <c r="I1481" s="2" t="s">
        <v>7133</v>
      </c>
      <c r="J1481" s="2" t="s">
        <v>1142</v>
      </c>
      <c r="K1481" s="2" t="s">
        <v>6366</v>
      </c>
      <c r="L1481" s="3">
        <v>66.66</v>
      </c>
      <c r="M1481" s="3">
        <v>69.99</v>
      </c>
      <c r="N1481" s="3">
        <v>139.99</v>
      </c>
      <c r="O1481" s="2" t="s">
        <v>237</v>
      </c>
      <c r="P1481" s="2" t="s">
        <v>311</v>
      </c>
      <c r="Q1481" s="2" t="s">
        <v>239</v>
      </c>
      <c r="R1481" s="2" t="s">
        <v>233</v>
      </c>
      <c r="S1481" s="2" t="s">
        <v>7134</v>
      </c>
      <c r="T1481" s="2" t="s">
        <v>395</v>
      </c>
      <c r="U1481" s="2" t="s">
        <v>1482</v>
      </c>
      <c r="V1481" s="2" t="s">
        <v>359</v>
      </c>
      <c r="W1481" s="2" t="s">
        <v>1763</v>
      </c>
      <c r="X1481" s="2" t="s">
        <v>275</v>
      </c>
      <c r="Y1481" s="2" t="s">
        <v>4732</v>
      </c>
      <c r="Z1481" s="4">
        <v>175</v>
      </c>
      <c r="AA1481" s="4">
        <f>=ROUNDDOWN(29.6610169491525,0)</f>
      </c>
      <c r="AB1481" s="5">
        <v>5.9</v>
      </c>
      <c r="AC1481" s="2" t="s">
        <v>233</v>
      </c>
      <c r="AD1481" s="4"/>
      <c r="AE1481" s="4"/>
      <c r="AF1481" s="6">
        <v>68</v>
      </c>
      <c r="AG1481" s="6"/>
      <c r="AH1481" s="7">
        <v>1</v>
      </c>
      <c r="AI1481" s="4"/>
      <c r="AJ1481" s="4">
        <f>=ROUNDDOWN({0},0)</f>
      </c>
      <c r="AK1481" s="5"/>
      <c r="AL1481" s="2" t="s">
        <v>233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233</v>
      </c>
      <c r="AW1481" s="8" t="s">
        <v>233</v>
      </c>
      <c r="AX1481" s="4" t="s">
        <v>233</v>
      </c>
      <c r="AY1481" s="8" t="s">
        <v>233</v>
      </c>
      <c r="AZ1481" s="7" t="s">
        <v>233</v>
      </c>
      <c r="BA1481" s="7" t="s">
        <v>233</v>
      </c>
      <c r="BB1481" s="7"/>
      <c r="BC1481" s="4" t="s">
        <v>233</v>
      </c>
      <c r="BD1481" s="8" t="s">
        <v>233</v>
      </c>
      <c r="BE1481" s="4" t="s">
        <v>233</v>
      </c>
      <c r="BF1481" s="8" t="s">
        <v>233</v>
      </c>
      <c r="BG1481" s="7" t="s">
        <v>233</v>
      </c>
      <c r="BH1481" s="7" t="s">
        <v>233</v>
      </c>
      <c r="BI1481" s="7"/>
      <c r="BJ1481" s="4">
        <v>38</v>
      </c>
      <c r="BK1481" s="8">
        <v>2085.62</v>
      </c>
      <c r="BL1481" s="2" t="s">
        <v>7143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7144</v>
      </c>
      <c r="BV1481" s="2" t="s">
        <v>233</v>
      </c>
      <c r="BW1481" s="2" t="s">
        <v>233</v>
      </c>
      <c r="BX1481" s="2" t="s">
        <v>233</v>
      </c>
      <c r="BY1481" s="2" t="s">
        <v>280</v>
      </c>
      <c r="BZ1481" s="2" t="s">
        <v>245</v>
      </c>
      <c r="CA1481" s="2" t="s">
        <v>7137</v>
      </c>
      <c r="CB1481" s="2" t="s">
        <v>3147</v>
      </c>
      <c r="CC1481" s="2" t="s">
        <v>246</v>
      </c>
      <c r="CD1481" s="2" t="s">
        <v>233</v>
      </c>
      <c r="CE1481" s="4">
        <v>175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  <c r="HM1481" s="4"/>
      <c r="HN1481" s="4"/>
      <c r="HO1481" s="4"/>
      <c r="HP1481" s="4"/>
      <c r="HQ1481" s="4"/>
      <c r="HR1481" s="4"/>
    </row>
    <row r="1482">
      <c r="A1482" s="2" t="s">
        <v>7145</v>
      </c>
      <c r="B1482" s="2" t="s">
        <v>910</v>
      </c>
      <c r="C1482" s="2" t="s">
        <v>1130</v>
      </c>
      <c r="D1482" s="2" t="s">
        <v>1862</v>
      </c>
      <c r="E1482" s="2" t="s">
        <v>3734</v>
      </c>
      <c r="F1482" s="2" t="s">
        <v>7146</v>
      </c>
      <c r="G1482" s="2" t="s">
        <v>3831</v>
      </c>
      <c r="H1482" s="2" t="s">
        <v>7147</v>
      </c>
      <c r="I1482" s="2" t="s">
        <v>7148</v>
      </c>
      <c r="J1482" s="2" t="s">
        <v>981</v>
      </c>
      <c r="K1482" s="2" t="s">
        <v>645</v>
      </c>
      <c r="L1482" s="3">
        <v>59.99</v>
      </c>
      <c r="M1482" s="3">
        <v>62.99</v>
      </c>
      <c r="N1482" s="3">
        <v>119.99</v>
      </c>
      <c r="O1482" s="2" t="s">
        <v>245</v>
      </c>
      <c r="P1482" s="2" t="s">
        <v>311</v>
      </c>
      <c r="Q1482" s="2" t="s">
        <v>239</v>
      </c>
      <c r="R1482" s="2" t="s">
        <v>233</v>
      </c>
      <c r="S1482" s="2" t="s">
        <v>7149</v>
      </c>
      <c r="T1482" s="2" t="s">
        <v>341</v>
      </c>
      <c r="U1482" s="2" t="s">
        <v>1507</v>
      </c>
      <c r="V1482" s="2" t="s">
        <v>1762</v>
      </c>
      <c r="W1482" s="2" t="s">
        <v>1763</v>
      </c>
      <c r="X1482" s="2" t="s">
        <v>397</v>
      </c>
      <c r="Y1482" s="2" t="s">
        <v>5645</v>
      </c>
      <c r="Z1482" s="4">
        <v>353</v>
      </c>
      <c r="AA1482" s="4">
        <f>=ROUNDDOWN(176.5,0)</f>
      </c>
      <c r="AB1482" s="5">
        <v>2</v>
      </c>
      <c r="AC1482" s="2" t="s">
        <v>233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233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/>
      <c r="BD1482" s="8"/>
      <c r="BE1482" s="4"/>
      <c r="BF1482" s="8"/>
      <c r="BG1482" s="7"/>
      <c r="BH1482" s="7"/>
      <c r="BI1482" s="7"/>
      <c r="BJ1482" s="4">
        <v>2</v>
      </c>
      <c r="BK1482" s="8">
        <v>132.8</v>
      </c>
      <c r="BL1482" s="2" t="s">
        <v>7150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7151</v>
      </c>
      <c r="BV1482" s="2" t="s">
        <v>233</v>
      </c>
      <c r="BW1482" s="2" t="s">
        <v>233</v>
      </c>
      <c r="BX1482" s="2" t="s">
        <v>233</v>
      </c>
      <c r="BY1482" s="2" t="s">
        <v>280</v>
      </c>
      <c r="BZ1482" s="2" t="s">
        <v>245</v>
      </c>
      <c r="CA1482" s="2" t="s">
        <v>7152</v>
      </c>
      <c r="CB1482" s="2" t="s">
        <v>6381</v>
      </c>
      <c r="CC1482" s="2" t="s">
        <v>246</v>
      </c>
      <c r="CD1482" s="2" t="s">
        <v>233</v>
      </c>
      <c r="CE1482" s="4">
        <v>353</v>
      </c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  <c r="HM1482" s="4"/>
      <c r="HN1482" s="4"/>
      <c r="HO1482" s="4"/>
      <c r="HP1482" s="4"/>
      <c r="HQ1482" s="4"/>
      <c r="HR1482" s="4"/>
    </row>
    <row r="1483">
      <c r="A1483" s="2" t="s">
        <v>7153</v>
      </c>
      <c r="B1483" s="2" t="s">
        <v>910</v>
      </c>
      <c r="C1483" s="2" t="s">
        <v>911</v>
      </c>
      <c r="D1483" s="2" t="s">
        <v>969</v>
      </c>
      <c r="E1483" s="2" t="s">
        <v>970</v>
      </c>
      <c r="F1483" s="2" t="s">
        <v>6687</v>
      </c>
      <c r="G1483" s="2" t="s">
        <v>3832</v>
      </c>
      <c r="H1483" s="2" t="s">
        <v>7154</v>
      </c>
      <c r="I1483" s="2" t="s">
        <v>7155</v>
      </c>
      <c r="J1483" s="2" t="s">
        <v>918</v>
      </c>
      <c r="K1483" s="2" t="s">
        <v>2344</v>
      </c>
      <c r="L1483" s="3">
        <v>28.57</v>
      </c>
      <c r="M1483" s="3">
        <v>30</v>
      </c>
      <c r="N1483" s="3">
        <v>59.99</v>
      </c>
      <c r="O1483" s="2" t="s">
        <v>245</v>
      </c>
      <c r="P1483" s="2" t="s">
        <v>238</v>
      </c>
      <c r="Q1483" s="2" t="s">
        <v>239</v>
      </c>
      <c r="R1483" s="2" t="s">
        <v>233</v>
      </c>
      <c r="S1483" s="2" t="s">
        <v>7156</v>
      </c>
      <c r="T1483" s="2" t="s">
        <v>1481</v>
      </c>
      <c r="U1483" s="2" t="s">
        <v>491</v>
      </c>
      <c r="V1483" s="2" t="s">
        <v>2225</v>
      </c>
      <c r="W1483" s="2" t="s">
        <v>397</v>
      </c>
      <c r="X1483" s="2" t="s">
        <v>275</v>
      </c>
      <c r="Y1483" s="2" t="s">
        <v>233</v>
      </c>
      <c r="Z1483" s="4"/>
      <c r="AA1483" s="4">
        <f>=ROUNDDOWN({0},0)</f>
      </c>
      <c r="AB1483" s="5"/>
      <c r="AC1483" s="2" t="s">
        <v>880</v>
      </c>
      <c r="AD1483" s="4">
        <v>105</v>
      </c>
      <c r="AE1483" s="4">
        <v>210</v>
      </c>
      <c r="AF1483" s="6">
        <v>66</v>
      </c>
      <c r="AG1483" s="6"/>
      <c r="AH1483" s="7">
        <v>0</v>
      </c>
      <c r="AI1483" s="4"/>
      <c r="AJ1483" s="4">
        <f>=ROUNDDOWN({0},0)</f>
      </c>
      <c r="AK1483" s="5"/>
      <c r="AL1483" s="2" t="s">
        <v>233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233</v>
      </c>
      <c r="AW1483" s="8" t="s">
        <v>233</v>
      </c>
      <c r="AX1483" s="4" t="s">
        <v>233</v>
      </c>
      <c r="AY1483" s="8" t="s">
        <v>233</v>
      </c>
      <c r="AZ1483" s="7" t="s">
        <v>233</v>
      </c>
      <c r="BA1483" s="7" t="s">
        <v>233</v>
      </c>
      <c r="BB1483" s="7" t="s">
        <v>233</v>
      </c>
      <c r="BC1483" s="4" t="s">
        <v>233</v>
      </c>
      <c r="BD1483" s="8" t="s">
        <v>233</v>
      </c>
      <c r="BE1483" s="4" t="s">
        <v>233</v>
      </c>
      <c r="BF1483" s="8" t="s">
        <v>233</v>
      </c>
      <c r="BG1483" s="7" t="s">
        <v>233</v>
      </c>
      <c r="BH1483" s="7" t="s">
        <v>233</v>
      </c>
      <c r="BI1483" s="7"/>
      <c r="BJ1483" s="4"/>
      <c r="BK1483" s="8"/>
      <c r="BL1483" s="2" t="s">
        <v>233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243</v>
      </c>
      <c r="BV1483" s="2" t="s">
        <v>233</v>
      </c>
      <c r="BW1483" s="2" t="s">
        <v>233</v>
      </c>
      <c r="BX1483" s="2" t="s">
        <v>243</v>
      </c>
      <c r="BY1483" s="2" t="s">
        <v>244</v>
      </c>
      <c r="BZ1483" s="2" t="s">
        <v>245</v>
      </c>
      <c r="CA1483" s="2" t="s">
        <v>233</v>
      </c>
      <c r="CB1483" s="2" t="s">
        <v>233</v>
      </c>
      <c r="CC1483" s="2" t="s">
        <v>246</v>
      </c>
      <c r="CD1483" s="2" t="s">
        <v>233</v>
      </c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>
        <v>105</v>
      </c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>
        <v>105</v>
      </c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  <c r="HM1483" s="4"/>
      <c r="HN1483" s="4"/>
      <c r="HO1483" s="4"/>
      <c r="HP1483" s="4"/>
      <c r="HQ1483" s="4"/>
      <c r="HR1483" s="4"/>
    </row>
    <row r="1484">
      <c r="A1484" s="2" t="s">
        <v>7157</v>
      </c>
      <c r="B1484" s="2" t="s">
        <v>910</v>
      </c>
      <c r="C1484" s="2" t="s">
        <v>911</v>
      </c>
      <c r="D1484" s="2" t="s">
        <v>912</v>
      </c>
      <c r="E1484" s="2" t="s">
        <v>1139</v>
      </c>
      <c r="F1484" s="2" t="s">
        <v>6687</v>
      </c>
      <c r="G1484" s="2" t="s">
        <v>3832</v>
      </c>
      <c r="H1484" s="2" t="s">
        <v>7154</v>
      </c>
      <c r="I1484" s="2" t="s">
        <v>7158</v>
      </c>
      <c r="J1484" s="2" t="s">
        <v>918</v>
      </c>
      <c r="K1484" s="2" t="s">
        <v>2344</v>
      </c>
      <c r="L1484" s="3">
        <v>23.8</v>
      </c>
      <c r="M1484" s="3">
        <v>24.99</v>
      </c>
      <c r="N1484" s="3">
        <v>49.99</v>
      </c>
      <c r="O1484" s="2" t="s">
        <v>245</v>
      </c>
      <c r="P1484" s="2" t="s">
        <v>238</v>
      </c>
      <c r="Q1484" s="2" t="s">
        <v>239</v>
      </c>
      <c r="R1484" s="2" t="s">
        <v>233</v>
      </c>
      <c r="S1484" s="2" t="s">
        <v>7156</v>
      </c>
      <c r="T1484" s="2" t="s">
        <v>1481</v>
      </c>
      <c r="U1484" s="2" t="s">
        <v>491</v>
      </c>
      <c r="V1484" s="2" t="s">
        <v>2225</v>
      </c>
      <c r="W1484" s="2" t="s">
        <v>397</v>
      </c>
      <c r="X1484" s="2" t="s">
        <v>275</v>
      </c>
      <c r="Y1484" s="2" t="s">
        <v>233</v>
      </c>
      <c r="Z1484" s="4"/>
      <c r="AA1484" s="4">
        <f>=ROUNDDOWN({0},0)</f>
      </c>
      <c r="AB1484" s="5"/>
      <c r="AC1484" s="2" t="s">
        <v>880</v>
      </c>
      <c r="AD1484" s="4">
        <v>45</v>
      </c>
      <c r="AE1484" s="4">
        <v>90</v>
      </c>
      <c r="AF1484" s="6">
        <v>66</v>
      </c>
      <c r="AG1484" s="6"/>
      <c r="AH1484" s="7">
        <v>0</v>
      </c>
      <c r="AI1484" s="4"/>
      <c r="AJ1484" s="4">
        <f>=ROUNDDOWN({0},0)</f>
      </c>
      <c r="AK1484" s="5"/>
      <c r="AL1484" s="2" t="s">
        <v>233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233</v>
      </c>
      <c r="AW1484" s="8" t="s">
        <v>233</v>
      </c>
      <c r="AX1484" s="4" t="s">
        <v>233</v>
      </c>
      <c r="AY1484" s="8" t="s">
        <v>233</v>
      </c>
      <c r="AZ1484" s="7" t="s">
        <v>233</v>
      </c>
      <c r="BA1484" s="7" t="s">
        <v>233</v>
      </c>
      <c r="BB1484" s="7" t="s">
        <v>233</v>
      </c>
      <c r="BC1484" s="4" t="s">
        <v>233</v>
      </c>
      <c r="BD1484" s="8" t="s">
        <v>233</v>
      </c>
      <c r="BE1484" s="4" t="s">
        <v>233</v>
      </c>
      <c r="BF1484" s="8" t="s">
        <v>233</v>
      </c>
      <c r="BG1484" s="7" t="s">
        <v>233</v>
      </c>
      <c r="BH1484" s="7" t="s">
        <v>233</v>
      </c>
      <c r="BI1484" s="7"/>
      <c r="BJ1484" s="4"/>
      <c r="BK1484" s="8"/>
      <c r="BL1484" s="2" t="s">
        <v>233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243</v>
      </c>
      <c r="BV1484" s="2" t="s">
        <v>233</v>
      </c>
      <c r="BW1484" s="2" t="s">
        <v>233</v>
      </c>
      <c r="BX1484" s="2" t="s">
        <v>243</v>
      </c>
      <c r="BY1484" s="2" t="s">
        <v>244</v>
      </c>
      <c r="BZ1484" s="2" t="s">
        <v>245</v>
      </c>
      <c r="CA1484" s="2" t="s">
        <v>233</v>
      </c>
      <c r="CB1484" s="2" t="s">
        <v>233</v>
      </c>
      <c r="CC1484" s="2" t="s">
        <v>246</v>
      </c>
      <c r="CD1484" s="2" t="s">
        <v>233</v>
      </c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>
        <v>45</v>
      </c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>
        <v>45</v>
      </c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  <c r="HM1484" s="4"/>
      <c r="HN1484" s="4"/>
      <c r="HO1484" s="4"/>
      <c r="HP1484" s="4"/>
      <c r="HQ1484" s="4"/>
      <c r="HR1484" s="4"/>
    </row>
    <row r="1485">
      <c r="A1485" s="2" t="s">
        <v>7159</v>
      </c>
      <c r="B1485" s="2" t="s">
        <v>910</v>
      </c>
      <c r="C1485" s="2" t="s">
        <v>911</v>
      </c>
      <c r="D1485" s="2" t="s">
        <v>969</v>
      </c>
      <c r="E1485" s="2" t="s">
        <v>970</v>
      </c>
      <c r="F1485" s="2" t="s">
        <v>6687</v>
      </c>
      <c r="G1485" s="2" t="s">
        <v>3832</v>
      </c>
      <c r="H1485" s="2" t="s">
        <v>7154</v>
      </c>
      <c r="I1485" s="2" t="s">
        <v>7155</v>
      </c>
      <c r="J1485" s="2" t="s">
        <v>981</v>
      </c>
      <c r="K1485" s="2" t="s">
        <v>2344</v>
      </c>
      <c r="L1485" s="3">
        <v>33.33</v>
      </c>
      <c r="M1485" s="3">
        <v>35</v>
      </c>
      <c r="N1485" s="3">
        <v>69.99</v>
      </c>
      <c r="O1485" s="2" t="s">
        <v>245</v>
      </c>
      <c r="P1485" s="2" t="s">
        <v>238</v>
      </c>
      <c r="Q1485" s="2" t="s">
        <v>239</v>
      </c>
      <c r="R1485" s="2" t="s">
        <v>233</v>
      </c>
      <c r="S1485" s="2" t="s">
        <v>7156</v>
      </c>
      <c r="T1485" s="2" t="s">
        <v>1481</v>
      </c>
      <c r="U1485" s="2" t="s">
        <v>475</v>
      </c>
      <c r="V1485" s="2" t="s">
        <v>2225</v>
      </c>
      <c r="W1485" s="2" t="s">
        <v>397</v>
      </c>
      <c r="X1485" s="2" t="s">
        <v>275</v>
      </c>
      <c r="Y1485" s="2" t="s">
        <v>233</v>
      </c>
      <c r="Z1485" s="4"/>
      <c r="AA1485" s="4">
        <f>=ROUNDDOWN({0},0)</f>
      </c>
      <c r="AB1485" s="5"/>
      <c r="AC1485" s="2" t="s">
        <v>880</v>
      </c>
      <c r="AD1485" s="4">
        <v>115</v>
      </c>
      <c r="AE1485" s="4">
        <v>230</v>
      </c>
      <c r="AF1485" s="6">
        <v>66</v>
      </c>
      <c r="AG1485" s="6"/>
      <c r="AH1485" s="7">
        <v>0</v>
      </c>
      <c r="AI1485" s="4"/>
      <c r="AJ1485" s="4">
        <f>=ROUNDDOWN({0},0)</f>
      </c>
      <c r="AK1485" s="5"/>
      <c r="AL1485" s="2" t="s">
        <v>233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233</v>
      </c>
      <c r="AW1485" s="8" t="s">
        <v>233</v>
      </c>
      <c r="AX1485" s="4" t="s">
        <v>233</v>
      </c>
      <c r="AY1485" s="8" t="s">
        <v>233</v>
      </c>
      <c r="AZ1485" s="7" t="s">
        <v>233</v>
      </c>
      <c r="BA1485" s="7" t="s">
        <v>233</v>
      </c>
      <c r="BB1485" s="7" t="s">
        <v>233</v>
      </c>
      <c r="BC1485" s="4" t="s">
        <v>233</v>
      </c>
      <c r="BD1485" s="8" t="s">
        <v>233</v>
      </c>
      <c r="BE1485" s="4" t="s">
        <v>233</v>
      </c>
      <c r="BF1485" s="8" t="s">
        <v>233</v>
      </c>
      <c r="BG1485" s="7" t="s">
        <v>233</v>
      </c>
      <c r="BH1485" s="7" t="s">
        <v>233</v>
      </c>
      <c r="BI1485" s="7"/>
      <c r="BJ1485" s="4"/>
      <c r="BK1485" s="8"/>
      <c r="BL1485" s="2" t="s">
        <v>233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243</v>
      </c>
      <c r="BV1485" s="2" t="s">
        <v>233</v>
      </c>
      <c r="BW1485" s="2" t="s">
        <v>233</v>
      </c>
      <c r="BX1485" s="2" t="s">
        <v>243</v>
      </c>
      <c r="BY1485" s="2" t="s">
        <v>244</v>
      </c>
      <c r="BZ1485" s="2" t="s">
        <v>245</v>
      </c>
      <c r="CA1485" s="2" t="s">
        <v>233</v>
      </c>
      <c r="CB1485" s="2" t="s">
        <v>233</v>
      </c>
      <c r="CC1485" s="2" t="s">
        <v>246</v>
      </c>
      <c r="CD1485" s="2" t="s">
        <v>233</v>
      </c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>
        <v>115</v>
      </c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>
        <v>115</v>
      </c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  <c r="HM1485" s="4"/>
      <c r="HN1485" s="4"/>
      <c r="HO1485" s="4"/>
      <c r="HP1485" s="4"/>
      <c r="HQ1485" s="4"/>
      <c r="HR1485" s="4"/>
    </row>
    <row r="1486">
      <c r="A1486" s="2" t="s">
        <v>7160</v>
      </c>
      <c r="B1486" s="2" t="s">
        <v>910</v>
      </c>
      <c r="C1486" s="2" t="s">
        <v>911</v>
      </c>
      <c r="D1486" s="2" t="s">
        <v>912</v>
      </c>
      <c r="E1486" s="2" t="s">
        <v>1139</v>
      </c>
      <c r="F1486" s="2" t="s">
        <v>6687</v>
      </c>
      <c r="G1486" s="2" t="s">
        <v>3832</v>
      </c>
      <c r="H1486" s="2" t="s">
        <v>7154</v>
      </c>
      <c r="I1486" s="2" t="s">
        <v>7158</v>
      </c>
      <c r="J1486" s="2" t="s">
        <v>981</v>
      </c>
      <c r="K1486" s="2" t="s">
        <v>2344</v>
      </c>
      <c r="L1486" s="3">
        <v>28.57</v>
      </c>
      <c r="M1486" s="3">
        <v>30</v>
      </c>
      <c r="N1486" s="3">
        <v>59.99</v>
      </c>
      <c r="O1486" s="2" t="s">
        <v>245</v>
      </c>
      <c r="P1486" s="2" t="s">
        <v>238</v>
      </c>
      <c r="Q1486" s="2" t="s">
        <v>239</v>
      </c>
      <c r="R1486" s="2" t="s">
        <v>233</v>
      </c>
      <c r="S1486" s="2" t="s">
        <v>7156</v>
      </c>
      <c r="T1486" s="2" t="s">
        <v>1481</v>
      </c>
      <c r="U1486" s="2" t="s">
        <v>475</v>
      </c>
      <c r="V1486" s="2" t="s">
        <v>2225</v>
      </c>
      <c r="W1486" s="2" t="s">
        <v>397</v>
      </c>
      <c r="X1486" s="2" t="s">
        <v>275</v>
      </c>
      <c r="Y1486" s="2" t="s">
        <v>233</v>
      </c>
      <c r="Z1486" s="4"/>
      <c r="AA1486" s="4">
        <f>=ROUNDDOWN({0},0)</f>
      </c>
      <c r="AB1486" s="5"/>
      <c r="AC1486" s="2" t="s">
        <v>880</v>
      </c>
      <c r="AD1486" s="4">
        <v>55</v>
      </c>
      <c r="AE1486" s="4">
        <v>110</v>
      </c>
      <c r="AF1486" s="6">
        <v>66</v>
      </c>
      <c r="AG1486" s="6"/>
      <c r="AH1486" s="7">
        <v>0</v>
      </c>
      <c r="AI1486" s="4"/>
      <c r="AJ1486" s="4">
        <f>=ROUNDDOWN({0},0)</f>
      </c>
      <c r="AK1486" s="5"/>
      <c r="AL1486" s="2" t="s">
        <v>233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233</v>
      </c>
      <c r="AW1486" s="8" t="s">
        <v>233</v>
      </c>
      <c r="AX1486" s="4" t="s">
        <v>233</v>
      </c>
      <c r="AY1486" s="8" t="s">
        <v>233</v>
      </c>
      <c r="AZ1486" s="7" t="s">
        <v>233</v>
      </c>
      <c r="BA1486" s="7" t="s">
        <v>233</v>
      </c>
      <c r="BB1486" s="7" t="s">
        <v>233</v>
      </c>
      <c r="BC1486" s="4" t="s">
        <v>233</v>
      </c>
      <c r="BD1486" s="8" t="s">
        <v>233</v>
      </c>
      <c r="BE1486" s="4" t="s">
        <v>233</v>
      </c>
      <c r="BF1486" s="8" t="s">
        <v>233</v>
      </c>
      <c r="BG1486" s="7" t="s">
        <v>233</v>
      </c>
      <c r="BH1486" s="7" t="s">
        <v>233</v>
      </c>
      <c r="BI1486" s="7"/>
      <c r="BJ1486" s="4"/>
      <c r="BK1486" s="8"/>
      <c r="BL1486" s="2" t="s">
        <v>233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243</v>
      </c>
      <c r="BV1486" s="2" t="s">
        <v>233</v>
      </c>
      <c r="BW1486" s="2" t="s">
        <v>233</v>
      </c>
      <c r="BX1486" s="2" t="s">
        <v>243</v>
      </c>
      <c r="BY1486" s="2" t="s">
        <v>244</v>
      </c>
      <c r="BZ1486" s="2" t="s">
        <v>245</v>
      </c>
      <c r="CA1486" s="2" t="s">
        <v>233</v>
      </c>
      <c r="CB1486" s="2" t="s">
        <v>233</v>
      </c>
      <c r="CC1486" s="2" t="s">
        <v>246</v>
      </c>
      <c r="CD1486" s="2" t="s">
        <v>233</v>
      </c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>
        <v>55</v>
      </c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>
        <v>55</v>
      </c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  <c r="HM1486" s="4"/>
      <c r="HN1486" s="4"/>
      <c r="HO1486" s="4"/>
      <c r="HP1486" s="4"/>
      <c r="HQ1486" s="4"/>
      <c r="HR1486" s="4"/>
    </row>
    <row r="1487">
      <c r="A1487" s="2" t="s">
        <v>7161</v>
      </c>
      <c r="B1487" s="2" t="s">
        <v>910</v>
      </c>
      <c r="C1487" s="2" t="s">
        <v>911</v>
      </c>
      <c r="D1487" s="2" t="s">
        <v>969</v>
      </c>
      <c r="E1487" s="2" t="s">
        <v>970</v>
      </c>
      <c r="F1487" s="2" t="s">
        <v>6687</v>
      </c>
      <c r="G1487" s="2" t="s">
        <v>3832</v>
      </c>
      <c r="H1487" s="2" t="s">
        <v>7154</v>
      </c>
      <c r="I1487" s="2" t="s">
        <v>7155</v>
      </c>
      <c r="J1487" s="2" t="s">
        <v>1142</v>
      </c>
      <c r="K1487" s="2" t="s">
        <v>2344</v>
      </c>
      <c r="L1487" s="3">
        <v>38.09</v>
      </c>
      <c r="M1487" s="3">
        <v>39.99</v>
      </c>
      <c r="N1487" s="3">
        <v>79.99</v>
      </c>
      <c r="O1487" s="2" t="s">
        <v>245</v>
      </c>
      <c r="P1487" s="2" t="s">
        <v>238</v>
      </c>
      <c r="Q1487" s="2" t="s">
        <v>239</v>
      </c>
      <c r="R1487" s="2" t="s">
        <v>233</v>
      </c>
      <c r="S1487" s="2" t="s">
        <v>7156</v>
      </c>
      <c r="T1487" s="2" t="s">
        <v>1481</v>
      </c>
      <c r="U1487" s="2" t="s">
        <v>475</v>
      </c>
      <c r="V1487" s="2" t="s">
        <v>2225</v>
      </c>
      <c r="W1487" s="2" t="s">
        <v>397</v>
      </c>
      <c r="X1487" s="2" t="s">
        <v>275</v>
      </c>
      <c r="Y1487" s="2" t="s">
        <v>233</v>
      </c>
      <c r="Z1487" s="4"/>
      <c r="AA1487" s="4">
        <f>=ROUNDDOWN({0},0)</f>
      </c>
      <c r="AB1487" s="5"/>
      <c r="AC1487" s="2" t="s">
        <v>880</v>
      </c>
      <c r="AD1487" s="4">
        <v>90</v>
      </c>
      <c r="AE1487" s="4">
        <v>180</v>
      </c>
      <c r="AF1487" s="6">
        <v>66</v>
      </c>
      <c r="AG1487" s="6"/>
      <c r="AH1487" s="7">
        <v>0</v>
      </c>
      <c r="AI1487" s="4"/>
      <c r="AJ1487" s="4">
        <f>=ROUNDDOWN({0},0)</f>
      </c>
      <c r="AK1487" s="5"/>
      <c r="AL1487" s="2" t="s">
        <v>233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233</v>
      </c>
      <c r="AW1487" s="8" t="s">
        <v>233</v>
      </c>
      <c r="AX1487" s="4" t="s">
        <v>233</v>
      </c>
      <c r="AY1487" s="8" t="s">
        <v>233</v>
      </c>
      <c r="AZ1487" s="7" t="s">
        <v>233</v>
      </c>
      <c r="BA1487" s="7" t="s">
        <v>233</v>
      </c>
      <c r="BB1487" s="7" t="s">
        <v>233</v>
      </c>
      <c r="BC1487" s="4" t="s">
        <v>233</v>
      </c>
      <c r="BD1487" s="8" t="s">
        <v>233</v>
      </c>
      <c r="BE1487" s="4" t="s">
        <v>233</v>
      </c>
      <c r="BF1487" s="8" t="s">
        <v>233</v>
      </c>
      <c r="BG1487" s="7" t="s">
        <v>233</v>
      </c>
      <c r="BH1487" s="7" t="s">
        <v>233</v>
      </c>
      <c r="BI1487" s="7"/>
      <c r="BJ1487" s="4"/>
      <c r="BK1487" s="8"/>
      <c r="BL1487" s="2" t="s">
        <v>233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243</v>
      </c>
      <c r="BV1487" s="2" t="s">
        <v>233</v>
      </c>
      <c r="BW1487" s="2" t="s">
        <v>233</v>
      </c>
      <c r="BX1487" s="2" t="s">
        <v>243</v>
      </c>
      <c r="BY1487" s="2" t="s">
        <v>244</v>
      </c>
      <c r="BZ1487" s="2" t="s">
        <v>245</v>
      </c>
      <c r="CA1487" s="2" t="s">
        <v>233</v>
      </c>
      <c r="CB1487" s="2" t="s">
        <v>233</v>
      </c>
      <c r="CC1487" s="2" t="s">
        <v>246</v>
      </c>
      <c r="CD1487" s="2" t="s">
        <v>233</v>
      </c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>
        <v>90</v>
      </c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>
        <v>90</v>
      </c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  <c r="HM1487" s="4"/>
      <c r="HN1487" s="4"/>
      <c r="HO1487" s="4"/>
      <c r="HP1487" s="4"/>
      <c r="HQ1487" s="4"/>
      <c r="HR1487" s="4"/>
    </row>
    <row r="1488">
      <c r="A1488" s="2" t="s">
        <v>7162</v>
      </c>
      <c r="B1488" s="2" t="s">
        <v>910</v>
      </c>
      <c r="C1488" s="2" t="s">
        <v>911</v>
      </c>
      <c r="D1488" s="2" t="s">
        <v>912</v>
      </c>
      <c r="E1488" s="2" t="s">
        <v>1139</v>
      </c>
      <c r="F1488" s="2" t="s">
        <v>6687</v>
      </c>
      <c r="G1488" s="2" t="s">
        <v>3832</v>
      </c>
      <c r="H1488" s="2" t="s">
        <v>7154</v>
      </c>
      <c r="I1488" s="2" t="s">
        <v>7158</v>
      </c>
      <c r="J1488" s="2" t="s">
        <v>1142</v>
      </c>
      <c r="K1488" s="2" t="s">
        <v>2344</v>
      </c>
      <c r="L1488" s="3">
        <v>33.33</v>
      </c>
      <c r="M1488" s="3">
        <v>35</v>
      </c>
      <c r="N1488" s="3">
        <v>69.99</v>
      </c>
      <c r="O1488" s="2" t="s">
        <v>245</v>
      </c>
      <c r="P1488" s="2" t="s">
        <v>238</v>
      </c>
      <c r="Q1488" s="2" t="s">
        <v>239</v>
      </c>
      <c r="R1488" s="2" t="s">
        <v>233</v>
      </c>
      <c r="S1488" s="2" t="s">
        <v>7156</v>
      </c>
      <c r="T1488" s="2" t="s">
        <v>1481</v>
      </c>
      <c r="U1488" s="2" t="s">
        <v>475</v>
      </c>
      <c r="V1488" s="2" t="s">
        <v>2225</v>
      </c>
      <c r="W1488" s="2" t="s">
        <v>397</v>
      </c>
      <c r="X1488" s="2" t="s">
        <v>275</v>
      </c>
      <c r="Y1488" s="2" t="s">
        <v>233</v>
      </c>
      <c r="Z1488" s="4"/>
      <c r="AA1488" s="4">
        <f>=ROUNDDOWN({0},0)</f>
      </c>
      <c r="AB1488" s="5"/>
      <c r="AC1488" s="2" t="s">
        <v>880</v>
      </c>
      <c r="AD1488" s="4">
        <v>40</v>
      </c>
      <c r="AE1488" s="4">
        <v>80</v>
      </c>
      <c r="AF1488" s="6">
        <v>66</v>
      </c>
      <c r="AG1488" s="6"/>
      <c r="AH1488" s="7">
        <v>0</v>
      </c>
      <c r="AI1488" s="4"/>
      <c r="AJ1488" s="4">
        <f>=ROUNDDOWN({0},0)</f>
      </c>
      <c r="AK1488" s="5"/>
      <c r="AL1488" s="2" t="s">
        <v>233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233</v>
      </c>
      <c r="AW1488" s="8" t="s">
        <v>233</v>
      </c>
      <c r="AX1488" s="4" t="s">
        <v>233</v>
      </c>
      <c r="AY1488" s="8" t="s">
        <v>233</v>
      </c>
      <c r="AZ1488" s="7" t="s">
        <v>233</v>
      </c>
      <c r="BA1488" s="7" t="s">
        <v>233</v>
      </c>
      <c r="BB1488" s="7" t="s">
        <v>233</v>
      </c>
      <c r="BC1488" s="4" t="s">
        <v>233</v>
      </c>
      <c r="BD1488" s="8" t="s">
        <v>233</v>
      </c>
      <c r="BE1488" s="4" t="s">
        <v>233</v>
      </c>
      <c r="BF1488" s="8" t="s">
        <v>233</v>
      </c>
      <c r="BG1488" s="7" t="s">
        <v>233</v>
      </c>
      <c r="BH1488" s="7" t="s">
        <v>233</v>
      </c>
      <c r="BI1488" s="7"/>
      <c r="BJ1488" s="4"/>
      <c r="BK1488" s="8"/>
      <c r="BL1488" s="2" t="s">
        <v>233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243</v>
      </c>
      <c r="BV1488" s="2" t="s">
        <v>233</v>
      </c>
      <c r="BW1488" s="2" t="s">
        <v>233</v>
      </c>
      <c r="BX1488" s="2" t="s">
        <v>243</v>
      </c>
      <c r="BY1488" s="2" t="s">
        <v>244</v>
      </c>
      <c r="BZ1488" s="2" t="s">
        <v>245</v>
      </c>
      <c r="CA1488" s="2" t="s">
        <v>233</v>
      </c>
      <c r="CB1488" s="2" t="s">
        <v>233</v>
      </c>
      <c r="CC1488" s="2" t="s">
        <v>246</v>
      </c>
      <c r="CD1488" s="2" t="s">
        <v>233</v>
      </c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>
        <v>40</v>
      </c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>
        <v>40</v>
      </c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  <c r="HM1488" s="4"/>
      <c r="HN1488" s="4"/>
      <c r="HO1488" s="4"/>
      <c r="HP1488" s="4"/>
      <c r="HQ1488" s="4"/>
      <c r="HR1488" s="4"/>
    </row>
    <row r="1489">
      <c r="A1489" s="2" t="s">
        <v>7163</v>
      </c>
      <c r="B1489" s="2" t="s">
        <v>228</v>
      </c>
      <c r="C1489" s="2" t="s">
        <v>334</v>
      </c>
      <c r="D1489" s="2" t="s">
        <v>969</v>
      </c>
      <c r="E1489" s="2" t="s">
        <v>970</v>
      </c>
      <c r="F1489" s="2" t="s">
        <v>7164</v>
      </c>
      <c r="G1489" s="2" t="s">
        <v>7165</v>
      </c>
      <c r="H1489" s="2" t="s">
        <v>7165</v>
      </c>
      <c r="I1489" s="2" t="s">
        <v>7166</v>
      </c>
      <c r="J1489" s="2" t="s">
        <v>918</v>
      </c>
      <c r="K1489" s="2" t="s">
        <v>2530</v>
      </c>
      <c r="L1489" s="3">
        <v>19.46</v>
      </c>
      <c r="M1489" s="3">
        <v>20.43</v>
      </c>
      <c r="N1489" s="3">
        <v>39.99</v>
      </c>
      <c r="O1489" s="2" t="s">
        <v>245</v>
      </c>
      <c r="P1489" s="2" t="s">
        <v>272</v>
      </c>
      <c r="Q1489" s="2" t="s">
        <v>239</v>
      </c>
      <c r="R1489" s="2" t="s">
        <v>233</v>
      </c>
      <c r="S1489" s="2" t="s">
        <v>7167</v>
      </c>
      <c r="T1489" s="2" t="s">
        <v>395</v>
      </c>
      <c r="U1489" s="2" t="s">
        <v>233</v>
      </c>
      <c r="V1489" s="2" t="s">
        <v>241</v>
      </c>
      <c r="W1489" s="2" t="s">
        <v>275</v>
      </c>
      <c r="X1489" s="2" t="s">
        <v>233</v>
      </c>
      <c r="Y1489" s="2" t="s">
        <v>276</v>
      </c>
      <c r="Z1489" s="4">
        <v>439</v>
      </c>
      <c r="AA1489" s="4">
        <f>=ROUNDDOWN(29.2666666666667,0)</f>
      </c>
      <c r="AB1489" s="5">
        <v>15</v>
      </c>
      <c r="AC1489" s="2" t="s">
        <v>547</v>
      </c>
      <c r="AD1489" s="4">
        <v>200</v>
      </c>
      <c r="AE1489" s="4">
        <v>200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233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 t="s">
        <v>233</v>
      </c>
      <c r="BD1489" s="8" t="s">
        <v>233</v>
      </c>
      <c r="BE1489" s="4" t="s">
        <v>233</v>
      </c>
      <c r="BF1489" s="8" t="s">
        <v>233</v>
      </c>
      <c r="BG1489" s="7" t="s">
        <v>233</v>
      </c>
      <c r="BH1489" s="7" t="s">
        <v>233</v>
      </c>
      <c r="BI1489" s="7"/>
      <c r="BJ1489" s="4">
        <v>37</v>
      </c>
      <c r="BK1489" s="8">
        <v>752.28</v>
      </c>
      <c r="BL1489" s="2" t="s">
        <v>7168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7169</v>
      </c>
      <c r="BV1489" s="2" t="s">
        <v>233</v>
      </c>
      <c r="BW1489" s="2" t="s">
        <v>233</v>
      </c>
      <c r="BX1489" s="2" t="s">
        <v>233</v>
      </c>
      <c r="BY1489" s="2" t="s">
        <v>280</v>
      </c>
      <c r="BZ1489" s="2" t="s">
        <v>245</v>
      </c>
      <c r="CA1489" s="2" t="s">
        <v>281</v>
      </c>
      <c r="CB1489" s="2" t="s">
        <v>670</v>
      </c>
      <c r="CC1489" s="2" t="s">
        <v>246</v>
      </c>
      <c r="CD1489" s="2" t="s">
        <v>233</v>
      </c>
      <c r="CE1489" s="4">
        <v>413</v>
      </c>
      <c r="CF1489" s="4"/>
      <c r="CG1489" s="4"/>
      <c r="CH1489" s="4"/>
      <c r="CI1489" s="4">
        <v>26</v>
      </c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>
        <v>200</v>
      </c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  <c r="HM1489" s="4"/>
      <c r="HN1489" s="4"/>
      <c r="HO1489" s="4"/>
      <c r="HP1489" s="4"/>
      <c r="HQ1489" s="4"/>
      <c r="HR1489" s="4"/>
    </row>
    <row r="1490">
      <c r="A1490" s="2" t="s">
        <v>7170</v>
      </c>
      <c r="B1490" s="2" t="s">
        <v>228</v>
      </c>
      <c r="C1490" s="2" t="s">
        <v>334</v>
      </c>
      <c r="D1490" s="2" t="s">
        <v>969</v>
      </c>
      <c r="E1490" s="2" t="s">
        <v>970</v>
      </c>
      <c r="F1490" s="2" t="s">
        <v>7164</v>
      </c>
      <c r="G1490" s="2" t="s">
        <v>7165</v>
      </c>
      <c r="H1490" s="2" t="s">
        <v>7165</v>
      </c>
      <c r="I1490" s="2" t="s">
        <v>7166</v>
      </c>
      <c r="J1490" s="2" t="s">
        <v>918</v>
      </c>
      <c r="K1490" s="2" t="s">
        <v>7171</v>
      </c>
      <c r="L1490" s="3">
        <v>19.46</v>
      </c>
      <c r="M1490" s="3">
        <v>20.43</v>
      </c>
      <c r="N1490" s="3">
        <v>39.99</v>
      </c>
      <c r="O1490" s="2" t="s">
        <v>245</v>
      </c>
      <c r="P1490" s="2" t="s">
        <v>272</v>
      </c>
      <c r="Q1490" s="2" t="s">
        <v>239</v>
      </c>
      <c r="R1490" s="2" t="s">
        <v>233</v>
      </c>
      <c r="S1490" s="2" t="s">
        <v>7172</v>
      </c>
      <c r="T1490" s="2" t="s">
        <v>395</v>
      </c>
      <c r="U1490" s="2" t="s">
        <v>233</v>
      </c>
      <c r="V1490" s="2" t="s">
        <v>241</v>
      </c>
      <c r="W1490" s="2" t="s">
        <v>275</v>
      </c>
      <c r="X1490" s="2" t="s">
        <v>233</v>
      </c>
      <c r="Y1490" s="2" t="s">
        <v>276</v>
      </c>
      <c r="Z1490" s="4">
        <v>71</v>
      </c>
      <c r="AA1490" s="4">
        <f>=ROUNDDOWN(10.1428571428571,0)</f>
      </c>
      <c r="AB1490" s="5">
        <v>7</v>
      </c>
      <c r="AC1490" s="2" t="s">
        <v>319</v>
      </c>
      <c r="AD1490" s="4">
        <v>140</v>
      </c>
      <c r="AE1490" s="4">
        <v>370</v>
      </c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233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233</v>
      </c>
      <c r="AW1490" s="8" t="s">
        <v>233</v>
      </c>
      <c r="AX1490" s="4" t="s">
        <v>233</v>
      </c>
      <c r="AY1490" s="8" t="s">
        <v>233</v>
      </c>
      <c r="AZ1490" s="7" t="s">
        <v>233</v>
      </c>
      <c r="BA1490" s="7" t="s">
        <v>233</v>
      </c>
      <c r="BB1490" s="7"/>
      <c r="BC1490" s="4" t="s">
        <v>233</v>
      </c>
      <c r="BD1490" s="8" t="s">
        <v>233</v>
      </c>
      <c r="BE1490" s="4" t="s">
        <v>233</v>
      </c>
      <c r="BF1490" s="8" t="s">
        <v>233</v>
      </c>
      <c r="BG1490" s="7" t="s">
        <v>233</v>
      </c>
      <c r="BH1490" s="7" t="s">
        <v>233</v>
      </c>
      <c r="BI1490" s="7"/>
      <c r="BJ1490" s="4">
        <v>27</v>
      </c>
      <c r="BK1490" s="8">
        <v>561.72</v>
      </c>
      <c r="BL1490" s="2" t="s">
        <v>7173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7174</v>
      </c>
      <c r="BV1490" s="2" t="s">
        <v>233</v>
      </c>
      <c r="BW1490" s="2" t="s">
        <v>233</v>
      </c>
      <c r="BX1490" s="2" t="s">
        <v>233</v>
      </c>
      <c r="BY1490" s="2" t="s">
        <v>280</v>
      </c>
      <c r="BZ1490" s="2" t="s">
        <v>245</v>
      </c>
      <c r="CA1490" s="2" t="s">
        <v>281</v>
      </c>
      <c r="CB1490" s="2" t="s">
        <v>696</v>
      </c>
      <c r="CC1490" s="2" t="s">
        <v>246</v>
      </c>
      <c r="CD1490" s="2" t="s">
        <v>233</v>
      </c>
      <c r="CE1490" s="4">
        <v>71</v>
      </c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>
        <v>140</v>
      </c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>
        <v>170</v>
      </c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>
        <v>60</v>
      </c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  <c r="HM1490" s="4"/>
      <c r="HN1490" s="4"/>
      <c r="HO1490" s="4"/>
      <c r="HP1490" s="4"/>
      <c r="HQ1490" s="4"/>
      <c r="HR1490" s="4"/>
    </row>
    <row r="1491">
      <c r="A1491" s="2" t="s">
        <v>7175</v>
      </c>
      <c r="B1491" s="2" t="s">
        <v>228</v>
      </c>
      <c r="C1491" s="2" t="s">
        <v>334</v>
      </c>
      <c r="D1491" s="2" t="s">
        <v>969</v>
      </c>
      <c r="E1491" s="2" t="s">
        <v>970</v>
      </c>
      <c r="F1491" s="2" t="s">
        <v>7164</v>
      </c>
      <c r="G1491" s="2" t="s">
        <v>7165</v>
      </c>
      <c r="H1491" s="2" t="s">
        <v>7165</v>
      </c>
      <c r="I1491" s="2" t="s">
        <v>7166</v>
      </c>
      <c r="J1491" s="2" t="s">
        <v>328</v>
      </c>
      <c r="K1491" s="2" t="s">
        <v>7171</v>
      </c>
      <c r="L1491" s="3">
        <v>30.65</v>
      </c>
      <c r="M1491" s="3">
        <v>32.18</v>
      </c>
      <c r="N1491" s="3">
        <v>62.99</v>
      </c>
      <c r="O1491" s="2" t="s">
        <v>245</v>
      </c>
      <c r="P1491" s="2" t="s">
        <v>272</v>
      </c>
      <c r="Q1491" s="2" t="s">
        <v>239</v>
      </c>
      <c r="R1491" s="2" t="s">
        <v>233</v>
      </c>
      <c r="S1491" s="2" t="s">
        <v>7172</v>
      </c>
      <c r="T1491" s="2" t="s">
        <v>395</v>
      </c>
      <c r="U1491" s="2" t="s">
        <v>233</v>
      </c>
      <c r="V1491" s="2" t="s">
        <v>241</v>
      </c>
      <c r="W1491" s="2" t="s">
        <v>275</v>
      </c>
      <c r="X1491" s="2" t="s">
        <v>233</v>
      </c>
      <c r="Y1491" s="2" t="s">
        <v>276</v>
      </c>
      <c r="Z1491" s="4">
        <v>139</v>
      </c>
      <c r="AA1491" s="4">
        <f>=ROUNDDOWN(8.17647058823529,0)</f>
      </c>
      <c r="AB1491" s="5">
        <v>17</v>
      </c>
      <c r="AC1491" s="2" t="s">
        <v>319</v>
      </c>
      <c r="AD1491" s="4">
        <v>120</v>
      </c>
      <c r="AE1491" s="4">
        <v>350</v>
      </c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233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233</v>
      </c>
      <c r="AW1491" s="8" t="s">
        <v>233</v>
      </c>
      <c r="AX1491" s="4" t="s">
        <v>233</v>
      </c>
      <c r="AY1491" s="8" t="s">
        <v>233</v>
      </c>
      <c r="AZ1491" s="7" t="s">
        <v>233</v>
      </c>
      <c r="BA1491" s="7" t="s">
        <v>233</v>
      </c>
      <c r="BB1491" s="7"/>
      <c r="BC1491" s="4" t="s">
        <v>233</v>
      </c>
      <c r="BD1491" s="8" t="s">
        <v>233</v>
      </c>
      <c r="BE1491" s="4" t="s">
        <v>233</v>
      </c>
      <c r="BF1491" s="8" t="s">
        <v>233</v>
      </c>
      <c r="BG1491" s="7" t="s">
        <v>233</v>
      </c>
      <c r="BH1491" s="7" t="s">
        <v>233</v>
      </c>
      <c r="BI1491" s="7"/>
      <c r="BJ1491" s="4">
        <v>81</v>
      </c>
      <c r="BK1491" s="8">
        <v>2694.53</v>
      </c>
      <c r="BL1491" s="2" t="s">
        <v>7176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7177</v>
      </c>
      <c r="BV1491" s="2" t="s">
        <v>233</v>
      </c>
      <c r="BW1491" s="2" t="s">
        <v>233</v>
      </c>
      <c r="BX1491" s="2" t="s">
        <v>233</v>
      </c>
      <c r="BY1491" s="2" t="s">
        <v>280</v>
      </c>
      <c r="BZ1491" s="2" t="s">
        <v>245</v>
      </c>
      <c r="CA1491" s="2" t="s">
        <v>281</v>
      </c>
      <c r="CB1491" s="2" t="s">
        <v>7178</v>
      </c>
      <c r="CC1491" s="2" t="s">
        <v>246</v>
      </c>
      <c r="CD1491" s="2" t="s">
        <v>233</v>
      </c>
      <c r="CE1491" s="4">
        <v>139</v>
      </c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>
        <v>120</v>
      </c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>
        <v>100</v>
      </c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>
        <v>130</v>
      </c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  <c r="HM1491" s="4"/>
      <c r="HN1491" s="4"/>
      <c r="HO1491" s="4"/>
      <c r="HP1491" s="4"/>
      <c r="HQ1491" s="4"/>
      <c r="HR1491" s="4"/>
    </row>
    <row r="1492">
      <c r="A1492" s="2" t="s">
        <v>7179</v>
      </c>
      <c r="B1492" s="2" t="s">
        <v>228</v>
      </c>
      <c r="C1492" s="2" t="s">
        <v>334</v>
      </c>
      <c r="D1492" s="2" t="s">
        <v>969</v>
      </c>
      <c r="E1492" s="2" t="s">
        <v>970</v>
      </c>
      <c r="F1492" s="2" t="s">
        <v>7164</v>
      </c>
      <c r="G1492" s="2" t="s">
        <v>7165</v>
      </c>
      <c r="H1492" s="2" t="s">
        <v>7165</v>
      </c>
      <c r="I1492" s="2" t="s">
        <v>7166</v>
      </c>
      <c r="J1492" s="2" t="s">
        <v>918</v>
      </c>
      <c r="K1492" s="2" t="s">
        <v>7180</v>
      </c>
      <c r="L1492" s="3">
        <v>19.46</v>
      </c>
      <c r="M1492" s="3">
        <v>20.43</v>
      </c>
      <c r="N1492" s="3">
        <v>39.99</v>
      </c>
      <c r="O1492" s="2" t="s">
        <v>245</v>
      </c>
      <c r="P1492" s="2" t="s">
        <v>272</v>
      </c>
      <c r="Q1492" s="2" t="s">
        <v>239</v>
      </c>
      <c r="R1492" s="2" t="s">
        <v>233</v>
      </c>
      <c r="S1492" s="2" t="s">
        <v>7181</v>
      </c>
      <c r="T1492" s="2" t="s">
        <v>395</v>
      </c>
      <c r="U1492" s="2" t="s">
        <v>233</v>
      </c>
      <c r="V1492" s="2" t="s">
        <v>241</v>
      </c>
      <c r="W1492" s="2" t="s">
        <v>275</v>
      </c>
      <c r="X1492" s="2" t="s">
        <v>233</v>
      </c>
      <c r="Y1492" s="2" t="s">
        <v>276</v>
      </c>
      <c r="Z1492" s="4">
        <v>385</v>
      </c>
      <c r="AA1492" s="4">
        <f>=ROUNDDOWN(35,0)</f>
      </c>
      <c r="AB1492" s="5">
        <v>11</v>
      </c>
      <c r="AC1492" s="2" t="s">
        <v>3626</v>
      </c>
      <c r="AD1492" s="4">
        <v>130</v>
      </c>
      <c r="AE1492" s="4">
        <v>300</v>
      </c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233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 t="s">
        <v>233</v>
      </c>
      <c r="BD1492" s="8" t="s">
        <v>233</v>
      </c>
      <c r="BE1492" s="4" t="s">
        <v>233</v>
      </c>
      <c r="BF1492" s="8" t="s">
        <v>233</v>
      </c>
      <c r="BG1492" s="7" t="s">
        <v>233</v>
      </c>
      <c r="BH1492" s="7" t="s">
        <v>233</v>
      </c>
      <c r="BI1492" s="7"/>
      <c r="BJ1492" s="4">
        <v>32</v>
      </c>
      <c r="BK1492" s="8">
        <v>652.16</v>
      </c>
      <c r="BL1492" s="2" t="s">
        <v>7182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7183</v>
      </c>
      <c r="BV1492" s="2" t="s">
        <v>233</v>
      </c>
      <c r="BW1492" s="2" t="s">
        <v>233</v>
      </c>
      <c r="BX1492" s="2" t="s">
        <v>233</v>
      </c>
      <c r="BY1492" s="2" t="s">
        <v>280</v>
      </c>
      <c r="BZ1492" s="2" t="s">
        <v>245</v>
      </c>
      <c r="CA1492" s="2" t="s">
        <v>281</v>
      </c>
      <c r="CB1492" s="2" t="s">
        <v>6596</v>
      </c>
      <c r="CC1492" s="2" t="s">
        <v>246</v>
      </c>
      <c r="CD1492" s="2" t="s">
        <v>233</v>
      </c>
      <c r="CE1492" s="4">
        <v>385</v>
      </c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>
        <v>130</v>
      </c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>
        <v>170</v>
      </c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  <c r="HM1492" s="4"/>
      <c r="HN1492" s="4"/>
      <c r="HO1492" s="4"/>
      <c r="HP1492" s="4"/>
      <c r="HQ1492" s="4"/>
      <c r="HR1492" s="4"/>
    </row>
    <row r="1493">
      <c r="A1493" s="2" t="s">
        <v>7184</v>
      </c>
      <c r="B1493" s="2" t="s">
        <v>1017</v>
      </c>
      <c r="C1493" s="2" t="s">
        <v>530</v>
      </c>
      <c r="D1493" s="2" t="s">
        <v>1018</v>
      </c>
      <c r="E1493" s="2" t="s">
        <v>1019</v>
      </c>
      <c r="F1493" s="2" t="s">
        <v>7185</v>
      </c>
      <c r="G1493" s="2" t="s">
        <v>7186</v>
      </c>
      <c r="H1493" s="2" t="s">
        <v>7187</v>
      </c>
      <c r="I1493" s="2" t="s">
        <v>7188</v>
      </c>
      <c r="J1493" s="2" t="s">
        <v>1549</v>
      </c>
      <c r="K1493" s="2" t="s">
        <v>773</v>
      </c>
      <c r="L1493" s="3">
        <v>16.24</v>
      </c>
      <c r="M1493" s="3">
        <v>17.05</v>
      </c>
      <c r="N1493" s="3">
        <v>32.99</v>
      </c>
      <c r="O1493" s="2" t="s">
        <v>245</v>
      </c>
      <c r="P1493" s="2" t="s">
        <v>272</v>
      </c>
      <c r="Q1493" s="2" t="s">
        <v>239</v>
      </c>
      <c r="R1493" s="2" t="s">
        <v>233</v>
      </c>
      <c r="S1493" s="2" t="s">
        <v>7189</v>
      </c>
      <c r="T1493" s="2" t="s">
        <v>233</v>
      </c>
      <c r="U1493" s="2" t="s">
        <v>396</v>
      </c>
      <c r="V1493" s="2" t="s">
        <v>241</v>
      </c>
      <c r="W1493" s="2" t="s">
        <v>275</v>
      </c>
      <c r="X1493" s="2" t="s">
        <v>233</v>
      </c>
      <c r="Y1493" s="2" t="s">
        <v>7190</v>
      </c>
      <c r="Z1493" s="4">
        <v>425</v>
      </c>
      <c r="AA1493" s="4">
        <f>=ROUNDDOWN(20.2380952380952,0)</f>
      </c>
      <c r="AB1493" s="5">
        <v>21</v>
      </c>
      <c r="AC1493" s="2" t="s">
        <v>319</v>
      </c>
      <c r="AD1493" s="4">
        <v>150</v>
      </c>
      <c r="AE1493" s="4">
        <v>150</v>
      </c>
      <c r="AF1493" s="6">
        <v>69</v>
      </c>
      <c r="AG1493" s="6"/>
      <c r="AH1493" s="7">
        <v>1</v>
      </c>
      <c r="AI1493" s="4"/>
      <c r="AJ1493" s="4">
        <f>=ROUNDDOWN({0},0)</f>
      </c>
      <c r="AK1493" s="5"/>
      <c r="AL1493" s="2" t="s">
        <v>233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233</v>
      </c>
      <c r="AW1493" s="8" t="s">
        <v>233</v>
      </c>
      <c r="AX1493" s="4" t="s">
        <v>233</v>
      </c>
      <c r="AY1493" s="8" t="s">
        <v>233</v>
      </c>
      <c r="AZ1493" s="7" t="s">
        <v>233</v>
      </c>
      <c r="BA1493" s="7" t="s">
        <v>233</v>
      </c>
      <c r="BB1493" s="7"/>
      <c r="BC1493" s="4" t="s">
        <v>233</v>
      </c>
      <c r="BD1493" s="8" t="s">
        <v>233</v>
      </c>
      <c r="BE1493" s="4" t="s">
        <v>233</v>
      </c>
      <c r="BF1493" s="8" t="s">
        <v>233</v>
      </c>
      <c r="BG1493" s="7" t="s">
        <v>233</v>
      </c>
      <c r="BH1493" s="7" t="s">
        <v>233</v>
      </c>
      <c r="BI1493" s="7"/>
      <c r="BJ1493" s="4">
        <v>53</v>
      </c>
      <c r="BK1493" s="8">
        <v>938.44</v>
      </c>
      <c r="BL1493" s="2" t="s">
        <v>7191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7192</v>
      </c>
      <c r="BV1493" s="2" t="s">
        <v>233</v>
      </c>
      <c r="BW1493" s="2" t="s">
        <v>233</v>
      </c>
      <c r="BX1493" s="2" t="s">
        <v>233</v>
      </c>
      <c r="BY1493" s="2" t="s">
        <v>280</v>
      </c>
      <c r="BZ1493" s="2" t="s">
        <v>245</v>
      </c>
      <c r="CA1493" s="2" t="s">
        <v>2811</v>
      </c>
      <c r="CB1493" s="2" t="s">
        <v>4000</v>
      </c>
      <c r="CC1493" s="2" t="s">
        <v>246</v>
      </c>
      <c r="CD1493" s="2" t="s">
        <v>233</v>
      </c>
      <c r="CE1493" s="4">
        <v>425</v>
      </c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>
        <v>150</v>
      </c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  <c r="HM1493" s="4"/>
      <c r="HN1493" s="4"/>
      <c r="HO1493" s="4"/>
      <c r="HP1493" s="4"/>
      <c r="HQ1493" s="4"/>
      <c r="HR1493" s="4"/>
    </row>
    <row r="1494">
      <c r="A1494" s="2" t="s">
        <v>7193</v>
      </c>
      <c r="B1494" s="2" t="s">
        <v>1017</v>
      </c>
      <c r="C1494" s="2" t="s">
        <v>530</v>
      </c>
      <c r="D1494" s="2" t="s">
        <v>1018</v>
      </c>
      <c r="E1494" s="2" t="s">
        <v>1019</v>
      </c>
      <c r="F1494" s="2" t="s">
        <v>7185</v>
      </c>
      <c r="G1494" s="2" t="s">
        <v>7186</v>
      </c>
      <c r="H1494" s="2" t="s">
        <v>7187</v>
      </c>
      <c r="I1494" s="2" t="s">
        <v>7188</v>
      </c>
      <c r="J1494" s="2" t="s">
        <v>1046</v>
      </c>
      <c r="K1494" s="2" t="s">
        <v>773</v>
      </c>
      <c r="L1494" s="3">
        <v>23.63</v>
      </c>
      <c r="M1494" s="3">
        <v>24.81</v>
      </c>
      <c r="N1494" s="3">
        <v>47.99</v>
      </c>
      <c r="O1494" s="2" t="s">
        <v>245</v>
      </c>
      <c r="P1494" s="2" t="s">
        <v>272</v>
      </c>
      <c r="Q1494" s="2" t="s">
        <v>239</v>
      </c>
      <c r="R1494" s="2" t="s">
        <v>233</v>
      </c>
      <c r="S1494" s="2" t="s">
        <v>7189</v>
      </c>
      <c r="T1494" s="2" t="s">
        <v>233</v>
      </c>
      <c r="U1494" s="2" t="s">
        <v>396</v>
      </c>
      <c r="V1494" s="2" t="s">
        <v>241</v>
      </c>
      <c r="W1494" s="2" t="s">
        <v>275</v>
      </c>
      <c r="X1494" s="2" t="s">
        <v>233</v>
      </c>
      <c r="Y1494" s="2" t="s">
        <v>7190</v>
      </c>
      <c r="Z1494" s="4">
        <v>435</v>
      </c>
      <c r="AA1494" s="4">
        <f>=ROUNDDOWN(24.1666666666667,0)</f>
      </c>
      <c r="AB1494" s="5">
        <v>18</v>
      </c>
      <c r="AC1494" s="2" t="s">
        <v>319</v>
      </c>
      <c r="AD1494" s="4">
        <v>132</v>
      </c>
      <c r="AE1494" s="4">
        <v>132</v>
      </c>
      <c r="AF1494" s="6">
        <v>69</v>
      </c>
      <c r="AG1494" s="6"/>
      <c r="AH1494" s="7">
        <v>1</v>
      </c>
      <c r="AI1494" s="4"/>
      <c r="AJ1494" s="4">
        <f>=ROUNDDOWN({0},0)</f>
      </c>
      <c r="AK1494" s="5"/>
      <c r="AL1494" s="2" t="s">
        <v>233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233</v>
      </c>
      <c r="AW1494" s="8" t="s">
        <v>233</v>
      </c>
      <c r="AX1494" s="4" t="s">
        <v>233</v>
      </c>
      <c r="AY1494" s="8" t="s">
        <v>233</v>
      </c>
      <c r="AZ1494" s="7" t="s">
        <v>233</v>
      </c>
      <c r="BA1494" s="7" t="s">
        <v>233</v>
      </c>
      <c r="BB1494" s="7"/>
      <c r="BC1494" s="4" t="s">
        <v>233</v>
      </c>
      <c r="BD1494" s="8" t="s">
        <v>233</v>
      </c>
      <c r="BE1494" s="4" t="s">
        <v>233</v>
      </c>
      <c r="BF1494" s="8" t="s">
        <v>233</v>
      </c>
      <c r="BG1494" s="7" t="s">
        <v>233</v>
      </c>
      <c r="BH1494" s="7" t="s">
        <v>233</v>
      </c>
      <c r="BI1494" s="7"/>
      <c r="BJ1494" s="4">
        <v>40</v>
      </c>
      <c r="BK1494" s="8">
        <v>1048.16</v>
      </c>
      <c r="BL1494" s="2" t="s">
        <v>7194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7195</v>
      </c>
      <c r="BV1494" s="2" t="s">
        <v>233</v>
      </c>
      <c r="BW1494" s="2" t="s">
        <v>233</v>
      </c>
      <c r="BX1494" s="2" t="s">
        <v>233</v>
      </c>
      <c r="BY1494" s="2" t="s">
        <v>280</v>
      </c>
      <c r="BZ1494" s="2" t="s">
        <v>245</v>
      </c>
      <c r="CA1494" s="2" t="s">
        <v>2811</v>
      </c>
      <c r="CB1494" s="2" t="s">
        <v>1378</v>
      </c>
      <c r="CC1494" s="2" t="s">
        <v>246</v>
      </c>
      <c r="CD1494" s="2" t="s">
        <v>233</v>
      </c>
      <c r="CE1494" s="4">
        <v>435</v>
      </c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>
        <v>132</v>
      </c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  <c r="HM1494" s="4"/>
      <c r="HN1494" s="4"/>
      <c r="HO1494" s="4"/>
      <c r="HP1494" s="4"/>
      <c r="HQ1494" s="4"/>
      <c r="HR1494" s="4"/>
    </row>
    <row r="1495">
      <c r="A1495" s="2" t="s">
        <v>7196</v>
      </c>
      <c r="B1495" s="2" t="s">
        <v>1066</v>
      </c>
      <c r="C1495" s="2" t="s">
        <v>1157</v>
      </c>
      <c r="D1495" s="2" t="s">
        <v>1090</v>
      </c>
      <c r="E1495" s="2" t="s">
        <v>1091</v>
      </c>
      <c r="F1495" s="2" t="s">
        <v>2731</v>
      </c>
      <c r="G1495" s="2" t="s">
        <v>2731</v>
      </c>
      <c r="H1495" s="2" t="s">
        <v>2731</v>
      </c>
      <c r="I1495" s="2" t="s">
        <v>7197</v>
      </c>
      <c r="J1495" s="2" t="s">
        <v>892</v>
      </c>
      <c r="K1495" s="2" t="s">
        <v>1760</v>
      </c>
      <c r="L1495" s="3">
        <v>101.26</v>
      </c>
      <c r="M1495" s="3">
        <v>106.32</v>
      </c>
      <c r="N1495" s="3">
        <v>199.99</v>
      </c>
      <c r="O1495" s="2" t="s">
        <v>237</v>
      </c>
      <c r="P1495" s="2" t="s">
        <v>311</v>
      </c>
      <c r="Q1495" s="2" t="s">
        <v>239</v>
      </c>
      <c r="R1495" s="2" t="s">
        <v>233</v>
      </c>
      <c r="S1495" s="2" t="s">
        <v>233</v>
      </c>
      <c r="T1495" s="2" t="s">
        <v>233</v>
      </c>
      <c r="U1495" s="2" t="s">
        <v>233</v>
      </c>
      <c r="V1495" s="2" t="s">
        <v>893</v>
      </c>
      <c r="W1495" s="2" t="s">
        <v>397</v>
      </c>
      <c r="X1495" s="2" t="s">
        <v>451</v>
      </c>
      <c r="Y1495" s="2" t="s">
        <v>7198</v>
      </c>
      <c r="Z1495" s="4">
        <v>242</v>
      </c>
      <c r="AA1495" s="4">
        <f>=ROUNDDOWN(403.333333333333,0)</f>
      </c>
      <c r="AB1495" s="5">
        <v>0.6</v>
      </c>
      <c r="AC1495" s="2" t="s">
        <v>233</v>
      </c>
      <c r="AD1495" s="4"/>
      <c r="AE1495" s="4"/>
      <c r="AF1495" s="6">
        <v>74</v>
      </c>
      <c r="AG1495" s="6"/>
      <c r="AH1495" s="7">
        <v>1</v>
      </c>
      <c r="AI1495" s="4"/>
      <c r="AJ1495" s="4">
        <f>=ROUNDDOWN({0},0)</f>
      </c>
      <c r="AK1495" s="5"/>
      <c r="AL1495" s="2" t="s">
        <v>233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 t="s">
        <v>233</v>
      </c>
      <c r="BD1495" s="8" t="s">
        <v>233</v>
      </c>
      <c r="BE1495" s="4" t="s">
        <v>233</v>
      </c>
      <c r="BF1495" s="8" t="s">
        <v>233</v>
      </c>
      <c r="BG1495" s="7" t="s">
        <v>233</v>
      </c>
      <c r="BH1495" s="7" t="s">
        <v>233</v>
      </c>
      <c r="BI1495" s="7"/>
      <c r="BJ1495" s="4">
        <v>1</v>
      </c>
      <c r="BK1495" s="8">
        <v>119.08</v>
      </c>
      <c r="BL1495" s="2" t="s">
        <v>6874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7199</v>
      </c>
      <c r="BV1495" s="2" t="s">
        <v>233</v>
      </c>
      <c r="BW1495" s="2" t="s">
        <v>233</v>
      </c>
      <c r="BX1495" s="2" t="s">
        <v>233</v>
      </c>
      <c r="BY1495" s="2" t="s">
        <v>280</v>
      </c>
      <c r="BZ1495" s="2" t="s">
        <v>245</v>
      </c>
      <c r="CA1495" s="2" t="s">
        <v>5835</v>
      </c>
      <c r="CB1495" s="2" t="s">
        <v>7200</v>
      </c>
      <c r="CC1495" s="2" t="s">
        <v>246</v>
      </c>
      <c r="CD1495" s="2" t="s">
        <v>233</v>
      </c>
      <c r="CE1495" s="4"/>
      <c r="CF1495" s="4">
        <v>242</v>
      </c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  <c r="HM1495" s="4"/>
      <c r="HN1495" s="4"/>
      <c r="HO1495" s="4"/>
      <c r="HP1495" s="4"/>
      <c r="HQ1495" s="4"/>
      <c r="HR1495" s="4"/>
    </row>
    <row r="1496">
      <c r="A1496" s="2" t="s">
        <v>7201</v>
      </c>
      <c r="B1496" s="2" t="s">
        <v>1017</v>
      </c>
      <c r="C1496" s="2" t="s">
        <v>530</v>
      </c>
      <c r="D1496" s="2" t="s">
        <v>1565</v>
      </c>
      <c r="E1496" s="2" t="s">
        <v>1566</v>
      </c>
      <c r="F1496" s="2" t="s">
        <v>2731</v>
      </c>
      <c r="G1496" s="2" t="s">
        <v>7202</v>
      </c>
      <c r="H1496" s="2" t="s">
        <v>7203</v>
      </c>
      <c r="I1496" s="2" t="s">
        <v>7204</v>
      </c>
      <c r="J1496" s="2" t="s">
        <v>1568</v>
      </c>
      <c r="K1496" s="2" t="s">
        <v>7205</v>
      </c>
      <c r="L1496" s="3">
        <v>13.11</v>
      </c>
      <c r="M1496" s="3">
        <v>13.77</v>
      </c>
      <c r="N1496" s="3">
        <v>26.99</v>
      </c>
      <c r="O1496" s="2" t="s">
        <v>245</v>
      </c>
      <c r="P1496" s="2" t="s">
        <v>272</v>
      </c>
      <c r="Q1496" s="2" t="s">
        <v>239</v>
      </c>
      <c r="R1496" s="2" t="s">
        <v>233</v>
      </c>
      <c r="S1496" s="2" t="s">
        <v>7206</v>
      </c>
      <c r="T1496" s="2" t="s">
        <v>233</v>
      </c>
      <c r="U1496" s="2" t="s">
        <v>233</v>
      </c>
      <c r="V1496" s="2" t="s">
        <v>1483</v>
      </c>
      <c r="W1496" s="2" t="s">
        <v>451</v>
      </c>
      <c r="X1496" s="2" t="s">
        <v>233</v>
      </c>
      <c r="Y1496" s="2" t="s">
        <v>276</v>
      </c>
      <c r="Z1496" s="4">
        <v>337</v>
      </c>
      <c r="AA1496" s="4">
        <f>=ROUNDDOWN(14.4635193133047,0)</f>
      </c>
      <c r="AB1496" s="5">
        <v>23.3</v>
      </c>
      <c r="AC1496" s="2" t="s">
        <v>1701</v>
      </c>
      <c r="AD1496" s="4">
        <v>140</v>
      </c>
      <c r="AE1496" s="4">
        <v>620</v>
      </c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233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 t="s">
        <v>233</v>
      </c>
      <c r="BD1496" s="8" t="s">
        <v>233</v>
      </c>
      <c r="BE1496" s="4" t="s">
        <v>233</v>
      </c>
      <c r="BF1496" s="8" t="s">
        <v>233</v>
      </c>
      <c r="BG1496" s="7" t="s">
        <v>233</v>
      </c>
      <c r="BH1496" s="7" t="s">
        <v>233</v>
      </c>
      <c r="BI1496" s="7"/>
      <c r="BJ1496" s="4">
        <v>83</v>
      </c>
      <c r="BK1496" s="8">
        <v>1265.01</v>
      </c>
      <c r="BL1496" s="2" t="s">
        <v>7207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7208</v>
      </c>
      <c r="BV1496" s="2" t="s">
        <v>233</v>
      </c>
      <c r="BW1496" s="2" t="s">
        <v>233</v>
      </c>
      <c r="BX1496" s="2" t="s">
        <v>233</v>
      </c>
      <c r="BY1496" s="2" t="s">
        <v>280</v>
      </c>
      <c r="BZ1496" s="2" t="s">
        <v>245</v>
      </c>
      <c r="CA1496" s="2" t="s">
        <v>281</v>
      </c>
      <c r="CB1496" s="2" t="s">
        <v>528</v>
      </c>
      <c r="CC1496" s="2" t="s">
        <v>246</v>
      </c>
      <c r="CD1496" s="2" t="s">
        <v>233</v>
      </c>
      <c r="CE1496" s="4">
        <v>257</v>
      </c>
      <c r="CF1496" s="4"/>
      <c r="CG1496" s="4"/>
      <c r="CH1496" s="4"/>
      <c r="CI1496" s="4"/>
      <c r="CJ1496" s="4"/>
      <c r="CK1496" s="4"/>
      <c r="CL1496" s="4">
        <v>80</v>
      </c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>
        <v>140</v>
      </c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>
        <v>240</v>
      </c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>
        <v>240</v>
      </c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  <c r="HM1496" s="4"/>
      <c r="HN1496" s="4"/>
      <c r="HO1496" s="4"/>
      <c r="HP1496" s="4"/>
      <c r="HQ1496" s="4"/>
      <c r="HR1496" s="4"/>
    </row>
    <row r="1497">
      <c r="A1497" s="2" t="s">
        <v>7209</v>
      </c>
      <c r="B1497" s="2" t="s">
        <v>1066</v>
      </c>
      <c r="C1497" s="2" t="s">
        <v>1321</v>
      </c>
      <c r="D1497" s="2" t="s">
        <v>1322</v>
      </c>
      <c r="E1497" s="2" t="s">
        <v>243</v>
      </c>
      <c r="F1497" s="2" t="s">
        <v>6780</v>
      </c>
      <c r="G1497" s="2" t="s">
        <v>6780</v>
      </c>
      <c r="H1497" s="2" t="s">
        <v>6780</v>
      </c>
      <c r="I1497" s="2" t="s">
        <v>233</v>
      </c>
      <c r="J1497" s="2" t="s">
        <v>7210</v>
      </c>
      <c r="K1497" s="2" t="s">
        <v>645</v>
      </c>
      <c r="L1497" s="3">
        <v>180.71</v>
      </c>
      <c r="M1497" s="3"/>
      <c r="N1497" s="3"/>
      <c r="O1497" s="2" t="s">
        <v>237</v>
      </c>
      <c r="P1497" s="2" t="s">
        <v>233</v>
      </c>
      <c r="Q1497" s="2" t="s">
        <v>233</v>
      </c>
      <c r="R1497" s="2" t="s">
        <v>233</v>
      </c>
      <c r="S1497" s="2" t="s">
        <v>233</v>
      </c>
      <c r="T1497" s="2" t="s">
        <v>233</v>
      </c>
      <c r="U1497" s="2" t="s">
        <v>233</v>
      </c>
      <c r="V1497" s="2" t="s">
        <v>233</v>
      </c>
      <c r="W1497" s="2" t="s">
        <v>233</v>
      </c>
      <c r="X1497" s="2" t="s">
        <v>233</v>
      </c>
      <c r="Y1497" s="2" t="s">
        <v>233</v>
      </c>
      <c r="Z1497" s="4"/>
      <c r="AA1497" s="4">
        <f>=ROUNDDOWN({0},0)</f>
      </c>
      <c r="AB1497" s="5"/>
      <c r="AC1497" s="2" t="s">
        <v>233</v>
      </c>
      <c r="AD1497" s="4"/>
      <c r="AE1497" s="4"/>
      <c r="AF1497" s="6"/>
      <c r="AG1497" s="6"/>
      <c r="AH1497" s="7">
        <v>0</v>
      </c>
      <c r="AI1497" s="4"/>
      <c r="AJ1497" s="4">
        <f>=ROUNDDOWN({0},0)</f>
      </c>
      <c r="AK1497" s="5"/>
      <c r="AL1497" s="2" t="s">
        <v>233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/>
      <c r="BD1497" s="8"/>
      <c r="BE1497" s="4"/>
      <c r="BF1497" s="8"/>
      <c r="BG1497" s="7"/>
      <c r="BH1497" s="7"/>
      <c r="BI1497" s="7"/>
      <c r="BJ1497" s="4"/>
      <c r="BK1497" s="8"/>
      <c r="BL1497" s="2" t="s">
        <v>233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233</v>
      </c>
      <c r="BV1497" s="2" t="s">
        <v>233</v>
      </c>
      <c r="BW1497" s="2" t="s">
        <v>233</v>
      </c>
      <c r="BX1497" s="2" t="s">
        <v>233</v>
      </c>
      <c r="BY1497" s="2" t="s">
        <v>233</v>
      </c>
      <c r="BZ1497" s="2" t="s">
        <v>233</v>
      </c>
      <c r="CA1497" s="2" t="s">
        <v>233</v>
      </c>
      <c r="CB1497" s="2" t="s">
        <v>233</v>
      </c>
      <c r="CC1497" s="2" t="s">
        <v>233</v>
      </c>
      <c r="CD1497" s="2" t="s">
        <v>233</v>
      </c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  <c r="HM1497" s="4"/>
      <c r="HN1497" s="4"/>
      <c r="HO1497" s="4"/>
      <c r="HP1497" s="4"/>
      <c r="HQ1497" s="4"/>
      <c r="HR1497" s="4"/>
    </row>
    <row r="1498">
      <c r="A1498" s="2" t="s">
        <v>7211</v>
      </c>
      <c r="B1498" s="2" t="s">
        <v>228</v>
      </c>
      <c r="C1498" s="2" t="s">
        <v>1050</v>
      </c>
      <c r="D1498" s="2" t="s">
        <v>969</v>
      </c>
      <c r="E1498" s="2" t="s">
        <v>970</v>
      </c>
      <c r="F1498" s="2" t="s">
        <v>7212</v>
      </c>
      <c r="G1498" s="2" t="s">
        <v>7213</v>
      </c>
      <c r="H1498" s="2" t="s">
        <v>7213</v>
      </c>
      <c r="I1498" s="2" t="s">
        <v>7214</v>
      </c>
      <c r="J1498" s="2" t="s">
        <v>981</v>
      </c>
      <c r="K1498" s="2" t="s">
        <v>569</v>
      </c>
      <c r="L1498" s="3">
        <v>40.4</v>
      </c>
      <c r="M1498" s="3">
        <v>42.42</v>
      </c>
      <c r="N1498" s="3">
        <v>89.99</v>
      </c>
      <c r="O1498" s="2" t="s">
        <v>237</v>
      </c>
      <c r="P1498" s="2" t="s">
        <v>311</v>
      </c>
      <c r="Q1498" s="2" t="s">
        <v>239</v>
      </c>
      <c r="R1498" s="2" t="s">
        <v>233</v>
      </c>
      <c r="S1498" s="2" t="s">
        <v>7215</v>
      </c>
      <c r="T1498" s="2" t="s">
        <v>1055</v>
      </c>
      <c r="U1498" s="2" t="s">
        <v>475</v>
      </c>
      <c r="V1498" s="2" t="s">
        <v>241</v>
      </c>
      <c r="W1498" s="2" t="s">
        <v>275</v>
      </c>
      <c r="X1498" s="2" t="s">
        <v>233</v>
      </c>
      <c r="Y1498" s="2" t="s">
        <v>1429</v>
      </c>
      <c r="Z1498" s="4">
        <v>619</v>
      </c>
      <c r="AA1498" s="4">
        <f>=ROUNDDOWN(1547.5,0)</f>
      </c>
      <c r="AB1498" s="5">
        <v>0.4</v>
      </c>
      <c r="AC1498" s="2" t="s">
        <v>233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233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233</v>
      </c>
      <c r="AW1498" s="8" t="s">
        <v>233</v>
      </c>
      <c r="AX1498" s="4" t="s">
        <v>233</v>
      </c>
      <c r="AY1498" s="8" t="s">
        <v>233</v>
      </c>
      <c r="AZ1498" s="7" t="s">
        <v>233</v>
      </c>
      <c r="BA1498" s="7" t="s">
        <v>233</v>
      </c>
      <c r="BB1498" s="7"/>
      <c r="BC1498" s="4" t="s">
        <v>233</v>
      </c>
      <c r="BD1498" s="8" t="s">
        <v>233</v>
      </c>
      <c r="BE1498" s="4" t="s">
        <v>233</v>
      </c>
      <c r="BF1498" s="8" t="s">
        <v>233</v>
      </c>
      <c r="BG1498" s="7" t="s">
        <v>233</v>
      </c>
      <c r="BH1498" s="7" t="s">
        <v>233</v>
      </c>
      <c r="BI1498" s="7"/>
      <c r="BJ1498" s="4">
        <v>2</v>
      </c>
      <c r="BK1498" s="8">
        <v>62.35</v>
      </c>
      <c r="BL1498" s="2" t="s">
        <v>7216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7217</v>
      </c>
      <c r="BV1498" s="2" t="s">
        <v>233</v>
      </c>
      <c r="BW1498" s="2" t="s">
        <v>233</v>
      </c>
      <c r="BX1498" s="2" t="s">
        <v>233</v>
      </c>
      <c r="BY1498" s="2" t="s">
        <v>280</v>
      </c>
      <c r="BZ1498" s="2" t="s">
        <v>245</v>
      </c>
      <c r="CA1498" s="2" t="s">
        <v>3464</v>
      </c>
      <c r="CB1498" s="2" t="s">
        <v>2259</v>
      </c>
      <c r="CC1498" s="2" t="s">
        <v>246</v>
      </c>
      <c r="CD1498" s="2" t="s">
        <v>233</v>
      </c>
      <c r="CE1498" s="4">
        <v>619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  <c r="HM1498" s="4"/>
      <c r="HN1498" s="4"/>
      <c r="HO1498" s="4"/>
      <c r="HP1498" s="4"/>
      <c r="HQ1498" s="4"/>
      <c r="HR1498" s="4"/>
    </row>
    <row r="1499">
      <c r="A1499" s="2" t="s">
        <v>7218</v>
      </c>
      <c r="B1499" s="2" t="s">
        <v>228</v>
      </c>
      <c r="C1499" s="2" t="s">
        <v>1050</v>
      </c>
      <c r="D1499" s="2" t="s">
        <v>969</v>
      </c>
      <c r="E1499" s="2" t="s">
        <v>970</v>
      </c>
      <c r="F1499" s="2" t="s">
        <v>7212</v>
      </c>
      <c r="G1499" s="2" t="s">
        <v>7213</v>
      </c>
      <c r="H1499" s="2" t="s">
        <v>7213</v>
      </c>
      <c r="I1499" s="2" t="s">
        <v>7214</v>
      </c>
      <c r="J1499" s="2" t="s">
        <v>1142</v>
      </c>
      <c r="K1499" s="2" t="s">
        <v>569</v>
      </c>
      <c r="L1499" s="3">
        <v>44.9</v>
      </c>
      <c r="M1499" s="3">
        <v>47.15</v>
      </c>
      <c r="N1499" s="3">
        <v>99.99</v>
      </c>
      <c r="O1499" s="2" t="s">
        <v>237</v>
      </c>
      <c r="P1499" s="2" t="s">
        <v>311</v>
      </c>
      <c r="Q1499" s="2" t="s">
        <v>239</v>
      </c>
      <c r="R1499" s="2" t="s">
        <v>233</v>
      </c>
      <c r="S1499" s="2" t="s">
        <v>7215</v>
      </c>
      <c r="T1499" s="2" t="s">
        <v>1055</v>
      </c>
      <c r="U1499" s="2" t="s">
        <v>475</v>
      </c>
      <c r="V1499" s="2" t="s">
        <v>241</v>
      </c>
      <c r="W1499" s="2" t="s">
        <v>275</v>
      </c>
      <c r="X1499" s="2" t="s">
        <v>233</v>
      </c>
      <c r="Y1499" s="2" t="s">
        <v>1429</v>
      </c>
      <c r="Z1499" s="4">
        <v>339</v>
      </c>
      <c r="AA1499" s="4">
        <f>=ROUNDDOWN(211.875,0)</f>
      </c>
      <c r="AB1499" s="5">
        <v>1.6</v>
      </c>
      <c r="AC1499" s="2" t="s">
        <v>233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233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233</v>
      </c>
      <c r="AW1499" s="8" t="s">
        <v>233</v>
      </c>
      <c r="AX1499" s="4" t="s">
        <v>233</v>
      </c>
      <c r="AY1499" s="8" t="s">
        <v>233</v>
      </c>
      <c r="AZ1499" s="7" t="s">
        <v>233</v>
      </c>
      <c r="BA1499" s="7" t="s">
        <v>233</v>
      </c>
      <c r="BB1499" s="7"/>
      <c r="BC1499" s="4" t="s">
        <v>233</v>
      </c>
      <c r="BD1499" s="8" t="s">
        <v>233</v>
      </c>
      <c r="BE1499" s="4" t="s">
        <v>233</v>
      </c>
      <c r="BF1499" s="8" t="s">
        <v>233</v>
      </c>
      <c r="BG1499" s="7" t="s">
        <v>233</v>
      </c>
      <c r="BH1499" s="7" t="s">
        <v>233</v>
      </c>
      <c r="BI1499" s="7"/>
      <c r="BJ1499" s="4">
        <v>10</v>
      </c>
      <c r="BK1499" s="8">
        <v>440.68</v>
      </c>
      <c r="BL1499" s="2" t="s">
        <v>7219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7220</v>
      </c>
      <c r="BV1499" s="2" t="s">
        <v>233</v>
      </c>
      <c r="BW1499" s="2" t="s">
        <v>233</v>
      </c>
      <c r="BX1499" s="2" t="s">
        <v>233</v>
      </c>
      <c r="BY1499" s="2" t="s">
        <v>280</v>
      </c>
      <c r="BZ1499" s="2" t="s">
        <v>245</v>
      </c>
      <c r="CA1499" s="2" t="s">
        <v>3464</v>
      </c>
      <c r="CB1499" s="2" t="s">
        <v>7221</v>
      </c>
      <c r="CC1499" s="2" t="s">
        <v>246</v>
      </c>
      <c r="CD1499" s="2" t="s">
        <v>233</v>
      </c>
      <c r="CE1499" s="4">
        <v>339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  <c r="HM1499" s="4"/>
      <c r="HN1499" s="4"/>
      <c r="HO1499" s="4"/>
      <c r="HP1499" s="4"/>
      <c r="HQ1499" s="4"/>
      <c r="HR1499" s="4"/>
    </row>
    <row r="1500">
      <c r="A1500" s="2" t="s">
        <v>7222</v>
      </c>
      <c r="B1500" s="2" t="s">
        <v>1242</v>
      </c>
      <c r="C1500" s="2" t="s">
        <v>530</v>
      </c>
      <c r="D1500" s="2" t="s">
        <v>969</v>
      </c>
      <c r="E1500" s="2" t="s">
        <v>3334</v>
      </c>
      <c r="F1500" s="2" t="s">
        <v>7223</v>
      </c>
      <c r="G1500" s="2" t="s">
        <v>7224</v>
      </c>
      <c r="H1500" s="2" t="s">
        <v>7225</v>
      </c>
      <c r="I1500" s="2" t="s">
        <v>7226</v>
      </c>
      <c r="J1500" s="2" t="s">
        <v>546</v>
      </c>
      <c r="K1500" s="2" t="s">
        <v>1105</v>
      </c>
      <c r="L1500" s="3">
        <v>107.8</v>
      </c>
      <c r="M1500" s="3">
        <v>113.19</v>
      </c>
      <c r="N1500" s="3">
        <v>219.99</v>
      </c>
      <c r="O1500" s="2" t="s">
        <v>237</v>
      </c>
      <c r="P1500" s="2" t="s">
        <v>311</v>
      </c>
      <c r="Q1500" s="2" t="s">
        <v>239</v>
      </c>
      <c r="R1500" s="2" t="s">
        <v>233</v>
      </c>
      <c r="S1500" s="2" t="s">
        <v>7227</v>
      </c>
      <c r="T1500" s="2" t="s">
        <v>233</v>
      </c>
      <c r="U1500" s="2" t="s">
        <v>2458</v>
      </c>
      <c r="V1500" s="2" t="s">
        <v>1456</v>
      </c>
      <c r="W1500" s="2" t="s">
        <v>705</v>
      </c>
      <c r="X1500" s="2" t="s">
        <v>7228</v>
      </c>
      <c r="Y1500" s="2" t="s">
        <v>3691</v>
      </c>
      <c r="Z1500" s="4">
        <v>8</v>
      </c>
      <c r="AA1500" s="4">
        <f>=ROUNDDOWN(6.66666666666667,0)</f>
      </c>
      <c r="AB1500" s="5">
        <v>1.2</v>
      </c>
      <c r="AC1500" s="2" t="s">
        <v>233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233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/>
      <c r="BD1500" s="8"/>
      <c r="BE1500" s="4"/>
      <c r="BF1500" s="8"/>
      <c r="BG1500" s="7"/>
      <c r="BH1500" s="7"/>
      <c r="BI1500" s="7"/>
      <c r="BJ1500" s="4">
        <v>6</v>
      </c>
      <c r="BK1500" s="8">
        <v>474.45</v>
      </c>
      <c r="BL1500" s="2" t="s">
        <v>7229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7230</v>
      </c>
      <c r="BV1500" s="2" t="s">
        <v>233</v>
      </c>
      <c r="BW1500" s="2" t="s">
        <v>233</v>
      </c>
      <c r="BX1500" s="2" t="s">
        <v>233</v>
      </c>
      <c r="BY1500" s="2" t="s">
        <v>280</v>
      </c>
      <c r="BZ1500" s="2" t="s">
        <v>245</v>
      </c>
      <c r="CA1500" s="2" t="s">
        <v>7231</v>
      </c>
      <c r="CB1500" s="2" t="s">
        <v>1357</v>
      </c>
      <c r="CC1500" s="2" t="s">
        <v>246</v>
      </c>
      <c r="CD1500" s="2" t="s">
        <v>233</v>
      </c>
      <c r="CE1500" s="4">
        <v>8</v>
      </c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  <c r="HM1500" s="4"/>
      <c r="HN1500" s="4"/>
      <c r="HO1500" s="4"/>
      <c r="HP1500" s="4"/>
      <c r="HQ1500" s="4"/>
      <c r="HR1500" s="4"/>
    </row>
    <row r="1501">
      <c r="A1501" s="2" t="s">
        <v>7232</v>
      </c>
      <c r="B1501" s="2" t="s">
        <v>1066</v>
      </c>
      <c r="C1501" s="2" t="s">
        <v>901</v>
      </c>
      <c r="D1501" s="2" t="s">
        <v>1782</v>
      </c>
      <c r="E1501" s="2" t="s">
        <v>7233</v>
      </c>
      <c r="F1501" s="2" t="s">
        <v>7234</v>
      </c>
      <c r="G1501" s="2" t="s">
        <v>7234</v>
      </c>
      <c r="H1501" s="2" t="s">
        <v>7234</v>
      </c>
      <c r="I1501" s="2" t="s">
        <v>7235</v>
      </c>
      <c r="J1501" s="2" t="s">
        <v>892</v>
      </c>
      <c r="K1501" s="2" t="s">
        <v>238</v>
      </c>
      <c r="L1501" s="3">
        <v>225</v>
      </c>
      <c r="M1501" s="3">
        <v>236.25</v>
      </c>
      <c r="N1501" s="3">
        <v>459</v>
      </c>
      <c r="O1501" s="2" t="s">
        <v>245</v>
      </c>
      <c r="P1501" s="2" t="s">
        <v>1916</v>
      </c>
      <c r="Q1501" s="2" t="s">
        <v>239</v>
      </c>
      <c r="R1501" s="2" t="s">
        <v>233</v>
      </c>
      <c r="S1501" s="2" t="s">
        <v>233</v>
      </c>
      <c r="T1501" s="2" t="s">
        <v>233</v>
      </c>
      <c r="U1501" s="2" t="s">
        <v>396</v>
      </c>
      <c r="V1501" s="2" t="s">
        <v>893</v>
      </c>
      <c r="W1501" s="2" t="s">
        <v>233</v>
      </c>
      <c r="X1501" s="2" t="s">
        <v>233</v>
      </c>
      <c r="Y1501" s="2" t="s">
        <v>6940</v>
      </c>
      <c r="Z1501" s="4"/>
      <c r="AA1501" s="4">
        <f>=ROUNDDOWN({0},0)</f>
      </c>
      <c r="AB1501" s="5"/>
      <c r="AC1501" s="2" t="s">
        <v>7236</v>
      </c>
      <c r="AD1501" s="4">
        <v>100</v>
      </c>
      <c r="AE1501" s="4">
        <v>100</v>
      </c>
      <c r="AF1501" s="6">
        <v>74</v>
      </c>
      <c r="AG1501" s="6"/>
      <c r="AH1501" s="7">
        <v>0</v>
      </c>
      <c r="AI1501" s="4"/>
      <c r="AJ1501" s="4">
        <f>=ROUNDDOWN({0},0)</f>
      </c>
      <c r="AK1501" s="5"/>
      <c r="AL1501" s="2" t="s">
        <v>233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233</v>
      </c>
      <c r="AW1501" s="8" t="s">
        <v>233</v>
      </c>
      <c r="AX1501" s="4" t="s">
        <v>233</v>
      </c>
      <c r="AY1501" s="8" t="s">
        <v>233</v>
      </c>
      <c r="AZ1501" s="7" t="s">
        <v>233</v>
      </c>
      <c r="BA1501" s="7" t="s">
        <v>233</v>
      </c>
      <c r="BB1501" s="7" t="s">
        <v>233</v>
      </c>
      <c r="BC1501" s="4" t="s">
        <v>233</v>
      </c>
      <c r="BD1501" s="8" t="s">
        <v>233</v>
      </c>
      <c r="BE1501" s="4" t="s">
        <v>233</v>
      </c>
      <c r="BF1501" s="8" t="s">
        <v>233</v>
      </c>
      <c r="BG1501" s="7" t="s">
        <v>233</v>
      </c>
      <c r="BH1501" s="7" t="s">
        <v>233</v>
      </c>
      <c r="BI1501" s="7"/>
      <c r="BJ1501" s="4"/>
      <c r="BK1501" s="8"/>
      <c r="BL1501" s="2" t="s">
        <v>233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243</v>
      </c>
      <c r="BV1501" s="2" t="s">
        <v>233</v>
      </c>
      <c r="BW1501" s="2" t="s">
        <v>233</v>
      </c>
      <c r="BX1501" s="2" t="s">
        <v>243</v>
      </c>
      <c r="BY1501" s="2" t="s">
        <v>244</v>
      </c>
      <c r="BZ1501" s="2" t="s">
        <v>245</v>
      </c>
      <c r="CA1501" s="2" t="s">
        <v>233</v>
      </c>
      <c r="CB1501" s="2" t="s">
        <v>233</v>
      </c>
      <c r="CC1501" s="2" t="s">
        <v>246</v>
      </c>
      <c r="CD1501" s="2" t="s">
        <v>233</v>
      </c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>
        <v>100</v>
      </c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  <c r="HM1501" s="4"/>
      <c r="HN1501" s="4"/>
      <c r="HO1501" s="4"/>
      <c r="HP1501" s="4"/>
      <c r="HQ1501" s="4"/>
      <c r="HR1501" s="4"/>
    </row>
    <row r="1502">
      <c r="A1502" s="2" t="s">
        <v>7237</v>
      </c>
      <c r="B1502" s="2" t="s">
        <v>1066</v>
      </c>
      <c r="C1502" s="2" t="s">
        <v>901</v>
      </c>
      <c r="D1502" s="2" t="s">
        <v>1782</v>
      </c>
      <c r="E1502" s="2" t="s">
        <v>2309</v>
      </c>
      <c r="F1502" s="2" t="s">
        <v>7234</v>
      </c>
      <c r="G1502" s="2" t="s">
        <v>7234</v>
      </c>
      <c r="H1502" s="2" t="s">
        <v>7234</v>
      </c>
      <c r="I1502" s="2" t="s">
        <v>7238</v>
      </c>
      <c r="J1502" s="2" t="s">
        <v>892</v>
      </c>
      <c r="K1502" s="2" t="s">
        <v>238</v>
      </c>
      <c r="L1502" s="3">
        <v>244.7</v>
      </c>
      <c r="M1502" s="3">
        <v>256.94</v>
      </c>
      <c r="N1502" s="3">
        <v>499</v>
      </c>
      <c r="O1502" s="2" t="s">
        <v>245</v>
      </c>
      <c r="P1502" s="2" t="s">
        <v>1916</v>
      </c>
      <c r="Q1502" s="2" t="s">
        <v>239</v>
      </c>
      <c r="R1502" s="2" t="s">
        <v>233</v>
      </c>
      <c r="S1502" s="2" t="s">
        <v>233</v>
      </c>
      <c r="T1502" s="2" t="s">
        <v>233</v>
      </c>
      <c r="U1502" s="2" t="s">
        <v>396</v>
      </c>
      <c r="V1502" s="2" t="s">
        <v>893</v>
      </c>
      <c r="W1502" s="2" t="s">
        <v>233</v>
      </c>
      <c r="X1502" s="2" t="s">
        <v>233</v>
      </c>
      <c r="Y1502" s="2" t="s">
        <v>6940</v>
      </c>
      <c r="Z1502" s="4"/>
      <c r="AA1502" s="4">
        <f>=ROUNDDOWN({0},0)</f>
      </c>
      <c r="AB1502" s="5"/>
      <c r="AC1502" s="2" t="s">
        <v>7236</v>
      </c>
      <c r="AD1502" s="4">
        <v>100</v>
      </c>
      <c r="AE1502" s="4">
        <v>100</v>
      </c>
      <c r="AF1502" s="6">
        <v>74</v>
      </c>
      <c r="AG1502" s="6"/>
      <c r="AH1502" s="7">
        <v>0</v>
      </c>
      <c r="AI1502" s="4"/>
      <c r="AJ1502" s="4">
        <f>=ROUNDDOWN({0},0)</f>
      </c>
      <c r="AK1502" s="5"/>
      <c r="AL1502" s="2" t="s">
        <v>233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233</v>
      </c>
      <c r="AW1502" s="8" t="s">
        <v>233</v>
      </c>
      <c r="AX1502" s="4" t="s">
        <v>233</v>
      </c>
      <c r="AY1502" s="8" t="s">
        <v>233</v>
      </c>
      <c r="AZ1502" s="7" t="s">
        <v>233</v>
      </c>
      <c r="BA1502" s="7" t="s">
        <v>233</v>
      </c>
      <c r="BB1502" s="7" t="s">
        <v>233</v>
      </c>
      <c r="BC1502" s="4" t="s">
        <v>233</v>
      </c>
      <c r="BD1502" s="8" t="s">
        <v>233</v>
      </c>
      <c r="BE1502" s="4" t="s">
        <v>233</v>
      </c>
      <c r="BF1502" s="8" t="s">
        <v>233</v>
      </c>
      <c r="BG1502" s="7" t="s">
        <v>233</v>
      </c>
      <c r="BH1502" s="7" t="s">
        <v>233</v>
      </c>
      <c r="BI1502" s="7"/>
      <c r="BJ1502" s="4"/>
      <c r="BK1502" s="8"/>
      <c r="BL1502" s="2" t="s">
        <v>233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243</v>
      </c>
      <c r="BV1502" s="2" t="s">
        <v>233</v>
      </c>
      <c r="BW1502" s="2" t="s">
        <v>233</v>
      </c>
      <c r="BX1502" s="2" t="s">
        <v>243</v>
      </c>
      <c r="BY1502" s="2" t="s">
        <v>244</v>
      </c>
      <c r="BZ1502" s="2" t="s">
        <v>245</v>
      </c>
      <c r="CA1502" s="2" t="s">
        <v>233</v>
      </c>
      <c r="CB1502" s="2" t="s">
        <v>233</v>
      </c>
      <c r="CC1502" s="2" t="s">
        <v>246</v>
      </c>
      <c r="CD1502" s="2" t="s">
        <v>233</v>
      </c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>
        <v>100</v>
      </c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  <c r="HM1502" s="4"/>
      <c r="HN1502" s="4"/>
      <c r="HO1502" s="4"/>
      <c r="HP1502" s="4"/>
      <c r="HQ1502" s="4"/>
      <c r="HR1502" s="4"/>
    </row>
    <row r="1503">
      <c r="A1503" s="2" t="s">
        <v>7239</v>
      </c>
      <c r="B1503" s="2" t="s">
        <v>928</v>
      </c>
      <c r="C1503" s="2" t="s">
        <v>530</v>
      </c>
      <c r="D1503" s="2" t="s">
        <v>1757</v>
      </c>
      <c r="E1503" s="2" t="s">
        <v>930</v>
      </c>
      <c r="F1503" s="2" t="s">
        <v>7240</v>
      </c>
      <c r="G1503" s="2" t="s">
        <v>7241</v>
      </c>
      <c r="H1503" s="2" t="s">
        <v>7240</v>
      </c>
      <c r="I1503" s="2" t="s">
        <v>7242</v>
      </c>
      <c r="J1503" s="2" t="s">
        <v>892</v>
      </c>
      <c r="K1503" s="2" t="s">
        <v>1760</v>
      </c>
      <c r="L1503" s="3">
        <v>34.2</v>
      </c>
      <c r="M1503" s="3">
        <v>35.91</v>
      </c>
      <c r="N1503" s="3">
        <v>67.99</v>
      </c>
      <c r="O1503" s="2" t="s">
        <v>245</v>
      </c>
      <c r="P1503" s="2" t="s">
        <v>272</v>
      </c>
      <c r="Q1503" s="2" t="s">
        <v>239</v>
      </c>
      <c r="R1503" s="2" t="s">
        <v>233</v>
      </c>
      <c r="S1503" s="2" t="s">
        <v>7243</v>
      </c>
      <c r="T1503" s="2" t="s">
        <v>233</v>
      </c>
      <c r="U1503" s="2" t="s">
        <v>396</v>
      </c>
      <c r="V1503" s="2" t="s">
        <v>1762</v>
      </c>
      <c r="W1503" s="2" t="s">
        <v>1763</v>
      </c>
      <c r="X1503" s="2" t="s">
        <v>275</v>
      </c>
      <c r="Y1503" s="2" t="s">
        <v>5382</v>
      </c>
      <c r="Z1503" s="4">
        <v>42</v>
      </c>
      <c r="AA1503" s="4">
        <f>=ROUNDDOWN(10.7692307692308,0)</f>
      </c>
      <c r="AB1503" s="5">
        <v>3.9</v>
      </c>
      <c r="AC1503" s="2" t="s">
        <v>7244</v>
      </c>
      <c r="AD1503" s="4">
        <v>100</v>
      </c>
      <c r="AE1503" s="4">
        <v>100</v>
      </c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233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/>
      <c r="BD1503" s="8"/>
      <c r="BE1503" s="4"/>
      <c r="BF1503" s="8"/>
      <c r="BG1503" s="7"/>
      <c r="BH1503" s="7"/>
      <c r="BI1503" s="7"/>
      <c r="BJ1503" s="4">
        <v>25</v>
      </c>
      <c r="BK1503" s="8">
        <v>1091.68</v>
      </c>
      <c r="BL1503" s="2" t="s">
        <v>7245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7246</v>
      </c>
      <c r="BV1503" s="2" t="s">
        <v>233</v>
      </c>
      <c r="BW1503" s="2" t="s">
        <v>233</v>
      </c>
      <c r="BX1503" s="2" t="s">
        <v>233</v>
      </c>
      <c r="BY1503" s="2" t="s">
        <v>280</v>
      </c>
      <c r="BZ1503" s="2" t="s">
        <v>245</v>
      </c>
      <c r="CA1503" s="2" t="s">
        <v>4215</v>
      </c>
      <c r="CB1503" s="2" t="s">
        <v>7247</v>
      </c>
      <c r="CC1503" s="2" t="s">
        <v>246</v>
      </c>
      <c r="CD1503" s="2" t="s">
        <v>233</v>
      </c>
      <c r="CE1503" s="4"/>
      <c r="CF1503" s="4">
        <v>42</v>
      </c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>
        <v>100</v>
      </c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  <c r="HM1503" s="4"/>
      <c r="HN1503" s="4"/>
      <c r="HO1503" s="4"/>
      <c r="HP1503" s="4"/>
      <c r="HQ1503" s="4"/>
      <c r="HR1503" s="4"/>
    </row>
    <row r="1504">
      <c r="A1504" s="2" t="s">
        <v>7248</v>
      </c>
      <c r="B1504" s="2" t="s">
        <v>228</v>
      </c>
      <c r="C1504" s="2" t="s">
        <v>1335</v>
      </c>
      <c r="D1504" s="2" t="s">
        <v>1616</v>
      </c>
      <c r="E1504" s="2" t="s">
        <v>1617</v>
      </c>
      <c r="F1504" s="2" t="s">
        <v>7249</v>
      </c>
      <c r="G1504" s="2" t="s">
        <v>7249</v>
      </c>
      <c r="H1504" s="2" t="s">
        <v>7249</v>
      </c>
      <c r="I1504" s="2" t="s">
        <v>7250</v>
      </c>
      <c r="J1504" s="2" t="s">
        <v>1620</v>
      </c>
      <c r="K1504" s="2" t="s">
        <v>257</v>
      </c>
      <c r="L1504" s="3">
        <v>16.1</v>
      </c>
      <c r="M1504" s="3">
        <v>16.9</v>
      </c>
      <c r="N1504" s="3">
        <v>34.99</v>
      </c>
      <c r="O1504" s="2" t="s">
        <v>245</v>
      </c>
      <c r="P1504" s="2" t="s">
        <v>311</v>
      </c>
      <c r="Q1504" s="2" t="s">
        <v>239</v>
      </c>
      <c r="R1504" s="2" t="s">
        <v>233</v>
      </c>
      <c r="S1504" s="2" t="s">
        <v>7251</v>
      </c>
      <c r="T1504" s="2" t="s">
        <v>1055</v>
      </c>
      <c r="U1504" s="2" t="s">
        <v>233</v>
      </c>
      <c r="V1504" s="2" t="s">
        <v>1340</v>
      </c>
      <c r="W1504" s="2" t="s">
        <v>978</v>
      </c>
      <c r="X1504" s="2" t="s">
        <v>1056</v>
      </c>
      <c r="Y1504" s="2" t="s">
        <v>1745</v>
      </c>
      <c r="Z1504" s="4"/>
      <c r="AA1504" s="4">
        <f>=ROUNDDOWN({0},0)</f>
      </c>
      <c r="AB1504" s="5">
        <v>15</v>
      </c>
      <c r="AC1504" s="2" t="s">
        <v>233</v>
      </c>
      <c r="AD1504" s="4"/>
      <c r="AE1504" s="4"/>
      <c r="AF1504" s="6">
        <v>65</v>
      </c>
      <c r="AG1504" s="6"/>
      <c r="AH1504" s="7">
        <v>0</v>
      </c>
      <c r="AI1504" s="4"/>
      <c r="AJ1504" s="4">
        <f>=ROUNDDOWN({0},0)</f>
      </c>
      <c r="AK1504" s="5"/>
      <c r="AL1504" s="2" t="s">
        <v>233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/>
      <c r="BD1504" s="8"/>
      <c r="BE1504" s="4"/>
      <c r="BF1504" s="8"/>
      <c r="BG1504" s="7"/>
      <c r="BH1504" s="7"/>
      <c r="BI1504" s="7"/>
      <c r="BJ1504" s="4"/>
      <c r="BK1504" s="8"/>
      <c r="BL1504" s="2" t="s">
        <v>7252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7253</v>
      </c>
      <c r="BV1504" s="2" t="s">
        <v>233</v>
      </c>
      <c r="BW1504" s="2" t="s">
        <v>233</v>
      </c>
      <c r="BX1504" s="2" t="s">
        <v>595</v>
      </c>
      <c r="BY1504" s="2" t="s">
        <v>280</v>
      </c>
      <c r="BZ1504" s="2" t="s">
        <v>245</v>
      </c>
      <c r="CA1504" s="2" t="s">
        <v>1625</v>
      </c>
      <c r="CB1504" s="2" t="s">
        <v>7254</v>
      </c>
      <c r="CC1504" s="2" t="s">
        <v>246</v>
      </c>
      <c r="CD1504" s="2" t="s">
        <v>233</v>
      </c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  <c r="HM1504" s="4"/>
      <c r="HN1504" s="4"/>
      <c r="HO1504" s="4"/>
      <c r="HP1504" s="4"/>
      <c r="HQ1504" s="4"/>
      <c r="HR1504" s="4"/>
    </row>
    <row r="1505">
      <c r="A1505" s="2" t="s">
        <v>7255</v>
      </c>
      <c r="B1505" s="2" t="s">
        <v>1174</v>
      </c>
      <c r="C1505" s="2" t="s">
        <v>530</v>
      </c>
      <c r="D1505" s="2" t="s">
        <v>1175</v>
      </c>
      <c r="E1505" s="2" t="s">
        <v>2069</v>
      </c>
      <c r="F1505" s="2" t="s">
        <v>7256</v>
      </c>
      <c r="G1505" s="2" t="s">
        <v>7257</v>
      </c>
      <c r="H1505" s="2" t="s">
        <v>7258</v>
      </c>
      <c r="I1505" s="2" t="s">
        <v>7259</v>
      </c>
      <c r="J1505" s="2" t="s">
        <v>1490</v>
      </c>
      <c r="K1505" s="2" t="s">
        <v>3384</v>
      </c>
      <c r="L1505" s="3">
        <v>15.91</v>
      </c>
      <c r="M1505" s="3">
        <v>16.71</v>
      </c>
      <c r="N1505" s="3">
        <v>36.99</v>
      </c>
      <c r="O1505" s="2" t="s">
        <v>245</v>
      </c>
      <c r="P1505" s="2" t="s">
        <v>238</v>
      </c>
      <c r="Q1505" s="2" t="s">
        <v>239</v>
      </c>
      <c r="R1505" s="2" t="s">
        <v>233</v>
      </c>
      <c r="S1505" s="2" t="s">
        <v>7260</v>
      </c>
      <c r="T1505" s="2" t="s">
        <v>233</v>
      </c>
      <c r="U1505" s="2" t="s">
        <v>396</v>
      </c>
      <c r="V1505" s="2" t="s">
        <v>343</v>
      </c>
      <c r="W1505" s="2" t="s">
        <v>343</v>
      </c>
      <c r="X1505" s="2" t="s">
        <v>2069</v>
      </c>
      <c r="Y1505" s="2" t="s">
        <v>3528</v>
      </c>
      <c r="Z1505" s="4">
        <v>75</v>
      </c>
      <c r="AA1505" s="4">
        <f>=ROUNDDOWN(18.75,0)</f>
      </c>
      <c r="AB1505" s="5">
        <v>4</v>
      </c>
      <c r="AC1505" s="2" t="s">
        <v>233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233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/>
      <c r="BD1505" s="8"/>
      <c r="BE1505" s="4"/>
      <c r="BF1505" s="8"/>
      <c r="BG1505" s="7"/>
      <c r="BH1505" s="7"/>
      <c r="BI1505" s="7"/>
      <c r="BJ1505" s="4">
        <v>31</v>
      </c>
      <c r="BK1505" s="8">
        <v>541.42</v>
      </c>
      <c r="BL1505" s="2" t="s">
        <v>3272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7261</v>
      </c>
      <c r="BV1505" s="2" t="s">
        <v>233</v>
      </c>
      <c r="BW1505" s="2" t="s">
        <v>233</v>
      </c>
      <c r="BX1505" s="2" t="s">
        <v>5136</v>
      </c>
      <c r="BY1505" s="2" t="s">
        <v>280</v>
      </c>
      <c r="BZ1505" s="2" t="s">
        <v>245</v>
      </c>
      <c r="CA1505" s="2" t="s">
        <v>3578</v>
      </c>
      <c r="CB1505" s="2" t="s">
        <v>7262</v>
      </c>
      <c r="CC1505" s="2" t="s">
        <v>246</v>
      </c>
      <c r="CD1505" s="2" t="s">
        <v>233</v>
      </c>
      <c r="CE1505" s="4">
        <v>75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  <c r="HN1505" s="4"/>
      <c r="HO1505" s="4"/>
      <c r="HP1505" s="4"/>
      <c r="HQ1505" s="4"/>
      <c r="HR1505" s="4"/>
    </row>
    <row r="1506">
      <c r="A1506" s="2" t="s">
        <v>7263</v>
      </c>
      <c r="B1506" s="2" t="s">
        <v>1066</v>
      </c>
      <c r="C1506" s="2" t="s">
        <v>901</v>
      </c>
      <c r="D1506" s="2" t="s">
        <v>1923</v>
      </c>
      <c r="E1506" s="2" t="s">
        <v>1924</v>
      </c>
      <c r="F1506" s="2" t="s">
        <v>7264</v>
      </c>
      <c r="G1506" s="2" t="s">
        <v>7264</v>
      </c>
      <c r="H1506" s="2" t="s">
        <v>7264</v>
      </c>
      <c r="I1506" s="2" t="s">
        <v>7265</v>
      </c>
      <c r="J1506" s="2" t="s">
        <v>892</v>
      </c>
      <c r="K1506" s="2" t="s">
        <v>1201</v>
      </c>
      <c r="L1506" s="3">
        <v>190</v>
      </c>
      <c r="M1506" s="3">
        <v>199.5</v>
      </c>
      <c r="N1506" s="3">
        <v>399</v>
      </c>
      <c r="O1506" s="2" t="s">
        <v>245</v>
      </c>
      <c r="P1506" s="2" t="s">
        <v>393</v>
      </c>
      <c r="Q1506" s="2" t="s">
        <v>239</v>
      </c>
      <c r="R1506" s="2" t="s">
        <v>233</v>
      </c>
      <c r="S1506" s="2" t="s">
        <v>233</v>
      </c>
      <c r="T1506" s="2" t="s">
        <v>233</v>
      </c>
      <c r="U1506" s="2" t="s">
        <v>491</v>
      </c>
      <c r="V1506" s="2" t="s">
        <v>241</v>
      </c>
      <c r="W1506" s="2" t="s">
        <v>397</v>
      </c>
      <c r="X1506" s="2" t="s">
        <v>894</v>
      </c>
      <c r="Y1506" s="2" t="s">
        <v>5594</v>
      </c>
      <c r="Z1506" s="4">
        <v>28</v>
      </c>
      <c r="AA1506" s="4">
        <f>=ROUNDDOWN(28,0)</f>
      </c>
      <c r="AB1506" s="5">
        <v>1</v>
      </c>
      <c r="AC1506" s="2" t="s">
        <v>345</v>
      </c>
      <c r="AD1506" s="4">
        <v>100</v>
      </c>
      <c r="AE1506" s="4">
        <v>100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233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/>
      <c r="BD1506" s="8"/>
      <c r="BE1506" s="4"/>
      <c r="BF1506" s="8"/>
      <c r="BG1506" s="7"/>
      <c r="BH1506" s="7"/>
      <c r="BI1506" s="7"/>
      <c r="BJ1506" s="4">
        <v>5</v>
      </c>
      <c r="BK1506" s="8">
        <v>1038.2</v>
      </c>
      <c r="BL1506" s="2" t="s">
        <v>6389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7266</v>
      </c>
      <c r="BV1506" s="2" t="s">
        <v>233</v>
      </c>
      <c r="BW1506" s="2" t="s">
        <v>233</v>
      </c>
      <c r="BX1506" s="2" t="s">
        <v>243</v>
      </c>
      <c r="BY1506" s="2" t="s">
        <v>280</v>
      </c>
      <c r="BZ1506" s="2" t="s">
        <v>245</v>
      </c>
      <c r="CA1506" s="2" t="s">
        <v>7267</v>
      </c>
      <c r="CB1506" s="2" t="s">
        <v>5791</v>
      </c>
      <c r="CC1506" s="2" t="s">
        <v>246</v>
      </c>
      <c r="CD1506" s="2" t="s">
        <v>233</v>
      </c>
      <c r="CE1506" s="4"/>
      <c r="CF1506" s="4">
        <v>28</v>
      </c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>
        <v>100</v>
      </c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  <c r="HM1506" s="4"/>
      <c r="HN1506" s="4"/>
      <c r="HO1506" s="4"/>
      <c r="HP1506" s="4"/>
      <c r="HQ1506" s="4"/>
      <c r="HR1506" s="4"/>
    </row>
    <row r="1507">
      <c r="A1507" s="2" t="s">
        <v>7268</v>
      </c>
      <c r="B1507" s="2" t="s">
        <v>264</v>
      </c>
      <c r="C1507" s="2" t="s">
        <v>1050</v>
      </c>
      <c r="D1507" s="2" t="s">
        <v>969</v>
      </c>
      <c r="E1507" s="2" t="s">
        <v>1231</v>
      </c>
      <c r="F1507" s="2" t="s">
        <v>7269</v>
      </c>
      <c r="G1507" s="2" t="s">
        <v>7269</v>
      </c>
      <c r="H1507" s="2" t="s">
        <v>7269</v>
      </c>
      <c r="I1507" s="2" t="s">
        <v>7270</v>
      </c>
      <c r="J1507" s="2" t="s">
        <v>270</v>
      </c>
      <c r="K1507" s="2" t="s">
        <v>297</v>
      </c>
      <c r="L1507" s="3">
        <v>66.7</v>
      </c>
      <c r="M1507" s="3">
        <v>70.04</v>
      </c>
      <c r="N1507" s="3">
        <v>144.99</v>
      </c>
      <c r="O1507" s="2" t="s">
        <v>245</v>
      </c>
      <c r="P1507" s="2" t="s">
        <v>311</v>
      </c>
      <c r="Q1507" s="2" t="s">
        <v>239</v>
      </c>
      <c r="R1507" s="2" t="s">
        <v>233</v>
      </c>
      <c r="S1507" s="2" t="s">
        <v>7271</v>
      </c>
      <c r="T1507" s="2" t="s">
        <v>341</v>
      </c>
      <c r="U1507" s="2" t="s">
        <v>396</v>
      </c>
      <c r="V1507" s="2" t="s">
        <v>241</v>
      </c>
      <c r="W1507" s="2" t="s">
        <v>275</v>
      </c>
      <c r="X1507" s="2" t="s">
        <v>233</v>
      </c>
      <c r="Y1507" s="2" t="s">
        <v>276</v>
      </c>
      <c r="Z1507" s="4">
        <v>42</v>
      </c>
      <c r="AA1507" s="4">
        <f>=ROUNDDOWN(42,0)</f>
      </c>
      <c r="AB1507" s="5">
        <v>1</v>
      </c>
      <c r="AC1507" s="2" t="s">
        <v>233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233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233</v>
      </c>
      <c r="AW1507" s="8" t="s">
        <v>233</v>
      </c>
      <c r="AX1507" s="4" t="s">
        <v>233</v>
      </c>
      <c r="AY1507" s="8" t="s">
        <v>233</v>
      </c>
      <c r="AZ1507" s="7" t="s">
        <v>233</v>
      </c>
      <c r="BA1507" s="7" t="s">
        <v>233</v>
      </c>
      <c r="BB1507" s="7"/>
      <c r="BC1507" s="4" t="s">
        <v>233</v>
      </c>
      <c r="BD1507" s="8" t="s">
        <v>233</v>
      </c>
      <c r="BE1507" s="4" t="s">
        <v>233</v>
      </c>
      <c r="BF1507" s="8" t="s">
        <v>233</v>
      </c>
      <c r="BG1507" s="7" t="s">
        <v>233</v>
      </c>
      <c r="BH1507" s="7" t="s">
        <v>233</v>
      </c>
      <c r="BI1507" s="7"/>
      <c r="BJ1507" s="4"/>
      <c r="BK1507" s="8"/>
      <c r="BL1507" s="2" t="s">
        <v>492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7272</v>
      </c>
      <c r="BV1507" s="2" t="s">
        <v>233</v>
      </c>
      <c r="BW1507" s="2" t="s">
        <v>233</v>
      </c>
      <c r="BX1507" s="2" t="s">
        <v>233</v>
      </c>
      <c r="BY1507" s="2" t="s">
        <v>280</v>
      </c>
      <c r="BZ1507" s="2" t="s">
        <v>245</v>
      </c>
      <c r="CA1507" s="2" t="s">
        <v>281</v>
      </c>
      <c r="CB1507" s="2" t="s">
        <v>7273</v>
      </c>
      <c r="CC1507" s="2" t="s">
        <v>246</v>
      </c>
      <c r="CD1507" s="2" t="s">
        <v>233</v>
      </c>
      <c r="CE1507" s="4">
        <v>42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  <c r="HF1507" s="4"/>
      <c r="HG1507" s="4"/>
      <c r="HH1507" s="4"/>
      <c r="HI1507" s="4"/>
      <c r="HJ1507" s="4"/>
      <c r="HK1507" s="4"/>
      <c r="HL1507" s="4"/>
      <c r="HM1507" s="4"/>
      <c r="HN1507" s="4"/>
      <c r="HO1507" s="4"/>
      <c r="HP1507" s="4"/>
      <c r="HQ1507" s="4"/>
      <c r="HR1507" s="4"/>
    </row>
    <row r="1508">
      <c r="A1508" s="2" t="s">
        <v>7274</v>
      </c>
      <c r="B1508" s="2" t="s">
        <v>264</v>
      </c>
      <c r="C1508" s="2" t="s">
        <v>1050</v>
      </c>
      <c r="D1508" s="2" t="s">
        <v>969</v>
      </c>
      <c r="E1508" s="2" t="s">
        <v>1231</v>
      </c>
      <c r="F1508" s="2" t="s">
        <v>7269</v>
      </c>
      <c r="G1508" s="2" t="s">
        <v>7269</v>
      </c>
      <c r="H1508" s="2" t="s">
        <v>7269</v>
      </c>
      <c r="I1508" s="2" t="s">
        <v>7270</v>
      </c>
      <c r="J1508" s="2" t="s">
        <v>981</v>
      </c>
      <c r="K1508" s="2" t="s">
        <v>297</v>
      </c>
      <c r="L1508" s="3">
        <v>82.8</v>
      </c>
      <c r="M1508" s="3">
        <v>86.94</v>
      </c>
      <c r="N1508" s="3">
        <v>179.99</v>
      </c>
      <c r="O1508" s="2" t="s">
        <v>245</v>
      </c>
      <c r="P1508" s="2" t="s">
        <v>311</v>
      </c>
      <c r="Q1508" s="2" t="s">
        <v>239</v>
      </c>
      <c r="R1508" s="2" t="s">
        <v>233</v>
      </c>
      <c r="S1508" s="2" t="s">
        <v>7271</v>
      </c>
      <c r="T1508" s="2" t="s">
        <v>341</v>
      </c>
      <c r="U1508" s="2" t="s">
        <v>233</v>
      </c>
      <c r="V1508" s="2" t="s">
        <v>241</v>
      </c>
      <c r="W1508" s="2" t="s">
        <v>275</v>
      </c>
      <c r="X1508" s="2" t="s">
        <v>233</v>
      </c>
      <c r="Y1508" s="2" t="s">
        <v>276</v>
      </c>
      <c r="Z1508" s="4"/>
      <c r="AA1508" s="4">
        <f>=ROUNDDOWN({0},0)</f>
      </c>
      <c r="AB1508" s="5">
        <v>3</v>
      </c>
      <c r="AC1508" s="2" t="s">
        <v>233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233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233</v>
      </c>
      <c r="AW1508" s="8" t="s">
        <v>233</v>
      </c>
      <c r="AX1508" s="4" t="s">
        <v>233</v>
      </c>
      <c r="AY1508" s="8" t="s">
        <v>233</v>
      </c>
      <c r="AZ1508" s="7" t="s">
        <v>233</v>
      </c>
      <c r="BA1508" s="7" t="s">
        <v>233</v>
      </c>
      <c r="BB1508" s="7"/>
      <c r="BC1508" s="4" t="s">
        <v>233</v>
      </c>
      <c r="BD1508" s="8" t="s">
        <v>233</v>
      </c>
      <c r="BE1508" s="4" t="s">
        <v>233</v>
      </c>
      <c r="BF1508" s="8" t="s">
        <v>233</v>
      </c>
      <c r="BG1508" s="7" t="s">
        <v>233</v>
      </c>
      <c r="BH1508" s="7" t="s">
        <v>233</v>
      </c>
      <c r="BI1508" s="7"/>
      <c r="BJ1508" s="4">
        <v>8</v>
      </c>
      <c r="BK1508" s="8">
        <v>682.08</v>
      </c>
      <c r="BL1508" s="2" t="s">
        <v>1237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7275</v>
      </c>
      <c r="BV1508" s="2" t="s">
        <v>233</v>
      </c>
      <c r="BW1508" s="2" t="s">
        <v>233</v>
      </c>
      <c r="BX1508" s="2" t="s">
        <v>233</v>
      </c>
      <c r="BY1508" s="2" t="s">
        <v>280</v>
      </c>
      <c r="BZ1508" s="2" t="s">
        <v>245</v>
      </c>
      <c r="CA1508" s="2" t="s">
        <v>281</v>
      </c>
      <c r="CB1508" s="2" t="s">
        <v>2293</v>
      </c>
      <c r="CC1508" s="2" t="s">
        <v>246</v>
      </c>
      <c r="CD1508" s="2" t="s">
        <v>233</v>
      </c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  <c r="HM1508" s="4"/>
      <c r="HN1508" s="4"/>
      <c r="HO1508" s="4"/>
      <c r="HP1508" s="4"/>
      <c r="HQ1508" s="4"/>
      <c r="HR1508" s="4"/>
    </row>
    <row r="1509">
      <c r="A1509" s="2" t="s">
        <v>7276</v>
      </c>
      <c r="B1509" s="2" t="s">
        <v>264</v>
      </c>
      <c r="C1509" s="2" t="s">
        <v>1050</v>
      </c>
      <c r="D1509" s="2" t="s">
        <v>969</v>
      </c>
      <c r="E1509" s="2" t="s">
        <v>1231</v>
      </c>
      <c r="F1509" s="2" t="s">
        <v>7269</v>
      </c>
      <c r="G1509" s="2" t="s">
        <v>7269</v>
      </c>
      <c r="H1509" s="2" t="s">
        <v>7269</v>
      </c>
      <c r="I1509" s="2" t="s">
        <v>7270</v>
      </c>
      <c r="J1509" s="2" t="s">
        <v>328</v>
      </c>
      <c r="K1509" s="2" t="s">
        <v>297</v>
      </c>
      <c r="L1509" s="3">
        <v>105.8</v>
      </c>
      <c r="M1509" s="3">
        <v>111.09</v>
      </c>
      <c r="N1509" s="3">
        <v>229.99</v>
      </c>
      <c r="O1509" s="2" t="s">
        <v>245</v>
      </c>
      <c r="P1509" s="2" t="s">
        <v>311</v>
      </c>
      <c r="Q1509" s="2" t="s">
        <v>239</v>
      </c>
      <c r="R1509" s="2" t="s">
        <v>233</v>
      </c>
      <c r="S1509" s="2" t="s">
        <v>7271</v>
      </c>
      <c r="T1509" s="2" t="s">
        <v>341</v>
      </c>
      <c r="U1509" s="2" t="s">
        <v>233</v>
      </c>
      <c r="V1509" s="2" t="s">
        <v>241</v>
      </c>
      <c r="W1509" s="2" t="s">
        <v>275</v>
      </c>
      <c r="X1509" s="2" t="s">
        <v>233</v>
      </c>
      <c r="Y1509" s="2" t="s">
        <v>276</v>
      </c>
      <c r="Z1509" s="4">
        <v>60</v>
      </c>
      <c r="AA1509" s="4">
        <f>=ROUNDDOWN(12,0)</f>
      </c>
      <c r="AB1509" s="5">
        <v>5</v>
      </c>
      <c r="AC1509" s="2" t="s">
        <v>233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233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233</v>
      </c>
      <c r="AW1509" s="8" t="s">
        <v>233</v>
      </c>
      <c r="AX1509" s="4" t="s">
        <v>233</v>
      </c>
      <c r="AY1509" s="8" t="s">
        <v>233</v>
      </c>
      <c r="AZ1509" s="7" t="s">
        <v>233</v>
      </c>
      <c r="BA1509" s="7" t="s">
        <v>233</v>
      </c>
      <c r="BB1509" s="7"/>
      <c r="BC1509" s="4" t="s">
        <v>233</v>
      </c>
      <c r="BD1509" s="8" t="s">
        <v>233</v>
      </c>
      <c r="BE1509" s="4" t="s">
        <v>233</v>
      </c>
      <c r="BF1509" s="8" t="s">
        <v>233</v>
      </c>
      <c r="BG1509" s="7" t="s">
        <v>233</v>
      </c>
      <c r="BH1509" s="7" t="s">
        <v>233</v>
      </c>
      <c r="BI1509" s="7"/>
      <c r="BJ1509" s="4">
        <v>8</v>
      </c>
      <c r="BK1509" s="8">
        <v>854.33</v>
      </c>
      <c r="BL1509" s="2" t="s">
        <v>1390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7277</v>
      </c>
      <c r="BV1509" s="2" t="s">
        <v>233</v>
      </c>
      <c r="BW1509" s="2" t="s">
        <v>233</v>
      </c>
      <c r="BX1509" s="2" t="s">
        <v>233</v>
      </c>
      <c r="BY1509" s="2" t="s">
        <v>280</v>
      </c>
      <c r="BZ1509" s="2" t="s">
        <v>245</v>
      </c>
      <c r="CA1509" s="2" t="s">
        <v>281</v>
      </c>
      <c r="CB1509" s="2" t="s">
        <v>1204</v>
      </c>
      <c r="CC1509" s="2" t="s">
        <v>246</v>
      </c>
      <c r="CD1509" s="2" t="s">
        <v>233</v>
      </c>
      <c r="CE1509" s="4">
        <v>60</v>
      </c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  <c r="HM1509" s="4"/>
      <c r="HN1509" s="4"/>
      <c r="HO1509" s="4"/>
      <c r="HP1509" s="4"/>
      <c r="HQ1509" s="4"/>
      <c r="HR1509" s="4"/>
    </row>
    <row r="1510">
      <c r="A1510" s="2" t="s">
        <v>7278</v>
      </c>
      <c r="B1510" s="2" t="s">
        <v>264</v>
      </c>
      <c r="C1510" s="2" t="s">
        <v>1050</v>
      </c>
      <c r="D1510" s="2" t="s">
        <v>969</v>
      </c>
      <c r="E1510" s="2" t="s">
        <v>1231</v>
      </c>
      <c r="F1510" s="2" t="s">
        <v>7279</v>
      </c>
      <c r="G1510" s="2" t="s">
        <v>7279</v>
      </c>
      <c r="H1510" s="2" t="s">
        <v>7279</v>
      </c>
      <c r="I1510" s="2" t="s">
        <v>7270</v>
      </c>
      <c r="J1510" s="2" t="s">
        <v>270</v>
      </c>
      <c r="K1510" s="2" t="s">
        <v>297</v>
      </c>
      <c r="L1510" s="3">
        <v>73.6</v>
      </c>
      <c r="M1510" s="3">
        <v>77.28</v>
      </c>
      <c r="N1510" s="3">
        <v>159.99</v>
      </c>
      <c r="O1510" s="2" t="s">
        <v>245</v>
      </c>
      <c r="P1510" s="2" t="s">
        <v>311</v>
      </c>
      <c r="Q1510" s="2" t="s">
        <v>239</v>
      </c>
      <c r="R1510" s="2" t="s">
        <v>233</v>
      </c>
      <c r="S1510" s="2" t="s">
        <v>7271</v>
      </c>
      <c r="T1510" s="2" t="s">
        <v>341</v>
      </c>
      <c r="U1510" s="2" t="s">
        <v>233</v>
      </c>
      <c r="V1510" s="2" t="s">
        <v>241</v>
      </c>
      <c r="W1510" s="2" t="s">
        <v>275</v>
      </c>
      <c r="X1510" s="2" t="s">
        <v>233</v>
      </c>
      <c r="Y1510" s="2" t="s">
        <v>276</v>
      </c>
      <c r="Z1510" s="4">
        <v>25</v>
      </c>
      <c r="AA1510" s="4">
        <f>=ROUNDDOWN(12.5,0)</f>
      </c>
      <c r="AB1510" s="5">
        <v>2</v>
      </c>
      <c r="AC1510" s="2" t="s">
        <v>233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233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233</v>
      </c>
      <c r="AW1510" s="8" t="s">
        <v>233</v>
      </c>
      <c r="AX1510" s="4" t="s">
        <v>233</v>
      </c>
      <c r="AY1510" s="8" t="s">
        <v>233</v>
      </c>
      <c r="AZ1510" s="7" t="s">
        <v>233</v>
      </c>
      <c r="BA1510" s="7" t="s">
        <v>233</v>
      </c>
      <c r="BB1510" s="7"/>
      <c r="BC1510" s="4" t="s">
        <v>233</v>
      </c>
      <c r="BD1510" s="8" t="s">
        <v>233</v>
      </c>
      <c r="BE1510" s="4" t="s">
        <v>233</v>
      </c>
      <c r="BF1510" s="8" t="s">
        <v>233</v>
      </c>
      <c r="BG1510" s="7" t="s">
        <v>233</v>
      </c>
      <c r="BH1510" s="7" t="s">
        <v>233</v>
      </c>
      <c r="BI1510" s="7"/>
      <c r="BJ1510" s="4">
        <v>1</v>
      </c>
      <c r="BK1510" s="8">
        <v>72</v>
      </c>
      <c r="BL1510" s="2" t="s">
        <v>7280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7281</v>
      </c>
      <c r="BV1510" s="2" t="s">
        <v>233</v>
      </c>
      <c r="BW1510" s="2" t="s">
        <v>233</v>
      </c>
      <c r="BX1510" s="2" t="s">
        <v>233</v>
      </c>
      <c r="BY1510" s="2" t="s">
        <v>280</v>
      </c>
      <c r="BZ1510" s="2" t="s">
        <v>245</v>
      </c>
      <c r="CA1510" s="2" t="s">
        <v>281</v>
      </c>
      <c r="CB1510" s="2" t="s">
        <v>7282</v>
      </c>
      <c r="CC1510" s="2" t="s">
        <v>246</v>
      </c>
      <c r="CD1510" s="2" t="s">
        <v>233</v>
      </c>
      <c r="CE1510" s="4">
        <v>25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  <c r="HM1510" s="4"/>
      <c r="HN1510" s="4"/>
      <c r="HO1510" s="4"/>
      <c r="HP1510" s="4"/>
      <c r="HQ1510" s="4"/>
      <c r="HR1510" s="4"/>
    </row>
    <row r="1511">
      <c r="A1511" s="2" t="s">
        <v>7283</v>
      </c>
      <c r="B1511" s="2" t="s">
        <v>264</v>
      </c>
      <c r="C1511" s="2" t="s">
        <v>1050</v>
      </c>
      <c r="D1511" s="2" t="s">
        <v>969</v>
      </c>
      <c r="E1511" s="2" t="s">
        <v>1231</v>
      </c>
      <c r="F1511" s="2" t="s">
        <v>7279</v>
      </c>
      <c r="G1511" s="2" t="s">
        <v>7279</v>
      </c>
      <c r="H1511" s="2" t="s">
        <v>7279</v>
      </c>
      <c r="I1511" s="2" t="s">
        <v>7270</v>
      </c>
      <c r="J1511" s="2" t="s">
        <v>981</v>
      </c>
      <c r="K1511" s="2" t="s">
        <v>297</v>
      </c>
      <c r="L1511" s="3">
        <v>91.2</v>
      </c>
      <c r="M1511" s="3">
        <v>95.76</v>
      </c>
      <c r="N1511" s="3">
        <v>189.99</v>
      </c>
      <c r="O1511" s="2" t="s">
        <v>245</v>
      </c>
      <c r="P1511" s="2" t="s">
        <v>311</v>
      </c>
      <c r="Q1511" s="2" t="s">
        <v>239</v>
      </c>
      <c r="R1511" s="2" t="s">
        <v>233</v>
      </c>
      <c r="S1511" s="2" t="s">
        <v>7271</v>
      </c>
      <c r="T1511" s="2" t="s">
        <v>341</v>
      </c>
      <c r="U1511" s="2" t="s">
        <v>233</v>
      </c>
      <c r="V1511" s="2" t="s">
        <v>241</v>
      </c>
      <c r="W1511" s="2" t="s">
        <v>275</v>
      </c>
      <c r="X1511" s="2" t="s">
        <v>233</v>
      </c>
      <c r="Y1511" s="2" t="s">
        <v>276</v>
      </c>
      <c r="Z1511" s="4">
        <v>39</v>
      </c>
      <c r="AA1511" s="4">
        <f>=ROUNDDOWN(5.57142857142857,0)</f>
      </c>
      <c r="AB1511" s="5">
        <v>7</v>
      </c>
      <c r="AC1511" s="2" t="s">
        <v>233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233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233</v>
      </c>
      <c r="AW1511" s="8" t="s">
        <v>233</v>
      </c>
      <c r="AX1511" s="4" t="s">
        <v>233</v>
      </c>
      <c r="AY1511" s="8" t="s">
        <v>233</v>
      </c>
      <c r="AZ1511" s="7" t="s">
        <v>233</v>
      </c>
      <c r="BA1511" s="7" t="s">
        <v>233</v>
      </c>
      <c r="BB1511" s="7"/>
      <c r="BC1511" s="4" t="s">
        <v>233</v>
      </c>
      <c r="BD1511" s="8" t="s">
        <v>233</v>
      </c>
      <c r="BE1511" s="4" t="s">
        <v>233</v>
      </c>
      <c r="BF1511" s="8" t="s">
        <v>233</v>
      </c>
      <c r="BG1511" s="7" t="s">
        <v>233</v>
      </c>
      <c r="BH1511" s="7" t="s">
        <v>233</v>
      </c>
      <c r="BI1511" s="7"/>
      <c r="BJ1511" s="4">
        <v>5</v>
      </c>
      <c r="BK1511" s="8">
        <v>459.74</v>
      </c>
      <c r="BL1511" s="2" t="s">
        <v>5260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7284</v>
      </c>
      <c r="BV1511" s="2" t="s">
        <v>233</v>
      </c>
      <c r="BW1511" s="2" t="s">
        <v>233</v>
      </c>
      <c r="BX1511" s="2" t="s">
        <v>233</v>
      </c>
      <c r="BY1511" s="2" t="s">
        <v>280</v>
      </c>
      <c r="BZ1511" s="2" t="s">
        <v>245</v>
      </c>
      <c r="CA1511" s="2" t="s">
        <v>281</v>
      </c>
      <c r="CB1511" s="2" t="s">
        <v>7285</v>
      </c>
      <c r="CC1511" s="2" t="s">
        <v>246</v>
      </c>
      <c r="CD1511" s="2" t="s">
        <v>233</v>
      </c>
      <c r="CE1511" s="4">
        <v>39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  <c r="HM1511" s="4"/>
      <c r="HN1511" s="4"/>
      <c r="HO1511" s="4"/>
      <c r="HP1511" s="4"/>
      <c r="HQ1511" s="4"/>
      <c r="HR1511" s="4"/>
    </row>
    <row r="1512">
      <c r="A1512" s="2" t="s">
        <v>7286</v>
      </c>
      <c r="B1512" s="2" t="s">
        <v>264</v>
      </c>
      <c r="C1512" s="2" t="s">
        <v>1050</v>
      </c>
      <c r="D1512" s="2" t="s">
        <v>969</v>
      </c>
      <c r="E1512" s="2" t="s">
        <v>1231</v>
      </c>
      <c r="F1512" s="2" t="s">
        <v>7279</v>
      </c>
      <c r="G1512" s="2" t="s">
        <v>7279</v>
      </c>
      <c r="H1512" s="2" t="s">
        <v>7279</v>
      </c>
      <c r="I1512" s="2" t="s">
        <v>7270</v>
      </c>
      <c r="J1512" s="2" t="s">
        <v>328</v>
      </c>
      <c r="K1512" s="2" t="s">
        <v>297</v>
      </c>
      <c r="L1512" s="3">
        <v>110.4</v>
      </c>
      <c r="M1512" s="3">
        <v>115.92</v>
      </c>
      <c r="N1512" s="3">
        <v>239.99</v>
      </c>
      <c r="O1512" s="2" t="s">
        <v>245</v>
      </c>
      <c r="P1512" s="2" t="s">
        <v>311</v>
      </c>
      <c r="Q1512" s="2" t="s">
        <v>239</v>
      </c>
      <c r="R1512" s="2" t="s">
        <v>233</v>
      </c>
      <c r="S1512" s="2" t="s">
        <v>7271</v>
      </c>
      <c r="T1512" s="2" t="s">
        <v>341</v>
      </c>
      <c r="U1512" s="2" t="s">
        <v>233</v>
      </c>
      <c r="V1512" s="2" t="s">
        <v>241</v>
      </c>
      <c r="W1512" s="2" t="s">
        <v>275</v>
      </c>
      <c r="X1512" s="2" t="s">
        <v>233</v>
      </c>
      <c r="Y1512" s="2" t="s">
        <v>276</v>
      </c>
      <c r="Z1512" s="4">
        <v>35</v>
      </c>
      <c r="AA1512" s="4">
        <f>=ROUNDDOWN(17.5,0)</f>
      </c>
      <c r="AB1512" s="5">
        <v>2</v>
      </c>
      <c r="AC1512" s="2" t="s">
        <v>233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233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233</v>
      </c>
      <c r="AW1512" s="8" t="s">
        <v>233</v>
      </c>
      <c r="AX1512" s="4" t="s">
        <v>233</v>
      </c>
      <c r="AY1512" s="8" t="s">
        <v>233</v>
      </c>
      <c r="AZ1512" s="7" t="s">
        <v>233</v>
      </c>
      <c r="BA1512" s="7" t="s">
        <v>233</v>
      </c>
      <c r="BB1512" s="7"/>
      <c r="BC1512" s="4" t="s">
        <v>233</v>
      </c>
      <c r="BD1512" s="8" t="s">
        <v>233</v>
      </c>
      <c r="BE1512" s="4" t="s">
        <v>233</v>
      </c>
      <c r="BF1512" s="8" t="s">
        <v>233</v>
      </c>
      <c r="BG1512" s="7" t="s">
        <v>233</v>
      </c>
      <c r="BH1512" s="7" t="s">
        <v>233</v>
      </c>
      <c r="BI1512" s="7"/>
      <c r="BJ1512" s="4">
        <v>9</v>
      </c>
      <c r="BK1512" s="8">
        <v>1032.82</v>
      </c>
      <c r="BL1512" s="2" t="s">
        <v>7287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7288</v>
      </c>
      <c r="BV1512" s="2" t="s">
        <v>233</v>
      </c>
      <c r="BW1512" s="2" t="s">
        <v>233</v>
      </c>
      <c r="BX1512" s="2" t="s">
        <v>233</v>
      </c>
      <c r="BY1512" s="2" t="s">
        <v>280</v>
      </c>
      <c r="BZ1512" s="2" t="s">
        <v>245</v>
      </c>
      <c r="CA1512" s="2" t="s">
        <v>281</v>
      </c>
      <c r="CB1512" s="2" t="s">
        <v>7289</v>
      </c>
      <c r="CC1512" s="2" t="s">
        <v>246</v>
      </c>
      <c r="CD1512" s="2" t="s">
        <v>233</v>
      </c>
      <c r="CE1512" s="4">
        <v>35</v>
      </c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  <c r="HM1512" s="4"/>
      <c r="HN1512" s="4"/>
      <c r="HO1512" s="4"/>
      <c r="HP1512" s="4"/>
      <c r="HQ1512" s="4"/>
      <c r="HR1512" s="4"/>
    </row>
    <row r="1513">
      <c r="A1513" s="2" t="s">
        <v>7290</v>
      </c>
      <c r="B1513" s="2" t="s">
        <v>264</v>
      </c>
      <c r="C1513" s="2" t="s">
        <v>1050</v>
      </c>
      <c r="D1513" s="2" t="s">
        <v>969</v>
      </c>
      <c r="E1513" s="2" t="s">
        <v>1231</v>
      </c>
      <c r="F1513" s="2" t="s">
        <v>7291</v>
      </c>
      <c r="G1513" s="2" t="s">
        <v>7291</v>
      </c>
      <c r="H1513" s="2" t="s">
        <v>7291</v>
      </c>
      <c r="I1513" s="2" t="s">
        <v>7270</v>
      </c>
      <c r="J1513" s="2" t="s">
        <v>270</v>
      </c>
      <c r="K1513" s="2" t="s">
        <v>297</v>
      </c>
      <c r="L1513" s="3">
        <v>91.2</v>
      </c>
      <c r="M1513" s="3">
        <v>95.76</v>
      </c>
      <c r="N1513" s="3">
        <v>189.99</v>
      </c>
      <c r="O1513" s="2" t="s">
        <v>245</v>
      </c>
      <c r="P1513" s="2" t="s">
        <v>311</v>
      </c>
      <c r="Q1513" s="2" t="s">
        <v>239</v>
      </c>
      <c r="R1513" s="2" t="s">
        <v>233</v>
      </c>
      <c r="S1513" s="2" t="s">
        <v>7271</v>
      </c>
      <c r="T1513" s="2" t="s">
        <v>341</v>
      </c>
      <c r="U1513" s="2" t="s">
        <v>233</v>
      </c>
      <c r="V1513" s="2" t="s">
        <v>241</v>
      </c>
      <c r="W1513" s="2" t="s">
        <v>275</v>
      </c>
      <c r="X1513" s="2" t="s">
        <v>233</v>
      </c>
      <c r="Y1513" s="2" t="s">
        <v>276</v>
      </c>
      <c r="Z1513" s="4">
        <v>3</v>
      </c>
      <c r="AA1513" s="4">
        <f>=ROUNDDOWN(1.5,0)</f>
      </c>
      <c r="AB1513" s="5">
        <v>2</v>
      </c>
      <c r="AC1513" s="2" t="s">
        <v>233</v>
      </c>
      <c r="AD1513" s="4"/>
      <c r="AE1513" s="4"/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233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/>
      <c r="BD1513" s="8"/>
      <c r="BE1513" s="4"/>
      <c r="BF1513" s="8"/>
      <c r="BG1513" s="7"/>
      <c r="BH1513" s="7"/>
      <c r="BI1513" s="7"/>
      <c r="BJ1513" s="4">
        <v>1</v>
      </c>
      <c r="BK1513" s="8">
        <v>90.5</v>
      </c>
      <c r="BL1513" s="2" t="s">
        <v>453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7292</v>
      </c>
      <c r="BV1513" s="2" t="s">
        <v>233</v>
      </c>
      <c r="BW1513" s="2" t="s">
        <v>233</v>
      </c>
      <c r="BX1513" s="2" t="s">
        <v>233</v>
      </c>
      <c r="BY1513" s="2" t="s">
        <v>280</v>
      </c>
      <c r="BZ1513" s="2" t="s">
        <v>245</v>
      </c>
      <c r="CA1513" s="2" t="s">
        <v>281</v>
      </c>
      <c r="CB1513" s="2" t="s">
        <v>6254</v>
      </c>
      <c r="CC1513" s="2" t="s">
        <v>246</v>
      </c>
      <c r="CD1513" s="2" t="s">
        <v>233</v>
      </c>
      <c r="CE1513" s="4">
        <v>3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  <c r="HM1513" s="4"/>
      <c r="HN1513" s="4"/>
      <c r="HO1513" s="4"/>
      <c r="HP1513" s="4"/>
      <c r="HQ1513" s="4"/>
      <c r="HR1513" s="4"/>
    </row>
    <row r="1514">
      <c r="A1514" s="2" t="s">
        <v>7293</v>
      </c>
      <c r="B1514" s="2" t="s">
        <v>228</v>
      </c>
      <c r="C1514" s="2" t="s">
        <v>1130</v>
      </c>
      <c r="D1514" s="2" t="s">
        <v>1616</v>
      </c>
      <c r="E1514" s="2" t="s">
        <v>2599</v>
      </c>
      <c r="F1514" s="2" t="s">
        <v>7294</v>
      </c>
      <c r="G1514" s="2" t="s">
        <v>3098</v>
      </c>
      <c r="H1514" s="2" t="s">
        <v>3098</v>
      </c>
      <c r="I1514" s="2" t="s">
        <v>7295</v>
      </c>
      <c r="J1514" s="2" t="s">
        <v>1736</v>
      </c>
      <c r="K1514" s="2" t="s">
        <v>271</v>
      </c>
      <c r="L1514" s="3">
        <v>16.33</v>
      </c>
      <c r="M1514" s="3">
        <v>17.15</v>
      </c>
      <c r="N1514" s="3">
        <v>35.99</v>
      </c>
      <c r="O1514" s="2" t="s">
        <v>237</v>
      </c>
      <c r="P1514" s="2" t="s">
        <v>311</v>
      </c>
      <c r="Q1514" s="2" t="s">
        <v>239</v>
      </c>
      <c r="R1514" s="2" t="s">
        <v>233</v>
      </c>
      <c r="S1514" s="2" t="s">
        <v>7296</v>
      </c>
      <c r="T1514" s="2" t="s">
        <v>2749</v>
      </c>
      <c r="U1514" s="2" t="s">
        <v>233</v>
      </c>
      <c r="V1514" s="2" t="s">
        <v>241</v>
      </c>
      <c r="W1514" s="2" t="s">
        <v>397</v>
      </c>
      <c r="X1514" s="2" t="s">
        <v>233</v>
      </c>
      <c r="Y1514" s="2" t="s">
        <v>276</v>
      </c>
      <c r="Z1514" s="4">
        <v>207</v>
      </c>
      <c r="AA1514" s="4">
        <f>=ROUNDDOWN(47.0454545454545,0)</f>
      </c>
      <c r="AB1514" s="5">
        <v>4.4</v>
      </c>
      <c r="AC1514" s="2" t="s">
        <v>233</v>
      </c>
      <c r="AD1514" s="4"/>
      <c r="AE1514" s="4"/>
      <c r="AF1514" s="6">
        <v>64</v>
      </c>
      <c r="AG1514" s="6"/>
      <c r="AH1514" s="7">
        <v>1</v>
      </c>
      <c r="AI1514" s="4"/>
      <c r="AJ1514" s="4">
        <f>=ROUNDDOWN({0},0)</f>
      </c>
      <c r="AK1514" s="5"/>
      <c r="AL1514" s="2" t="s">
        <v>233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/>
      <c r="AW1514" s="8"/>
      <c r="AX1514" s="4"/>
      <c r="AY1514" s="8"/>
      <c r="AZ1514" s="7"/>
      <c r="BA1514" s="7"/>
      <c r="BB1514" s="7"/>
      <c r="BC1514" s="4"/>
      <c r="BD1514" s="8"/>
      <c r="BE1514" s="4"/>
      <c r="BF1514" s="8"/>
      <c r="BG1514" s="7"/>
      <c r="BH1514" s="7"/>
      <c r="BI1514" s="7"/>
      <c r="BJ1514" s="4">
        <v>23</v>
      </c>
      <c r="BK1514" s="8">
        <v>344.94</v>
      </c>
      <c r="BL1514" s="2" t="s">
        <v>7297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7298</v>
      </c>
      <c r="BV1514" s="2" t="s">
        <v>233</v>
      </c>
      <c r="BW1514" s="2" t="s">
        <v>233</v>
      </c>
      <c r="BX1514" s="2" t="s">
        <v>233</v>
      </c>
      <c r="BY1514" s="2" t="s">
        <v>280</v>
      </c>
      <c r="BZ1514" s="2" t="s">
        <v>245</v>
      </c>
      <c r="CA1514" s="2" t="s">
        <v>6261</v>
      </c>
      <c r="CB1514" s="2" t="s">
        <v>7299</v>
      </c>
      <c r="CC1514" s="2" t="s">
        <v>246</v>
      </c>
      <c r="CD1514" s="2" t="s">
        <v>233</v>
      </c>
      <c r="CE1514" s="4">
        <v>207</v>
      </c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  <c r="HM1514" s="4"/>
      <c r="HN1514" s="4"/>
      <c r="HO1514" s="4"/>
      <c r="HP1514" s="4"/>
      <c r="HQ1514" s="4"/>
      <c r="HR1514" s="4"/>
    </row>
    <row r="1515">
      <c r="A1515" s="2" t="s">
        <v>7300</v>
      </c>
      <c r="B1515" s="2" t="s">
        <v>910</v>
      </c>
      <c r="C1515" s="2" t="s">
        <v>911</v>
      </c>
      <c r="D1515" s="2" t="s">
        <v>1862</v>
      </c>
      <c r="E1515" s="2" t="s">
        <v>1863</v>
      </c>
      <c r="F1515" s="2" t="s">
        <v>7301</v>
      </c>
      <c r="G1515" s="2" t="s">
        <v>3099</v>
      </c>
      <c r="H1515" s="2" t="s">
        <v>6971</v>
      </c>
      <c r="I1515" s="2" t="s">
        <v>7302</v>
      </c>
      <c r="J1515" s="2" t="s">
        <v>918</v>
      </c>
      <c r="K1515" s="2" t="s">
        <v>1083</v>
      </c>
      <c r="L1515" s="3">
        <v>32.2</v>
      </c>
      <c r="M1515" s="3">
        <v>33.81</v>
      </c>
      <c r="N1515" s="3">
        <v>69.99</v>
      </c>
      <c r="O1515" s="2" t="s">
        <v>252</v>
      </c>
      <c r="P1515" s="2" t="s">
        <v>311</v>
      </c>
      <c r="Q1515" s="2" t="s">
        <v>239</v>
      </c>
      <c r="R1515" s="2" t="s">
        <v>233</v>
      </c>
      <c r="S1515" s="2" t="s">
        <v>7303</v>
      </c>
      <c r="T1515" s="2" t="s">
        <v>341</v>
      </c>
      <c r="U1515" s="2" t="s">
        <v>491</v>
      </c>
      <c r="V1515" s="2" t="s">
        <v>1658</v>
      </c>
      <c r="W1515" s="2" t="s">
        <v>1763</v>
      </c>
      <c r="X1515" s="2" t="s">
        <v>275</v>
      </c>
      <c r="Y1515" s="2" t="s">
        <v>4759</v>
      </c>
      <c r="Z1515" s="4"/>
      <c r="AA1515" s="4">
        <f>=ROUNDDOWN({0},0)</f>
      </c>
      <c r="AB1515" s="5"/>
      <c r="AC1515" s="2" t="s">
        <v>233</v>
      </c>
      <c r="AD1515" s="4"/>
      <c r="AE1515" s="4"/>
      <c r="AF1515" s="6"/>
      <c r="AG1515" s="6"/>
      <c r="AH1515" s="7">
        <v>0</v>
      </c>
      <c r="AI1515" s="4"/>
      <c r="AJ1515" s="4">
        <f>=ROUNDDOWN({0},0)</f>
      </c>
      <c r="AK1515" s="5"/>
      <c r="AL1515" s="2" t="s">
        <v>233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/>
      <c r="BD1515" s="8"/>
      <c r="BE1515" s="4"/>
      <c r="BF1515" s="8"/>
      <c r="BG1515" s="7"/>
      <c r="BH1515" s="7"/>
      <c r="BI1515" s="7"/>
      <c r="BJ1515" s="4"/>
      <c r="BK1515" s="8"/>
      <c r="BL1515" s="2" t="s">
        <v>233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7304</v>
      </c>
      <c r="BV1515" s="2" t="s">
        <v>233</v>
      </c>
      <c r="BW1515" s="2" t="s">
        <v>233</v>
      </c>
      <c r="BX1515" s="2" t="s">
        <v>233</v>
      </c>
      <c r="BY1515" s="2" t="s">
        <v>280</v>
      </c>
      <c r="BZ1515" s="2" t="s">
        <v>245</v>
      </c>
      <c r="CA1515" s="2" t="s">
        <v>7305</v>
      </c>
      <c r="CB1515" s="2" t="s">
        <v>7306</v>
      </c>
      <c r="CC1515" s="2" t="s">
        <v>246</v>
      </c>
      <c r="CD1515" s="2" t="s">
        <v>233</v>
      </c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  <c r="HM1515" s="4"/>
      <c r="HN1515" s="4"/>
      <c r="HO1515" s="4"/>
      <c r="HP1515" s="4"/>
      <c r="HQ1515" s="4"/>
      <c r="HR1515" s="4"/>
    </row>
    <row r="1516">
      <c r="A1516" s="2" t="s">
        <v>7307</v>
      </c>
      <c r="B1516" s="2" t="s">
        <v>1242</v>
      </c>
      <c r="C1516" s="2" t="s">
        <v>334</v>
      </c>
      <c r="D1516" s="2" t="s">
        <v>969</v>
      </c>
      <c r="E1516" s="2" t="s">
        <v>3334</v>
      </c>
      <c r="F1516" s="2" t="s">
        <v>7308</v>
      </c>
      <c r="G1516" s="2" t="s">
        <v>7309</v>
      </c>
      <c r="H1516" s="2" t="s">
        <v>7310</v>
      </c>
      <c r="I1516" s="2" t="s">
        <v>7311</v>
      </c>
      <c r="J1516" s="2" t="s">
        <v>270</v>
      </c>
      <c r="K1516" s="2" t="s">
        <v>7312</v>
      </c>
      <c r="L1516" s="3">
        <v>51.99</v>
      </c>
      <c r="M1516" s="3">
        <v>54.59</v>
      </c>
      <c r="N1516" s="3">
        <v>99.99</v>
      </c>
      <c r="O1516" s="2" t="s">
        <v>237</v>
      </c>
      <c r="P1516" s="2" t="s">
        <v>311</v>
      </c>
      <c r="Q1516" s="2" t="s">
        <v>239</v>
      </c>
      <c r="R1516" s="2" t="s">
        <v>233</v>
      </c>
      <c r="S1516" s="2" t="s">
        <v>7313</v>
      </c>
      <c r="T1516" s="2" t="s">
        <v>233</v>
      </c>
      <c r="U1516" s="2" t="s">
        <v>1507</v>
      </c>
      <c r="V1516" s="2" t="s">
        <v>1272</v>
      </c>
      <c r="W1516" s="2" t="s">
        <v>6891</v>
      </c>
      <c r="X1516" s="2" t="s">
        <v>275</v>
      </c>
      <c r="Y1516" s="2" t="s">
        <v>7314</v>
      </c>
      <c r="Z1516" s="4">
        <v>9</v>
      </c>
      <c r="AA1516" s="4">
        <f>=ROUNDDOWN(3,0)</f>
      </c>
      <c r="AB1516" s="5">
        <v>3</v>
      </c>
      <c r="AC1516" s="2" t="s">
        <v>233</v>
      </c>
      <c r="AD1516" s="4"/>
      <c r="AE1516" s="4"/>
      <c r="AF1516" s="6">
        <v>64</v>
      </c>
      <c r="AG1516" s="6"/>
      <c r="AH1516" s="7">
        <v>1</v>
      </c>
      <c r="AI1516" s="4"/>
      <c r="AJ1516" s="4">
        <f>=ROUNDDOWN({0},0)</f>
      </c>
      <c r="AK1516" s="5"/>
      <c r="AL1516" s="2" t="s">
        <v>233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/>
      <c r="AW1516" s="8"/>
      <c r="AX1516" s="4"/>
      <c r="AY1516" s="8"/>
      <c r="AZ1516" s="7"/>
      <c r="BA1516" s="7"/>
      <c r="BB1516" s="7"/>
      <c r="BC1516" s="4"/>
      <c r="BD1516" s="8"/>
      <c r="BE1516" s="4"/>
      <c r="BF1516" s="8"/>
      <c r="BG1516" s="7"/>
      <c r="BH1516" s="7"/>
      <c r="BI1516" s="7"/>
      <c r="BJ1516" s="4">
        <v>5</v>
      </c>
      <c r="BK1516" s="8">
        <v>266.48</v>
      </c>
      <c r="BL1516" s="2" t="s">
        <v>7315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7316</v>
      </c>
      <c r="BV1516" s="2" t="s">
        <v>233</v>
      </c>
      <c r="BW1516" s="2" t="s">
        <v>233</v>
      </c>
      <c r="BX1516" s="2" t="s">
        <v>233</v>
      </c>
      <c r="BY1516" s="2" t="s">
        <v>280</v>
      </c>
      <c r="BZ1516" s="2" t="s">
        <v>245</v>
      </c>
      <c r="CA1516" s="2" t="s">
        <v>596</v>
      </c>
      <c r="CB1516" s="2" t="s">
        <v>7317</v>
      </c>
      <c r="CC1516" s="2" t="s">
        <v>246</v>
      </c>
      <c r="CD1516" s="2" t="s">
        <v>233</v>
      </c>
      <c r="CE1516" s="4">
        <v>9</v>
      </c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  <c r="HM1516" s="4"/>
      <c r="HN1516" s="4"/>
      <c r="HO1516" s="4"/>
      <c r="HP1516" s="4"/>
      <c r="HQ1516" s="4"/>
      <c r="HR1516" s="4"/>
    </row>
    <row r="1517">
      <c r="A1517" s="2" t="s">
        <v>7318</v>
      </c>
      <c r="B1517" s="2" t="s">
        <v>928</v>
      </c>
      <c r="C1517" s="2" t="s">
        <v>947</v>
      </c>
      <c r="D1517" s="2" t="s">
        <v>1757</v>
      </c>
      <c r="E1517" s="2" t="s">
        <v>7319</v>
      </c>
      <c r="F1517" s="2" t="s">
        <v>5131</v>
      </c>
      <c r="G1517" s="2" t="s">
        <v>5131</v>
      </c>
      <c r="H1517" s="2" t="s">
        <v>5131</v>
      </c>
      <c r="I1517" s="2" t="s">
        <v>7320</v>
      </c>
      <c r="J1517" s="2" t="s">
        <v>892</v>
      </c>
      <c r="K1517" s="2" t="s">
        <v>2344</v>
      </c>
      <c r="L1517" s="3">
        <v>40.47</v>
      </c>
      <c r="M1517" s="3">
        <v>42.49</v>
      </c>
      <c r="N1517" s="3">
        <v>84.99</v>
      </c>
      <c r="O1517" s="2" t="s">
        <v>245</v>
      </c>
      <c r="P1517" s="2" t="s">
        <v>238</v>
      </c>
      <c r="Q1517" s="2" t="s">
        <v>239</v>
      </c>
      <c r="R1517" s="2" t="s">
        <v>233</v>
      </c>
      <c r="S1517" s="2" t="s">
        <v>233</v>
      </c>
      <c r="T1517" s="2" t="s">
        <v>233</v>
      </c>
      <c r="U1517" s="2" t="s">
        <v>396</v>
      </c>
      <c r="V1517" s="2" t="s">
        <v>379</v>
      </c>
      <c r="W1517" s="2" t="s">
        <v>5825</v>
      </c>
      <c r="X1517" s="2" t="s">
        <v>977</v>
      </c>
      <c r="Y1517" s="2" t="s">
        <v>1106</v>
      </c>
      <c r="Z1517" s="4">
        <v>73</v>
      </c>
      <c r="AA1517" s="4">
        <f>=ROUNDDOWN(36.5,0)</f>
      </c>
      <c r="AB1517" s="5">
        <v>2</v>
      </c>
      <c r="AC1517" s="2" t="s">
        <v>233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233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/>
      <c r="AW1517" s="8"/>
      <c r="AX1517" s="4"/>
      <c r="AY1517" s="8"/>
      <c r="AZ1517" s="7"/>
      <c r="BA1517" s="7"/>
      <c r="BB1517" s="7"/>
      <c r="BC1517" s="4"/>
      <c r="BD1517" s="8"/>
      <c r="BE1517" s="4"/>
      <c r="BF1517" s="8"/>
      <c r="BG1517" s="7"/>
      <c r="BH1517" s="7"/>
      <c r="BI1517" s="7"/>
      <c r="BJ1517" s="4">
        <v>4</v>
      </c>
      <c r="BK1517" s="8">
        <v>169.56</v>
      </c>
      <c r="BL1517" s="2" t="s">
        <v>2750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7321</v>
      </c>
      <c r="BV1517" s="2" t="s">
        <v>233</v>
      </c>
      <c r="BW1517" s="2" t="s">
        <v>233</v>
      </c>
      <c r="BX1517" s="2" t="s">
        <v>243</v>
      </c>
      <c r="BY1517" s="2" t="s">
        <v>280</v>
      </c>
      <c r="BZ1517" s="2" t="s">
        <v>245</v>
      </c>
      <c r="CA1517" s="2" t="s">
        <v>908</v>
      </c>
      <c r="CB1517" s="2" t="s">
        <v>478</v>
      </c>
      <c r="CC1517" s="2" t="s">
        <v>246</v>
      </c>
      <c r="CD1517" s="2" t="s">
        <v>233</v>
      </c>
      <c r="CE1517" s="4"/>
      <c r="CF1517" s="4">
        <v>73</v>
      </c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  <c r="HM1517" s="4"/>
      <c r="HN1517" s="4"/>
      <c r="HO1517" s="4"/>
      <c r="HP1517" s="4"/>
      <c r="HQ1517" s="4"/>
      <c r="HR1517" s="4"/>
    </row>
    <row r="1518">
      <c r="A1518" s="2" t="s">
        <v>7322</v>
      </c>
      <c r="B1518" s="2" t="s">
        <v>1066</v>
      </c>
      <c r="C1518" s="2" t="s">
        <v>530</v>
      </c>
      <c r="D1518" s="2" t="s">
        <v>1067</v>
      </c>
      <c r="E1518" s="2" t="s">
        <v>7323</v>
      </c>
      <c r="F1518" s="2" t="s">
        <v>7324</v>
      </c>
      <c r="G1518" s="2" t="s">
        <v>5987</v>
      </c>
      <c r="H1518" s="2" t="s">
        <v>4818</v>
      </c>
      <c r="I1518" s="2" t="s">
        <v>7325</v>
      </c>
      <c r="J1518" s="2" t="s">
        <v>892</v>
      </c>
      <c r="K1518" s="2" t="s">
        <v>984</v>
      </c>
      <c r="L1518" s="3">
        <v>183.83</v>
      </c>
      <c r="M1518" s="3">
        <v>193.02</v>
      </c>
      <c r="N1518" s="3">
        <v>389</v>
      </c>
      <c r="O1518" s="2" t="s">
        <v>245</v>
      </c>
      <c r="P1518" s="2" t="s">
        <v>393</v>
      </c>
      <c r="Q1518" s="2" t="s">
        <v>239</v>
      </c>
      <c r="R1518" s="2" t="s">
        <v>233</v>
      </c>
      <c r="S1518" s="2" t="s">
        <v>233</v>
      </c>
      <c r="T1518" s="2" t="s">
        <v>233</v>
      </c>
      <c r="U1518" s="2" t="s">
        <v>396</v>
      </c>
      <c r="V1518" s="2" t="s">
        <v>893</v>
      </c>
      <c r="W1518" s="2" t="s">
        <v>451</v>
      </c>
      <c r="X1518" s="2" t="s">
        <v>275</v>
      </c>
      <c r="Y1518" s="2" t="s">
        <v>6659</v>
      </c>
      <c r="Z1518" s="4">
        <v>75</v>
      </c>
      <c r="AA1518" s="4">
        <f>=ROUNDDOWN(75,0)</f>
      </c>
      <c r="AB1518" s="5">
        <v>1</v>
      </c>
      <c r="AC1518" s="2" t="s">
        <v>233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233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/>
      <c r="AW1518" s="8"/>
      <c r="AX1518" s="4"/>
      <c r="AY1518" s="8"/>
      <c r="AZ1518" s="7"/>
      <c r="BA1518" s="7"/>
      <c r="BB1518" s="7"/>
      <c r="BC1518" s="4" t="s">
        <v>233</v>
      </c>
      <c r="BD1518" s="8" t="s">
        <v>233</v>
      </c>
      <c r="BE1518" s="4" t="s">
        <v>233</v>
      </c>
      <c r="BF1518" s="8" t="s">
        <v>233</v>
      </c>
      <c r="BG1518" s="7" t="s">
        <v>233</v>
      </c>
      <c r="BH1518" s="7" t="s">
        <v>233</v>
      </c>
      <c r="BI1518" s="7"/>
      <c r="BJ1518" s="4"/>
      <c r="BK1518" s="8"/>
      <c r="BL1518" s="2" t="s">
        <v>233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7326</v>
      </c>
      <c r="BV1518" s="2" t="s">
        <v>233</v>
      </c>
      <c r="BW1518" s="2" t="s">
        <v>233</v>
      </c>
      <c r="BX1518" s="2" t="s">
        <v>233</v>
      </c>
      <c r="BY1518" s="2" t="s">
        <v>280</v>
      </c>
      <c r="BZ1518" s="2" t="s">
        <v>245</v>
      </c>
      <c r="CA1518" s="2" t="s">
        <v>3674</v>
      </c>
      <c r="CB1518" s="2" t="s">
        <v>2354</v>
      </c>
      <c r="CC1518" s="2" t="s">
        <v>246</v>
      </c>
      <c r="CD1518" s="2" t="s">
        <v>233</v>
      </c>
      <c r="CE1518" s="4"/>
      <c r="CF1518" s="4">
        <v>75</v>
      </c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  <c r="HM1518" s="4"/>
      <c r="HN1518" s="4"/>
      <c r="HO1518" s="4"/>
      <c r="HP1518" s="4"/>
      <c r="HQ1518" s="4"/>
      <c r="HR1518" s="4"/>
    </row>
    <row r="1519">
      <c r="A1519" s="2" t="s">
        <v>7327</v>
      </c>
      <c r="B1519" s="2" t="s">
        <v>910</v>
      </c>
      <c r="C1519" s="2" t="s">
        <v>911</v>
      </c>
      <c r="D1519" s="2" t="s">
        <v>912</v>
      </c>
      <c r="E1519" s="2" t="s">
        <v>913</v>
      </c>
      <c r="F1519" s="2" t="s">
        <v>7324</v>
      </c>
      <c r="G1519" s="2" t="s">
        <v>7328</v>
      </c>
      <c r="H1519" s="2" t="s">
        <v>5393</v>
      </c>
      <c r="I1519" s="2" t="s">
        <v>7329</v>
      </c>
      <c r="J1519" s="2" t="s">
        <v>918</v>
      </c>
      <c r="K1519" s="2" t="s">
        <v>7330</v>
      </c>
      <c r="L1519" s="3">
        <v>26.95</v>
      </c>
      <c r="M1519" s="3">
        <v>28.3</v>
      </c>
      <c r="N1519" s="3">
        <v>54.99</v>
      </c>
      <c r="O1519" s="2" t="s">
        <v>245</v>
      </c>
      <c r="P1519" s="2" t="s">
        <v>272</v>
      </c>
      <c r="Q1519" s="2" t="s">
        <v>239</v>
      </c>
      <c r="R1519" s="2" t="s">
        <v>233</v>
      </c>
      <c r="S1519" s="2" t="s">
        <v>7331</v>
      </c>
      <c r="T1519" s="2" t="s">
        <v>395</v>
      </c>
      <c r="U1519" s="2" t="s">
        <v>342</v>
      </c>
      <c r="V1519" s="2" t="s">
        <v>2225</v>
      </c>
      <c r="W1519" s="2" t="s">
        <v>705</v>
      </c>
      <c r="X1519" s="2" t="s">
        <v>1303</v>
      </c>
      <c r="Y1519" s="2" t="s">
        <v>7332</v>
      </c>
      <c r="Z1519" s="4">
        <v>103</v>
      </c>
      <c r="AA1519" s="4">
        <f>=ROUNDDOWN(34.3333333333333,0)</f>
      </c>
      <c r="AB1519" s="5">
        <v>3</v>
      </c>
      <c r="AC1519" s="2" t="s">
        <v>3255</v>
      </c>
      <c r="AD1519" s="4">
        <v>60</v>
      </c>
      <c r="AE1519" s="4">
        <v>60</v>
      </c>
      <c r="AF1519" s="6">
        <v>64</v>
      </c>
      <c r="AG1519" s="6"/>
      <c r="AH1519" s="7">
        <v>0</v>
      </c>
      <c r="AI1519" s="4"/>
      <c r="AJ1519" s="4">
        <f>=ROUNDDOWN({0},0)</f>
      </c>
      <c r="AK1519" s="5"/>
      <c r="AL1519" s="2" t="s">
        <v>233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233</v>
      </c>
      <c r="AW1519" s="8" t="s">
        <v>233</v>
      </c>
      <c r="AX1519" s="4" t="s">
        <v>233</v>
      </c>
      <c r="AY1519" s="8" t="s">
        <v>233</v>
      </c>
      <c r="AZ1519" s="7" t="s">
        <v>233</v>
      </c>
      <c r="BA1519" s="7" t="s">
        <v>233</v>
      </c>
      <c r="BB1519" s="7"/>
      <c r="BC1519" s="4" t="s">
        <v>233</v>
      </c>
      <c r="BD1519" s="8" t="s">
        <v>233</v>
      </c>
      <c r="BE1519" s="4" t="s">
        <v>233</v>
      </c>
      <c r="BF1519" s="8" t="s">
        <v>233</v>
      </c>
      <c r="BG1519" s="7" t="s">
        <v>233</v>
      </c>
      <c r="BH1519" s="7" t="s">
        <v>233</v>
      </c>
      <c r="BI1519" s="7"/>
      <c r="BJ1519" s="4"/>
      <c r="BK1519" s="8"/>
      <c r="BL1519" s="2" t="s">
        <v>7333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7334</v>
      </c>
      <c r="BV1519" s="2" t="s">
        <v>233</v>
      </c>
      <c r="BW1519" s="2" t="s">
        <v>233</v>
      </c>
      <c r="BX1519" s="2" t="s">
        <v>233</v>
      </c>
      <c r="BY1519" s="2" t="s">
        <v>280</v>
      </c>
      <c r="BZ1519" s="2" t="s">
        <v>245</v>
      </c>
      <c r="CA1519" s="2" t="s">
        <v>7332</v>
      </c>
      <c r="CB1519" s="2" t="s">
        <v>7335</v>
      </c>
      <c r="CC1519" s="2" t="s">
        <v>246</v>
      </c>
      <c r="CD1519" s="2" t="s">
        <v>233</v>
      </c>
      <c r="CE1519" s="4">
        <v>103</v>
      </c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>
        <v>60</v>
      </c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  <c r="HM1519" s="4"/>
      <c r="HN1519" s="4"/>
      <c r="HO1519" s="4"/>
      <c r="HP1519" s="4"/>
      <c r="HQ1519" s="4"/>
      <c r="HR1519" s="4"/>
    </row>
    <row r="1520">
      <c r="A1520" s="2" t="s">
        <v>7336</v>
      </c>
      <c r="B1520" s="2" t="s">
        <v>910</v>
      </c>
      <c r="C1520" s="2" t="s">
        <v>911</v>
      </c>
      <c r="D1520" s="2" t="s">
        <v>912</v>
      </c>
      <c r="E1520" s="2" t="s">
        <v>913</v>
      </c>
      <c r="F1520" s="2" t="s">
        <v>7324</v>
      </c>
      <c r="G1520" s="2" t="s">
        <v>7328</v>
      </c>
      <c r="H1520" s="2" t="s">
        <v>5393</v>
      </c>
      <c r="I1520" s="2" t="s">
        <v>7329</v>
      </c>
      <c r="J1520" s="2" t="s">
        <v>981</v>
      </c>
      <c r="K1520" s="2" t="s">
        <v>7330</v>
      </c>
      <c r="L1520" s="3">
        <v>31.85</v>
      </c>
      <c r="M1520" s="3">
        <v>33.44</v>
      </c>
      <c r="N1520" s="3">
        <v>64.99</v>
      </c>
      <c r="O1520" s="2" t="s">
        <v>245</v>
      </c>
      <c r="P1520" s="2" t="s">
        <v>272</v>
      </c>
      <c r="Q1520" s="2" t="s">
        <v>239</v>
      </c>
      <c r="R1520" s="2" t="s">
        <v>233</v>
      </c>
      <c r="S1520" s="2" t="s">
        <v>7331</v>
      </c>
      <c r="T1520" s="2" t="s">
        <v>395</v>
      </c>
      <c r="U1520" s="2" t="s">
        <v>1482</v>
      </c>
      <c r="V1520" s="2" t="s">
        <v>2225</v>
      </c>
      <c r="W1520" s="2" t="s">
        <v>705</v>
      </c>
      <c r="X1520" s="2" t="s">
        <v>1303</v>
      </c>
      <c r="Y1520" s="2" t="s">
        <v>7332</v>
      </c>
      <c r="Z1520" s="4">
        <v>117</v>
      </c>
      <c r="AA1520" s="4">
        <f>=ROUNDDOWN(29.25,0)</f>
      </c>
      <c r="AB1520" s="5">
        <v>4</v>
      </c>
      <c r="AC1520" s="2" t="s">
        <v>3255</v>
      </c>
      <c r="AD1520" s="4">
        <v>70</v>
      </c>
      <c r="AE1520" s="4">
        <v>70</v>
      </c>
      <c r="AF1520" s="6">
        <v>64</v>
      </c>
      <c r="AG1520" s="6"/>
      <c r="AH1520" s="7">
        <v>1</v>
      </c>
      <c r="AI1520" s="4"/>
      <c r="AJ1520" s="4">
        <f>=ROUNDDOWN({0},0)</f>
      </c>
      <c r="AK1520" s="5"/>
      <c r="AL1520" s="2" t="s">
        <v>233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233</v>
      </c>
      <c r="AW1520" s="8" t="s">
        <v>233</v>
      </c>
      <c r="AX1520" s="4" t="s">
        <v>233</v>
      </c>
      <c r="AY1520" s="8" t="s">
        <v>233</v>
      </c>
      <c r="AZ1520" s="7" t="s">
        <v>233</v>
      </c>
      <c r="BA1520" s="7" t="s">
        <v>233</v>
      </c>
      <c r="BB1520" s="7"/>
      <c r="BC1520" s="4" t="s">
        <v>233</v>
      </c>
      <c r="BD1520" s="8" t="s">
        <v>233</v>
      </c>
      <c r="BE1520" s="4" t="s">
        <v>233</v>
      </c>
      <c r="BF1520" s="8" t="s">
        <v>233</v>
      </c>
      <c r="BG1520" s="7" t="s">
        <v>233</v>
      </c>
      <c r="BH1520" s="7" t="s">
        <v>233</v>
      </c>
      <c r="BI1520" s="7"/>
      <c r="BJ1520" s="4">
        <v>11</v>
      </c>
      <c r="BK1520" s="8">
        <v>389.71</v>
      </c>
      <c r="BL1520" s="2" t="s">
        <v>7337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7338</v>
      </c>
      <c r="BV1520" s="2" t="s">
        <v>233</v>
      </c>
      <c r="BW1520" s="2" t="s">
        <v>233</v>
      </c>
      <c r="BX1520" s="2" t="s">
        <v>233</v>
      </c>
      <c r="BY1520" s="2" t="s">
        <v>280</v>
      </c>
      <c r="BZ1520" s="2" t="s">
        <v>245</v>
      </c>
      <c r="CA1520" s="2" t="s">
        <v>7332</v>
      </c>
      <c r="CB1520" s="2" t="s">
        <v>7339</v>
      </c>
      <c r="CC1520" s="2" t="s">
        <v>246</v>
      </c>
      <c r="CD1520" s="2" t="s">
        <v>233</v>
      </c>
      <c r="CE1520" s="4">
        <v>117</v>
      </c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>
        <v>70</v>
      </c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  <c r="HM1520" s="4"/>
      <c r="HN1520" s="4"/>
      <c r="HO1520" s="4"/>
      <c r="HP1520" s="4"/>
      <c r="HQ1520" s="4"/>
      <c r="HR1520" s="4"/>
    </row>
    <row r="1521">
      <c r="A1521" s="2" t="s">
        <v>7340</v>
      </c>
      <c r="B1521" s="2" t="s">
        <v>1242</v>
      </c>
      <c r="C1521" s="2" t="s">
        <v>530</v>
      </c>
      <c r="D1521" s="2" t="s">
        <v>969</v>
      </c>
      <c r="E1521" s="2" t="s">
        <v>1078</v>
      </c>
      <c r="F1521" s="2" t="s">
        <v>7341</v>
      </c>
      <c r="G1521" s="2" t="s">
        <v>7342</v>
      </c>
      <c r="H1521" s="2" t="s">
        <v>7343</v>
      </c>
      <c r="I1521" s="2" t="s">
        <v>2321</v>
      </c>
      <c r="J1521" s="2" t="s">
        <v>981</v>
      </c>
      <c r="K1521" s="2" t="s">
        <v>645</v>
      </c>
      <c r="L1521" s="3">
        <v>41.14</v>
      </c>
      <c r="M1521" s="3">
        <v>43.2</v>
      </c>
      <c r="N1521" s="3">
        <v>89.99</v>
      </c>
      <c r="O1521" s="2" t="s">
        <v>245</v>
      </c>
      <c r="P1521" s="2" t="s">
        <v>238</v>
      </c>
      <c r="Q1521" s="2" t="s">
        <v>239</v>
      </c>
      <c r="R1521" s="2" t="s">
        <v>233</v>
      </c>
      <c r="S1521" s="2" t="s">
        <v>7344</v>
      </c>
      <c r="T1521" s="2" t="s">
        <v>1481</v>
      </c>
      <c r="U1521" s="2" t="s">
        <v>871</v>
      </c>
      <c r="V1521" s="2" t="s">
        <v>1483</v>
      </c>
      <c r="W1521" s="2" t="s">
        <v>776</v>
      </c>
      <c r="X1521" s="2" t="s">
        <v>233</v>
      </c>
      <c r="Y1521" s="2" t="s">
        <v>233</v>
      </c>
      <c r="Z1521" s="4"/>
      <c r="AA1521" s="4">
        <f>=ROUNDDOWN({0},0)</f>
      </c>
      <c r="AB1521" s="5"/>
      <c r="AC1521" s="2" t="s">
        <v>1947</v>
      </c>
      <c r="AD1521" s="4">
        <v>220</v>
      </c>
      <c r="AE1521" s="4">
        <v>440</v>
      </c>
      <c r="AF1521" s="6">
        <v>64</v>
      </c>
      <c r="AG1521" s="6"/>
      <c r="AH1521" s="7">
        <v>0</v>
      </c>
      <c r="AI1521" s="4"/>
      <c r="AJ1521" s="4">
        <f>=ROUNDDOWN({0},0)</f>
      </c>
      <c r="AK1521" s="5"/>
      <c r="AL1521" s="2" t="s">
        <v>233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233</v>
      </c>
      <c r="AW1521" s="8" t="s">
        <v>233</v>
      </c>
      <c r="AX1521" s="4" t="s">
        <v>233</v>
      </c>
      <c r="AY1521" s="8" t="s">
        <v>233</v>
      </c>
      <c r="AZ1521" s="7" t="s">
        <v>233</v>
      </c>
      <c r="BA1521" s="7" t="s">
        <v>233</v>
      </c>
      <c r="BB1521" s="7"/>
      <c r="BC1521" s="4" t="s">
        <v>233</v>
      </c>
      <c r="BD1521" s="8" t="s">
        <v>233</v>
      </c>
      <c r="BE1521" s="4" t="s">
        <v>233</v>
      </c>
      <c r="BF1521" s="8" t="s">
        <v>233</v>
      </c>
      <c r="BG1521" s="7" t="s">
        <v>233</v>
      </c>
      <c r="BH1521" s="7" t="s">
        <v>233</v>
      </c>
      <c r="BI1521" s="7"/>
      <c r="BJ1521" s="4"/>
      <c r="BK1521" s="8"/>
      <c r="BL1521" s="2" t="s">
        <v>233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243</v>
      </c>
      <c r="BV1521" s="2" t="s">
        <v>233</v>
      </c>
      <c r="BW1521" s="2" t="s">
        <v>233</v>
      </c>
      <c r="BX1521" s="2" t="s">
        <v>243</v>
      </c>
      <c r="BY1521" s="2" t="s">
        <v>244</v>
      </c>
      <c r="BZ1521" s="2" t="s">
        <v>245</v>
      </c>
      <c r="CA1521" s="2" t="s">
        <v>233</v>
      </c>
      <c r="CB1521" s="2" t="s">
        <v>233</v>
      </c>
      <c r="CC1521" s="2" t="s">
        <v>246</v>
      </c>
      <c r="CD1521" s="2" t="s">
        <v>233</v>
      </c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>
        <v>220</v>
      </c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>
        <v>220</v>
      </c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  <c r="HM1521" s="4"/>
      <c r="HN1521" s="4"/>
      <c r="HO1521" s="4"/>
      <c r="HP1521" s="4"/>
      <c r="HQ1521" s="4"/>
      <c r="HR1521" s="4"/>
    </row>
    <row r="1522">
      <c r="A1522" s="2" t="s">
        <v>7345</v>
      </c>
      <c r="B1522" s="2" t="s">
        <v>1242</v>
      </c>
      <c r="C1522" s="2" t="s">
        <v>530</v>
      </c>
      <c r="D1522" s="2" t="s">
        <v>969</v>
      </c>
      <c r="E1522" s="2" t="s">
        <v>1078</v>
      </c>
      <c r="F1522" s="2" t="s">
        <v>7341</v>
      </c>
      <c r="G1522" s="2" t="s">
        <v>7342</v>
      </c>
      <c r="H1522" s="2" t="s">
        <v>7343</v>
      </c>
      <c r="I1522" s="2" t="s">
        <v>2321</v>
      </c>
      <c r="J1522" s="2" t="s">
        <v>1142</v>
      </c>
      <c r="K1522" s="2" t="s">
        <v>645</v>
      </c>
      <c r="L1522" s="3">
        <v>45.71</v>
      </c>
      <c r="M1522" s="3">
        <v>48</v>
      </c>
      <c r="N1522" s="3">
        <v>99.99</v>
      </c>
      <c r="O1522" s="2" t="s">
        <v>245</v>
      </c>
      <c r="P1522" s="2" t="s">
        <v>238</v>
      </c>
      <c r="Q1522" s="2" t="s">
        <v>239</v>
      </c>
      <c r="R1522" s="2" t="s">
        <v>233</v>
      </c>
      <c r="S1522" s="2" t="s">
        <v>7344</v>
      </c>
      <c r="T1522" s="2" t="s">
        <v>1481</v>
      </c>
      <c r="U1522" s="2" t="s">
        <v>871</v>
      </c>
      <c r="V1522" s="2" t="s">
        <v>1483</v>
      </c>
      <c r="W1522" s="2" t="s">
        <v>776</v>
      </c>
      <c r="X1522" s="2" t="s">
        <v>233</v>
      </c>
      <c r="Y1522" s="2" t="s">
        <v>233</v>
      </c>
      <c r="Z1522" s="4"/>
      <c r="AA1522" s="4">
        <f>=ROUNDDOWN({0},0)</f>
      </c>
      <c r="AB1522" s="5"/>
      <c r="AC1522" s="2" t="s">
        <v>1947</v>
      </c>
      <c r="AD1522" s="4">
        <v>180</v>
      </c>
      <c r="AE1522" s="4">
        <v>360</v>
      </c>
      <c r="AF1522" s="6">
        <v>64</v>
      </c>
      <c r="AG1522" s="6"/>
      <c r="AH1522" s="7">
        <v>0</v>
      </c>
      <c r="AI1522" s="4"/>
      <c r="AJ1522" s="4">
        <f>=ROUNDDOWN({0},0)</f>
      </c>
      <c r="AK1522" s="5"/>
      <c r="AL1522" s="2" t="s">
        <v>233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233</v>
      </c>
      <c r="AW1522" s="8" t="s">
        <v>233</v>
      </c>
      <c r="AX1522" s="4" t="s">
        <v>233</v>
      </c>
      <c r="AY1522" s="8" t="s">
        <v>233</v>
      </c>
      <c r="AZ1522" s="7" t="s">
        <v>233</v>
      </c>
      <c r="BA1522" s="7" t="s">
        <v>233</v>
      </c>
      <c r="BB1522" s="7"/>
      <c r="BC1522" s="4" t="s">
        <v>233</v>
      </c>
      <c r="BD1522" s="8" t="s">
        <v>233</v>
      </c>
      <c r="BE1522" s="4" t="s">
        <v>233</v>
      </c>
      <c r="BF1522" s="8" t="s">
        <v>233</v>
      </c>
      <c r="BG1522" s="7" t="s">
        <v>233</v>
      </c>
      <c r="BH1522" s="7" t="s">
        <v>233</v>
      </c>
      <c r="BI1522" s="7"/>
      <c r="BJ1522" s="4"/>
      <c r="BK1522" s="8"/>
      <c r="BL1522" s="2" t="s">
        <v>233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243</v>
      </c>
      <c r="BV1522" s="2" t="s">
        <v>233</v>
      </c>
      <c r="BW1522" s="2" t="s">
        <v>233</v>
      </c>
      <c r="BX1522" s="2" t="s">
        <v>243</v>
      </c>
      <c r="BY1522" s="2" t="s">
        <v>244</v>
      </c>
      <c r="BZ1522" s="2" t="s">
        <v>245</v>
      </c>
      <c r="CA1522" s="2" t="s">
        <v>233</v>
      </c>
      <c r="CB1522" s="2" t="s">
        <v>233</v>
      </c>
      <c r="CC1522" s="2" t="s">
        <v>246</v>
      </c>
      <c r="CD1522" s="2" t="s">
        <v>233</v>
      </c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>
        <v>180</v>
      </c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>
        <v>180</v>
      </c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  <c r="HM1522" s="4"/>
      <c r="HN1522" s="4"/>
      <c r="HO1522" s="4"/>
      <c r="HP1522" s="4"/>
      <c r="HQ1522" s="4"/>
      <c r="HR1522" s="4"/>
    </row>
    <row r="1523">
      <c r="A1523" s="2" t="s">
        <v>7346</v>
      </c>
      <c r="B1523" s="2" t="s">
        <v>1242</v>
      </c>
      <c r="C1523" s="2" t="s">
        <v>530</v>
      </c>
      <c r="D1523" s="2" t="s">
        <v>969</v>
      </c>
      <c r="E1523" s="2" t="s">
        <v>1078</v>
      </c>
      <c r="F1523" s="2" t="s">
        <v>7341</v>
      </c>
      <c r="G1523" s="2" t="s">
        <v>7342</v>
      </c>
      <c r="H1523" s="2" t="s">
        <v>7343</v>
      </c>
      <c r="I1523" s="2" t="s">
        <v>2321</v>
      </c>
      <c r="J1523" s="2" t="s">
        <v>981</v>
      </c>
      <c r="K1523" s="2" t="s">
        <v>7205</v>
      </c>
      <c r="L1523" s="3">
        <v>41.14</v>
      </c>
      <c r="M1523" s="3">
        <v>43.2</v>
      </c>
      <c r="N1523" s="3">
        <v>89.99</v>
      </c>
      <c r="O1523" s="2" t="s">
        <v>245</v>
      </c>
      <c r="P1523" s="2" t="s">
        <v>238</v>
      </c>
      <c r="Q1523" s="2" t="s">
        <v>239</v>
      </c>
      <c r="R1523" s="2" t="s">
        <v>233</v>
      </c>
      <c r="S1523" s="2" t="s">
        <v>7347</v>
      </c>
      <c r="T1523" s="2" t="s">
        <v>1481</v>
      </c>
      <c r="U1523" s="2" t="s">
        <v>871</v>
      </c>
      <c r="V1523" s="2" t="s">
        <v>1483</v>
      </c>
      <c r="W1523" s="2" t="s">
        <v>776</v>
      </c>
      <c r="X1523" s="2" t="s">
        <v>233</v>
      </c>
      <c r="Y1523" s="2" t="s">
        <v>233</v>
      </c>
      <c r="Z1523" s="4"/>
      <c r="AA1523" s="4">
        <f>=ROUNDDOWN({0},0)</f>
      </c>
      <c r="AB1523" s="5"/>
      <c r="AC1523" s="2" t="s">
        <v>1947</v>
      </c>
      <c r="AD1523" s="4">
        <v>220</v>
      </c>
      <c r="AE1523" s="4">
        <v>440</v>
      </c>
      <c r="AF1523" s="6">
        <v>64</v>
      </c>
      <c r="AG1523" s="6"/>
      <c r="AH1523" s="7">
        <v>0</v>
      </c>
      <c r="AI1523" s="4"/>
      <c r="AJ1523" s="4">
        <f>=ROUNDDOWN({0},0)</f>
      </c>
      <c r="AK1523" s="5"/>
      <c r="AL1523" s="2" t="s">
        <v>233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233</v>
      </c>
      <c r="AW1523" s="8" t="s">
        <v>233</v>
      </c>
      <c r="AX1523" s="4" t="s">
        <v>233</v>
      </c>
      <c r="AY1523" s="8" t="s">
        <v>233</v>
      </c>
      <c r="AZ1523" s="7" t="s">
        <v>233</v>
      </c>
      <c r="BA1523" s="7" t="s">
        <v>233</v>
      </c>
      <c r="BB1523" s="7"/>
      <c r="BC1523" s="4" t="s">
        <v>233</v>
      </c>
      <c r="BD1523" s="8" t="s">
        <v>233</v>
      </c>
      <c r="BE1523" s="4" t="s">
        <v>233</v>
      </c>
      <c r="BF1523" s="8" t="s">
        <v>233</v>
      </c>
      <c r="BG1523" s="7" t="s">
        <v>233</v>
      </c>
      <c r="BH1523" s="7" t="s">
        <v>233</v>
      </c>
      <c r="BI1523" s="7"/>
      <c r="BJ1523" s="4"/>
      <c r="BK1523" s="8"/>
      <c r="BL1523" s="2" t="s">
        <v>233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243</v>
      </c>
      <c r="BV1523" s="2" t="s">
        <v>233</v>
      </c>
      <c r="BW1523" s="2" t="s">
        <v>233</v>
      </c>
      <c r="BX1523" s="2" t="s">
        <v>243</v>
      </c>
      <c r="BY1523" s="2" t="s">
        <v>244</v>
      </c>
      <c r="BZ1523" s="2" t="s">
        <v>245</v>
      </c>
      <c r="CA1523" s="2" t="s">
        <v>233</v>
      </c>
      <c r="CB1523" s="2" t="s">
        <v>233</v>
      </c>
      <c r="CC1523" s="2" t="s">
        <v>246</v>
      </c>
      <c r="CD1523" s="2" t="s">
        <v>233</v>
      </c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>
        <v>220</v>
      </c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>
        <v>220</v>
      </c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  <c r="HM1523" s="4"/>
      <c r="HN1523" s="4"/>
      <c r="HO1523" s="4"/>
      <c r="HP1523" s="4"/>
      <c r="HQ1523" s="4"/>
      <c r="HR1523" s="4"/>
    </row>
    <row r="1524">
      <c r="A1524" s="2" t="s">
        <v>7348</v>
      </c>
      <c r="B1524" s="2" t="s">
        <v>1242</v>
      </c>
      <c r="C1524" s="2" t="s">
        <v>530</v>
      </c>
      <c r="D1524" s="2" t="s">
        <v>969</v>
      </c>
      <c r="E1524" s="2" t="s">
        <v>1078</v>
      </c>
      <c r="F1524" s="2" t="s">
        <v>7341</v>
      </c>
      <c r="G1524" s="2" t="s">
        <v>7342</v>
      </c>
      <c r="H1524" s="2" t="s">
        <v>7343</v>
      </c>
      <c r="I1524" s="2" t="s">
        <v>2321</v>
      </c>
      <c r="J1524" s="2" t="s">
        <v>1142</v>
      </c>
      <c r="K1524" s="2" t="s">
        <v>7205</v>
      </c>
      <c r="L1524" s="3">
        <v>45.71</v>
      </c>
      <c r="M1524" s="3">
        <v>48</v>
      </c>
      <c r="N1524" s="3">
        <v>99.99</v>
      </c>
      <c r="O1524" s="2" t="s">
        <v>245</v>
      </c>
      <c r="P1524" s="2" t="s">
        <v>238</v>
      </c>
      <c r="Q1524" s="2" t="s">
        <v>239</v>
      </c>
      <c r="R1524" s="2" t="s">
        <v>233</v>
      </c>
      <c r="S1524" s="2" t="s">
        <v>7347</v>
      </c>
      <c r="T1524" s="2" t="s">
        <v>1481</v>
      </c>
      <c r="U1524" s="2" t="s">
        <v>871</v>
      </c>
      <c r="V1524" s="2" t="s">
        <v>1483</v>
      </c>
      <c r="W1524" s="2" t="s">
        <v>776</v>
      </c>
      <c r="X1524" s="2" t="s">
        <v>233</v>
      </c>
      <c r="Y1524" s="2" t="s">
        <v>233</v>
      </c>
      <c r="Z1524" s="4"/>
      <c r="AA1524" s="4">
        <f>=ROUNDDOWN({0},0)</f>
      </c>
      <c r="AB1524" s="5"/>
      <c r="AC1524" s="2" t="s">
        <v>1947</v>
      </c>
      <c r="AD1524" s="4">
        <v>180</v>
      </c>
      <c r="AE1524" s="4">
        <v>360</v>
      </c>
      <c r="AF1524" s="6">
        <v>64</v>
      </c>
      <c r="AG1524" s="6"/>
      <c r="AH1524" s="7">
        <v>0</v>
      </c>
      <c r="AI1524" s="4"/>
      <c r="AJ1524" s="4">
        <f>=ROUNDDOWN({0},0)</f>
      </c>
      <c r="AK1524" s="5"/>
      <c r="AL1524" s="2" t="s">
        <v>233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233</v>
      </c>
      <c r="AW1524" s="8" t="s">
        <v>233</v>
      </c>
      <c r="AX1524" s="4" t="s">
        <v>233</v>
      </c>
      <c r="AY1524" s="8" t="s">
        <v>233</v>
      </c>
      <c r="AZ1524" s="7" t="s">
        <v>233</v>
      </c>
      <c r="BA1524" s="7" t="s">
        <v>233</v>
      </c>
      <c r="BB1524" s="7"/>
      <c r="BC1524" s="4" t="s">
        <v>233</v>
      </c>
      <c r="BD1524" s="8" t="s">
        <v>233</v>
      </c>
      <c r="BE1524" s="4" t="s">
        <v>233</v>
      </c>
      <c r="BF1524" s="8" t="s">
        <v>233</v>
      </c>
      <c r="BG1524" s="7" t="s">
        <v>233</v>
      </c>
      <c r="BH1524" s="7" t="s">
        <v>233</v>
      </c>
      <c r="BI1524" s="7"/>
      <c r="BJ1524" s="4"/>
      <c r="BK1524" s="8"/>
      <c r="BL1524" s="2" t="s">
        <v>233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243</v>
      </c>
      <c r="BV1524" s="2" t="s">
        <v>233</v>
      </c>
      <c r="BW1524" s="2" t="s">
        <v>233</v>
      </c>
      <c r="BX1524" s="2" t="s">
        <v>243</v>
      </c>
      <c r="BY1524" s="2" t="s">
        <v>244</v>
      </c>
      <c r="BZ1524" s="2" t="s">
        <v>245</v>
      </c>
      <c r="CA1524" s="2" t="s">
        <v>233</v>
      </c>
      <c r="CB1524" s="2" t="s">
        <v>233</v>
      </c>
      <c r="CC1524" s="2" t="s">
        <v>246</v>
      </c>
      <c r="CD1524" s="2" t="s">
        <v>233</v>
      </c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>
        <v>180</v>
      </c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>
        <v>180</v>
      </c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  <c r="HM1524" s="4"/>
      <c r="HN1524" s="4"/>
      <c r="HO1524" s="4"/>
      <c r="HP1524" s="4"/>
      <c r="HQ1524" s="4"/>
      <c r="HR1524" s="4"/>
    </row>
    <row r="1525">
      <c r="A1525" s="2" t="s">
        <v>7349</v>
      </c>
      <c r="B1525" s="2" t="s">
        <v>228</v>
      </c>
      <c r="C1525" s="2" t="s">
        <v>1335</v>
      </c>
      <c r="D1525" s="2" t="s">
        <v>1616</v>
      </c>
      <c r="E1525" s="2" t="s">
        <v>1617</v>
      </c>
      <c r="F1525" s="2" t="s">
        <v>7350</v>
      </c>
      <c r="G1525" s="2" t="s">
        <v>7350</v>
      </c>
      <c r="H1525" s="2" t="s">
        <v>7350</v>
      </c>
      <c r="I1525" s="2" t="s">
        <v>7351</v>
      </c>
      <c r="J1525" s="2" t="s">
        <v>1620</v>
      </c>
      <c r="K1525" s="2" t="s">
        <v>1561</v>
      </c>
      <c r="L1525" s="3">
        <v>16.1</v>
      </c>
      <c r="M1525" s="3">
        <v>16.9</v>
      </c>
      <c r="N1525" s="3">
        <v>34.99</v>
      </c>
      <c r="O1525" s="2" t="s">
        <v>245</v>
      </c>
      <c r="P1525" s="2" t="s">
        <v>311</v>
      </c>
      <c r="Q1525" s="2" t="s">
        <v>239</v>
      </c>
      <c r="R1525" s="2" t="s">
        <v>233</v>
      </c>
      <c r="S1525" s="2" t="s">
        <v>7352</v>
      </c>
      <c r="T1525" s="2" t="s">
        <v>5238</v>
      </c>
      <c r="U1525" s="2" t="s">
        <v>396</v>
      </c>
      <c r="V1525" s="2" t="s">
        <v>1340</v>
      </c>
      <c r="W1525" s="2" t="s">
        <v>978</v>
      </c>
      <c r="X1525" s="2" t="s">
        <v>1056</v>
      </c>
      <c r="Y1525" s="2" t="s">
        <v>7353</v>
      </c>
      <c r="Z1525" s="4"/>
      <c r="AA1525" s="4">
        <f>=ROUNDDOWN({0},0)</f>
      </c>
      <c r="AB1525" s="5">
        <v>17</v>
      </c>
      <c r="AC1525" s="2" t="s">
        <v>233</v>
      </c>
      <c r="AD1525" s="4"/>
      <c r="AE1525" s="4"/>
      <c r="AF1525" s="6">
        <v>65</v>
      </c>
      <c r="AG1525" s="6"/>
      <c r="AH1525" s="7">
        <v>0</v>
      </c>
      <c r="AI1525" s="4"/>
      <c r="AJ1525" s="4">
        <f>=ROUNDDOWN({0},0)</f>
      </c>
      <c r="AK1525" s="5"/>
      <c r="AL1525" s="2" t="s">
        <v>233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/>
      <c r="AW1525" s="8"/>
      <c r="AX1525" s="4"/>
      <c r="AY1525" s="8"/>
      <c r="AZ1525" s="7"/>
      <c r="BA1525" s="7"/>
      <c r="BB1525" s="7"/>
      <c r="BC1525" s="4" t="s">
        <v>233</v>
      </c>
      <c r="BD1525" s="8" t="s">
        <v>233</v>
      </c>
      <c r="BE1525" s="4" t="s">
        <v>233</v>
      </c>
      <c r="BF1525" s="8" t="s">
        <v>233</v>
      </c>
      <c r="BG1525" s="7" t="s">
        <v>233</v>
      </c>
      <c r="BH1525" s="7" t="s">
        <v>233</v>
      </c>
      <c r="BI1525" s="7"/>
      <c r="BJ1525" s="4">
        <v>1</v>
      </c>
      <c r="BK1525" s="8">
        <v>25.06</v>
      </c>
      <c r="BL1525" s="2" t="s">
        <v>7354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7355</v>
      </c>
      <c r="BV1525" s="2" t="s">
        <v>233</v>
      </c>
      <c r="BW1525" s="2" t="s">
        <v>233</v>
      </c>
      <c r="BX1525" s="2" t="s">
        <v>595</v>
      </c>
      <c r="BY1525" s="2" t="s">
        <v>280</v>
      </c>
      <c r="BZ1525" s="2" t="s">
        <v>245</v>
      </c>
      <c r="CA1525" s="2" t="s">
        <v>7356</v>
      </c>
      <c r="CB1525" s="2" t="s">
        <v>1374</v>
      </c>
      <c r="CC1525" s="2" t="s">
        <v>246</v>
      </c>
      <c r="CD1525" s="2" t="s">
        <v>233</v>
      </c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  <c r="HM1525" s="4"/>
      <c r="HN1525" s="4"/>
      <c r="HO1525" s="4"/>
      <c r="HP1525" s="4"/>
      <c r="HQ1525" s="4"/>
      <c r="HR1525" s="4"/>
    </row>
    <row r="1526">
      <c r="A1526" s="2" t="s">
        <v>7357</v>
      </c>
      <c r="B1526" s="2" t="s">
        <v>228</v>
      </c>
      <c r="C1526" s="2" t="s">
        <v>1335</v>
      </c>
      <c r="D1526" s="2" t="s">
        <v>3847</v>
      </c>
      <c r="E1526" s="2" t="s">
        <v>6221</v>
      </c>
      <c r="F1526" s="2" t="s">
        <v>7350</v>
      </c>
      <c r="G1526" s="2" t="s">
        <v>7350</v>
      </c>
      <c r="H1526" s="2" t="s">
        <v>7350</v>
      </c>
      <c r="I1526" s="2" t="s">
        <v>7358</v>
      </c>
      <c r="J1526" s="2" t="s">
        <v>6223</v>
      </c>
      <c r="K1526" s="2" t="s">
        <v>1201</v>
      </c>
      <c r="L1526" s="3">
        <v>37.72</v>
      </c>
      <c r="M1526" s="3">
        <v>39.61</v>
      </c>
      <c r="N1526" s="3">
        <v>81.99</v>
      </c>
      <c r="O1526" s="2" t="s">
        <v>245</v>
      </c>
      <c r="P1526" s="2" t="s">
        <v>272</v>
      </c>
      <c r="Q1526" s="2" t="s">
        <v>239</v>
      </c>
      <c r="R1526" s="2" t="s">
        <v>233</v>
      </c>
      <c r="S1526" s="2" t="s">
        <v>7359</v>
      </c>
      <c r="T1526" s="2" t="s">
        <v>233</v>
      </c>
      <c r="U1526" s="2" t="s">
        <v>396</v>
      </c>
      <c r="V1526" s="2" t="s">
        <v>1340</v>
      </c>
      <c r="W1526" s="2" t="s">
        <v>978</v>
      </c>
      <c r="X1526" s="2" t="s">
        <v>1056</v>
      </c>
      <c r="Y1526" s="2" t="s">
        <v>7360</v>
      </c>
      <c r="Z1526" s="4">
        <v>1146</v>
      </c>
      <c r="AA1526" s="4">
        <f>=ROUNDDOWN(67.4117647058823,0)</f>
      </c>
      <c r="AB1526" s="5">
        <v>17</v>
      </c>
      <c r="AC1526" s="2" t="s">
        <v>233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233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 t="s">
        <v>233</v>
      </c>
      <c r="BD1526" s="8" t="s">
        <v>233</v>
      </c>
      <c r="BE1526" s="4" t="s">
        <v>233</v>
      </c>
      <c r="BF1526" s="8" t="s">
        <v>233</v>
      </c>
      <c r="BG1526" s="7" t="s">
        <v>233</v>
      </c>
      <c r="BH1526" s="7" t="s">
        <v>233</v>
      </c>
      <c r="BI1526" s="7"/>
      <c r="BJ1526" s="4">
        <v>9</v>
      </c>
      <c r="BK1526" s="8">
        <v>351.57</v>
      </c>
      <c r="BL1526" s="2" t="s">
        <v>7361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7362</v>
      </c>
      <c r="BV1526" s="2" t="s">
        <v>233</v>
      </c>
      <c r="BW1526" s="2" t="s">
        <v>233</v>
      </c>
      <c r="BX1526" s="2" t="s">
        <v>233</v>
      </c>
      <c r="BY1526" s="2" t="s">
        <v>280</v>
      </c>
      <c r="BZ1526" s="2" t="s">
        <v>245</v>
      </c>
      <c r="CA1526" s="2" t="s">
        <v>6073</v>
      </c>
      <c r="CB1526" s="2" t="s">
        <v>6350</v>
      </c>
      <c r="CC1526" s="2" t="s">
        <v>246</v>
      </c>
      <c r="CD1526" s="2" t="s">
        <v>233</v>
      </c>
      <c r="CE1526" s="4">
        <v>1146</v>
      </c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  <c r="HM1526" s="4"/>
      <c r="HN1526" s="4"/>
      <c r="HO1526" s="4"/>
      <c r="HP1526" s="4"/>
      <c r="HQ1526" s="4"/>
      <c r="HR1526" s="4"/>
    </row>
    <row r="1527">
      <c r="A1527" s="2" t="s">
        <v>7363</v>
      </c>
      <c r="B1527" s="2" t="s">
        <v>333</v>
      </c>
      <c r="C1527" s="2" t="s">
        <v>530</v>
      </c>
      <c r="D1527" s="2" t="s">
        <v>487</v>
      </c>
      <c r="E1527" s="2" t="s">
        <v>488</v>
      </c>
      <c r="F1527" s="2" t="s">
        <v>7364</v>
      </c>
      <c r="G1527" s="2" t="s">
        <v>7364</v>
      </c>
      <c r="H1527" s="2" t="s">
        <v>7364</v>
      </c>
      <c r="I1527" s="2" t="s">
        <v>7365</v>
      </c>
      <c r="J1527" s="2" t="s">
        <v>490</v>
      </c>
      <c r="K1527" s="2" t="s">
        <v>236</v>
      </c>
      <c r="L1527" s="3">
        <v>14.85</v>
      </c>
      <c r="M1527" s="3">
        <v>15.59</v>
      </c>
      <c r="N1527" s="3">
        <v>29.99</v>
      </c>
      <c r="O1527" s="2" t="s">
        <v>245</v>
      </c>
      <c r="P1527" s="2" t="s">
        <v>311</v>
      </c>
      <c r="Q1527" s="2" t="s">
        <v>239</v>
      </c>
      <c r="R1527" s="2" t="s">
        <v>233</v>
      </c>
      <c r="S1527" s="2" t="s">
        <v>7366</v>
      </c>
      <c r="T1527" s="2" t="s">
        <v>2188</v>
      </c>
      <c r="U1527" s="2" t="s">
        <v>491</v>
      </c>
      <c r="V1527" s="2" t="s">
        <v>241</v>
      </c>
      <c r="W1527" s="2" t="s">
        <v>275</v>
      </c>
      <c r="X1527" s="2" t="s">
        <v>233</v>
      </c>
      <c r="Y1527" s="2" t="s">
        <v>7367</v>
      </c>
      <c r="Z1527" s="4">
        <v>27</v>
      </c>
      <c r="AA1527" s="4">
        <f>=ROUNDDOWN({0},0)</f>
      </c>
      <c r="AB1527" s="5"/>
      <c r="AC1527" s="2" t="s">
        <v>233</v>
      </c>
      <c r="AD1527" s="4"/>
      <c r="AE1527" s="4"/>
      <c r="AF1527" s="6">
        <v>74</v>
      </c>
      <c r="AG1527" s="6"/>
      <c r="AH1527" s="7">
        <v>1</v>
      </c>
      <c r="AI1527" s="4"/>
      <c r="AJ1527" s="4">
        <f>=ROUNDDOWN({0},0)</f>
      </c>
      <c r="AK1527" s="5"/>
      <c r="AL1527" s="2" t="s">
        <v>233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233</v>
      </c>
      <c r="AW1527" s="8" t="s">
        <v>233</v>
      </c>
      <c r="AX1527" s="4" t="s">
        <v>233</v>
      </c>
      <c r="AY1527" s="8" t="s">
        <v>233</v>
      </c>
      <c r="AZ1527" s="7" t="s">
        <v>233</v>
      </c>
      <c r="BA1527" s="7" t="s">
        <v>233</v>
      </c>
      <c r="BB1527" s="7"/>
      <c r="BC1527" s="4" t="s">
        <v>233</v>
      </c>
      <c r="BD1527" s="8" t="s">
        <v>233</v>
      </c>
      <c r="BE1527" s="4" t="s">
        <v>233</v>
      </c>
      <c r="BF1527" s="8" t="s">
        <v>233</v>
      </c>
      <c r="BG1527" s="7" t="s">
        <v>233</v>
      </c>
      <c r="BH1527" s="7" t="s">
        <v>233</v>
      </c>
      <c r="BI1527" s="7"/>
      <c r="BJ1527" s="4">
        <v>1</v>
      </c>
      <c r="BK1527" s="8">
        <v>29.99</v>
      </c>
      <c r="BL1527" s="2" t="s">
        <v>7368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7369</v>
      </c>
      <c r="BV1527" s="2" t="s">
        <v>233</v>
      </c>
      <c r="BW1527" s="2" t="s">
        <v>233</v>
      </c>
      <c r="BX1527" s="2" t="s">
        <v>233</v>
      </c>
      <c r="BY1527" s="2" t="s">
        <v>280</v>
      </c>
      <c r="BZ1527" s="2" t="s">
        <v>245</v>
      </c>
      <c r="CA1527" s="2" t="s">
        <v>7370</v>
      </c>
      <c r="CB1527" s="2" t="s">
        <v>3744</v>
      </c>
      <c r="CC1527" s="2" t="s">
        <v>246</v>
      </c>
      <c r="CD1527" s="2" t="s">
        <v>233</v>
      </c>
      <c r="CE1527" s="4">
        <v>27</v>
      </c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  <c r="HM1527" s="4"/>
      <c r="HN1527" s="4"/>
      <c r="HO1527" s="4"/>
      <c r="HP1527" s="4"/>
      <c r="HQ1527" s="4"/>
      <c r="HR1527" s="4"/>
    </row>
    <row r="1528">
      <c r="A1528" s="2" t="s">
        <v>7371</v>
      </c>
      <c r="B1528" s="2" t="s">
        <v>333</v>
      </c>
      <c r="C1528" s="2" t="s">
        <v>530</v>
      </c>
      <c r="D1528" s="2" t="s">
        <v>487</v>
      </c>
      <c r="E1528" s="2" t="s">
        <v>488</v>
      </c>
      <c r="F1528" s="2" t="s">
        <v>7364</v>
      </c>
      <c r="G1528" s="2" t="s">
        <v>7364</v>
      </c>
      <c r="H1528" s="2" t="s">
        <v>7364</v>
      </c>
      <c r="I1528" s="2" t="s">
        <v>7365</v>
      </c>
      <c r="J1528" s="2" t="s">
        <v>495</v>
      </c>
      <c r="K1528" s="2" t="s">
        <v>236</v>
      </c>
      <c r="L1528" s="3">
        <v>12.85</v>
      </c>
      <c r="M1528" s="3">
        <v>13.49</v>
      </c>
      <c r="N1528" s="3">
        <v>24.99</v>
      </c>
      <c r="O1528" s="2" t="s">
        <v>245</v>
      </c>
      <c r="P1528" s="2" t="s">
        <v>311</v>
      </c>
      <c r="Q1528" s="2" t="s">
        <v>239</v>
      </c>
      <c r="R1528" s="2" t="s">
        <v>233</v>
      </c>
      <c r="S1528" s="2" t="s">
        <v>7366</v>
      </c>
      <c r="T1528" s="2" t="s">
        <v>2188</v>
      </c>
      <c r="U1528" s="2" t="s">
        <v>491</v>
      </c>
      <c r="V1528" s="2" t="s">
        <v>241</v>
      </c>
      <c r="W1528" s="2" t="s">
        <v>275</v>
      </c>
      <c r="X1528" s="2" t="s">
        <v>233</v>
      </c>
      <c r="Y1528" s="2" t="s">
        <v>7367</v>
      </c>
      <c r="Z1528" s="4">
        <v>14</v>
      </c>
      <c r="AA1528" s="4">
        <f>=ROUNDDOWN(23.3333333333333,0)</f>
      </c>
      <c r="AB1528" s="5">
        <v>0.6</v>
      </c>
      <c r="AC1528" s="2" t="s">
        <v>233</v>
      </c>
      <c r="AD1528" s="4"/>
      <c r="AE1528" s="4"/>
      <c r="AF1528" s="6">
        <v>74</v>
      </c>
      <c r="AG1528" s="6"/>
      <c r="AH1528" s="7">
        <v>1</v>
      </c>
      <c r="AI1528" s="4"/>
      <c r="AJ1528" s="4">
        <f>=ROUNDDOWN({0},0)</f>
      </c>
      <c r="AK1528" s="5"/>
      <c r="AL1528" s="2" t="s">
        <v>233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233</v>
      </c>
      <c r="AW1528" s="8" t="s">
        <v>233</v>
      </c>
      <c r="AX1528" s="4" t="s">
        <v>233</v>
      </c>
      <c r="AY1528" s="8" t="s">
        <v>233</v>
      </c>
      <c r="AZ1528" s="7" t="s">
        <v>233</v>
      </c>
      <c r="BA1528" s="7" t="s">
        <v>233</v>
      </c>
      <c r="BB1528" s="7"/>
      <c r="BC1528" s="4" t="s">
        <v>233</v>
      </c>
      <c r="BD1528" s="8" t="s">
        <v>233</v>
      </c>
      <c r="BE1528" s="4" t="s">
        <v>233</v>
      </c>
      <c r="BF1528" s="8" t="s">
        <v>233</v>
      </c>
      <c r="BG1528" s="7" t="s">
        <v>233</v>
      </c>
      <c r="BH1528" s="7" t="s">
        <v>233</v>
      </c>
      <c r="BI1528" s="7"/>
      <c r="BJ1528" s="4">
        <v>2</v>
      </c>
      <c r="BK1528" s="8">
        <v>28.74</v>
      </c>
      <c r="BL1528" s="2" t="s">
        <v>5176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7372</v>
      </c>
      <c r="BV1528" s="2" t="s">
        <v>233</v>
      </c>
      <c r="BW1528" s="2" t="s">
        <v>233</v>
      </c>
      <c r="BX1528" s="2" t="s">
        <v>233</v>
      </c>
      <c r="BY1528" s="2" t="s">
        <v>280</v>
      </c>
      <c r="BZ1528" s="2" t="s">
        <v>245</v>
      </c>
      <c r="CA1528" s="2" t="s">
        <v>7370</v>
      </c>
      <c r="CB1528" s="2" t="s">
        <v>3744</v>
      </c>
      <c r="CC1528" s="2" t="s">
        <v>246</v>
      </c>
      <c r="CD1528" s="2" t="s">
        <v>233</v>
      </c>
      <c r="CE1528" s="4">
        <v>14</v>
      </c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  <c r="HM1528" s="4"/>
      <c r="HN1528" s="4"/>
      <c r="HO1528" s="4"/>
      <c r="HP1528" s="4"/>
      <c r="HQ1528" s="4"/>
      <c r="HR1528" s="4"/>
    </row>
    <row r="1529">
      <c r="A1529" s="2" t="s">
        <v>7373</v>
      </c>
      <c r="B1529" s="2" t="s">
        <v>333</v>
      </c>
      <c r="C1529" s="2" t="s">
        <v>530</v>
      </c>
      <c r="D1529" s="2" t="s">
        <v>335</v>
      </c>
      <c r="E1529" s="2" t="s">
        <v>336</v>
      </c>
      <c r="F1529" s="2" t="s">
        <v>7364</v>
      </c>
      <c r="G1529" s="2" t="s">
        <v>7364</v>
      </c>
      <c r="H1529" s="2" t="s">
        <v>7364</v>
      </c>
      <c r="I1529" s="2" t="s">
        <v>7374</v>
      </c>
      <c r="J1529" s="2" t="s">
        <v>290</v>
      </c>
      <c r="K1529" s="2" t="s">
        <v>7375</v>
      </c>
      <c r="L1529" s="3">
        <v>45.25</v>
      </c>
      <c r="M1529" s="3">
        <v>47.51</v>
      </c>
      <c r="N1529" s="3">
        <v>89.99</v>
      </c>
      <c r="O1529" s="2" t="s">
        <v>245</v>
      </c>
      <c r="P1529" s="2" t="s">
        <v>311</v>
      </c>
      <c r="Q1529" s="2" t="s">
        <v>239</v>
      </c>
      <c r="R1529" s="2" t="s">
        <v>233</v>
      </c>
      <c r="S1529" s="2" t="s">
        <v>7376</v>
      </c>
      <c r="T1529" s="2" t="s">
        <v>2188</v>
      </c>
      <c r="U1529" s="2" t="s">
        <v>342</v>
      </c>
      <c r="V1529" s="2" t="s">
        <v>241</v>
      </c>
      <c r="W1529" s="2" t="s">
        <v>275</v>
      </c>
      <c r="X1529" s="2" t="s">
        <v>233</v>
      </c>
      <c r="Y1529" s="2" t="s">
        <v>7367</v>
      </c>
      <c r="Z1529" s="4">
        <v>96</v>
      </c>
      <c r="AA1529" s="4">
        <f>=ROUNDDOWN(160,0)</f>
      </c>
      <c r="AB1529" s="5">
        <v>0.6</v>
      </c>
      <c r="AC1529" s="2" t="s">
        <v>233</v>
      </c>
      <c r="AD1529" s="4"/>
      <c r="AE1529" s="4"/>
      <c r="AF1529" s="6">
        <v>74</v>
      </c>
      <c r="AG1529" s="6"/>
      <c r="AH1529" s="7">
        <v>1</v>
      </c>
      <c r="AI1529" s="4"/>
      <c r="AJ1529" s="4">
        <f>=ROUNDDOWN({0},0)</f>
      </c>
      <c r="AK1529" s="5"/>
      <c r="AL1529" s="2" t="s">
        <v>233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233</v>
      </c>
      <c r="AW1529" s="8" t="s">
        <v>233</v>
      </c>
      <c r="AX1529" s="4" t="s">
        <v>233</v>
      </c>
      <c r="AY1529" s="8" t="s">
        <v>233</v>
      </c>
      <c r="AZ1529" s="7" t="s">
        <v>233</v>
      </c>
      <c r="BA1529" s="7" t="s">
        <v>233</v>
      </c>
      <c r="BB1529" s="7"/>
      <c r="BC1529" s="4" t="s">
        <v>233</v>
      </c>
      <c r="BD1529" s="8" t="s">
        <v>233</v>
      </c>
      <c r="BE1529" s="4" t="s">
        <v>233</v>
      </c>
      <c r="BF1529" s="8" t="s">
        <v>233</v>
      </c>
      <c r="BG1529" s="7" t="s">
        <v>233</v>
      </c>
      <c r="BH1529" s="7" t="s">
        <v>233</v>
      </c>
      <c r="BI1529" s="7"/>
      <c r="BJ1529" s="4">
        <v>4</v>
      </c>
      <c r="BK1529" s="8">
        <v>179.79</v>
      </c>
      <c r="BL1529" s="2" t="s">
        <v>7377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7378</v>
      </c>
      <c r="BV1529" s="2" t="s">
        <v>233</v>
      </c>
      <c r="BW1529" s="2" t="s">
        <v>233</v>
      </c>
      <c r="BX1529" s="2" t="s">
        <v>233</v>
      </c>
      <c r="BY1529" s="2" t="s">
        <v>280</v>
      </c>
      <c r="BZ1529" s="2" t="s">
        <v>245</v>
      </c>
      <c r="CA1529" s="2" t="s">
        <v>895</v>
      </c>
      <c r="CB1529" s="2" t="s">
        <v>7379</v>
      </c>
      <c r="CC1529" s="2" t="s">
        <v>246</v>
      </c>
      <c r="CD1529" s="2" t="s">
        <v>233</v>
      </c>
      <c r="CE1529" s="4">
        <v>96</v>
      </c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/>
      <c r="HH1529" s="4"/>
      <c r="HI1529" s="4"/>
      <c r="HJ1529" s="4"/>
      <c r="HK1529" s="4"/>
      <c r="HL1529" s="4"/>
      <c r="HM1529" s="4"/>
      <c r="HN1529" s="4"/>
      <c r="HO1529" s="4"/>
      <c r="HP1529" s="4"/>
      <c r="HQ1529" s="4"/>
      <c r="HR1529" s="4"/>
    </row>
    <row r="1530">
      <c r="A1530" s="2" t="s">
        <v>7380</v>
      </c>
      <c r="B1530" s="2" t="s">
        <v>333</v>
      </c>
      <c r="C1530" s="2" t="s">
        <v>530</v>
      </c>
      <c r="D1530" s="2" t="s">
        <v>487</v>
      </c>
      <c r="E1530" s="2" t="s">
        <v>488</v>
      </c>
      <c r="F1530" s="2" t="s">
        <v>7364</v>
      </c>
      <c r="G1530" s="2" t="s">
        <v>7364</v>
      </c>
      <c r="H1530" s="2" t="s">
        <v>7364</v>
      </c>
      <c r="I1530" s="2" t="s">
        <v>7365</v>
      </c>
      <c r="J1530" s="2" t="s">
        <v>495</v>
      </c>
      <c r="K1530" s="2" t="s">
        <v>7375</v>
      </c>
      <c r="L1530" s="3">
        <v>12.85</v>
      </c>
      <c r="M1530" s="3">
        <v>13.49</v>
      </c>
      <c r="N1530" s="3">
        <v>24.99</v>
      </c>
      <c r="O1530" s="2" t="s">
        <v>245</v>
      </c>
      <c r="P1530" s="2" t="s">
        <v>311</v>
      </c>
      <c r="Q1530" s="2" t="s">
        <v>239</v>
      </c>
      <c r="R1530" s="2" t="s">
        <v>233</v>
      </c>
      <c r="S1530" s="2" t="s">
        <v>7376</v>
      </c>
      <c r="T1530" s="2" t="s">
        <v>2188</v>
      </c>
      <c r="U1530" s="2" t="s">
        <v>491</v>
      </c>
      <c r="V1530" s="2" t="s">
        <v>241</v>
      </c>
      <c r="W1530" s="2" t="s">
        <v>275</v>
      </c>
      <c r="X1530" s="2" t="s">
        <v>233</v>
      </c>
      <c r="Y1530" s="2" t="s">
        <v>7367</v>
      </c>
      <c r="Z1530" s="4">
        <v>5</v>
      </c>
      <c r="AA1530" s="4">
        <f>=ROUNDDOWN(3.125,0)</f>
      </c>
      <c r="AB1530" s="5">
        <v>1.6</v>
      </c>
      <c r="AC1530" s="2" t="s">
        <v>233</v>
      </c>
      <c r="AD1530" s="4"/>
      <c r="AE1530" s="4"/>
      <c r="AF1530" s="6">
        <v>74</v>
      </c>
      <c r="AG1530" s="6"/>
      <c r="AH1530" s="7">
        <v>1</v>
      </c>
      <c r="AI1530" s="4"/>
      <c r="AJ1530" s="4">
        <f>=ROUNDDOWN({0},0)</f>
      </c>
      <c r="AK1530" s="5"/>
      <c r="AL1530" s="2" t="s">
        <v>233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233</v>
      </c>
      <c r="AW1530" s="8" t="s">
        <v>233</v>
      </c>
      <c r="AX1530" s="4" t="s">
        <v>233</v>
      </c>
      <c r="AY1530" s="8" t="s">
        <v>233</v>
      </c>
      <c r="AZ1530" s="7" t="s">
        <v>233</v>
      </c>
      <c r="BA1530" s="7" t="s">
        <v>233</v>
      </c>
      <c r="BB1530" s="7"/>
      <c r="BC1530" s="4" t="s">
        <v>233</v>
      </c>
      <c r="BD1530" s="8" t="s">
        <v>233</v>
      </c>
      <c r="BE1530" s="4" t="s">
        <v>233</v>
      </c>
      <c r="BF1530" s="8" t="s">
        <v>233</v>
      </c>
      <c r="BG1530" s="7" t="s">
        <v>233</v>
      </c>
      <c r="BH1530" s="7" t="s">
        <v>233</v>
      </c>
      <c r="BI1530" s="7"/>
      <c r="BJ1530" s="4">
        <v>1</v>
      </c>
      <c r="BK1530" s="8">
        <v>14.17</v>
      </c>
      <c r="BL1530" s="2" t="s">
        <v>7381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7382</v>
      </c>
      <c r="BV1530" s="2" t="s">
        <v>233</v>
      </c>
      <c r="BW1530" s="2" t="s">
        <v>233</v>
      </c>
      <c r="BX1530" s="2" t="s">
        <v>233</v>
      </c>
      <c r="BY1530" s="2" t="s">
        <v>280</v>
      </c>
      <c r="BZ1530" s="2" t="s">
        <v>245</v>
      </c>
      <c r="CA1530" s="2" t="s">
        <v>7370</v>
      </c>
      <c r="CB1530" s="2" t="s">
        <v>7383</v>
      </c>
      <c r="CC1530" s="2" t="s">
        <v>246</v>
      </c>
      <c r="CD1530" s="2" t="s">
        <v>233</v>
      </c>
      <c r="CE1530" s="4">
        <v>5</v>
      </c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  <c r="HM1530" s="4"/>
      <c r="HN1530" s="4"/>
      <c r="HO1530" s="4"/>
      <c r="HP1530" s="4"/>
      <c r="HQ1530" s="4"/>
      <c r="HR1530" s="4"/>
    </row>
    <row r="1531">
      <c r="A1531" s="2" t="s">
        <v>7384</v>
      </c>
      <c r="B1531" s="2" t="s">
        <v>928</v>
      </c>
      <c r="C1531" s="2" t="s">
        <v>530</v>
      </c>
      <c r="D1531" s="2" t="s">
        <v>961</v>
      </c>
      <c r="E1531" s="2" t="s">
        <v>2028</v>
      </c>
      <c r="F1531" s="2" t="s">
        <v>7385</v>
      </c>
      <c r="G1531" s="2" t="s">
        <v>7385</v>
      </c>
      <c r="H1531" s="2" t="s">
        <v>7385</v>
      </c>
      <c r="I1531" s="2" t="s">
        <v>7386</v>
      </c>
      <c r="J1531" s="2" t="s">
        <v>892</v>
      </c>
      <c r="K1531" s="2" t="s">
        <v>950</v>
      </c>
      <c r="L1531" s="3">
        <v>16.15</v>
      </c>
      <c r="M1531" s="3">
        <v>16.96</v>
      </c>
      <c r="N1531" s="3">
        <v>33.99</v>
      </c>
      <c r="O1531" s="2" t="s">
        <v>245</v>
      </c>
      <c r="P1531" s="2" t="s">
        <v>393</v>
      </c>
      <c r="Q1531" s="2" t="s">
        <v>239</v>
      </c>
      <c r="R1531" s="2" t="s">
        <v>233</v>
      </c>
      <c r="S1531" s="2" t="s">
        <v>7387</v>
      </c>
      <c r="T1531" s="2" t="s">
        <v>233</v>
      </c>
      <c r="U1531" s="2" t="s">
        <v>475</v>
      </c>
      <c r="V1531" s="2" t="s">
        <v>1272</v>
      </c>
      <c r="W1531" s="2" t="s">
        <v>451</v>
      </c>
      <c r="X1531" s="2" t="s">
        <v>233</v>
      </c>
      <c r="Y1531" s="2" t="s">
        <v>276</v>
      </c>
      <c r="Z1531" s="4">
        <v>99</v>
      </c>
      <c r="AA1531" s="4">
        <f>=ROUNDDOWN(19.8,0)</f>
      </c>
      <c r="AB1531" s="5">
        <v>5</v>
      </c>
      <c r="AC1531" s="2" t="s">
        <v>233</v>
      </c>
      <c r="AD1531" s="4"/>
      <c r="AE1531" s="4"/>
      <c r="AF1531" s="6">
        <v>63</v>
      </c>
      <c r="AG1531" s="6"/>
      <c r="AH1531" s="7">
        <v>1</v>
      </c>
      <c r="AI1531" s="4"/>
      <c r="AJ1531" s="4">
        <f>=ROUNDDOWN({0},0)</f>
      </c>
      <c r="AK1531" s="5"/>
      <c r="AL1531" s="2" t="s">
        <v>233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/>
      <c r="BD1531" s="8"/>
      <c r="BE1531" s="4"/>
      <c r="BF1531" s="8"/>
      <c r="BG1531" s="7"/>
      <c r="BH1531" s="7"/>
      <c r="BI1531" s="7"/>
      <c r="BJ1531" s="4">
        <v>30</v>
      </c>
      <c r="BK1531" s="8">
        <v>600.5</v>
      </c>
      <c r="BL1531" s="2" t="s">
        <v>7388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7389</v>
      </c>
      <c r="BV1531" s="2" t="s">
        <v>233</v>
      </c>
      <c r="BW1531" s="2" t="s">
        <v>233</v>
      </c>
      <c r="BX1531" s="2" t="s">
        <v>243</v>
      </c>
      <c r="BY1531" s="2" t="s">
        <v>280</v>
      </c>
      <c r="BZ1531" s="2" t="s">
        <v>245</v>
      </c>
      <c r="CA1531" s="2" t="s">
        <v>281</v>
      </c>
      <c r="CB1531" s="2" t="s">
        <v>7390</v>
      </c>
      <c r="CC1531" s="2" t="s">
        <v>246</v>
      </c>
      <c r="CD1531" s="2" t="s">
        <v>233</v>
      </c>
      <c r="CE1531" s="4"/>
      <c r="CF1531" s="4">
        <v>99</v>
      </c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  <c r="HM1531" s="4"/>
      <c r="HN1531" s="4"/>
      <c r="HO1531" s="4"/>
      <c r="HP1531" s="4"/>
      <c r="HQ1531" s="4"/>
      <c r="HR1531" s="4"/>
    </row>
    <row r="1532">
      <c r="A1532" s="2" t="s">
        <v>7391</v>
      </c>
      <c r="B1532" s="2" t="s">
        <v>886</v>
      </c>
      <c r="C1532" s="2" t="s">
        <v>1157</v>
      </c>
      <c r="D1532" s="2" t="s">
        <v>1167</v>
      </c>
      <c r="E1532" s="2" t="s">
        <v>1168</v>
      </c>
      <c r="F1532" s="2" t="s">
        <v>7392</v>
      </c>
      <c r="G1532" s="2" t="s">
        <v>7392</v>
      </c>
      <c r="H1532" s="2" t="s">
        <v>7392</v>
      </c>
      <c r="I1532" s="2" t="s">
        <v>7393</v>
      </c>
      <c r="J1532" s="2" t="s">
        <v>892</v>
      </c>
      <c r="K1532" s="2" t="s">
        <v>7394</v>
      </c>
      <c r="L1532" s="3">
        <v>76.5</v>
      </c>
      <c r="M1532" s="3">
        <v>80.33</v>
      </c>
      <c r="N1532" s="3">
        <v>159.99</v>
      </c>
      <c r="O1532" s="2" t="s">
        <v>245</v>
      </c>
      <c r="P1532" s="2" t="s">
        <v>238</v>
      </c>
      <c r="Q1532" s="2" t="s">
        <v>239</v>
      </c>
      <c r="R1532" s="2" t="s">
        <v>233</v>
      </c>
      <c r="S1532" s="2" t="s">
        <v>233</v>
      </c>
      <c r="T1532" s="2" t="s">
        <v>233</v>
      </c>
      <c r="U1532" s="2" t="s">
        <v>491</v>
      </c>
      <c r="V1532" s="2" t="s">
        <v>893</v>
      </c>
      <c r="W1532" s="2" t="s">
        <v>397</v>
      </c>
      <c r="X1532" s="2" t="s">
        <v>397</v>
      </c>
      <c r="Y1532" s="2" t="s">
        <v>2963</v>
      </c>
      <c r="Z1532" s="4">
        <v>99</v>
      </c>
      <c r="AA1532" s="4">
        <f>=ROUNDDOWN(495,0)</f>
      </c>
      <c r="AB1532" s="5">
        <v>0.2</v>
      </c>
      <c r="AC1532" s="2" t="s">
        <v>233</v>
      </c>
      <c r="AD1532" s="4"/>
      <c r="AE1532" s="4"/>
      <c r="AF1532" s="6">
        <v>63</v>
      </c>
      <c r="AG1532" s="6"/>
      <c r="AH1532" s="7">
        <v>1</v>
      </c>
      <c r="AI1532" s="4"/>
      <c r="AJ1532" s="4">
        <f>=ROUNDDOWN({0},0)</f>
      </c>
      <c r="AK1532" s="5"/>
      <c r="AL1532" s="2" t="s">
        <v>233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 t="s">
        <v>233</v>
      </c>
      <c r="BD1532" s="8" t="s">
        <v>233</v>
      </c>
      <c r="BE1532" s="4" t="s">
        <v>233</v>
      </c>
      <c r="BF1532" s="8" t="s">
        <v>233</v>
      </c>
      <c r="BG1532" s="7" t="s">
        <v>233</v>
      </c>
      <c r="BH1532" s="7" t="s">
        <v>233</v>
      </c>
      <c r="BI1532" s="7"/>
      <c r="BJ1532" s="4">
        <v>1</v>
      </c>
      <c r="BK1532" s="8">
        <v>80.32</v>
      </c>
      <c r="BL1532" s="2" t="s">
        <v>1028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7395</v>
      </c>
      <c r="BV1532" s="2" t="s">
        <v>233</v>
      </c>
      <c r="BW1532" s="2" t="s">
        <v>233</v>
      </c>
      <c r="BX1532" s="2" t="s">
        <v>243</v>
      </c>
      <c r="BY1532" s="2" t="s">
        <v>280</v>
      </c>
      <c r="BZ1532" s="2" t="s">
        <v>245</v>
      </c>
      <c r="CA1532" s="2" t="s">
        <v>365</v>
      </c>
      <c r="CB1532" s="2" t="s">
        <v>233</v>
      </c>
      <c r="CC1532" s="2" t="s">
        <v>246</v>
      </c>
      <c r="CD1532" s="2" t="s">
        <v>233</v>
      </c>
      <c r="CE1532" s="4"/>
      <c r="CF1532" s="4">
        <v>99</v>
      </c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  <c r="HF1532" s="4"/>
      <c r="HG1532" s="4"/>
      <c r="HH1532" s="4"/>
      <c r="HI1532" s="4"/>
      <c r="HJ1532" s="4"/>
      <c r="HK1532" s="4"/>
      <c r="HL1532" s="4"/>
      <c r="HM1532" s="4"/>
      <c r="HN1532" s="4"/>
      <c r="HO1532" s="4"/>
      <c r="HP1532" s="4"/>
      <c r="HQ1532" s="4"/>
      <c r="HR1532" s="4"/>
    </row>
    <row r="1533">
      <c r="A1533" s="2" t="s">
        <v>7396</v>
      </c>
      <c r="B1533" s="2" t="s">
        <v>886</v>
      </c>
      <c r="C1533" s="2" t="s">
        <v>1157</v>
      </c>
      <c r="D1533" s="2" t="s">
        <v>1167</v>
      </c>
      <c r="E1533" s="2" t="s">
        <v>1168</v>
      </c>
      <c r="F1533" s="2" t="s">
        <v>7392</v>
      </c>
      <c r="G1533" s="2" t="s">
        <v>7392</v>
      </c>
      <c r="H1533" s="2" t="s">
        <v>7392</v>
      </c>
      <c r="I1533" s="2" t="s">
        <v>7393</v>
      </c>
      <c r="J1533" s="2" t="s">
        <v>892</v>
      </c>
      <c r="K1533" s="2" t="s">
        <v>7397</v>
      </c>
      <c r="L1533" s="3">
        <v>76.5</v>
      </c>
      <c r="M1533" s="3">
        <v>80.33</v>
      </c>
      <c r="N1533" s="3">
        <v>159.99</v>
      </c>
      <c r="O1533" s="2" t="s">
        <v>245</v>
      </c>
      <c r="P1533" s="2" t="s">
        <v>238</v>
      </c>
      <c r="Q1533" s="2" t="s">
        <v>239</v>
      </c>
      <c r="R1533" s="2" t="s">
        <v>233</v>
      </c>
      <c r="S1533" s="2" t="s">
        <v>233</v>
      </c>
      <c r="T1533" s="2" t="s">
        <v>233</v>
      </c>
      <c r="U1533" s="2" t="s">
        <v>491</v>
      </c>
      <c r="V1533" s="2" t="s">
        <v>893</v>
      </c>
      <c r="W1533" s="2" t="s">
        <v>397</v>
      </c>
      <c r="X1533" s="2" t="s">
        <v>397</v>
      </c>
      <c r="Y1533" s="2" t="s">
        <v>2963</v>
      </c>
      <c r="Z1533" s="4">
        <v>98</v>
      </c>
      <c r="AA1533" s="4">
        <f>=ROUNDDOWN(98,0)</f>
      </c>
      <c r="AB1533" s="5">
        <v>1</v>
      </c>
      <c r="AC1533" s="2" t="s">
        <v>233</v>
      </c>
      <c r="AD1533" s="4"/>
      <c r="AE1533" s="4"/>
      <c r="AF1533" s="6">
        <v>63</v>
      </c>
      <c r="AG1533" s="6"/>
      <c r="AH1533" s="7">
        <v>1</v>
      </c>
      <c r="AI1533" s="4"/>
      <c r="AJ1533" s="4">
        <f>=ROUNDDOWN({0},0)</f>
      </c>
      <c r="AK1533" s="5"/>
      <c r="AL1533" s="2" t="s">
        <v>233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 t="s">
        <v>233</v>
      </c>
      <c r="BD1533" s="8" t="s">
        <v>233</v>
      </c>
      <c r="BE1533" s="4" t="s">
        <v>233</v>
      </c>
      <c r="BF1533" s="8" t="s">
        <v>233</v>
      </c>
      <c r="BG1533" s="7" t="s">
        <v>233</v>
      </c>
      <c r="BH1533" s="7" t="s">
        <v>233</v>
      </c>
      <c r="BI1533" s="7"/>
      <c r="BJ1533" s="4"/>
      <c r="BK1533" s="8"/>
      <c r="BL1533" s="2" t="s">
        <v>233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7398</v>
      </c>
      <c r="BV1533" s="2" t="s">
        <v>233</v>
      </c>
      <c r="BW1533" s="2" t="s">
        <v>233</v>
      </c>
      <c r="BX1533" s="2" t="s">
        <v>243</v>
      </c>
      <c r="BY1533" s="2" t="s">
        <v>280</v>
      </c>
      <c r="BZ1533" s="2" t="s">
        <v>245</v>
      </c>
      <c r="CA1533" s="2" t="s">
        <v>365</v>
      </c>
      <c r="CB1533" s="2" t="s">
        <v>233</v>
      </c>
      <c r="CC1533" s="2" t="s">
        <v>246</v>
      </c>
      <c r="CD1533" s="2" t="s">
        <v>233</v>
      </c>
      <c r="CE1533" s="4"/>
      <c r="CF1533" s="4">
        <v>98</v>
      </c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  <c r="HM1533" s="4"/>
      <c r="HN1533" s="4"/>
      <c r="HO1533" s="4"/>
      <c r="HP1533" s="4"/>
      <c r="HQ1533" s="4"/>
      <c r="HR1533" s="4"/>
    </row>
    <row r="1534">
      <c r="A1534" s="2" t="s">
        <v>7399</v>
      </c>
      <c r="B1534" s="2" t="s">
        <v>228</v>
      </c>
      <c r="C1534" s="2" t="s">
        <v>530</v>
      </c>
      <c r="D1534" s="2" t="s">
        <v>230</v>
      </c>
      <c r="E1534" s="2" t="s">
        <v>231</v>
      </c>
      <c r="F1534" s="2" t="s">
        <v>7400</v>
      </c>
      <c r="G1534" s="2" t="s">
        <v>7400</v>
      </c>
      <c r="H1534" s="2" t="s">
        <v>7400</v>
      </c>
      <c r="I1534" s="2" t="s">
        <v>231</v>
      </c>
      <c r="J1534" s="2" t="s">
        <v>270</v>
      </c>
      <c r="K1534" s="2" t="s">
        <v>552</v>
      </c>
      <c r="L1534" s="3">
        <v>21.15</v>
      </c>
      <c r="M1534" s="3">
        <v>22.21</v>
      </c>
      <c r="N1534" s="3">
        <v>44.99</v>
      </c>
      <c r="O1534" s="2" t="s">
        <v>237</v>
      </c>
      <c r="P1534" s="2" t="s">
        <v>996</v>
      </c>
      <c r="Q1534" s="2" t="s">
        <v>239</v>
      </c>
      <c r="R1534" s="2" t="s">
        <v>233</v>
      </c>
      <c r="S1534" s="2" t="s">
        <v>7401</v>
      </c>
      <c r="T1534" s="2" t="s">
        <v>341</v>
      </c>
      <c r="U1534" s="2" t="s">
        <v>233</v>
      </c>
      <c r="V1534" s="2" t="s">
        <v>241</v>
      </c>
      <c r="W1534" s="2" t="s">
        <v>275</v>
      </c>
      <c r="X1534" s="2" t="s">
        <v>233</v>
      </c>
      <c r="Y1534" s="2" t="s">
        <v>1368</v>
      </c>
      <c r="Z1534" s="4">
        <v>187</v>
      </c>
      <c r="AA1534" s="4">
        <f>=ROUNDDOWN(38.9583333333333,0)</f>
      </c>
      <c r="AB1534" s="5">
        <v>4.8</v>
      </c>
      <c r="AC1534" s="2" t="s">
        <v>233</v>
      </c>
      <c r="AD1534" s="4"/>
      <c r="AE1534" s="4"/>
      <c r="AF1534" s="6">
        <v>69</v>
      </c>
      <c r="AG1534" s="6"/>
      <c r="AH1534" s="7">
        <v>1</v>
      </c>
      <c r="AI1534" s="4"/>
      <c r="AJ1534" s="4">
        <f>=ROUNDDOWN({0},0)</f>
      </c>
      <c r="AK1534" s="5"/>
      <c r="AL1534" s="2" t="s">
        <v>233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233</v>
      </c>
      <c r="AW1534" s="8" t="s">
        <v>233</v>
      </c>
      <c r="AX1534" s="4" t="s">
        <v>233</v>
      </c>
      <c r="AY1534" s="8" t="s">
        <v>233</v>
      </c>
      <c r="AZ1534" s="7" t="s">
        <v>233</v>
      </c>
      <c r="BA1534" s="7" t="s">
        <v>233</v>
      </c>
      <c r="BB1534" s="7"/>
      <c r="BC1534" s="4" t="s">
        <v>233</v>
      </c>
      <c r="BD1534" s="8" t="s">
        <v>233</v>
      </c>
      <c r="BE1534" s="4" t="s">
        <v>233</v>
      </c>
      <c r="BF1534" s="8" t="s">
        <v>233</v>
      </c>
      <c r="BG1534" s="7" t="s">
        <v>233</v>
      </c>
      <c r="BH1534" s="7" t="s">
        <v>233</v>
      </c>
      <c r="BI1534" s="7"/>
      <c r="BJ1534" s="4">
        <v>19</v>
      </c>
      <c r="BK1534" s="8">
        <v>391.52</v>
      </c>
      <c r="BL1534" s="2" t="s">
        <v>7402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7403</v>
      </c>
      <c r="BV1534" s="2" t="s">
        <v>233</v>
      </c>
      <c r="BW1534" s="2" t="s">
        <v>233</v>
      </c>
      <c r="BX1534" s="2" t="s">
        <v>243</v>
      </c>
      <c r="BY1534" s="2" t="s">
        <v>280</v>
      </c>
      <c r="BZ1534" s="2" t="s">
        <v>245</v>
      </c>
      <c r="CA1534" s="2" t="s">
        <v>437</v>
      </c>
      <c r="CB1534" s="2" t="s">
        <v>1371</v>
      </c>
      <c r="CC1534" s="2" t="s">
        <v>246</v>
      </c>
      <c r="CD1534" s="2" t="s">
        <v>233</v>
      </c>
      <c r="CE1534" s="4">
        <v>187</v>
      </c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  <c r="HM1534" s="4"/>
      <c r="HN1534" s="4"/>
      <c r="HO1534" s="4"/>
      <c r="HP1534" s="4"/>
      <c r="HQ1534" s="4"/>
      <c r="HR1534" s="4"/>
    </row>
    <row r="1535">
      <c r="A1535" s="2" t="s">
        <v>7404</v>
      </c>
      <c r="B1535" s="2" t="s">
        <v>228</v>
      </c>
      <c r="C1535" s="2" t="s">
        <v>530</v>
      </c>
      <c r="D1535" s="2" t="s">
        <v>230</v>
      </c>
      <c r="E1535" s="2" t="s">
        <v>231</v>
      </c>
      <c r="F1535" s="2" t="s">
        <v>7400</v>
      </c>
      <c r="G1535" s="2" t="s">
        <v>7400</v>
      </c>
      <c r="H1535" s="2" t="s">
        <v>7400</v>
      </c>
      <c r="I1535" s="2" t="s">
        <v>231</v>
      </c>
      <c r="J1535" s="2" t="s">
        <v>981</v>
      </c>
      <c r="K1535" s="2" t="s">
        <v>552</v>
      </c>
      <c r="L1535" s="3">
        <v>26.4</v>
      </c>
      <c r="M1535" s="3">
        <v>27.72</v>
      </c>
      <c r="N1535" s="3">
        <v>54.99</v>
      </c>
      <c r="O1535" s="2" t="s">
        <v>237</v>
      </c>
      <c r="P1535" s="2" t="s">
        <v>996</v>
      </c>
      <c r="Q1535" s="2" t="s">
        <v>239</v>
      </c>
      <c r="R1535" s="2" t="s">
        <v>233</v>
      </c>
      <c r="S1535" s="2" t="s">
        <v>7401</v>
      </c>
      <c r="T1535" s="2" t="s">
        <v>341</v>
      </c>
      <c r="U1535" s="2" t="s">
        <v>233</v>
      </c>
      <c r="V1535" s="2" t="s">
        <v>241</v>
      </c>
      <c r="W1535" s="2" t="s">
        <v>275</v>
      </c>
      <c r="X1535" s="2" t="s">
        <v>233</v>
      </c>
      <c r="Y1535" s="2" t="s">
        <v>1368</v>
      </c>
      <c r="Z1535" s="4">
        <v>877</v>
      </c>
      <c r="AA1535" s="4">
        <f>=ROUNDDOWN(41.7619047619048,0)</f>
      </c>
      <c r="AB1535" s="5">
        <v>21</v>
      </c>
      <c r="AC1535" s="2" t="s">
        <v>233</v>
      </c>
      <c r="AD1535" s="4"/>
      <c r="AE1535" s="4"/>
      <c r="AF1535" s="6">
        <v>69</v>
      </c>
      <c r="AG1535" s="6"/>
      <c r="AH1535" s="7">
        <v>1</v>
      </c>
      <c r="AI1535" s="4"/>
      <c r="AJ1535" s="4">
        <f>=ROUNDDOWN({0},0)</f>
      </c>
      <c r="AK1535" s="5"/>
      <c r="AL1535" s="2" t="s">
        <v>233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233</v>
      </c>
      <c r="AW1535" s="8" t="s">
        <v>233</v>
      </c>
      <c r="AX1535" s="4" t="s">
        <v>233</v>
      </c>
      <c r="AY1535" s="8" t="s">
        <v>233</v>
      </c>
      <c r="AZ1535" s="7" t="s">
        <v>233</v>
      </c>
      <c r="BA1535" s="7" t="s">
        <v>233</v>
      </c>
      <c r="BB1535" s="7"/>
      <c r="BC1535" s="4" t="s">
        <v>233</v>
      </c>
      <c r="BD1535" s="8" t="s">
        <v>233</v>
      </c>
      <c r="BE1535" s="4" t="s">
        <v>233</v>
      </c>
      <c r="BF1535" s="8" t="s">
        <v>233</v>
      </c>
      <c r="BG1535" s="7" t="s">
        <v>233</v>
      </c>
      <c r="BH1535" s="7" t="s">
        <v>233</v>
      </c>
      <c r="BI1535" s="7"/>
      <c r="BJ1535" s="4">
        <v>72</v>
      </c>
      <c r="BK1535" s="8">
        <v>1930.71</v>
      </c>
      <c r="BL1535" s="2" t="s">
        <v>7405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7406</v>
      </c>
      <c r="BV1535" s="2" t="s">
        <v>233</v>
      </c>
      <c r="BW1535" s="2" t="s">
        <v>233</v>
      </c>
      <c r="BX1535" s="2" t="s">
        <v>243</v>
      </c>
      <c r="BY1535" s="2" t="s">
        <v>280</v>
      </c>
      <c r="BZ1535" s="2" t="s">
        <v>245</v>
      </c>
      <c r="CA1535" s="2" t="s">
        <v>437</v>
      </c>
      <c r="CB1535" s="2" t="s">
        <v>6111</v>
      </c>
      <c r="CC1535" s="2" t="s">
        <v>246</v>
      </c>
      <c r="CD1535" s="2" t="s">
        <v>233</v>
      </c>
      <c r="CE1535" s="4">
        <v>877</v>
      </c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/>
      <c r="HH1535" s="4"/>
      <c r="HI1535" s="4"/>
      <c r="HJ1535" s="4"/>
      <c r="HK1535" s="4"/>
      <c r="HL1535" s="4"/>
      <c r="HM1535" s="4"/>
      <c r="HN1535" s="4"/>
      <c r="HO1535" s="4"/>
      <c r="HP1535" s="4"/>
      <c r="HQ1535" s="4"/>
      <c r="HR1535" s="4"/>
    </row>
    <row r="1536">
      <c r="A1536" s="2" t="s">
        <v>7407</v>
      </c>
      <c r="B1536" s="2" t="s">
        <v>228</v>
      </c>
      <c r="C1536" s="2" t="s">
        <v>530</v>
      </c>
      <c r="D1536" s="2" t="s">
        <v>230</v>
      </c>
      <c r="E1536" s="2" t="s">
        <v>231</v>
      </c>
      <c r="F1536" s="2" t="s">
        <v>7400</v>
      </c>
      <c r="G1536" s="2" t="s">
        <v>7400</v>
      </c>
      <c r="H1536" s="2" t="s">
        <v>7400</v>
      </c>
      <c r="I1536" s="2" t="s">
        <v>231</v>
      </c>
      <c r="J1536" s="2" t="s">
        <v>328</v>
      </c>
      <c r="K1536" s="2" t="s">
        <v>255</v>
      </c>
      <c r="L1536" s="3">
        <v>31.85</v>
      </c>
      <c r="M1536" s="3">
        <v>33.44</v>
      </c>
      <c r="N1536" s="3">
        <v>64.99</v>
      </c>
      <c r="O1536" s="2" t="s">
        <v>245</v>
      </c>
      <c r="P1536" s="2" t="s">
        <v>272</v>
      </c>
      <c r="Q1536" s="2" t="s">
        <v>239</v>
      </c>
      <c r="R1536" s="2" t="s">
        <v>233</v>
      </c>
      <c r="S1536" s="2" t="s">
        <v>7408</v>
      </c>
      <c r="T1536" s="2" t="s">
        <v>341</v>
      </c>
      <c r="U1536" s="2" t="s">
        <v>233</v>
      </c>
      <c r="V1536" s="2" t="s">
        <v>241</v>
      </c>
      <c r="W1536" s="2" t="s">
        <v>275</v>
      </c>
      <c r="X1536" s="2" t="s">
        <v>233</v>
      </c>
      <c r="Y1536" s="2" t="s">
        <v>276</v>
      </c>
      <c r="Z1536" s="4">
        <v>1187</v>
      </c>
      <c r="AA1536" s="4">
        <f>=ROUNDDOWN(35.969696969697,0)</f>
      </c>
      <c r="AB1536" s="5">
        <v>33</v>
      </c>
      <c r="AC1536" s="2" t="s">
        <v>7236</v>
      </c>
      <c r="AD1536" s="4">
        <v>150</v>
      </c>
      <c r="AE1536" s="4">
        <v>150</v>
      </c>
      <c r="AF1536" s="6">
        <v>69</v>
      </c>
      <c r="AG1536" s="6"/>
      <c r="AH1536" s="7">
        <v>1</v>
      </c>
      <c r="AI1536" s="4"/>
      <c r="AJ1536" s="4">
        <f>=ROUNDDOWN({0},0)</f>
      </c>
      <c r="AK1536" s="5"/>
      <c r="AL1536" s="2" t="s">
        <v>233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 t="s">
        <v>233</v>
      </c>
      <c r="BD1536" s="8" t="s">
        <v>233</v>
      </c>
      <c r="BE1536" s="4" t="s">
        <v>233</v>
      </c>
      <c r="BF1536" s="8" t="s">
        <v>233</v>
      </c>
      <c r="BG1536" s="7" t="s">
        <v>233</v>
      </c>
      <c r="BH1536" s="7" t="s">
        <v>233</v>
      </c>
      <c r="BI1536" s="7"/>
      <c r="BJ1536" s="4">
        <v>89</v>
      </c>
      <c r="BK1536" s="8">
        <v>2846.24</v>
      </c>
      <c r="BL1536" s="2" t="s">
        <v>7409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7410</v>
      </c>
      <c r="BV1536" s="2" t="s">
        <v>233</v>
      </c>
      <c r="BW1536" s="2" t="s">
        <v>233</v>
      </c>
      <c r="BX1536" s="2" t="s">
        <v>233</v>
      </c>
      <c r="BY1536" s="2" t="s">
        <v>280</v>
      </c>
      <c r="BZ1536" s="2" t="s">
        <v>245</v>
      </c>
      <c r="CA1536" s="2" t="s">
        <v>281</v>
      </c>
      <c r="CB1536" s="2" t="s">
        <v>1848</v>
      </c>
      <c r="CC1536" s="2" t="s">
        <v>246</v>
      </c>
      <c r="CD1536" s="2" t="s">
        <v>233</v>
      </c>
      <c r="CE1536" s="4">
        <v>1187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>
        <v>150</v>
      </c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  <c r="HM1536" s="4"/>
      <c r="HN1536" s="4"/>
      <c r="HO1536" s="4"/>
      <c r="HP1536" s="4"/>
      <c r="HQ1536" s="4"/>
      <c r="HR1536" s="4"/>
    </row>
    <row r="1537">
      <c r="A1537" s="2" t="s">
        <v>7411</v>
      </c>
      <c r="B1537" s="2" t="s">
        <v>228</v>
      </c>
      <c r="C1537" s="2" t="s">
        <v>530</v>
      </c>
      <c r="D1537" s="2" t="s">
        <v>230</v>
      </c>
      <c r="E1537" s="2" t="s">
        <v>231</v>
      </c>
      <c r="F1537" s="2" t="s">
        <v>7400</v>
      </c>
      <c r="G1537" s="2" t="s">
        <v>7400</v>
      </c>
      <c r="H1537" s="2" t="s">
        <v>7400</v>
      </c>
      <c r="I1537" s="2" t="s">
        <v>231</v>
      </c>
      <c r="J1537" s="2" t="s">
        <v>270</v>
      </c>
      <c r="K1537" s="2" t="s">
        <v>257</v>
      </c>
      <c r="L1537" s="3">
        <v>21.15</v>
      </c>
      <c r="M1537" s="3">
        <v>22.21</v>
      </c>
      <c r="N1537" s="3">
        <v>44.99</v>
      </c>
      <c r="O1537" s="2" t="s">
        <v>245</v>
      </c>
      <c r="P1537" s="2" t="s">
        <v>272</v>
      </c>
      <c r="Q1537" s="2" t="s">
        <v>239</v>
      </c>
      <c r="R1537" s="2" t="s">
        <v>233</v>
      </c>
      <c r="S1537" s="2" t="s">
        <v>7412</v>
      </c>
      <c r="T1537" s="2" t="s">
        <v>341</v>
      </c>
      <c r="U1537" s="2" t="s">
        <v>396</v>
      </c>
      <c r="V1537" s="2" t="s">
        <v>241</v>
      </c>
      <c r="W1537" s="2" t="s">
        <v>275</v>
      </c>
      <c r="X1537" s="2" t="s">
        <v>233</v>
      </c>
      <c r="Y1537" s="2" t="s">
        <v>2724</v>
      </c>
      <c r="Z1537" s="4">
        <v>216</v>
      </c>
      <c r="AA1537" s="4">
        <f>=ROUNDDOWN(65.4545454545455,0)</f>
      </c>
      <c r="AB1537" s="5">
        <v>3.3</v>
      </c>
      <c r="AC1537" s="2" t="s">
        <v>7236</v>
      </c>
      <c r="AD1537" s="4">
        <v>120</v>
      </c>
      <c r="AE1537" s="4">
        <v>120</v>
      </c>
      <c r="AF1537" s="6">
        <v>69</v>
      </c>
      <c r="AG1537" s="6"/>
      <c r="AH1537" s="7">
        <v>1</v>
      </c>
      <c r="AI1537" s="4"/>
      <c r="AJ1537" s="4">
        <f>=ROUNDDOWN({0},0)</f>
      </c>
      <c r="AK1537" s="5"/>
      <c r="AL1537" s="2" t="s">
        <v>233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233</v>
      </c>
      <c r="AW1537" s="8" t="s">
        <v>233</v>
      </c>
      <c r="AX1537" s="4" t="s">
        <v>233</v>
      </c>
      <c r="AY1537" s="8" t="s">
        <v>233</v>
      </c>
      <c r="AZ1537" s="7" t="s">
        <v>233</v>
      </c>
      <c r="BA1537" s="7" t="s">
        <v>233</v>
      </c>
      <c r="BB1537" s="7"/>
      <c r="BC1537" s="4" t="s">
        <v>233</v>
      </c>
      <c r="BD1537" s="8" t="s">
        <v>233</v>
      </c>
      <c r="BE1537" s="4" t="s">
        <v>233</v>
      </c>
      <c r="BF1537" s="8" t="s">
        <v>233</v>
      </c>
      <c r="BG1537" s="7" t="s">
        <v>233</v>
      </c>
      <c r="BH1537" s="7" t="s">
        <v>233</v>
      </c>
      <c r="BI1537" s="7"/>
      <c r="BJ1537" s="4">
        <v>9</v>
      </c>
      <c r="BK1537" s="8">
        <v>218.88</v>
      </c>
      <c r="BL1537" s="2" t="s">
        <v>5625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7413</v>
      </c>
      <c r="BV1537" s="2" t="s">
        <v>233</v>
      </c>
      <c r="BW1537" s="2" t="s">
        <v>233</v>
      </c>
      <c r="BX1537" s="2" t="s">
        <v>243</v>
      </c>
      <c r="BY1537" s="2" t="s">
        <v>280</v>
      </c>
      <c r="BZ1537" s="2" t="s">
        <v>245</v>
      </c>
      <c r="CA1537" s="2" t="s">
        <v>2564</v>
      </c>
      <c r="CB1537" s="2" t="s">
        <v>233</v>
      </c>
      <c r="CC1537" s="2" t="s">
        <v>246</v>
      </c>
      <c r="CD1537" s="2" t="s">
        <v>233</v>
      </c>
      <c r="CE1537" s="4">
        <v>216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>
        <v>120</v>
      </c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  <c r="HM1537" s="4"/>
      <c r="HN1537" s="4"/>
      <c r="HO1537" s="4"/>
      <c r="HP1537" s="4"/>
      <c r="HQ1537" s="4"/>
      <c r="HR1537" s="4"/>
    </row>
    <row r="1538">
      <c r="A1538" s="2" t="s">
        <v>7414</v>
      </c>
      <c r="B1538" s="2" t="s">
        <v>228</v>
      </c>
      <c r="C1538" s="2" t="s">
        <v>530</v>
      </c>
      <c r="D1538" s="2" t="s">
        <v>230</v>
      </c>
      <c r="E1538" s="2" t="s">
        <v>231</v>
      </c>
      <c r="F1538" s="2" t="s">
        <v>7400</v>
      </c>
      <c r="G1538" s="2" t="s">
        <v>7400</v>
      </c>
      <c r="H1538" s="2" t="s">
        <v>7400</v>
      </c>
      <c r="I1538" s="2" t="s">
        <v>231</v>
      </c>
      <c r="J1538" s="2" t="s">
        <v>981</v>
      </c>
      <c r="K1538" s="2" t="s">
        <v>257</v>
      </c>
      <c r="L1538" s="3">
        <v>26.4</v>
      </c>
      <c r="M1538" s="3">
        <v>27.72</v>
      </c>
      <c r="N1538" s="3">
        <v>54.99</v>
      </c>
      <c r="O1538" s="2" t="s">
        <v>245</v>
      </c>
      <c r="P1538" s="2" t="s">
        <v>272</v>
      </c>
      <c r="Q1538" s="2" t="s">
        <v>239</v>
      </c>
      <c r="R1538" s="2" t="s">
        <v>233</v>
      </c>
      <c r="S1538" s="2" t="s">
        <v>7412</v>
      </c>
      <c r="T1538" s="2" t="s">
        <v>341</v>
      </c>
      <c r="U1538" s="2" t="s">
        <v>396</v>
      </c>
      <c r="V1538" s="2" t="s">
        <v>241</v>
      </c>
      <c r="W1538" s="2" t="s">
        <v>275</v>
      </c>
      <c r="X1538" s="2" t="s">
        <v>233</v>
      </c>
      <c r="Y1538" s="2" t="s">
        <v>2724</v>
      </c>
      <c r="Z1538" s="4">
        <v>316</v>
      </c>
      <c r="AA1538" s="4">
        <f>=ROUNDDOWN(18.5882352941176,0)</f>
      </c>
      <c r="AB1538" s="5">
        <v>17</v>
      </c>
      <c r="AC1538" s="2" t="s">
        <v>7236</v>
      </c>
      <c r="AD1538" s="4">
        <v>210</v>
      </c>
      <c r="AE1538" s="4">
        <v>210</v>
      </c>
      <c r="AF1538" s="6">
        <v>69</v>
      </c>
      <c r="AG1538" s="6"/>
      <c r="AH1538" s="7">
        <v>1</v>
      </c>
      <c r="AI1538" s="4"/>
      <c r="AJ1538" s="4">
        <f>=ROUNDDOWN({0},0)</f>
      </c>
      <c r="AK1538" s="5"/>
      <c r="AL1538" s="2" t="s">
        <v>233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233</v>
      </c>
      <c r="AW1538" s="8" t="s">
        <v>233</v>
      </c>
      <c r="AX1538" s="4" t="s">
        <v>233</v>
      </c>
      <c r="AY1538" s="8" t="s">
        <v>233</v>
      </c>
      <c r="AZ1538" s="7" t="s">
        <v>233</v>
      </c>
      <c r="BA1538" s="7" t="s">
        <v>233</v>
      </c>
      <c r="BB1538" s="7"/>
      <c r="BC1538" s="4" t="s">
        <v>233</v>
      </c>
      <c r="BD1538" s="8" t="s">
        <v>233</v>
      </c>
      <c r="BE1538" s="4" t="s">
        <v>233</v>
      </c>
      <c r="BF1538" s="8" t="s">
        <v>233</v>
      </c>
      <c r="BG1538" s="7" t="s">
        <v>233</v>
      </c>
      <c r="BH1538" s="7" t="s">
        <v>233</v>
      </c>
      <c r="BI1538" s="7"/>
      <c r="BJ1538" s="4">
        <v>8</v>
      </c>
      <c r="BK1538" s="8">
        <v>242.88</v>
      </c>
      <c r="BL1538" s="2" t="s">
        <v>5625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7415</v>
      </c>
      <c r="BV1538" s="2" t="s">
        <v>233</v>
      </c>
      <c r="BW1538" s="2" t="s">
        <v>233</v>
      </c>
      <c r="BX1538" s="2" t="s">
        <v>243</v>
      </c>
      <c r="BY1538" s="2" t="s">
        <v>280</v>
      </c>
      <c r="BZ1538" s="2" t="s">
        <v>245</v>
      </c>
      <c r="CA1538" s="2" t="s">
        <v>2564</v>
      </c>
      <c r="CB1538" s="2" t="s">
        <v>233</v>
      </c>
      <c r="CC1538" s="2" t="s">
        <v>246</v>
      </c>
      <c r="CD1538" s="2" t="s">
        <v>233</v>
      </c>
      <c r="CE1538" s="4">
        <v>316</v>
      </c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>
        <v>210</v>
      </c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  <c r="HM1538" s="4"/>
      <c r="HN1538" s="4"/>
      <c r="HO1538" s="4"/>
      <c r="HP1538" s="4"/>
      <c r="HQ1538" s="4"/>
      <c r="HR1538" s="4"/>
    </row>
    <row r="1539">
      <c r="A1539" s="2" t="s">
        <v>7416</v>
      </c>
      <c r="B1539" s="2" t="s">
        <v>228</v>
      </c>
      <c r="C1539" s="2" t="s">
        <v>530</v>
      </c>
      <c r="D1539" s="2" t="s">
        <v>230</v>
      </c>
      <c r="E1539" s="2" t="s">
        <v>231</v>
      </c>
      <c r="F1539" s="2" t="s">
        <v>7400</v>
      </c>
      <c r="G1539" s="2" t="s">
        <v>7400</v>
      </c>
      <c r="H1539" s="2" t="s">
        <v>7400</v>
      </c>
      <c r="I1539" s="2" t="s">
        <v>231</v>
      </c>
      <c r="J1539" s="2" t="s">
        <v>328</v>
      </c>
      <c r="K1539" s="2" t="s">
        <v>257</v>
      </c>
      <c r="L1539" s="3">
        <v>31.85</v>
      </c>
      <c r="M1539" s="3">
        <v>33.44</v>
      </c>
      <c r="N1539" s="3">
        <v>64.99</v>
      </c>
      <c r="O1539" s="2" t="s">
        <v>245</v>
      </c>
      <c r="P1539" s="2" t="s">
        <v>272</v>
      </c>
      <c r="Q1539" s="2" t="s">
        <v>239</v>
      </c>
      <c r="R1539" s="2" t="s">
        <v>233</v>
      </c>
      <c r="S1539" s="2" t="s">
        <v>7412</v>
      </c>
      <c r="T1539" s="2" t="s">
        <v>341</v>
      </c>
      <c r="U1539" s="2" t="s">
        <v>396</v>
      </c>
      <c r="V1539" s="2" t="s">
        <v>241</v>
      </c>
      <c r="W1539" s="2" t="s">
        <v>275</v>
      </c>
      <c r="X1539" s="2" t="s">
        <v>233</v>
      </c>
      <c r="Y1539" s="2" t="s">
        <v>2724</v>
      </c>
      <c r="Z1539" s="4">
        <v>202</v>
      </c>
      <c r="AA1539" s="4">
        <f>=ROUNDDOWN(15.5384615384615,0)</f>
      </c>
      <c r="AB1539" s="5">
        <v>13</v>
      </c>
      <c r="AC1539" s="2" t="s">
        <v>7236</v>
      </c>
      <c r="AD1539" s="4">
        <v>170</v>
      </c>
      <c r="AE1539" s="4">
        <v>170</v>
      </c>
      <c r="AF1539" s="6">
        <v>69</v>
      </c>
      <c r="AG1539" s="6"/>
      <c r="AH1539" s="7">
        <v>1</v>
      </c>
      <c r="AI1539" s="4"/>
      <c r="AJ1539" s="4">
        <f>=ROUNDDOWN({0},0)</f>
      </c>
      <c r="AK1539" s="5"/>
      <c r="AL1539" s="2" t="s">
        <v>233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233</v>
      </c>
      <c r="AW1539" s="8" t="s">
        <v>233</v>
      </c>
      <c r="AX1539" s="4" t="s">
        <v>233</v>
      </c>
      <c r="AY1539" s="8" t="s">
        <v>233</v>
      </c>
      <c r="AZ1539" s="7" t="s">
        <v>233</v>
      </c>
      <c r="BA1539" s="7" t="s">
        <v>233</v>
      </c>
      <c r="BB1539" s="7"/>
      <c r="BC1539" s="4" t="s">
        <v>233</v>
      </c>
      <c r="BD1539" s="8" t="s">
        <v>233</v>
      </c>
      <c r="BE1539" s="4" t="s">
        <v>233</v>
      </c>
      <c r="BF1539" s="8" t="s">
        <v>233</v>
      </c>
      <c r="BG1539" s="7" t="s">
        <v>233</v>
      </c>
      <c r="BH1539" s="7" t="s">
        <v>233</v>
      </c>
      <c r="BI1539" s="7"/>
      <c r="BJ1539" s="4">
        <v>13</v>
      </c>
      <c r="BK1539" s="8">
        <v>476.19</v>
      </c>
      <c r="BL1539" s="2" t="s">
        <v>5625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7417</v>
      </c>
      <c r="BV1539" s="2" t="s">
        <v>233</v>
      </c>
      <c r="BW1539" s="2" t="s">
        <v>233</v>
      </c>
      <c r="BX1539" s="2" t="s">
        <v>243</v>
      </c>
      <c r="BY1539" s="2" t="s">
        <v>280</v>
      </c>
      <c r="BZ1539" s="2" t="s">
        <v>245</v>
      </c>
      <c r="CA1539" s="2" t="s">
        <v>2564</v>
      </c>
      <c r="CB1539" s="2" t="s">
        <v>233</v>
      </c>
      <c r="CC1539" s="2" t="s">
        <v>246</v>
      </c>
      <c r="CD1539" s="2" t="s">
        <v>233</v>
      </c>
      <c r="CE1539" s="4">
        <v>202</v>
      </c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>
        <v>170</v>
      </c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  <c r="HM1539" s="4"/>
      <c r="HN1539" s="4"/>
      <c r="HO1539" s="4"/>
      <c r="HP1539" s="4"/>
      <c r="HQ1539" s="4"/>
      <c r="HR1539" s="4"/>
    </row>
    <row r="1540">
      <c r="A1540" s="2" t="s">
        <v>7418</v>
      </c>
      <c r="B1540" s="2" t="s">
        <v>1017</v>
      </c>
      <c r="C1540" s="2" t="s">
        <v>911</v>
      </c>
      <c r="D1540" s="2" t="s">
        <v>7419</v>
      </c>
      <c r="E1540" s="2" t="s">
        <v>992</v>
      </c>
      <c r="F1540" s="2" t="s">
        <v>7420</v>
      </c>
      <c r="G1540" s="2" t="s">
        <v>5952</v>
      </c>
      <c r="H1540" s="2" t="s">
        <v>7421</v>
      </c>
      <c r="I1540" s="2" t="s">
        <v>7422</v>
      </c>
      <c r="J1540" s="2" t="s">
        <v>892</v>
      </c>
      <c r="K1540" s="2" t="s">
        <v>255</v>
      </c>
      <c r="L1540" s="3">
        <v>25.61</v>
      </c>
      <c r="M1540" s="3">
        <v>26.89</v>
      </c>
      <c r="N1540" s="3">
        <v>52.99</v>
      </c>
      <c r="O1540" s="2" t="s">
        <v>245</v>
      </c>
      <c r="P1540" s="2" t="s">
        <v>311</v>
      </c>
      <c r="Q1540" s="2" t="s">
        <v>239</v>
      </c>
      <c r="R1540" s="2" t="s">
        <v>233</v>
      </c>
      <c r="S1540" s="2" t="s">
        <v>7423</v>
      </c>
      <c r="T1540" s="2" t="s">
        <v>233</v>
      </c>
      <c r="U1540" s="2" t="s">
        <v>233</v>
      </c>
      <c r="V1540" s="2" t="s">
        <v>1085</v>
      </c>
      <c r="W1540" s="2" t="s">
        <v>275</v>
      </c>
      <c r="X1540" s="2" t="s">
        <v>233</v>
      </c>
      <c r="Y1540" s="2" t="s">
        <v>3927</v>
      </c>
      <c r="Z1540" s="4">
        <v>105</v>
      </c>
      <c r="AA1540" s="4">
        <f>=ROUNDDOWN(6.17647058823529,0)</f>
      </c>
      <c r="AB1540" s="5">
        <v>17</v>
      </c>
      <c r="AC1540" s="2" t="s">
        <v>813</v>
      </c>
      <c r="AD1540" s="4">
        <v>410</v>
      </c>
      <c r="AE1540" s="4">
        <v>410</v>
      </c>
      <c r="AF1540" s="6">
        <v>69</v>
      </c>
      <c r="AG1540" s="6"/>
      <c r="AH1540" s="7">
        <v>1</v>
      </c>
      <c r="AI1540" s="4"/>
      <c r="AJ1540" s="4">
        <f>=ROUNDDOWN({0},0)</f>
      </c>
      <c r="AK1540" s="5"/>
      <c r="AL1540" s="2" t="s">
        <v>233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/>
      <c r="BD1540" s="8"/>
      <c r="BE1540" s="4"/>
      <c r="BF1540" s="8"/>
      <c r="BG1540" s="7"/>
      <c r="BH1540" s="7"/>
      <c r="BI1540" s="7"/>
      <c r="BJ1540" s="4">
        <v>41</v>
      </c>
      <c r="BK1540" s="8">
        <v>1187.95</v>
      </c>
      <c r="BL1540" s="2" t="s">
        <v>7424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7425</v>
      </c>
      <c r="BV1540" s="2" t="s">
        <v>233</v>
      </c>
      <c r="BW1540" s="2" t="s">
        <v>233</v>
      </c>
      <c r="BX1540" s="2" t="s">
        <v>233</v>
      </c>
      <c r="BY1540" s="2" t="s">
        <v>280</v>
      </c>
      <c r="BZ1540" s="2" t="s">
        <v>245</v>
      </c>
      <c r="CA1540" s="2" t="s">
        <v>281</v>
      </c>
      <c r="CB1540" s="2" t="s">
        <v>7426</v>
      </c>
      <c r="CC1540" s="2" t="s">
        <v>246</v>
      </c>
      <c r="CD1540" s="2" t="s">
        <v>233</v>
      </c>
      <c r="CE1540" s="4">
        <v>105</v>
      </c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>
        <v>410</v>
      </c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  <c r="HM1540" s="4"/>
      <c r="HN1540" s="4"/>
      <c r="HO1540" s="4"/>
      <c r="HP1540" s="4"/>
      <c r="HQ1540" s="4"/>
      <c r="HR1540" s="4"/>
    </row>
    <row r="1541">
      <c r="A1541" s="2" t="s">
        <v>7427</v>
      </c>
      <c r="B1541" s="2" t="s">
        <v>886</v>
      </c>
      <c r="C1541" s="2" t="s">
        <v>887</v>
      </c>
      <c r="D1541" s="2" t="s">
        <v>1167</v>
      </c>
      <c r="E1541" s="2" t="s">
        <v>1168</v>
      </c>
      <c r="F1541" s="2" t="s">
        <v>7428</v>
      </c>
      <c r="G1541" s="2" t="s">
        <v>7428</v>
      </c>
      <c r="H1541" s="2" t="s">
        <v>7428</v>
      </c>
      <c r="I1541" s="2" t="s">
        <v>7429</v>
      </c>
      <c r="J1541" s="2" t="s">
        <v>892</v>
      </c>
      <c r="K1541" s="2" t="s">
        <v>7430</v>
      </c>
      <c r="L1541" s="3">
        <v>56.1</v>
      </c>
      <c r="M1541" s="3">
        <v>58.9</v>
      </c>
      <c r="N1541" s="3">
        <v>119.99</v>
      </c>
      <c r="O1541" s="2" t="s">
        <v>245</v>
      </c>
      <c r="P1541" s="2" t="s">
        <v>311</v>
      </c>
      <c r="Q1541" s="2" t="s">
        <v>239</v>
      </c>
      <c r="R1541" s="2" t="s">
        <v>233</v>
      </c>
      <c r="S1541" s="2" t="s">
        <v>233</v>
      </c>
      <c r="T1541" s="2" t="s">
        <v>233</v>
      </c>
      <c r="U1541" s="2" t="s">
        <v>396</v>
      </c>
      <c r="V1541" s="2" t="s">
        <v>893</v>
      </c>
      <c r="W1541" s="2" t="s">
        <v>397</v>
      </c>
      <c r="X1541" s="2" t="s">
        <v>451</v>
      </c>
      <c r="Y1541" s="2" t="s">
        <v>3020</v>
      </c>
      <c r="Z1541" s="4">
        <v>17</v>
      </c>
      <c r="AA1541" s="4">
        <f>=ROUNDDOWN(170,0)</f>
      </c>
      <c r="AB1541" s="5">
        <v>0.1</v>
      </c>
      <c r="AC1541" s="2" t="s">
        <v>233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233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/>
      <c r="BD1541" s="8"/>
      <c r="BE1541" s="4"/>
      <c r="BF1541" s="8"/>
      <c r="BG1541" s="7"/>
      <c r="BH1541" s="7"/>
      <c r="BI1541" s="7"/>
      <c r="BJ1541" s="4">
        <v>1</v>
      </c>
      <c r="BK1541" s="8">
        <v>66.56</v>
      </c>
      <c r="BL1541" s="2" t="s">
        <v>744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7431</v>
      </c>
      <c r="BV1541" s="2" t="s">
        <v>233</v>
      </c>
      <c r="BW1541" s="2" t="s">
        <v>233</v>
      </c>
      <c r="BX1541" s="2" t="s">
        <v>233</v>
      </c>
      <c r="BY1541" s="2" t="s">
        <v>280</v>
      </c>
      <c r="BZ1541" s="2" t="s">
        <v>245</v>
      </c>
      <c r="CA1541" s="2" t="s">
        <v>7432</v>
      </c>
      <c r="CB1541" s="2" t="s">
        <v>2547</v>
      </c>
      <c r="CC1541" s="2" t="s">
        <v>246</v>
      </c>
      <c r="CD1541" s="2" t="s">
        <v>233</v>
      </c>
      <c r="CE1541" s="4"/>
      <c r="CF1541" s="4">
        <v>17</v>
      </c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  <c r="HM1541" s="4"/>
      <c r="HN1541" s="4"/>
      <c r="HO1541" s="4"/>
      <c r="HP1541" s="4"/>
      <c r="HQ1541" s="4"/>
      <c r="HR1541" s="4"/>
    </row>
    <row r="1542">
      <c r="A1542" s="2" t="s">
        <v>7433</v>
      </c>
      <c r="B1542" s="2" t="s">
        <v>1242</v>
      </c>
      <c r="C1542" s="2" t="s">
        <v>530</v>
      </c>
      <c r="D1542" s="2" t="s">
        <v>969</v>
      </c>
      <c r="E1542" s="2" t="s">
        <v>1078</v>
      </c>
      <c r="F1542" s="2" t="s">
        <v>7434</v>
      </c>
      <c r="G1542" s="2" t="s">
        <v>7435</v>
      </c>
      <c r="H1542" s="2" t="s">
        <v>7436</v>
      </c>
      <c r="I1542" s="2" t="s">
        <v>1082</v>
      </c>
      <c r="J1542" s="2" t="s">
        <v>918</v>
      </c>
      <c r="K1542" s="2" t="s">
        <v>1083</v>
      </c>
      <c r="L1542" s="3">
        <v>49.68</v>
      </c>
      <c r="M1542" s="3">
        <v>52.16</v>
      </c>
      <c r="N1542" s="3">
        <v>99.99</v>
      </c>
      <c r="O1542" s="2" t="s">
        <v>245</v>
      </c>
      <c r="P1542" s="2" t="s">
        <v>741</v>
      </c>
      <c r="Q1542" s="2" t="s">
        <v>239</v>
      </c>
      <c r="R1542" s="2" t="s">
        <v>233</v>
      </c>
      <c r="S1542" s="2" t="s">
        <v>7437</v>
      </c>
      <c r="T1542" s="2" t="s">
        <v>233</v>
      </c>
      <c r="U1542" s="2" t="s">
        <v>871</v>
      </c>
      <c r="V1542" s="2" t="s">
        <v>1272</v>
      </c>
      <c r="W1542" s="2" t="s">
        <v>451</v>
      </c>
      <c r="X1542" s="2" t="s">
        <v>7438</v>
      </c>
      <c r="Y1542" s="2" t="s">
        <v>7439</v>
      </c>
      <c r="Z1542" s="4">
        <v>102</v>
      </c>
      <c r="AA1542" s="4">
        <f>=ROUNDDOWN(17,0)</f>
      </c>
      <c r="AB1542" s="5">
        <v>6</v>
      </c>
      <c r="AC1542" s="2" t="s">
        <v>795</v>
      </c>
      <c r="AD1542" s="4">
        <v>40</v>
      </c>
      <c r="AE1542" s="4">
        <v>140</v>
      </c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233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 t="s">
        <v>233</v>
      </c>
      <c r="BD1542" s="8" t="s">
        <v>233</v>
      </c>
      <c r="BE1542" s="4" t="s">
        <v>233</v>
      </c>
      <c r="BF1542" s="8" t="s">
        <v>233</v>
      </c>
      <c r="BG1542" s="7" t="s">
        <v>233</v>
      </c>
      <c r="BH1542" s="7" t="s">
        <v>233</v>
      </c>
      <c r="BI1542" s="7"/>
      <c r="BJ1542" s="4">
        <v>1</v>
      </c>
      <c r="BK1542" s="8">
        <v>63.48</v>
      </c>
      <c r="BL1542" s="2" t="s">
        <v>5625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7440</v>
      </c>
      <c r="BV1542" s="2" t="s">
        <v>233</v>
      </c>
      <c r="BW1542" s="2" t="s">
        <v>233</v>
      </c>
      <c r="BX1542" s="2" t="s">
        <v>233</v>
      </c>
      <c r="BY1542" s="2" t="s">
        <v>280</v>
      </c>
      <c r="BZ1542" s="2" t="s">
        <v>245</v>
      </c>
      <c r="CA1542" s="2" t="s">
        <v>7441</v>
      </c>
      <c r="CB1542" s="2" t="s">
        <v>7442</v>
      </c>
      <c r="CC1542" s="2" t="s">
        <v>246</v>
      </c>
      <c r="CD1542" s="2" t="s">
        <v>233</v>
      </c>
      <c r="CE1542" s="4">
        <v>102</v>
      </c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>
        <v>40</v>
      </c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>
        <v>100</v>
      </c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  <c r="HM1542" s="4"/>
      <c r="HN1542" s="4"/>
      <c r="HO1542" s="4"/>
      <c r="HP1542" s="4"/>
      <c r="HQ1542" s="4"/>
      <c r="HR1542" s="4"/>
    </row>
    <row r="1543">
      <c r="A1543" s="2" t="s">
        <v>7443</v>
      </c>
      <c r="B1543" s="2" t="s">
        <v>1066</v>
      </c>
      <c r="C1543" s="2" t="s">
        <v>530</v>
      </c>
      <c r="D1543" s="2" t="s">
        <v>1067</v>
      </c>
      <c r="E1543" s="2" t="s">
        <v>1068</v>
      </c>
      <c r="F1543" s="2" t="s">
        <v>7434</v>
      </c>
      <c r="G1543" s="2" t="s">
        <v>7444</v>
      </c>
      <c r="H1543" s="2" t="s">
        <v>5419</v>
      </c>
      <c r="I1543" s="2" t="s">
        <v>7445</v>
      </c>
      <c r="J1543" s="2" t="s">
        <v>892</v>
      </c>
      <c r="K1543" s="2" t="s">
        <v>2358</v>
      </c>
      <c r="L1543" s="3">
        <v>106.2</v>
      </c>
      <c r="M1543" s="3">
        <v>111.51</v>
      </c>
      <c r="N1543" s="3">
        <v>229</v>
      </c>
      <c r="O1543" s="2" t="s">
        <v>245</v>
      </c>
      <c r="P1543" s="2" t="s">
        <v>393</v>
      </c>
      <c r="Q1543" s="2" t="s">
        <v>239</v>
      </c>
      <c r="R1543" s="2" t="s">
        <v>233</v>
      </c>
      <c r="S1543" s="2" t="s">
        <v>7446</v>
      </c>
      <c r="T1543" s="2" t="s">
        <v>233</v>
      </c>
      <c r="U1543" s="2" t="s">
        <v>233</v>
      </c>
      <c r="V1543" s="2" t="s">
        <v>241</v>
      </c>
      <c r="W1543" s="2" t="s">
        <v>451</v>
      </c>
      <c r="X1543" s="2" t="s">
        <v>233</v>
      </c>
      <c r="Y1543" s="2" t="s">
        <v>276</v>
      </c>
      <c r="Z1543" s="4">
        <v>144</v>
      </c>
      <c r="AA1543" s="4">
        <f>=ROUNDDOWN(40,0)</f>
      </c>
      <c r="AB1543" s="5">
        <v>3.6</v>
      </c>
      <c r="AC1543" s="2" t="s">
        <v>2721</v>
      </c>
      <c r="AD1543" s="4">
        <v>100</v>
      </c>
      <c r="AE1543" s="4">
        <v>100</v>
      </c>
      <c r="AF1543" s="6">
        <v>76</v>
      </c>
      <c r="AG1543" s="6">
        <v>67</v>
      </c>
      <c r="AH1543" s="7">
        <v>1</v>
      </c>
      <c r="AI1543" s="4"/>
      <c r="AJ1543" s="4">
        <f>=ROUNDDOWN({0},0)</f>
      </c>
      <c r="AK1543" s="5"/>
      <c r="AL1543" s="2" t="s">
        <v>233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 t="s">
        <v>233</v>
      </c>
      <c r="BD1543" s="8" t="s">
        <v>233</v>
      </c>
      <c r="BE1543" s="4" t="s">
        <v>233</v>
      </c>
      <c r="BF1543" s="8" t="s">
        <v>233</v>
      </c>
      <c r="BG1543" s="7" t="s">
        <v>233</v>
      </c>
      <c r="BH1543" s="7" t="s">
        <v>233</v>
      </c>
      <c r="BI1543" s="7"/>
      <c r="BJ1543" s="4">
        <v>12</v>
      </c>
      <c r="BK1543" s="8">
        <v>1233.79</v>
      </c>
      <c r="BL1543" s="2" t="s">
        <v>7447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7448</v>
      </c>
      <c r="BV1543" s="2" t="s">
        <v>233</v>
      </c>
      <c r="BW1543" s="2" t="s">
        <v>233</v>
      </c>
      <c r="BX1543" s="2" t="s">
        <v>233</v>
      </c>
      <c r="BY1543" s="2" t="s">
        <v>280</v>
      </c>
      <c r="BZ1543" s="2" t="s">
        <v>245</v>
      </c>
      <c r="CA1543" s="2" t="s">
        <v>281</v>
      </c>
      <c r="CB1543" s="2" t="s">
        <v>7449</v>
      </c>
      <c r="CC1543" s="2" t="s">
        <v>246</v>
      </c>
      <c r="CD1543" s="2" t="s">
        <v>233</v>
      </c>
      <c r="CE1543" s="4"/>
      <c r="CF1543" s="4">
        <v>116</v>
      </c>
      <c r="CG1543" s="4"/>
      <c r="CH1543" s="4"/>
      <c r="CI1543" s="4">
        <v>28</v>
      </c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>
        <v>100</v>
      </c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  <c r="HM1543" s="4"/>
      <c r="HN1543" s="4"/>
      <c r="HO1543" s="4"/>
      <c r="HP1543" s="4"/>
      <c r="HQ1543" s="4"/>
      <c r="HR1543" s="4"/>
    </row>
    <row r="1544">
      <c r="A1544" s="2" t="s">
        <v>7450</v>
      </c>
      <c r="B1544" s="2" t="s">
        <v>1242</v>
      </c>
      <c r="C1544" s="2" t="s">
        <v>530</v>
      </c>
      <c r="D1544" s="2" t="s">
        <v>969</v>
      </c>
      <c r="E1544" s="2" t="s">
        <v>1078</v>
      </c>
      <c r="F1544" s="2" t="s">
        <v>7434</v>
      </c>
      <c r="G1544" s="2" t="s">
        <v>7435</v>
      </c>
      <c r="H1544" s="2" t="s">
        <v>7436</v>
      </c>
      <c r="I1544" s="2" t="s">
        <v>1082</v>
      </c>
      <c r="J1544" s="2" t="s">
        <v>918</v>
      </c>
      <c r="K1544" s="2" t="s">
        <v>590</v>
      </c>
      <c r="L1544" s="3">
        <v>49.68</v>
      </c>
      <c r="M1544" s="3">
        <v>52.16</v>
      </c>
      <c r="N1544" s="3">
        <v>99.99</v>
      </c>
      <c r="O1544" s="2" t="s">
        <v>245</v>
      </c>
      <c r="P1544" s="2" t="s">
        <v>272</v>
      </c>
      <c r="Q1544" s="2" t="s">
        <v>239</v>
      </c>
      <c r="R1544" s="2" t="s">
        <v>233</v>
      </c>
      <c r="S1544" s="2" t="s">
        <v>7451</v>
      </c>
      <c r="T1544" s="2" t="s">
        <v>233</v>
      </c>
      <c r="U1544" s="2" t="s">
        <v>871</v>
      </c>
      <c r="V1544" s="2" t="s">
        <v>1272</v>
      </c>
      <c r="W1544" s="2" t="s">
        <v>451</v>
      </c>
      <c r="X1544" s="2" t="s">
        <v>7438</v>
      </c>
      <c r="Y1544" s="2" t="s">
        <v>276</v>
      </c>
      <c r="Z1544" s="4">
        <v>73</v>
      </c>
      <c r="AA1544" s="4">
        <f>=ROUNDDOWN(12.1666666666667,0)</f>
      </c>
      <c r="AB1544" s="5">
        <v>6</v>
      </c>
      <c r="AC1544" s="2" t="s">
        <v>5614</v>
      </c>
      <c r="AD1544" s="4">
        <v>30</v>
      </c>
      <c r="AE1544" s="4">
        <v>60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233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233</v>
      </c>
      <c r="AW1544" s="8" t="s">
        <v>233</v>
      </c>
      <c r="AX1544" s="4" t="s">
        <v>233</v>
      </c>
      <c r="AY1544" s="8" t="s">
        <v>233</v>
      </c>
      <c r="AZ1544" s="7" t="s">
        <v>233</v>
      </c>
      <c r="BA1544" s="7" t="s">
        <v>233</v>
      </c>
      <c r="BB1544" s="7"/>
      <c r="BC1544" s="4" t="s">
        <v>233</v>
      </c>
      <c r="BD1544" s="8" t="s">
        <v>233</v>
      </c>
      <c r="BE1544" s="4" t="s">
        <v>233</v>
      </c>
      <c r="BF1544" s="8" t="s">
        <v>233</v>
      </c>
      <c r="BG1544" s="7" t="s">
        <v>233</v>
      </c>
      <c r="BH1544" s="7" t="s">
        <v>233</v>
      </c>
      <c r="BI1544" s="7"/>
      <c r="BJ1544" s="4">
        <v>11</v>
      </c>
      <c r="BK1544" s="8">
        <v>610.46</v>
      </c>
      <c r="BL1544" s="2" t="s">
        <v>7452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7453</v>
      </c>
      <c r="BV1544" s="2" t="s">
        <v>233</v>
      </c>
      <c r="BW1544" s="2" t="s">
        <v>233</v>
      </c>
      <c r="BX1544" s="2" t="s">
        <v>233</v>
      </c>
      <c r="BY1544" s="2" t="s">
        <v>280</v>
      </c>
      <c r="BZ1544" s="2" t="s">
        <v>245</v>
      </c>
      <c r="CA1544" s="2" t="s">
        <v>281</v>
      </c>
      <c r="CB1544" s="2" t="s">
        <v>670</v>
      </c>
      <c r="CC1544" s="2" t="s">
        <v>246</v>
      </c>
      <c r="CD1544" s="2" t="s">
        <v>233</v>
      </c>
      <c r="CE1544" s="4">
        <v>73</v>
      </c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>
        <v>30</v>
      </c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>
        <v>30</v>
      </c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  <c r="HM1544" s="4"/>
      <c r="HN1544" s="4"/>
      <c r="HO1544" s="4"/>
      <c r="HP1544" s="4"/>
      <c r="HQ1544" s="4"/>
      <c r="HR1544" s="4"/>
    </row>
    <row r="1545">
      <c r="A1545" s="2" t="s">
        <v>7454</v>
      </c>
      <c r="B1545" s="2" t="s">
        <v>910</v>
      </c>
      <c r="C1545" s="2" t="s">
        <v>5876</v>
      </c>
      <c r="D1545" s="2" t="s">
        <v>1862</v>
      </c>
      <c r="E1545" s="2" t="s">
        <v>3734</v>
      </c>
      <c r="F1545" s="2" t="s">
        <v>7434</v>
      </c>
      <c r="G1545" s="2" t="s">
        <v>4830</v>
      </c>
      <c r="H1545" s="2" t="s">
        <v>7455</v>
      </c>
      <c r="I1545" s="2" t="s">
        <v>7456</v>
      </c>
      <c r="J1545" s="2" t="s">
        <v>981</v>
      </c>
      <c r="K1545" s="2" t="s">
        <v>590</v>
      </c>
      <c r="L1545" s="3">
        <v>48</v>
      </c>
      <c r="M1545" s="3">
        <v>50.4</v>
      </c>
      <c r="N1545" s="3">
        <v>109.99</v>
      </c>
      <c r="O1545" s="2" t="s">
        <v>245</v>
      </c>
      <c r="P1545" s="2" t="s">
        <v>311</v>
      </c>
      <c r="Q1545" s="2" t="s">
        <v>239</v>
      </c>
      <c r="R1545" s="2" t="s">
        <v>233</v>
      </c>
      <c r="S1545" s="2" t="s">
        <v>7457</v>
      </c>
      <c r="T1545" s="2" t="s">
        <v>341</v>
      </c>
      <c r="U1545" s="2" t="s">
        <v>1482</v>
      </c>
      <c r="V1545" s="2" t="s">
        <v>1658</v>
      </c>
      <c r="W1545" s="2" t="s">
        <v>275</v>
      </c>
      <c r="X1545" s="2" t="s">
        <v>233</v>
      </c>
      <c r="Y1545" s="2" t="s">
        <v>7458</v>
      </c>
      <c r="Z1545" s="4">
        <v>291</v>
      </c>
      <c r="AA1545" s="4">
        <f>=ROUNDDOWN(58.2,0)</f>
      </c>
      <c r="AB1545" s="5">
        <v>5</v>
      </c>
      <c r="AC1545" s="2" t="s">
        <v>233</v>
      </c>
      <c r="AD1545" s="4"/>
      <c r="AE1545" s="4"/>
      <c r="AF1545" s="6">
        <v>65</v>
      </c>
      <c r="AG1545" s="6">
        <v>73</v>
      </c>
      <c r="AH1545" s="7">
        <v>1</v>
      </c>
      <c r="AI1545" s="4"/>
      <c r="AJ1545" s="4">
        <f>=ROUNDDOWN({0},0)</f>
      </c>
      <c r="AK1545" s="5"/>
      <c r="AL1545" s="2" t="s">
        <v>233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233</v>
      </c>
      <c r="AW1545" s="8" t="s">
        <v>233</v>
      </c>
      <c r="AX1545" s="4" t="s">
        <v>233</v>
      </c>
      <c r="AY1545" s="8" t="s">
        <v>233</v>
      </c>
      <c r="AZ1545" s="7" t="s">
        <v>233</v>
      </c>
      <c r="BA1545" s="7" t="s">
        <v>233</v>
      </c>
      <c r="BB1545" s="7"/>
      <c r="BC1545" s="4" t="s">
        <v>233</v>
      </c>
      <c r="BD1545" s="8" t="s">
        <v>233</v>
      </c>
      <c r="BE1545" s="4" t="s">
        <v>233</v>
      </c>
      <c r="BF1545" s="8" t="s">
        <v>233</v>
      </c>
      <c r="BG1545" s="7" t="s">
        <v>233</v>
      </c>
      <c r="BH1545" s="7" t="s">
        <v>233</v>
      </c>
      <c r="BI1545" s="7"/>
      <c r="BJ1545" s="4">
        <v>17</v>
      </c>
      <c r="BK1545" s="8">
        <v>921.97</v>
      </c>
      <c r="BL1545" s="2" t="s">
        <v>7459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7460</v>
      </c>
      <c r="BV1545" s="2" t="s">
        <v>233</v>
      </c>
      <c r="BW1545" s="2" t="s">
        <v>233</v>
      </c>
      <c r="BX1545" s="2" t="s">
        <v>233</v>
      </c>
      <c r="BY1545" s="2" t="s">
        <v>280</v>
      </c>
      <c r="BZ1545" s="2" t="s">
        <v>245</v>
      </c>
      <c r="CA1545" s="2" t="s">
        <v>7461</v>
      </c>
      <c r="CB1545" s="2" t="s">
        <v>1535</v>
      </c>
      <c r="CC1545" s="2" t="s">
        <v>246</v>
      </c>
      <c r="CD1545" s="2" t="s">
        <v>233</v>
      </c>
      <c r="CE1545" s="4">
        <v>239</v>
      </c>
      <c r="CF1545" s="4"/>
      <c r="CG1545" s="4"/>
      <c r="CH1545" s="4"/>
      <c r="CI1545" s="4">
        <v>52</v>
      </c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  <c r="HM1545" s="4"/>
      <c r="HN1545" s="4"/>
      <c r="HO1545" s="4"/>
      <c r="HP1545" s="4"/>
      <c r="HQ1545" s="4"/>
      <c r="HR1545" s="4"/>
    </row>
    <row r="1546">
      <c r="A1546" s="2" t="s">
        <v>7462</v>
      </c>
      <c r="B1546" s="2" t="s">
        <v>1066</v>
      </c>
      <c r="C1546" s="2" t="s">
        <v>530</v>
      </c>
      <c r="D1546" s="2" t="s">
        <v>1067</v>
      </c>
      <c r="E1546" s="2" t="s">
        <v>1068</v>
      </c>
      <c r="F1546" s="2" t="s">
        <v>7434</v>
      </c>
      <c r="G1546" s="2" t="s">
        <v>7444</v>
      </c>
      <c r="H1546" s="2" t="s">
        <v>5419</v>
      </c>
      <c r="I1546" s="2" t="s">
        <v>7445</v>
      </c>
      <c r="J1546" s="2" t="s">
        <v>892</v>
      </c>
      <c r="K1546" s="2" t="s">
        <v>2197</v>
      </c>
      <c r="L1546" s="3">
        <v>106.2</v>
      </c>
      <c r="M1546" s="3">
        <v>111.51</v>
      </c>
      <c r="N1546" s="3">
        <v>229</v>
      </c>
      <c r="O1546" s="2" t="s">
        <v>245</v>
      </c>
      <c r="P1546" s="2" t="s">
        <v>393</v>
      </c>
      <c r="Q1546" s="2" t="s">
        <v>239</v>
      </c>
      <c r="R1546" s="2" t="s">
        <v>233</v>
      </c>
      <c r="S1546" s="2" t="s">
        <v>7463</v>
      </c>
      <c r="T1546" s="2" t="s">
        <v>233</v>
      </c>
      <c r="U1546" s="2" t="s">
        <v>233</v>
      </c>
      <c r="V1546" s="2" t="s">
        <v>1658</v>
      </c>
      <c r="W1546" s="2" t="s">
        <v>451</v>
      </c>
      <c r="X1546" s="2" t="s">
        <v>233</v>
      </c>
      <c r="Y1546" s="2" t="s">
        <v>276</v>
      </c>
      <c r="Z1546" s="4">
        <v>132</v>
      </c>
      <c r="AA1546" s="4">
        <f>=ROUNDDOWN(33,0)</f>
      </c>
      <c r="AB1546" s="5">
        <v>4</v>
      </c>
      <c r="AC1546" s="2" t="s">
        <v>2721</v>
      </c>
      <c r="AD1546" s="4">
        <v>100</v>
      </c>
      <c r="AE1546" s="4">
        <v>100</v>
      </c>
      <c r="AF1546" s="6">
        <v>76</v>
      </c>
      <c r="AG1546" s="6"/>
      <c r="AH1546" s="7">
        <v>1</v>
      </c>
      <c r="AI1546" s="4"/>
      <c r="AJ1546" s="4">
        <f>=ROUNDDOWN({0},0)</f>
      </c>
      <c r="AK1546" s="5"/>
      <c r="AL1546" s="2" t="s">
        <v>233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233</v>
      </c>
      <c r="BD1546" s="8" t="s">
        <v>233</v>
      </c>
      <c r="BE1546" s="4" t="s">
        <v>233</v>
      </c>
      <c r="BF1546" s="8" t="s">
        <v>233</v>
      </c>
      <c r="BG1546" s="7" t="s">
        <v>233</v>
      </c>
      <c r="BH1546" s="7" t="s">
        <v>233</v>
      </c>
      <c r="BI1546" s="7"/>
      <c r="BJ1546" s="4">
        <v>15</v>
      </c>
      <c r="BK1546" s="8">
        <v>1597.46</v>
      </c>
      <c r="BL1546" s="2" t="s">
        <v>7464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7465</v>
      </c>
      <c r="BV1546" s="2" t="s">
        <v>233</v>
      </c>
      <c r="BW1546" s="2" t="s">
        <v>233</v>
      </c>
      <c r="BX1546" s="2" t="s">
        <v>233</v>
      </c>
      <c r="BY1546" s="2" t="s">
        <v>280</v>
      </c>
      <c r="BZ1546" s="2" t="s">
        <v>245</v>
      </c>
      <c r="CA1546" s="2" t="s">
        <v>281</v>
      </c>
      <c r="CB1546" s="2" t="s">
        <v>7466</v>
      </c>
      <c r="CC1546" s="2" t="s">
        <v>246</v>
      </c>
      <c r="CD1546" s="2" t="s">
        <v>233</v>
      </c>
      <c r="CE1546" s="4"/>
      <c r="CF1546" s="4">
        <v>132</v>
      </c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>
        <v>100</v>
      </c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  <c r="HM1546" s="4"/>
      <c r="HN1546" s="4"/>
      <c r="HO1546" s="4"/>
      <c r="HP1546" s="4"/>
      <c r="HQ1546" s="4"/>
      <c r="HR1546" s="4"/>
    </row>
    <row r="1547">
      <c r="A1547" s="2" t="s">
        <v>7467</v>
      </c>
      <c r="B1547" s="2" t="s">
        <v>1066</v>
      </c>
      <c r="C1547" s="2" t="s">
        <v>947</v>
      </c>
      <c r="D1547" s="2" t="s">
        <v>1111</v>
      </c>
      <c r="E1547" s="2" t="s">
        <v>1112</v>
      </c>
      <c r="F1547" s="2" t="s">
        <v>5743</v>
      </c>
      <c r="G1547" s="2" t="s">
        <v>5743</v>
      </c>
      <c r="H1547" s="2" t="s">
        <v>5743</v>
      </c>
      <c r="I1547" s="2" t="s">
        <v>7468</v>
      </c>
      <c r="J1547" s="2" t="s">
        <v>892</v>
      </c>
      <c r="K1547" s="2" t="s">
        <v>2358</v>
      </c>
      <c r="L1547" s="3">
        <v>558.6</v>
      </c>
      <c r="M1547" s="3">
        <v>586.53</v>
      </c>
      <c r="N1547" s="3">
        <v>1179</v>
      </c>
      <c r="O1547" s="2" t="s">
        <v>245</v>
      </c>
      <c r="P1547" s="2" t="s">
        <v>1118</v>
      </c>
      <c r="Q1547" s="2" t="s">
        <v>239</v>
      </c>
      <c r="R1547" s="2" t="s">
        <v>16</v>
      </c>
      <c r="S1547" s="2" t="s">
        <v>7469</v>
      </c>
      <c r="T1547" s="2" t="s">
        <v>233</v>
      </c>
      <c r="U1547" s="2" t="s">
        <v>491</v>
      </c>
      <c r="V1547" s="2" t="s">
        <v>241</v>
      </c>
      <c r="W1547" s="2" t="s">
        <v>977</v>
      </c>
      <c r="X1547" s="2" t="s">
        <v>953</v>
      </c>
      <c r="Y1547" s="2" t="s">
        <v>3149</v>
      </c>
      <c r="Z1547" s="4">
        <v>3</v>
      </c>
      <c r="AA1547" s="4">
        <f>=ROUNDDOWN({0},0)</f>
      </c>
      <c r="AB1547" s="5"/>
      <c r="AC1547" s="2" t="s">
        <v>233</v>
      </c>
      <c r="AD1547" s="4"/>
      <c r="AE1547" s="4"/>
      <c r="AF1547" s="6"/>
      <c r="AG1547" s="6"/>
      <c r="AH1547" s="7">
        <v>1</v>
      </c>
      <c r="AI1547" s="4"/>
      <c r="AJ1547" s="4">
        <f>=ROUNDDOWN({0},0)</f>
      </c>
      <c r="AK1547" s="5"/>
      <c r="AL1547" s="2" t="s">
        <v>233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/>
      <c r="BD1547" s="8"/>
      <c r="BE1547" s="4"/>
      <c r="BF1547" s="8"/>
      <c r="BG1547" s="7"/>
      <c r="BH1547" s="7"/>
      <c r="BI1547" s="7"/>
      <c r="BJ1547" s="4"/>
      <c r="BK1547" s="8"/>
      <c r="BL1547" s="2" t="s">
        <v>233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243</v>
      </c>
      <c r="BV1547" s="2" t="s">
        <v>233</v>
      </c>
      <c r="BW1547" s="2" t="s">
        <v>233</v>
      </c>
      <c r="BX1547" s="2" t="s">
        <v>243</v>
      </c>
      <c r="BY1547" s="2" t="s">
        <v>346</v>
      </c>
      <c r="BZ1547" s="2" t="s">
        <v>245</v>
      </c>
      <c r="CA1547" s="2" t="s">
        <v>233</v>
      </c>
      <c r="CB1547" s="2" t="s">
        <v>233</v>
      </c>
      <c r="CC1547" s="2" t="s">
        <v>246</v>
      </c>
      <c r="CD1547" s="2" t="s">
        <v>233</v>
      </c>
      <c r="CE1547" s="4"/>
      <c r="CF1547" s="4">
        <v>3</v>
      </c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  <c r="HM1547" s="4"/>
      <c r="HN1547" s="4"/>
      <c r="HO1547" s="4"/>
      <c r="HP1547" s="4"/>
      <c r="HQ1547" s="4"/>
      <c r="HR1547" s="4"/>
    </row>
    <row r="1548">
      <c r="A1548" s="2" t="s">
        <v>7470</v>
      </c>
      <c r="B1548" s="2" t="s">
        <v>1242</v>
      </c>
      <c r="C1548" s="2" t="s">
        <v>1781</v>
      </c>
      <c r="D1548" s="2" t="s">
        <v>912</v>
      </c>
      <c r="E1548" s="2" t="s">
        <v>913</v>
      </c>
      <c r="F1548" s="2" t="s">
        <v>7471</v>
      </c>
      <c r="G1548" s="2" t="s">
        <v>7471</v>
      </c>
      <c r="H1548" s="2" t="s">
        <v>7471</v>
      </c>
      <c r="I1548" s="2" t="s">
        <v>7472</v>
      </c>
      <c r="J1548" s="2" t="s">
        <v>981</v>
      </c>
      <c r="K1548" s="2" t="s">
        <v>950</v>
      </c>
      <c r="L1548" s="3">
        <v>75</v>
      </c>
      <c r="M1548" s="3">
        <v>78.74</v>
      </c>
      <c r="N1548" s="3">
        <v>159.99</v>
      </c>
      <c r="O1548" s="2" t="s">
        <v>245</v>
      </c>
      <c r="P1548" s="2" t="s">
        <v>741</v>
      </c>
      <c r="Q1548" s="2" t="s">
        <v>239</v>
      </c>
      <c r="R1548" s="2" t="s">
        <v>233</v>
      </c>
      <c r="S1548" s="2" t="s">
        <v>7473</v>
      </c>
      <c r="T1548" s="2" t="s">
        <v>233</v>
      </c>
      <c r="U1548" s="2" t="s">
        <v>233</v>
      </c>
      <c r="V1548" s="2" t="s">
        <v>379</v>
      </c>
      <c r="W1548" s="2" t="s">
        <v>343</v>
      </c>
      <c r="X1548" s="2" t="s">
        <v>1056</v>
      </c>
      <c r="Y1548" s="2" t="s">
        <v>276</v>
      </c>
      <c r="Z1548" s="4">
        <v>19</v>
      </c>
      <c r="AA1548" s="4">
        <f>=ROUNDDOWN(47.5,0)</f>
      </c>
      <c r="AB1548" s="5">
        <v>0.4</v>
      </c>
      <c r="AC1548" s="2" t="s">
        <v>7474</v>
      </c>
      <c r="AD1548" s="4">
        <v>10</v>
      </c>
      <c r="AE1548" s="4">
        <v>20</v>
      </c>
      <c r="AF1548" s="6">
        <v>66</v>
      </c>
      <c r="AG1548" s="6"/>
      <c r="AH1548" s="7">
        <v>1</v>
      </c>
      <c r="AI1548" s="4"/>
      <c r="AJ1548" s="4">
        <f>=ROUNDDOWN({0},0)</f>
      </c>
      <c r="AK1548" s="5"/>
      <c r="AL1548" s="2" t="s">
        <v>233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/>
      <c r="BD1548" s="8"/>
      <c r="BE1548" s="4"/>
      <c r="BF1548" s="8"/>
      <c r="BG1548" s="7"/>
      <c r="BH1548" s="7"/>
      <c r="BI1548" s="7"/>
      <c r="BJ1548" s="4">
        <v>2</v>
      </c>
      <c r="BK1548" s="8">
        <v>142.67</v>
      </c>
      <c r="BL1548" s="2" t="s">
        <v>7475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7476</v>
      </c>
      <c r="BV1548" s="2" t="s">
        <v>233</v>
      </c>
      <c r="BW1548" s="2" t="s">
        <v>233</v>
      </c>
      <c r="BX1548" s="2" t="s">
        <v>233</v>
      </c>
      <c r="BY1548" s="2" t="s">
        <v>280</v>
      </c>
      <c r="BZ1548" s="2" t="s">
        <v>245</v>
      </c>
      <c r="CA1548" s="2" t="s">
        <v>7152</v>
      </c>
      <c r="CB1548" s="2" t="s">
        <v>4635</v>
      </c>
      <c r="CC1548" s="2" t="s">
        <v>246</v>
      </c>
      <c r="CD1548" s="2" t="s">
        <v>233</v>
      </c>
      <c r="CE1548" s="4">
        <v>19</v>
      </c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>
        <v>10</v>
      </c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>
        <v>10</v>
      </c>
      <c r="HF1548" s="4"/>
      <c r="HG1548" s="4"/>
      <c r="HH1548" s="4"/>
      <c r="HI1548" s="4"/>
      <c r="HJ1548" s="4"/>
      <c r="HK1548" s="4"/>
      <c r="HL1548" s="4"/>
      <c r="HM1548" s="4"/>
      <c r="HN1548" s="4"/>
      <c r="HO1548" s="4"/>
      <c r="HP1548" s="4"/>
      <c r="HQ1548" s="4"/>
      <c r="HR1548" s="4"/>
    </row>
    <row r="1549">
      <c r="A1549" s="2" t="s">
        <v>7477</v>
      </c>
      <c r="B1549" s="2" t="s">
        <v>1242</v>
      </c>
      <c r="C1549" s="2" t="s">
        <v>1986</v>
      </c>
      <c r="D1549" s="2" t="s">
        <v>969</v>
      </c>
      <c r="E1549" s="2" t="s">
        <v>1078</v>
      </c>
      <c r="F1549" s="2" t="s">
        <v>7478</v>
      </c>
      <c r="G1549" s="2" t="s">
        <v>7478</v>
      </c>
      <c r="H1549" s="2" t="s">
        <v>7478</v>
      </c>
      <c r="I1549" s="2" t="s">
        <v>6825</v>
      </c>
      <c r="J1549" s="2" t="s">
        <v>546</v>
      </c>
      <c r="K1549" s="2" t="s">
        <v>2358</v>
      </c>
      <c r="L1549" s="3">
        <v>204.28</v>
      </c>
      <c r="M1549" s="3">
        <v>214.49</v>
      </c>
      <c r="N1549" s="3">
        <v>599.99</v>
      </c>
      <c r="O1549" s="2" t="s">
        <v>245</v>
      </c>
      <c r="P1549" s="2" t="s">
        <v>272</v>
      </c>
      <c r="Q1549" s="2" t="s">
        <v>239</v>
      </c>
      <c r="R1549" s="2" t="s">
        <v>233</v>
      </c>
      <c r="S1549" s="2" t="s">
        <v>233</v>
      </c>
      <c r="T1549" s="2" t="s">
        <v>233</v>
      </c>
      <c r="U1549" s="2" t="s">
        <v>342</v>
      </c>
      <c r="V1549" s="2" t="s">
        <v>1869</v>
      </c>
      <c r="W1549" s="2" t="s">
        <v>776</v>
      </c>
      <c r="X1549" s="2" t="s">
        <v>233</v>
      </c>
      <c r="Y1549" s="2" t="s">
        <v>1995</v>
      </c>
      <c r="Z1549" s="4"/>
      <c r="AA1549" s="4">
        <f>=ROUNDDOWN({0},0)</f>
      </c>
      <c r="AB1549" s="5">
        <v>2</v>
      </c>
      <c r="AC1549" s="2" t="s">
        <v>7479</v>
      </c>
      <c r="AD1549" s="4">
        <v>70</v>
      </c>
      <c r="AE1549" s="4">
        <v>70</v>
      </c>
      <c r="AF1549" s="6">
        <v>65</v>
      </c>
      <c r="AG1549" s="6"/>
      <c r="AH1549" s="7">
        <v>0</v>
      </c>
      <c r="AI1549" s="4"/>
      <c r="AJ1549" s="4">
        <f>=ROUNDDOWN({0},0)</f>
      </c>
      <c r="AK1549" s="5"/>
      <c r="AL1549" s="2" t="s">
        <v>233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3</v>
      </c>
      <c r="BK1549" s="8">
        <v>1267.47</v>
      </c>
      <c r="BL1549" s="2" t="s">
        <v>2501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7480</v>
      </c>
      <c r="BV1549" s="2" t="s">
        <v>233</v>
      </c>
      <c r="BW1549" s="2" t="s">
        <v>233</v>
      </c>
      <c r="BX1549" s="2" t="s">
        <v>233</v>
      </c>
      <c r="BY1549" s="2" t="s">
        <v>280</v>
      </c>
      <c r="BZ1549" s="2" t="s">
        <v>245</v>
      </c>
      <c r="CA1549" s="2" t="s">
        <v>5900</v>
      </c>
      <c r="CB1549" s="2" t="s">
        <v>3388</v>
      </c>
      <c r="CC1549" s="2" t="s">
        <v>246</v>
      </c>
      <c r="CD1549" s="2" t="s">
        <v>233</v>
      </c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>
        <v>70</v>
      </c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  <c r="HM1549" s="4"/>
      <c r="HN1549" s="4"/>
      <c r="HO1549" s="4"/>
      <c r="HP1549" s="4"/>
      <c r="HQ1549" s="4"/>
      <c r="HR1549" s="4"/>
    </row>
    <row r="1550">
      <c r="A1550" s="2" t="s">
        <v>7481</v>
      </c>
      <c r="B1550" s="2" t="s">
        <v>910</v>
      </c>
      <c r="C1550" s="2" t="s">
        <v>911</v>
      </c>
      <c r="D1550" s="2" t="s">
        <v>969</v>
      </c>
      <c r="E1550" s="2" t="s">
        <v>3334</v>
      </c>
      <c r="F1550" s="2" t="s">
        <v>7482</v>
      </c>
      <c r="G1550" s="2" t="s">
        <v>6093</v>
      </c>
      <c r="H1550" s="2" t="s">
        <v>7483</v>
      </c>
      <c r="I1550" s="2" t="s">
        <v>7484</v>
      </c>
      <c r="J1550" s="2" t="s">
        <v>348</v>
      </c>
      <c r="K1550" s="2" t="s">
        <v>1083</v>
      </c>
      <c r="L1550" s="3">
        <v>46.55</v>
      </c>
      <c r="M1550" s="3">
        <v>48.88</v>
      </c>
      <c r="N1550" s="3">
        <v>99.99</v>
      </c>
      <c r="O1550" s="2" t="s">
        <v>237</v>
      </c>
      <c r="P1550" s="2" t="s">
        <v>311</v>
      </c>
      <c r="Q1550" s="2" t="s">
        <v>239</v>
      </c>
      <c r="R1550" s="2" t="s">
        <v>233</v>
      </c>
      <c r="S1550" s="2" t="s">
        <v>7485</v>
      </c>
      <c r="T1550" s="2" t="s">
        <v>395</v>
      </c>
      <c r="U1550" s="2" t="s">
        <v>5309</v>
      </c>
      <c r="V1550" s="2" t="s">
        <v>1085</v>
      </c>
      <c r="W1550" s="2" t="s">
        <v>397</v>
      </c>
      <c r="X1550" s="2" t="s">
        <v>705</v>
      </c>
      <c r="Y1550" s="2" t="s">
        <v>7486</v>
      </c>
      <c r="Z1550" s="4">
        <v>132</v>
      </c>
      <c r="AA1550" s="4">
        <f>=ROUNDDOWN(15.1724137931034,0)</f>
      </c>
      <c r="AB1550" s="5">
        <v>8.7</v>
      </c>
      <c r="AC1550" s="2" t="s">
        <v>233</v>
      </c>
      <c r="AD1550" s="4"/>
      <c r="AE1550" s="4"/>
      <c r="AF1550" s="6">
        <v>64</v>
      </c>
      <c r="AG1550" s="6"/>
      <c r="AH1550" s="7">
        <v>1</v>
      </c>
      <c r="AI1550" s="4"/>
      <c r="AJ1550" s="4">
        <f>=ROUNDDOWN({0},0)</f>
      </c>
      <c r="AK1550" s="5"/>
      <c r="AL1550" s="2" t="s">
        <v>233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/>
      <c r="BD1550" s="8"/>
      <c r="BE1550" s="4"/>
      <c r="BF1550" s="8"/>
      <c r="BG1550" s="7"/>
      <c r="BH1550" s="7"/>
      <c r="BI1550" s="7"/>
      <c r="BJ1550" s="4">
        <v>29</v>
      </c>
      <c r="BK1550" s="8">
        <v>1007.96</v>
      </c>
      <c r="BL1550" s="2" t="s">
        <v>7487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7488</v>
      </c>
      <c r="BV1550" s="2" t="s">
        <v>233</v>
      </c>
      <c r="BW1550" s="2" t="s">
        <v>233</v>
      </c>
      <c r="BX1550" s="2" t="s">
        <v>233</v>
      </c>
      <c r="BY1550" s="2" t="s">
        <v>280</v>
      </c>
      <c r="BZ1550" s="2" t="s">
        <v>245</v>
      </c>
      <c r="CA1550" s="2" t="s">
        <v>7489</v>
      </c>
      <c r="CB1550" s="2" t="s">
        <v>3594</v>
      </c>
      <c r="CC1550" s="2" t="s">
        <v>246</v>
      </c>
      <c r="CD1550" s="2" t="s">
        <v>233</v>
      </c>
      <c r="CE1550" s="4"/>
      <c r="CF1550" s="4">
        <v>132</v>
      </c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  <c r="HM1550" s="4"/>
      <c r="HN1550" s="4"/>
      <c r="HO1550" s="4"/>
      <c r="HP1550" s="4"/>
      <c r="HQ1550" s="4"/>
      <c r="HR1550" s="4"/>
    </row>
    <row r="1551">
      <c r="A1551" s="2" t="s">
        <v>7490</v>
      </c>
      <c r="B1551" s="2" t="s">
        <v>910</v>
      </c>
      <c r="C1551" s="2" t="s">
        <v>911</v>
      </c>
      <c r="D1551" s="2" t="s">
        <v>969</v>
      </c>
      <c r="E1551" s="2" t="s">
        <v>970</v>
      </c>
      <c r="F1551" s="2" t="s">
        <v>7491</v>
      </c>
      <c r="G1551" s="2" t="s">
        <v>3311</v>
      </c>
      <c r="H1551" s="2" t="s">
        <v>7492</v>
      </c>
      <c r="I1551" s="2" t="s">
        <v>1876</v>
      </c>
      <c r="J1551" s="2" t="s">
        <v>918</v>
      </c>
      <c r="K1551" s="2" t="s">
        <v>645</v>
      </c>
      <c r="L1551" s="3">
        <v>33.33</v>
      </c>
      <c r="M1551" s="3">
        <v>35</v>
      </c>
      <c r="N1551" s="3">
        <v>69.99</v>
      </c>
      <c r="O1551" s="2" t="s">
        <v>245</v>
      </c>
      <c r="P1551" s="2" t="s">
        <v>272</v>
      </c>
      <c r="Q1551" s="2" t="s">
        <v>239</v>
      </c>
      <c r="R1551" s="2" t="s">
        <v>233</v>
      </c>
      <c r="S1551" s="2" t="s">
        <v>7493</v>
      </c>
      <c r="T1551" s="2" t="s">
        <v>1481</v>
      </c>
      <c r="U1551" s="2" t="s">
        <v>491</v>
      </c>
      <c r="V1551" s="2" t="s">
        <v>241</v>
      </c>
      <c r="W1551" s="2" t="s">
        <v>397</v>
      </c>
      <c r="X1551" s="2" t="s">
        <v>275</v>
      </c>
      <c r="Y1551" s="2" t="s">
        <v>233</v>
      </c>
      <c r="Z1551" s="4"/>
      <c r="AA1551" s="4">
        <f>=ROUNDDOWN({0},0)</f>
      </c>
      <c r="AB1551" s="5"/>
      <c r="AC1551" s="2" t="s">
        <v>1947</v>
      </c>
      <c r="AD1551" s="4">
        <v>150</v>
      </c>
      <c r="AE1551" s="4">
        <v>300</v>
      </c>
      <c r="AF1551" s="6">
        <v>66</v>
      </c>
      <c r="AG1551" s="6"/>
      <c r="AH1551" s="7">
        <v>0</v>
      </c>
      <c r="AI1551" s="4"/>
      <c r="AJ1551" s="4">
        <f>=ROUNDDOWN({0},0)</f>
      </c>
      <c r="AK1551" s="5"/>
      <c r="AL1551" s="2" t="s">
        <v>233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233</v>
      </c>
      <c r="AW1551" s="8" t="s">
        <v>233</v>
      </c>
      <c r="AX1551" s="4" t="s">
        <v>233</v>
      </c>
      <c r="AY1551" s="8" t="s">
        <v>233</v>
      </c>
      <c r="AZ1551" s="7" t="s">
        <v>233</v>
      </c>
      <c r="BA1551" s="7" t="s">
        <v>233</v>
      </c>
      <c r="BB1551" s="7" t="s">
        <v>233</v>
      </c>
      <c r="BC1551" s="4" t="s">
        <v>233</v>
      </c>
      <c r="BD1551" s="8" t="s">
        <v>233</v>
      </c>
      <c r="BE1551" s="4" t="s">
        <v>233</v>
      </c>
      <c r="BF1551" s="8" t="s">
        <v>233</v>
      </c>
      <c r="BG1551" s="7" t="s">
        <v>233</v>
      </c>
      <c r="BH1551" s="7" t="s">
        <v>233</v>
      </c>
      <c r="BI1551" s="7"/>
      <c r="BJ1551" s="4"/>
      <c r="BK1551" s="8"/>
      <c r="BL1551" s="2" t="s">
        <v>233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243</v>
      </c>
      <c r="BV1551" s="2" t="s">
        <v>233</v>
      </c>
      <c r="BW1551" s="2" t="s">
        <v>233</v>
      </c>
      <c r="BX1551" s="2" t="s">
        <v>243</v>
      </c>
      <c r="BY1551" s="2" t="s">
        <v>244</v>
      </c>
      <c r="BZ1551" s="2" t="s">
        <v>245</v>
      </c>
      <c r="CA1551" s="2" t="s">
        <v>233</v>
      </c>
      <c r="CB1551" s="2" t="s">
        <v>233</v>
      </c>
      <c r="CC1551" s="2" t="s">
        <v>246</v>
      </c>
      <c r="CD1551" s="2" t="s">
        <v>233</v>
      </c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>
        <v>150</v>
      </c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>
        <v>150</v>
      </c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  <c r="HM1551" s="4"/>
      <c r="HN1551" s="4"/>
      <c r="HO1551" s="4"/>
      <c r="HP1551" s="4"/>
      <c r="HQ1551" s="4"/>
      <c r="HR1551" s="4"/>
    </row>
    <row r="1552">
      <c r="A1552" s="2" t="s">
        <v>7494</v>
      </c>
      <c r="B1552" s="2" t="s">
        <v>910</v>
      </c>
      <c r="C1552" s="2" t="s">
        <v>911</v>
      </c>
      <c r="D1552" s="2" t="s">
        <v>912</v>
      </c>
      <c r="E1552" s="2" t="s">
        <v>1139</v>
      </c>
      <c r="F1552" s="2" t="s">
        <v>7491</v>
      </c>
      <c r="G1552" s="2" t="s">
        <v>3311</v>
      </c>
      <c r="H1552" s="2" t="s">
        <v>7492</v>
      </c>
      <c r="I1552" s="2" t="s">
        <v>1884</v>
      </c>
      <c r="J1552" s="2" t="s">
        <v>918</v>
      </c>
      <c r="K1552" s="2" t="s">
        <v>645</v>
      </c>
      <c r="L1552" s="3">
        <v>26.19</v>
      </c>
      <c r="M1552" s="3">
        <v>27.5</v>
      </c>
      <c r="N1552" s="3">
        <v>54.99</v>
      </c>
      <c r="O1552" s="2" t="s">
        <v>245</v>
      </c>
      <c r="P1552" s="2" t="s">
        <v>238</v>
      </c>
      <c r="Q1552" s="2" t="s">
        <v>239</v>
      </c>
      <c r="R1552" s="2" t="s">
        <v>233</v>
      </c>
      <c r="S1552" s="2" t="s">
        <v>7493</v>
      </c>
      <c r="T1552" s="2" t="s">
        <v>1481</v>
      </c>
      <c r="U1552" s="2" t="s">
        <v>491</v>
      </c>
      <c r="V1552" s="2" t="s">
        <v>241</v>
      </c>
      <c r="W1552" s="2" t="s">
        <v>397</v>
      </c>
      <c r="X1552" s="2" t="s">
        <v>275</v>
      </c>
      <c r="Y1552" s="2" t="s">
        <v>233</v>
      </c>
      <c r="Z1552" s="4"/>
      <c r="AA1552" s="4">
        <f>=ROUNDDOWN({0},0)</f>
      </c>
      <c r="AB1552" s="5"/>
      <c r="AC1552" s="2" t="s">
        <v>1947</v>
      </c>
      <c r="AD1552" s="4">
        <v>35</v>
      </c>
      <c r="AE1552" s="4">
        <v>70</v>
      </c>
      <c r="AF1552" s="6">
        <v>66</v>
      </c>
      <c r="AG1552" s="6"/>
      <c r="AH1552" s="7">
        <v>0</v>
      </c>
      <c r="AI1552" s="4"/>
      <c r="AJ1552" s="4">
        <f>=ROUNDDOWN({0},0)</f>
      </c>
      <c r="AK1552" s="5"/>
      <c r="AL1552" s="2" t="s">
        <v>233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233</v>
      </c>
      <c r="AW1552" s="8" t="s">
        <v>233</v>
      </c>
      <c r="AX1552" s="4" t="s">
        <v>233</v>
      </c>
      <c r="AY1552" s="8" t="s">
        <v>233</v>
      </c>
      <c r="AZ1552" s="7" t="s">
        <v>233</v>
      </c>
      <c r="BA1552" s="7" t="s">
        <v>233</v>
      </c>
      <c r="BB1552" s="7" t="s">
        <v>233</v>
      </c>
      <c r="BC1552" s="4" t="s">
        <v>233</v>
      </c>
      <c r="BD1552" s="8" t="s">
        <v>233</v>
      </c>
      <c r="BE1552" s="4" t="s">
        <v>233</v>
      </c>
      <c r="BF1552" s="8" t="s">
        <v>233</v>
      </c>
      <c r="BG1552" s="7" t="s">
        <v>233</v>
      </c>
      <c r="BH1552" s="7" t="s">
        <v>233</v>
      </c>
      <c r="BI1552" s="7"/>
      <c r="BJ1552" s="4"/>
      <c r="BK1552" s="8"/>
      <c r="BL1552" s="2" t="s">
        <v>233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243</v>
      </c>
      <c r="BV1552" s="2" t="s">
        <v>233</v>
      </c>
      <c r="BW1552" s="2" t="s">
        <v>233</v>
      </c>
      <c r="BX1552" s="2" t="s">
        <v>243</v>
      </c>
      <c r="BY1552" s="2" t="s">
        <v>244</v>
      </c>
      <c r="BZ1552" s="2" t="s">
        <v>245</v>
      </c>
      <c r="CA1552" s="2" t="s">
        <v>233</v>
      </c>
      <c r="CB1552" s="2" t="s">
        <v>233</v>
      </c>
      <c r="CC1552" s="2" t="s">
        <v>246</v>
      </c>
      <c r="CD1552" s="2" t="s">
        <v>233</v>
      </c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>
        <v>35</v>
      </c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>
        <v>35</v>
      </c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  <c r="HM1552" s="4"/>
      <c r="HN1552" s="4"/>
      <c r="HO1552" s="4"/>
      <c r="HP1552" s="4"/>
      <c r="HQ1552" s="4"/>
      <c r="HR1552" s="4"/>
    </row>
    <row r="1553">
      <c r="A1553" s="2" t="s">
        <v>7495</v>
      </c>
      <c r="B1553" s="2" t="s">
        <v>910</v>
      </c>
      <c r="C1553" s="2" t="s">
        <v>911</v>
      </c>
      <c r="D1553" s="2" t="s">
        <v>969</v>
      </c>
      <c r="E1553" s="2" t="s">
        <v>970</v>
      </c>
      <c r="F1553" s="2" t="s">
        <v>7491</v>
      </c>
      <c r="G1553" s="2" t="s">
        <v>3311</v>
      </c>
      <c r="H1553" s="2" t="s">
        <v>7492</v>
      </c>
      <c r="I1553" s="2" t="s">
        <v>1876</v>
      </c>
      <c r="J1553" s="2" t="s">
        <v>981</v>
      </c>
      <c r="K1553" s="2" t="s">
        <v>645</v>
      </c>
      <c r="L1553" s="3">
        <v>38.09</v>
      </c>
      <c r="M1553" s="3">
        <v>40</v>
      </c>
      <c r="N1553" s="3">
        <v>79.99</v>
      </c>
      <c r="O1553" s="2" t="s">
        <v>245</v>
      </c>
      <c r="P1553" s="2" t="s">
        <v>272</v>
      </c>
      <c r="Q1553" s="2" t="s">
        <v>239</v>
      </c>
      <c r="R1553" s="2" t="s">
        <v>233</v>
      </c>
      <c r="S1553" s="2" t="s">
        <v>7493</v>
      </c>
      <c r="T1553" s="2" t="s">
        <v>1481</v>
      </c>
      <c r="U1553" s="2" t="s">
        <v>475</v>
      </c>
      <c r="V1553" s="2" t="s">
        <v>241</v>
      </c>
      <c r="W1553" s="2" t="s">
        <v>397</v>
      </c>
      <c r="X1553" s="2" t="s">
        <v>275</v>
      </c>
      <c r="Y1553" s="2" t="s">
        <v>233</v>
      </c>
      <c r="Z1553" s="4"/>
      <c r="AA1553" s="4">
        <f>=ROUNDDOWN({0},0)</f>
      </c>
      <c r="AB1553" s="5"/>
      <c r="AC1553" s="2" t="s">
        <v>1947</v>
      </c>
      <c r="AD1553" s="4">
        <v>160</v>
      </c>
      <c r="AE1553" s="4">
        <v>320</v>
      </c>
      <c r="AF1553" s="6">
        <v>66</v>
      </c>
      <c r="AG1553" s="6"/>
      <c r="AH1553" s="7">
        <v>0</v>
      </c>
      <c r="AI1553" s="4"/>
      <c r="AJ1553" s="4">
        <f>=ROUNDDOWN({0},0)</f>
      </c>
      <c r="AK1553" s="5"/>
      <c r="AL1553" s="2" t="s">
        <v>233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233</v>
      </c>
      <c r="AW1553" s="8" t="s">
        <v>233</v>
      </c>
      <c r="AX1553" s="4" t="s">
        <v>233</v>
      </c>
      <c r="AY1553" s="8" t="s">
        <v>233</v>
      </c>
      <c r="AZ1553" s="7" t="s">
        <v>233</v>
      </c>
      <c r="BA1553" s="7" t="s">
        <v>233</v>
      </c>
      <c r="BB1553" s="7" t="s">
        <v>233</v>
      </c>
      <c r="BC1553" s="4" t="s">
        <v>233</v>
      </c>
      <c r="BD1553" s="8" t="s">
        <v>233</v>
      </c>
      <c r="BE1553" s="4" t="s">
        <v>233</v>
      </c>
      <c r="BF1553" s="8" t="s">
        <v>233</v>
      </c>
      <c r="BG1553" s="7" t="s">
        <v>233</v>
      </c>
      <c r="BH1553" s="7" t="s">
        <v>233</v>
      </c>
      <c r="BI1553" s="7"/>
      <c r="BJ1553" s="4"/>
      <c r="BK1553" s="8"/>
      <c r="BL1553" s="2" t="s">
        <v>233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243</v>
      </c>
      <c r="BV1553" s="2" t="s">
        <v>233</v>
      </c>
      <c r="BW1553" s="2" t="s">
        <v>233</v>
      </c>
      <c r="BX1553" s="2" t="s">
        <v>243</v>
      </c>
      <c r="BY1553" s="2" t="s">
        <v>244</v>
      </c>
      <c r="BZ1553" s="2" t="s">
        <v>245</v>
      </c>
      <c r="CA1553" s="2" t="s">
        <v>233</v>
      </c>
      <c r="CB1553" s="2" t="s">
        <v>233</v>
      </c>
      <c r="CC1553" s="2" t="s">
        <v>246</v>
      </c>
      <c r="CD1553" s="2" t="s">
        <v>233</v>
      </c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>
        <v>160</v>
      </c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>
        <v>160</v>
      </c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  <c r="HM1553" s="4"/>
      <c r="HN1553" s="4"/>
      <c r="HO1553" s="4"/>
      <c r="HP1553" s="4"/>
      <c r="HQ1553" s="4"/>
      <c r="HR1553" s="4"/>
    </row>
    <row r="1554">
      <c r="A1554" s="2" t="s">
        <v>7496</v>
      </c>
      <c r="B1554" s="2" t="s">
        <v>910</v>
      </c>
      <c r="C1554" s="2" t="s">
        <v>911</v>
      </c>
      <c r="D1554" s="2" t="s">
        <v>912</v>
      </c>
      <c r="E1554" s="2" t="s">
        <v>1139</v>
      </c>
      <c r="F1554" s="2" t="s">
        <v>7491</v>
      </c>
      <c r="G1554" s="2" t="s">
        <v>3311</v>
      </c>
      <c r="H1554" s="2" t="s">
        <v>7492</v>
      </c>
      <c r="I1554" s="2" t="s">
        <v>1884</v>
      </c>
      <c r="J1554" s="2" t="s">
        <v>981</v>
      </c>
      <c r="K1554" s="2" t="s">
        <v>645</v>
      </c>
      <c r="L1554" s="3">
        <v>30.95</v>
      </c>
      <c r="M1554" s="3">
        <v>32.5</v>
      </c>
      <c r="N1554" s="3">
        <v>64.99</v>
      </c>
      <c r="O1554" s="2" t="s">
        <v>245</v>
      </c>
      <c r="P1554" s="2" t="s">
        <v>238</v>
      </c>
      <c r="Q1554" s="2" t="s">
        <v>239</v>
      </c>
      <c r="R1554" s="2" t="s">
        <v>233</v>
      </c>
      <c r="S1554" s="2" t="s">
        <v>7493</v>
      </c>
      <c r="T1554" s="2" t="s">
        <v>1481</v>
      </c>
      <c r="U1554" s="2" t="s">
        <v>475</v>
      </c>
      <c r="V1554" s="2" t="s">
        <v>241</v>
      </c>
      <c r="W1554" s="2" t="s">
        <v>397</v>
      </c>
      <c r="X1554" s="2" t="s">
        <v>275</v>
      </c>
      <c r="Y1554" s="2" t="s">
        <v>233</v>
      </c>
      <c r="Z1554" s="4"/>
      <c r="AA1554" s="4">
        <f>=ROUNDDOWN({0},0)</f>
      </c>
      <c r="AB1554" s="5"/>
      <c r="AC1554" s="2" t="s">
        <v>1947</v>
      </c>
      <c r="AD1554" s="4">
        <v>65</v>
      </c>
      <c r="AE1554" s="4">
        <v>130</v>
      </c>
      <c r="AF1554" s="6">
        <v>66</v>
      </c>
      <c r="AG1554" s="6"/>
      <c r="AH1554" s="7">
        <v>0</v>
      </c>
      <c r="AI1554" s="4"/>
      <c r="AJ1554" s="4">
        <f>=ROUNDDOWN({0},0)</f>
      </c>
      <c r="AK1554" s="5"/>
      <c r="AL1554" s="2" t="s">
        <v>233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233</v>
      </c>
      <c r="AW1554" s="8" t="s">
        <v>233</v>
      </c>
      <c r="AX1554" s="4" t="s">
        <v>233</v>
      </c>
      <c r="AY1554" s="8" t="s">
        <v>233</v>
      </c>
      <c r="AZ1554" s="7" t="s">
        <v>233</v>
      </c>
      <c r="BA1554" s="7" t="s">
        <v>233</v>
      </c>
      <c r="BB1554" s="7" t="s">
        <v>233</v>
      </c>
      <c r="BC1554" s="4" t="s">
        <v>233</v>
      </c>
      <c r="BD1554" s="8" t="s">
        <v>233</v>
      </c>
      <c r="BE1554" s="4" t="s">
        <v>233</v>
      </c>
      <c r="BF1554" s="8" t="s">
        <v>233</v>
      </c>
      <c r="BG1554" s="7" t="s">
        <v>233</v>
      </c>
      <c r="BH1554" s="7" t="s">
        <v>233</v>
      </c>
      <c r="BI1554" s="7"/>
      <c r="BJ1554" s="4"/>
      <c r="BK1554" s="8"/>
      <c r="BL1554" s="2" t="s">
        <v>233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243</v>
      </c>
      <c r="BV1554" s="2" t="s">
        <v>233</v>
      </c>
      <c r="BW1554" s="2" t="s">
        <v>233</v>
      </c>
      <c r="BX1554" s="2" t="s">
        <v>243</v>
      </c>
      <c r="BY1554" s="2" t="s">
        <v>244</v>
      </c>
      <c r="BZ1554" s="2" t="s">
        <v>245</v>
      </c>
      <c r="CA1554" s="2" t="s">
        <v>233</v>
      </c>
      <c r="CB1554" s="2" t="s">
        <v>233</v>
      </c>
      <c r="CC1554" s="2" t="s">
        <v>246</v>
      </c>
      <c r="CD1554" s="2" t="s">
        <v>233</v>
      </c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>
        <v>65</v>
      </c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>
        <v>65</v>
      </c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  <c r="HM1554" s="4"/>
      <c r="HN1554" s="4"/>
      <c r="HO1554" s="4"/>
      <c r="HP1554" s="4"/>
      <c r="HQ1554" s="4"/>
      <c r="HR1554" s="4"/>
    </row>
    <row r="1555">
      <c r="A1555" s="2" t="s">
        <v>7497</v>
      </c>
      <c r="B1555" s="2" t="s">
        <v>910</v>
      </c>
      <c r="C1555" s="2" t="s">
        <v>911</v>
      </c>
      <c r="D1555" s="2" t="s">
        <v>969</v>
      </c>
      <c r="E1555" s="2" t="s">
        <v>970</v>
      </c>
      <c r="F1555" s="2" t="s">
        <v>7491</v>
      </c>
      <c r="G1555" s="2" t="s">
        <v>3311</v>
      </c>
      <c r="H1555" s="2" t="s">
        <v>7492</v>
      </c>
      <c r="I1555" s="2" t="s">
        <v>1876</v>
      </c>
      <c r="J1555" s="2" t="s">
        <v>1142</v>
      </c>
      <c r="K1555" s="2" t="s">
        <v>645</v>
      </c>
      <c r="L1555" s="3">
        <v>42.85</v>
      </c>
      <c r="M1555" s="3">
        <v>44.99</v>
      </c>
      <c r="N1555" s="3">
        <v>89.99</v>
      </c>
      <c r="O1555" s="2" t="s">
        <v>245</v>
      </c>
      <c r="P1555" s="2" t="s">
        <v>272</v>
      </c>
      <c r="Q1555" s="2" t="s">
        <v>239</v>
      </c>
      <c r="R1555" s="2" t="s">
        <v>233</v>
      </c>
      <c r="S1555" s="2" t="s">
        <v>7493</v>
      </c>
      <c r="T1555" s="2" t="s">
        <v>1481</v>
      </c>
      <c r="U1555" s="2" t="s">
        <v>475</v>
      </c>
      <c r="V1555" s="2" t="s">
        <v>241</v>
      </c>
      <c r="W1555" s="2" t="s">
        <v>397</v>
      </c>
      <c r="X1555" s="2" t="s">
        <v>275</v>
      </c>
      <c r="Y1555" s="2" t="s">
        <v>233</v>
      </c>
      <c r="Z1555" s="4"/>
      <c r="AA1555" s="4">
        <f>=ROUNDDOWN({0},0)</f>
      </c>
      <c r="AB1555" s="5"/>
      <c r="AC1555" s="2" t="s">
        <v>1947</v>
      </c>
      <c r="AD1555" s="4">
        <v>90</v>
      </c>
      <c r="AE1555" s="4">
        <v>180</v>
      </c>
      <c r="AF1555" s="6">
        <v>66</v>
      </c>
      <c r="AG1555" s="6"/>
      <c r="AH1555" s="7">
        <v>0</v>
      </c>
      <c r="AI1555" s="4"/>
      <c r="AJ1555" s="4">
        <f>=ROUNDDOWN({0},0)</f>
      </c>
      <c r="AK1555" s="5"/>
      <c r="AL1555" s="2" t="s">
        <v>233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233</v>
      </c>
      <c r="AW1555" s="8" t="s">
        <v>233</v>
      </c>
      <c r="AX1555" s="4" t="s">
        <v>233</v>
      </c>
      <c r="AY1555" s="8" t="s">
        <v>233</v>
      </c>
      <c r="AZ1555" s="7" t="s">
        <v>233</v>
      </c>
      <c r="BA1555" s="7" t="s">
        <v>233</v>
      </c>
      <c r="BB1555" s="7"/>
      <c r="BC1555" s="4" t="s">
        <v>233</v>
      </c>
      <c r="BD1555" s="8" t="s">
        <v>233</v>
      </c>
      <c r="BE1555" s="4" t="s">
        <v>233</v>
      </c>
      <c r="BF1555" s="8" t="s">
        <v>233</v>
      </c>
      <c r="BG1555" s="7" t="s">
        <v>233</v>
      </c>
      <c r="BH1555" s="7" t="s">
        <v>233</v>
      </c>
      <c r="BI1555" s="7"/>
      <c r="BJ1555" s="4"/>
      <c r="BK1555" s="8"/>
      <c r="BL1555" s="2" t="s">
        <v>233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243</v>
      </c>
      <c r="BV1555" s="2" t="s">
        <v>233</v>
      </c>
      <c r="BW1555" s="2" t="s">
        <v>233</v>
      </c>
      <c r="BX1555" s="2" t="s">
        <v>243</v>
      </c>
      <c r="BY1555" s="2" t="s">
        <v>244</v>
      </c>
      <c r="BZ1555" s="2" t="s">
        <v>245</v>
      </c>
      <c r="CA1555" s="2" t="s">
        <v>233</v>
      </c>
      <c r="CB1555" s="2" t="s">
        <v>233</v>
      </c>
      <c r="CC1555" s="2" t="s">
        <v>246</v>
      </c>
      <c r="CD1555" s="2" t="s">
        <v>233</v>
      </c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>
        <v>90</v>
      </c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>
        <v>90</v>
      </c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  <c r="HM1555" s="4"/>
      <c r="HN1555" s="4"/>
      <c r="HO1555" s="4"/>
      <c r="HP1555" s="4"/>
      <c r="HQ1555" s="4"/>
      <c r="HR1555" s="4"/>
    </row>
    <row r="1556">
      <c r="A1556" s="2" t="s">
        <v>7498</v>
      </c>
      <c r="B1556" s="2" t="s">
        <v>910</v>
      </c>
      <c r="C1556" s="2" t="s">
        <v>911</v>
      </c>
      <c r="D1556" s="2" t="s">
        <v>969</v>
      </c>
      <c r="E1556" s="2" t="s">
        <v>970</v>
      </c>
      <c r="F1556" s="2" t="s">
        <v>7491</v>
      </c>
      <c r="G1556" s="2" t="s">
        <v>3311</v>
      </c>
      <c r="H1556" s="2" t="s">
        <v>7492</v>
      </c>
      <c r="I1556" s="2" t="s">
        <v>1876</v>
      </c>
      <c r="J1556" s="2" t="s">
        <v>918</v>
      </c>
      <c r="K1556" s="2" t="s">
        <v>271</v>
      </c>
      <c r="L1556" s="3">
        <v>33.33</v>
      </c>
      <c r="M1556" s="3">
        <v>35</v>
      </c>
      <c r="N1556" s="3">
        <v>69.99</v>
      </c>
      <c r="O1556" s="2" t="s">
        <v>245</v>
      </c>
      <c r="P1556" s="2" t="s">
        <v>272</v>
      </c>
      <c r="Q1556" s="2" t="s">
        <v>239</v>
      </c>
      <c r="R1556" s="2" t="s">
        <v>233</v>
      </c>
      <c r="S1556" s="2" t="s">
        <v>7499</v>
      </c>
      <c r="T1556" s="2" t="s">
        <v>1481</v>
      </c>
      <c r="U1556" s="2" t="s">
        <v>491</v>
      </c>
      <c r="V1556" s="2" t="s">
        <v>241</v>
      </c>
      <c r="W1556" s="2" t="s">
        <v>397</v>
      </c>
      <c r="X1556" s="2" t="s">
        <v>275</v>
      </c>
      <c r="Y1556" s="2" t="s">
        <v>233</v>
      </c>
      <c r="Z1556" s="4"/>
      <c r="AA1556" s="4">
        <f>=ROUNDDOWN({0},0)</f>
      </c>
      <c r="AB1556" s="5"/>
      <c r="AC1556" s="2" t="s">
        <v>1947</v>
      </c>
      <c r="AD1556" s="4">
        <v>145</v>
      </c>
      <c r="AE1556" s="4">
        <v>290</v>
      </c>
      <c r="AF1556" s="6">
        <v>66</v>
      </c>
      <c r="AG1556" s="6"/>
      <c r="AH1556" s="7">
        <v>0</v>
      </c>
      <c r="AI1556" s="4"/>
      <c r="AJ1556" s="4">
        <f>=ROUNDDOWN({0},0)</f>
      </c>
      <c r="AK1556" s="5"/>
      <c r="AL1556" s="2" t="s">
        <v>233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233</v>
      </c>
      <c r="AW1556" s="8" t="s">
        <v>233</v>
      </c>
      <c r="AX1556" s="4" t="s">
        <v>233</v>
      </c>
      <c r="AY1556" s="8" t="s">
        <v>233</v>
      </c>
      <c r="AZ1556" s="7" t="s">
        <v>233</v>
      </c>
      <c r="BA1556" s="7" t="s">
        <v>233</v>
      </c>
      <c r="BB1556" s="7" t="s">
        <v>233</v>
      </c>
      <c r="BC1556" s="4" t="s">
        <v>233</v>
      </c>
      <c r="BD1556" s="8" t="s">
        <v>233</v>
      </c>
      <c r="BE1556" s="4" t="s">
        <v>233</v>
      </c>
      <c r="BF1556" s="8" t="s">
        <v>233</v>
      </c>
      <c r="BG1556" s="7" t="s">
        <v>233</v>
      </c>
      <c r="BH1556" s="7" t="s">
        <v>233</v>
      </c>
      <c r="BI1556" s="7"/>
      <c r="BJ1556" s="4"/>
      <c r="BK1556" s="8"/>
      <c r="BL1556" s="2" t="s">
        <v>233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243</v>
      </c>
      <c r="BV1556" s="2" t="s">
        <v>233</v>
      </c>
      <c r="BW1556" s="2" t="s">
        <v>233</v>
      </c>
      <c r="BX1556" s="2" t="s">
        <v>243</v>
      </c>
      <c r="BY1556" s="2" t="s">
        <v>244</v>
      </c>
      <c r="BZ1556" s="2" t="s">
        <v>245</v>
      </c>
      <c r="CA1556" s="2" t="s">
        <v>233</v>
      </c>
      <c r="CB1556" s="2" t="s">
        <v>233</v>
      </c>
      <c r="CC1556" s="2" t="s">
        <v>246</v>
      </c>
      <c r="CD1556" s="2" t="s">
        <v>233</v>
      </c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>
        <v>145</v>
      </c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>
        <v>145</v>
      </c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  <c r="HM1556" s="4"/>
      <c r="HN1556" s="4"/>
      <c r="HO1556" s="4"/>
      <c r="HP1556" s="4"/>
      <c r="HQ1556" s="4"/>
      <c r="HR1556" s="4"/>
    </row>
    <row r="1557">
      <c r="A1557" s="2" t="s">
        <v>7500</v>
      </c>
      <c r="B1557" s="2" t="s">
        <v>910</v>
      </c>
      <c r="C1557" s="2" t="s">
        <v>911</v>
      </c>
      <c r="D1557" s="2" t="s">
        <v>912</v>
      </c>
      <c r="E1557" s="2" t="s">
        <v>1139</v>
      </c>
      <c r="F1557" s="2" t="s">
        <v>7491</v>
      </c>
      <c r="G1557" s="2" t="s">
        <v>3311</v>
      </c>
      <c r="H1557" s="2" t="s">
        <v>7492</v>
      </c>
      <c r="I1557" s="2" t="s">
        <v>1884</v>
      </c>
      <c r="J1557" s="2" t="s">
        <v>918</v>
      </c>
      <c r="K1557" s="2" t="s">
        <v>271</v>
      </c>
      <c r="L1557" s="3">
        <v>26.19</v>
      </c>
      <c r="M1557" s="3">
        <v>27.5</v>
      </c>
      <c r="N1557" s="3">
        <v>54.99</v>
      </c>
      <c r="O1557" s="2" t="s">
        <v>245</v>
      </c>
      <c r="P1557" s="2" t="s">
        <v>238</v>
      </c>
      <c r="Q1557" s="2" t="s">
        <v>239</v>
      </c>
      <c r="R1557" s="2" t="s">
        <v>233</v>
      </c>
      <c r="S1557" s="2" t="s">
        <v>7499</v>
      </c>
      <c r="T1557" s="2" t="s">
        <v>1481</v>
      </c>
      <c r="U1557" s="2" t="s">
        <v>491</v>
      </c>
      <c r="V1557" s="2" t="s">
        <v>241</v>
      </c>
      <c r="W1557" s="2" t="s">
        <v>397</v>
      </c>
      <c r="X1557" s="2" t="s">
        <v>275</v>
      </c>
      <c r="Y1557" s="2" t="s">
        <v>233</v>
      </c>
      <c r="Z1557" s="4"/>
      <c r="AA1557" s="4">
        <f>=ROUNDDOWN({0},0)</f>
      </c>
      <c r="AB1557" s="5"/>
      <c r="AC1557" s="2" t="s">
        <v>1947</v>
      </c>
      <c r="AD1557" s="4">
        <v>45</v>
      </c>
      <c r="AE1557" s="4">
        <v>90</v>
      </c>
      <c r="AF1557" s="6">
        <v>66</v>
      </c>
      <c r="AG1557" s="6"/>
      <c r="AH1557" s="7">
        <v>0</v>
      </c>
      <c r="AI1557" s="4"/>
      <c r="AJ1557" s="4">
        <f>=ROUNDDOWN({0},0)</f>
      </c>
      <c r="AK1557" s="5"/>
      <c r="AL1557" s="2" t="s">
        <v>233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233</v>
      </c>
      <c r="AW1557" s="8" t="s">
        <v>233</v>
      </c>
      <c r="AX1557" s="4" t="s">
        <v>233</v>
      </c>
      <c r="AY1557" s="8" t="s">
        <v>233</v>
      </c>
      <c r="AZ1557" s="7" t="s">
        <v>233</v>
      </c>
      <c r="BA1557" s="7" t="s">
        <v>233</v>
      </c>
      <c r="BB1557" s="7" t="s">
        <v>233</v>
      </c>
      <c r="BC1557" s="4" t="s">
        <v>233</v>
      </c>
      <c r="BD1557" s="8" t="s">
        <v>233</v>
      </c>
      <c r="BE1557" s="4" t="s">
        <v>233</v>
      </c>
      <c r="BF1557" s="8" t="s">
        <v>233</v>
      </c>
      <c r="BG1557" s="7" t="s">
        <v>233</v>
      </c>
      <c r="BH1557" s="7" t="s">
        <v>233</v>
      </c>
      <c r="BI1557" s="7"/>
      <c r="BJ1557" s="4"/>
      <c r="BK1557" s="8"/>
      <c r="BL1557" s="2" t="s">
        <v>233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243</v>
      </c>
      <c r="BV1557" s="2" t="s">
        <v>233</v>
      </c>
      <c r="BW1557" s="2" t="s">
        <v>233</v>
      </c>
      <c r="BX1557" s="2" t="s">
        <v>243</v>
      </c>
      <c r="BY1557" s="2" t="s">
        <v>244</v>
      </c>
      <c r="BZ1557" s="2" t="s">
        <v>245</v>
      </c>
      <c r="CA1557" s="2" t="s">
        <v>233</v>
      </c>
      <c r="CB1557" s="2" t="s">
        <v>233</v>
      </c>
      <c r="CC1557" s="2" t="s">
        <v>246</v>
      </c>
      <c r="CD1557" s="2" t="s">
        <v>233</v>
      </c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>
        <v>45</v>
      </c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>
        <v>45</v>
      </c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  <c r="HM1557" s="4"/>
      <c r="HN1557" s="4"/>
      <c r="HO1557" s="4"/>
      <c r="HP1557" s="4"/>
      <c r="HQ1557" s="4"/>
      <c r="HR1557" s="4"/>
    </row>
    <row r="1558">
      <c r="A1558" s="2" t="s">
        <v>7501</v>
      </c>
      <c r="B1558" s="2" t="s">
        <v>910</v>
      </c>
      <c r="C1558" s="2" t="s">
        <v>911</v>
      </c>
      <c r="D1558" s="2" t="s">
        <v>969</v>
      </c>
      <c r="E1558" s="2" t="s">
        <v>970</v>
      </c>
      <c r="F1558" s="2" t="s">
        <v>7491</v>
      </c>
      <c r="G1558" s="2" t="s">
        <v>3311</v>
      </c>
      <c r="H1558" s="2" t="s">
        <v>7492</v>
      </c>
      <c r="I1558" s="2" t="s">
        <v>1876</v>
      </c>
      <c r="J1558" s="2" t="s">
        <v>981</v>
      </c>
      <c r="K1558" s="2" t="s">
        <v>271</v>
      </c>
      <c r="L1558" s="3">
        <v>38.09</v>
      </c>
      <c r="M1558" s="3">
        <v>40</v>
      </c>
      <c r="N1558" s="3">
        <v>79.99</v>
      </c>
      <c r="O1558" s="2" t="s">
        <v>245</v>
      </c>
      <c r="P1558" s="2" t="s">
        <v>272</v>
      </c>
      <c r="Q1558" s="2" t="s">
        <v>239</v>
      </c>
      <c r="R1558" s="2" t="s">
        <v>233</v>
      </c>
      <c r="S1558" s="2" t="s">
        <v>7499</v>
      </c>
      <c r="T1558" s="2" t="s">
        <v>1481</v>
      </c>
      <c r="U1558" s="2" t="s">
        <v>475</v>
      </c>
      <c r="V1558" s="2" t="s">
        <v>241</v>
      </c>
      <c r="W1558" s="2" t="s">
        <v>397</v>
      </c>
      <c r="X1558" s="2" t="s">
        <v>275</v>
      </c>
      <c r="Y1558" s="2" t="s">
        <v>233</v>
      </c>
      <c r="Z1558" s="4"/>
      <c r="AA1558" s="4">
        <f>=ROUNDDOWN({0},0)</f>
      </c>
      <c r="AB1558" s="5"/>
      <c r="AC1558" s="2" t="s">
        <v>1947</v>
      </c>
      <c r="AD1558" s="4">
        <v>150</v>
      </c>
      <c r="AE1558" s="4">
        <v>300</v>
      </c>
      <c r="AF1558" s="6">
        <v>66</v>
      </c>
      <c r="AG1558" s="6"/>
      <c r="AH1558" s="7">
        <v>0</v>
      </c>
      <c r="AI1558" s="4"/>
      <c r="AJ1558" s="4">
        <f>=ROUNDDOWN({0},0)</f>
      </c>
      <c r="AK1558" s="5"/>
      <c r="AL1558" s="2" t="s">
        <v>233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233</v>
      </c>
      <c r="AW1558" s="8" t="s">
        <v>233</v>
      </c>
      <c r="AX1558" s="4" t="s">
        <v>233</v>
      </c>
      <c r="AY1558" s="8" t="s">
        <v>233</v>
      </c>
      <c r="AZ1558" s="7" t="s">
        <v>233</v>
      </c>
      <c r="BA1558" s="7" t="s">
        <v>233</v>
      </c>
      <c r="BB1558" s="7" t="s">
        <v>233</v>
      </c>
      <c r="BC1558" s="4" t="s">
        <v>233</v>
      </c>
      <c r="BD1558" s="8" t="s">
        <v>233</v>
      </c>
      <c r="BE1558" s="4" t="s">
        <v>233</v>
      </c>
      <c r="BF1558" s="8" t="s">
        <v>233</v>
      </c>
      <c r="BG1558" s="7" t="s">
        <v>233</v>
      </c>
      <c r="BH1558" s="7" t="s">
        <v>233</v>
      </c>
      <c r="BI1558" s="7"/>
      <c r="BJ1558" s="4"/>
      <c r="BK1558" s="8"/>
      <c r="BL1558" s="2" t="s">
        <v>233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243</v>
      </c>
      <c r="BV1558" s="2" t="s">
        <v>233</v>
      </c>
      <c r="BW1558" s="2" t="s">
        <v>233</v>
      </c>
      <c r="BX1558" s="2" t="s">
        <v>243</v>
      </c>
      <c r="BY1558" s="2" t="s">
        <v>244</v>
      </c>
      <c r="BZ1558" s="2" t="s">
        <v>245</v>
      </c>
      <c r="CA1558" s="2" t="s">
        <v>233</v>
      </c>
      <c r="CB1558" s="2" t="s">
        <v>233</v>
      </c>
      <c r="CC1558" s="2" t="s">
        <v>246</v>
      </c>
      <c r="CD1558" s="2" t="s">
        <v>233</v>
      </c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>
        <v>150</v>
      </c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>
        <v>150</v>
      </c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  <c r="HM1558" s="4"/>
      <c r="HN1558" s="4"/>
      <c r="HO1558" s="4"/>
      <c r="HP1558" s="4"/>
      <c r="HQ1558" s="4"/>
      <c r="HR1558" s="4"/>
    </row>
    <row r="1559">
      <c r="A1559" s="2" t="s">
        <v>7502</v>
      </c>
      <c r="B1559" s="2" t="s">
        <v>910</v>
      </c>
      <c r="C1559" s="2" t="s">
        <v>911</v>
      </c>
      <c r="D1559" s="2" t="s">
        <v>912</v>
      </c>
      <c r="E1559" s="2" t="s">
        <v>1139</v>
      </c>
      <c r="F1559" s="2" t="s">
        <v>7491</v>
      </c>
      <c r="G1559" s="2" t="s">
        <v>3311</v>
      </c>
      <c r="H1559" s="2" t="s">
        <v>7492</v>
      </c>
      <c r="I1559" s="2" t="s">
        <v>1884</v>
      </c>
      <c r="J1559" s="2" t="s">
        <v>981</v>
      </c>
      <c r="K1559" s="2" t="s">
        <v>271</v>
      </c>
      <c r="L1559" s="3">
        <v>30.95</v>
      </c>
      <c r="M1559" s="3">
        <v>32.5</v>
      </c>
      <c r="N1559" s="3">
        <v>64.99</v>
      </c>
      <c r="O1559" s="2" t="s">
        <v>245</v>
      </c>
      <c r="P1559" s="2" t="s">
        <v>238</v>
      </c>
      <c r="Q1559" s="2" t="s">
        <v>239</v>
      </c>
      <c r="R1559" s="2" t="s">
        <v>233</v>
      </c>
      <c r="S1559" s="2" t="s">
        <v>7499</v>
      </c>
      <c r="T1559" s="2" t="s">
        <v>1481</v>
      </c>
      <c r="U1559" s="2" t="s">
        <v>475</v>
      </c>
      <c r="V1559" s="2" t="s">
        <v>241</v>
      </c>
      <c r="W1559" s="2" t="s">
        <v>397</v>
      </c>
      <c r="X1559" s="2" t="s">
        <v>275</v>
      </c>
      <c r="Y1559" s="2" t="s">
        <v>233</v>
      </c>
      <c r="Z1559" s="4"/>
      <c r="AA1559" s="4">
        <f>=ROUNDDOWN({0},0)</f>
      </c>
      <c r="AB1559" s="5"/>
      <c r="AC1559" s="2" t="s">
        <v>1947</v>
      </c>
      <c r="AD1559" s="4">
        <v>75</v>
      </c>
      <c r="AE1559" s="4">
        <v>150</v>
      </c>
      <c r="AF1559" s="6">
        <v>66</v>
      </c>
      <c r="AG1559" s="6"/>
      <c r="AH1559" s="7">
        <v>0</v>
      </c>
      <c r="AI1559" s="4"/>
      <c r="AJ1559" s="4">
        <f>=ROUNDDOWN({0},0)</f>
      </c>
      <c r="AK1559" s="5"/>
      <c r="AL1559" s="2" t="s">
        <v>233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233</v>
      </c>
      <c r="AW1559" s="8" t="s">
        <v>233</v>
      </c>
      <c r="AX1559" s="4" t="s">
        <v>233</v>
      </c>
      <c r="AY1559" s="8" t="s">
        <v>233</v>
      </c>
      <c r="AZ1559" s="7" t="s">
        <v>233</v>
      </c>
      <c r="BA1559" s="7" t="s">
        <v>233</v>
      </c>
      <c r="BB1559" s="7" t="s">
        <v>233</v>
      </c>
      <c r="BC1559" s="4" t="s">
        <v>233</v>
      </c>
      <c r="BD1559" s="8" t="s">
        <v>233</v>
      </c>
      <c r="BE1559" s="4" t="s">
        <v>233</v>
      </c>
      <c r="BF1559" s="8" t="s">
        <v>233</v>
      </c>
      <c r="BG1559" s="7" t="s">
        <v>233</v>
      </c>
      <c r="BH1559" s="7" t="s">
        <v>233</v>
      </c>
      <c r="BI1559" s="7"/>
      <c r="BJ1559" s="4"/>
      <c r="BK1559" s="8"/>
      <c r="BL1559" s="2" t="s">
        <v>233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243</v>
      </c>
      <c r="BV1559" s="2" t="s">
        <v>233</v>
      </c>
      <c r="BW1559" s="2" t="s">
        <v>233</v>
      </c>
      <c r="BX1559" s="2" t="s">
        <v>243</v>
      </c>
      <c r="BY1559" s="2" t="s">
        <v>244</v>
      </c>
      <c r="BZ1559" s="2" t="s">
        <v>245</v>
      </c>
      <c r="CA1559" s="2" t="s">
        <v>233</v>
      </c>
      <c r="CB1559" s="2" t="s">
        <v>233</v>
      </c>
      <c r="CC1559" s="2" t="s">
        <v>246</v>
      </c>
      <c r="CD1559" s="2" t="s">
        <v>233</v>
      </c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>
        <v>75</v>
      </c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>
        <v>75</v>
      </c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  <c r="HM1559" s="4"/>
      <c r="HN1559" s="4"/>
      <c r="HO1559" s="4"/>
      <c r="HP1559" s="4"/>
      <c r="HQ1559" s="4"/>
      <c r="HR1559" s="4"/>
    </row>
    <row r="1560">
      <c r="A1560" s="2" t="s">
        <v>7503</v>
      </c>
      <c r="B1560" s="2" t="s">
        <v>910</v>
      </c>
      <c r="C1560" s="2" t="s">
        <v>911</v>
      </c>
      <c r="D1560" s="2" t="s">
        <v>969</v>
      </c>
      <c r="E1560" s="2" t="s">
        <v>970</v>
      </c>
      <c r="F1560" s="2" t="s">
        <v>7491</v>
      </c>
      <c r="G1560" s="2" t="s">
        <v>3311</v>
      </c>
      <c r="H1560" s="2" t="s">
        <v>7492</v>
      </c>
      <c r="I1560" s="2" t="s">
        <v>1876</v>
      </c>
      <c r="J1560" s="2" t="s">
        <v>1142</v>
      </c>
      <c r="K1560" s="2" t="s">
        <v>271</v>
      </c>
      <c r="L1560" s="3">
        <v>42.85</v>
      </c>
      <c r="M1560" s="3">
        <v>44.99</v>
      </c>
      <c r="N1560" s="3">
        <v>89.99</v>
      </c>
      <c r="O1560" s="2" t="s">
        <v>245</v>
      </c>
      <c r="P1560" s="2" t="s">
        <v>272</v>
      </c>
      <c r="Q1560" s="2" t="s">
        <v>239</v>
      </c>
      <c r="R1560" s="2" t="s">
        <v>233</v>
      </c>
      <c r="S1560" s="2" t="s">
        <v>7499</v>
      </c>
      <c r="T1560" s="2" t="s">
        <v>1481</v>
      </c>
      <c r="U1560" s="2" t="s">
        <v>475</v>
      </c>
      <c r="V1560" s="2" t="s">
        <v>241</v>
      </c>
      <c r="W1560" s="2" t="s">
        <v>397</v>
      </c>
      <c r="X1560" s="2" t="s">
        <v>275</v>
      </c>
      <c r="Y1560" s="2" t="s">
        <v>233</v>
      </c>
      <c r="Z1560" s="4"/>
      <c r="AA1560" s="4">
        <f>=ROUNDDOWN({0},0)</f>
      </c>
      <c r="AB1560" s="5"/>
      <c r="AC1560" s="2" t="s">
        <v>1947</v>
      </c>
      <c r="AD1560" s="4">
        <v>85</v>
      </c>
      <c r="AE1560" s="4">
        <v>170</v>
      </c>
      <c r="AF1560" s="6">
        <v>66</v>
      </c>
      <c r="AG1560" s="6"/>
      <c r="AH1560" s="7">
        <v>0</v>
      </c>
      <c r="AI1560" s="4"/>
      <c r="AJ1560" s="4">
        <f>=ROUNDDOWN({0},0)</f>
      </c>
      <c r="AK1560" s="5"/>
      <c r="AL1560" s="2" t="s">
        <v>233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233</v>
      </c>
      <c r="AW1560" s="8" t="s">
        <v>233</v>
      </c>
      <c r="AX1560" s="4" t="s">
        <v>233</v>
      </c>
      <c r="AY1560" s="8" t="s">
        <v>233</v>
      </c>
      <c r="AZ1560" s="7" t="s">
        <v>233</v>
      </c>
      <c r="BA1560" s="7" t="s">
        <v>233</v>
      </c>
      <c r="BB1560" s="7"/>
      <c r="BC1560" s="4" t="s">
        <v>233</v>
      </c>
      <c r="BD1560" s="8" t="s">
        <v>233</v>
      </c>
      <c r="BE1560" s="4" t="s">
        <v>233</v>
      </c>
      <c r="BF1560" s="8" t="s">
        <v>233</v>
      </c>
      <c r="BG1560" s="7" t="s">
        <v>233</v>
      </c>
      <c r="BH1560" s="7" t="s">
        <v>233</v>
      </c>
      <c r="BI1560" s="7"/>
      <c r="BJ1560" s="4"/>
      <c r="BK1560" s="8"/>
      <c r="BL1560" s="2" t="s">
        <v>233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243</v>
      </c>
      <c r="BV1560" s="2" t="s">
        <v>233</v>
      </c>
      <c r="BW1560" s="2" t="s">
        <v>233</v>
      </c>
      <c r="BX1560" s="2" t="s">
        <v>243</v>
      </c>
      <c r="BY1560" s="2" t="s">
        <v>244</v>
      </c>
      <c r="BZ1560" s="2" t="s">
        <v>245</v>
      </c>
      <c r="CA1560" s="2" t="s">
        <v>233</v>
      </c>
      <c r="CB1560" s="2" t="s">
        <v>233</v>
      </c>
      <c r="CC1560" s="2" t="s">
        <v>246</v>
      </c>
      <c r="CD1560" s="2" t="s">
        <v>233</v>
      </c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>
        <v>85</v>
      </c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>
        <v>85</v>
      </c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  <c r="HM1560" s="4"/>
      <c r="HN1560" s="4"/>
      <c r="HO1560" s="4"/>
      <c r="HP1560" s="4"/>
      <c r="HQ1560" s="4"/>
      <c r="HR1560" s="4"/>
    </row>
    <row r="1561">
      <c r="A1561" s="2" t="s">
        <v>7504</v>
      </c>
      <c r="B1561" s="2" t="s">
        <v>910</v>
      </c>
      <c r="C1561" s="2" t="s">
        <v>911</v>
      </c>
      <c r="D1561" s="2" t="s">
        <v>912</v>
      </c>
      <c r="E1561" s="2" t="s">
        <v>1139</v>
      </c>
      <c r="F1561" s="2" t="s">
        <v>7491</v>
      </c>
      <c r="G1561" s="2" t="s">
        <v>3311</v>
      </c>
      <c r="H1561" s="2" t="s">
        <v>7492</v>
      </c>
      <c r="I1561" s="2" t="s">
        <v>1884</v>
      </c>
      <c r="J1561" s="2" t="s">
        <v>918</v>
      </c>
      <c r="K1561" s="2" t="s">
        <v>255</v>
      </c>
      <c r="L1561" s="3">
        <v>26.19</v>
      </c>
      <c r="M1561" s="3">
        <v>27.5</v>
      </c>
      <c r="N1561" s="3">
        <v>54.99</v>
      </c>
      <c r="O1561" s="2" t="s">
        <v>245</v>
      </c>
      <c r="P1561" s="2" t="s">
        <v>272</v>
      </c>
      <c r="Q1561" s="2" t="s">
        <v>239</v>
      </c>
      <c r="R1561" s="2" t="s">
        <v>233</v>
      </c>
      <c r="S1561" s="2" t="s">
        <v>7505</v>
      </c>
      <c r="T1561" s="2" t="s">
        <v>1481</v>
      </c>
      <c r="U1561" s="2" t="s">
        <v>491</v>
      </c>
      <c r="V1561" s="2" t="s">
        <v>241</v>
      </c>
      <c r="W1561" s="2" t="s">
        <v>397</v>
      </c>
      <c r="X1561" s="2" t="s">
        <v>275</v>
      </c>
      <c r="Y1561" s="2" t="s">
        <v>1582</v>
      </c>
      <c r="Z1561" s="4">
        <v>201</v>
      </c>
      <c r="AA1561" s="4">
        <f>=ROUNDDOWN(100.5,0)</f>
      </c>
      <c r="AB1561" s="5">
        <v>2</v>
      </c>
      <c r="AC1561" s="2" t="s">
        <v>233</v>
      </c>
      <c r="AD1561" s="4"/>
      <c r="AE1561" s="4"/>
      <c r="AF1561" s="6">
        <v>66</v>
      </c>
      <c r="AG1561" s="6"/>
      <c r="AH1561" s="7">
        <v>1</v>
      </c>
      <c r="AI1561" s="4"/>
      <c r="AJ1561" s="4">
        <f>=ROUNDDOWN({0},0)</f>
      </c>
      <c r="AK1561" s="5"/>
      <c r="AL1561" s="2" t="s">
        <v>233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233</v>
      </c>
      <c r="AW1561" s="8" t="s">
        <v>233</v>
      </c>
      <c r="AX1561" s="4" t="s">
        <v>233</v>
      </c>
      <c r="AY1561" s="8" t="s">
        <v>233</v>
      </c>
      <c r="AZ1561" s="7" t="s">
        <v>233</v>
      </c>
      <c r="BA1561" s="7" t="s">
        <v>233</v>
      </c>
      <c r="BB1561" s="7"/>
      <c r="BC1561" s="4" t="s">
        <v>233</v>
      </c>
      <c r="BD1561" s="8" t="s">
        <v>233</v>
      </c>
      <c r="BE1561" s="4" t="s">
        <v>233</v>
      </c>
      <c r="BF1561" s="8" t="s">
        <v>233</v>
      </c>
      <c r="BG1561" s="7" t="s">
        <v>233</v>
      </c>
      <c r="BH1561" s="7" t="s">
        <v>233</v>
      </c>
      <c r="BI1561" s="7"/>
      <c r="BJ1561" s="4">
        <v>1</v>
      </c>
      <c r="BK1561" s="8">
        <v>29.7</v>
      </c>
      <c r="BL1561" s="2" t="s">
        <v>469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7506</v>
      </c>
      <c r="BV1561" s="2" t="s">
        <v>233</v>
      </c>
      <c r="BW1561" s="2" t="s">
        <v>233</v>
      </c>
      <c r="BX1561" s="2" t="s">
        <v>243</v>
      </c>
      <c r="BY1561" s="2" t="s">
        <v>280</v>
      </c>
      <c r="BZ1561" s="2" t="s">
        <v>245</v>
      </c>
      <c r="CA1561" s="2" t="s">
        <v>6463</v>
      </c>
      <c r="CB1561" s="2" t="s">
        <v>233</v>
      </c>
      <c r="CC1561" s="2" t="s">
        <v>246</v>
      </c>
      <c r="CD1561" s="2" t="s">
        <v>233</v>
      </c>
      <c r="CE1561" s="4">
        <v>201</v>
      </c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  <c r="HM1561" s="4"/>
      <c r="HN1561" s="4"/>
      <c r="HO1561" s="4"/>
      <c r="HP1561" s="4"/>
      <c r="HQ1561" s="4"/>
      <c r="HR1561" s="4"/>
    </row>
    <row r="1562">
      <c r="A1562" s="2" t="s">
        <v>7507</v>
      </c>
      <c r="B1562" s="2" t="s">
        <v>910</v>
      </c>
      <c r="C1562" s="2" t="s">
        <v>911</v>
      </c>
      <c r="D1562" s="2" t="s">
        <v>969</v>
      </c>
      <c r="E1562" s="2" t="s">
        <v>970</v>
      </c>
      <c r="F1562" s="2" t="s">
        <v>7491</v>
      </c>
      <c r="G1562" s="2" t="s">
        <v>3311</v>
      </c>
      <c r="H1562" s="2" t="s">
        <v>7492</v>
      </c>
      <c r="I1562" s="2" t="s">
        <v>1876</v>
      </c>
      <c r="J1562" s="2" t="s">
        <v>981</v>
      </c>
      <c r="K1562" s="2" t="s">
        <v>255</v>
      </c>
      <c r="L1562" s="3">
        <v>38.09</v>
      </c>
      <c r="M1562" s="3">
        <v>40</v>
      </c>
      <c r="N1562" s="3">
        <v>79.99</v>
      </c>
      <c r="O1562" s="2" t="s">
        <v>245</v>
      </c>
      <c r="P1562" s="2" t="s">
        <v>272</v>
      </c>
      <c r="Q1562" s="2" t="s">
        <v>239</v>
      </c>
      <c r="R1562" s="2" t="s">
        <v>233</v>
      </c>
      <c r="S1562" s="2" t="s">
        <v>7505</v>
      </c>
      <c r="T1562" s="2" t="s">
        <v>1481</v>
      </c>
      <c r="U1562" s="2" t="s">
        <v>475</v>
      </c>
      <c r="V1562" s="2" t="s">
        <v>241</v>
      </c>
      <c r="W1562" s="2" t="s">
        <v>397</v>
      </c>
      <c r="X1562" s="2" t="s">
        <v>275</v>
      </c>
      <c r="Y1562" s="2" t="s">
        <v>1582</v>
      </c>
      <c r="Z1562" s="4">
        <v>645</v>
      </c>
      <c r="AA1562" s="4">
        <f>=ROUNDDOWN(80.625,0)</f>
      </c>
      <c r="AB1562" s="5">
        <v>8</v>
      </c>
      <c r="AC1562" s="2" t="s">
        <v>233</v>
      </c>
      <c r="AD1562" s="4"/>
      <c r="AE1562" s="4"/>
      <c r="AF1562" s="6">
        <v>66</v>
      </c>
      <c r="AG1562" s="6"/>
      <c r="AH1562" s="7">
        <v>1</v>
      </c>
      <c r="AI1562" s="4"/>
      <c r="AJ1562" s="4">
        <f>=ROUNDDOWN({0},0)</f>
      </c>
      <c r="AK1562" s="5"/>
      <c r="AL1562" s="2" t="s">
        <v>233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233</v>
      </c>
      <c r="AW1562" s="8" t="s">
        <v>233</v>
      </c>
      <c r="AX1562" s="4" t="s">
        <v>233</v>
      </c>
      <c r="AY1562" s="8" t="s">
        <v>233</v>
      </c>
      <c r="AZ1562" s="7" t="s">
        <v>233</v>
      </c>
      <c r="BA1562" s="7" t="s">
        <v>233</v>
      </c>
      <c r="BB1562" s="7" t="s">
        <v>233</v>
      </c>
      <c r="BC1562" s="4" t="s">
        <v>233</v>
      </c>
      <c r="BD1562" s="8" t="s">
        <v>233</v>
      </c>
      <c r="BE1562" s="4" t="s">
        <v>233</v>
      </c>
      <c r="BF1562" s="8" t="s">
        <v>233</v>
      </c>
      <c r="BG1562" s="7" t="s">
        <v>233</v>
      </c>
      <c r="BH1562" s="7" t="s">
        <v>233</v>
      </c>
      <c r="BI1562" s="7"/>
      <c r="BJ1562" s="4">
        <v>8</v>
      </c>
      <c r="BK1562" s="8">
        <v>341.13</v>
      </c>
      <c r="BL1562" s="2" t="s">
        <v>369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7508</v>
      </c>
      <c r="BV1562" s="2" t="s">
        <v>233</v>
      </c>
      <c r="BW1562" s="2" t="s">
        <v>233</v>
      </c>
      <c r="BX1562" s="2" t="s">
        <v>243</v>
      </c>
      <c r="BY1562" s="2" t="s">
        <v>280</v>
      </c>
      <c r="BZ1562" s="2" t="s">
        <v>245</v>
      </c>
      <c r="CA1562" s="2" t="s">
        <v>3042</v>
      </c>
      <c r="CB1562" s="2" t="s">
        <v>3479</v>
      </c>
      <c r="CC1562" s="2" t="s">
        <v>246</v>
      </c>
      <c r="CD1562" s="2" t="s">
        <v>233</v>
      </c>
      <c r="CE1562" s="4">
        <v>645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  <c r="HM1562" s="4"/>
      <c r="HN1562" s="4"/>
      <c r="HO1562" s="4"/>
      <c r="HP1562" s="4"/>
      <c r="HQ1562" s="4"/>
      <c r="HR1562" s="4"/>
    </row>
    <row r="1563">
      <c r="A1563" s="2" t="s">
        <v>7509</v>
      </c>
      <c r="B1563" s="2" t="s">
        <v>910</v>
      </c>
      <c r="C1563" s="2" t="s">
        <v>911</v>
      </c>
      <c r="D1563" s="2" t="s">
        <v>912</v>
      </c>
      <c r="E1563" s="2" t="s">
        <v>1139</v>
      </c>
      <c r="F1563" s="2" t="s">
        <v>7491</v>
      </c>
      <c r="G1563" s="2" t="s">
        <v>3311</v>
      </c>
      <c r="H1563" s="2" t="s">
        <v>7492</v>
      </c>
      <c r="I1563" s="2" t="s">
        <v>1884</v>
      </c>
      <c r="J1563" s="2" t="s">
        <v>981</v>
      </c>
      <c r="K1563" s="2" t="s">
        <v>255</v>
      </c>
      <c r="L1563" s="3">
        <v>30.95</v>
      </c>
      <c r="M1563" s="3">
        <v>32.5</v>
      </c>
      <c r="N1563" s="3">
        <v>64.99</v>
      </c>
      <c r="O1563" s="2" t="s">
        <v>245</v>
      </c>
      <c r="P1563" s="2" t="s">
        <v>272</v>
      </c>
      <c r="Q1563" s="2" t="s">
        <v>239</v>
      </c>
      <c r="R1563" s="2" t="s">
        <v>233</v>
      </c>
      <c r="S1563" s="2" t="s">
        <v>7505</v>
      </c>
      <c r="T1563" s="2" t="s">
        <v>1481</v>
      </c>
      <c r="U1563" s="2" t="s">
        <v>475</v>
      </c>
      <c r="V1563" s="2" t="s">
        <v>241</v>
      </c>
      <c r="W1563" s="2" t="s">
        <v>397</v>
      </c>
      <c r="X1563" s="2" t="s">
        <v>275</v>
      </c>
      <c r="Y1563" s="2" t="s">
        <v>7510</v>
      </c>
      <c r="Z1563" s="4">
        <v>220</v>
      </c>
      <c r="AA1563" s="4">
        <f>=ROUNDDOWN(44,0)</f>
      </c>
      <c r="AB1563" s="5">
        <v>5</v>
      </c>
      <c r="AC1563" s="2" t="s">
        <v>233</v>
      </c>
      <c r="AD1563" s="4"/>
      <c r="AE1563" s="4"/>
      <c r="AF1563" s="6">
        <v>66</v>
      </c>
      <c r="AG1563" s="6"/>
      <c r="AH1563" s="7">
        <v>1</v>
      </c>
      <c r="AI1563" s="4"/>
      <c r="AJ1563" s="4">
        <f>=ROUNDDOWN({0},0)</f>
      </c>
      <c r="AK1563" s="5"/>
      <c r="AL1563" s="2" t="s">
        <v>233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233</v>
      </c>
      <c r="AW1563" s="8" t="s">
        <v>233</v>
      </c>
      <c r="AX1563" s="4" t="s">
        <v>233</v>
      </c>
      <c r="AY1563" s="8" t="s">
        <v>233</v>
      </c>
      <c r="AZ1563" s="7" t="s">
        <v>233</v>
      </c>
      <c r="BA1563" s="7" t="s">
        <v>233</v>
      </c>
      <c r="BB1563" s="7" t="s">
        <v>233</v>
      </c>
      <c r="BC1563" s="4" t="s">
        <v>233</v>
      </c>
      <c r="BD1563" s="8" t="s">
        <v>233</v>
      </c>
      <c r="BE1563" s="4" t="s">
        <v>233</v>
      </c>
      <c r="BF1563" s="8" t="s">
        <v>233</v>
      </c>
      <c r="BG1563" s="7" t="s">
        <v>233</v>
      </c>
      <c r="BH1563" s="7" t="s">
        <v>233</v>
      </c>
      <c r="BI1563" s="7"/>
      <c r="BJ1563" s="4">
        <v>1</v>
      </c>
      <c r="BK1563" s="8">
        <v>35.1</v>
      </c>
      <c r="BL1563" s="2" t="s">
        <v>469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7511</v>
      </c>
      <c r="BV1563" s="2" t="s">
        <v>233</v>
      </c>
      <c r="BW1563" s="2" t="s">
        <v>233</v>
      </c>
      <c r="BX1563" s="2" t="s">
        <v>243</v>
      </c>
      <c r="BY1563" s="2" t="s">
        <v>280</v>
      </c>
      <c r="BZ1563" s="2" t="s">
        <v>245</v>
      </c>
      <c r="CA1563" s="2" t="s">
        <v>6463</v>
      </c>
      <c r="CB1563" s="2" t="s">
        <v>350</v>
      </c>
      <c r="CC1563" s="2" t="s">
        <v>246</v>
      </c>
      <c r="CD1563" s="2" t="s">
        <v>233</v>
      </c>
      <c r="CE1563" s="4">
        <v>220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  <c r="HM1563" s="4"/>
      <c r="HN1563" s="4"/>
      <c r="HO1563" s="4"/>
      <c r="HP1563" s="4"/>
      <c r="HQ1563" s="4"/>
      <c r="HR1563" s="4"/>
    </row>
    <row r="1564">
      <c r="A1564" s="2" t="s">
        <v>7512</v>
      </c>
      <c r="B1564" s="2" t="s">
        <v>910</v>
      </c>
      <c r="C1564" s="2" t="s">
        <v>911</v>
      </c>
      <c r="D1564" s="2" t="s">
        <v>969</v>
      </c>
      <c r="E1564" s="2" t="s">
        <v>970</v>
      </c>
      <c r="F1564" s="2" t="s">
        <v>7491</v>
      </c>
      <c r="G1564" s="2" t="s">
        <v>3311</v>
      </c>
      <c r="H1564" s="2" t="s">
        <v>7492</v>
      </c>
      <c r="I1564" s="2" t="s">
        <v>1876</v>
      </c>
      <c r="J1564" s="2" t="s">
        <v>1142</v>
      </c>
      <c r="K1564" s="2" t="s">
        <v>255</v>
      </c>
      <c r="L1564" s="3">
        <v>42.85</v>
      </c>
      <c r="M1564" s="3">
        <v>44.99</v>
      </c>
      <c r="N1564" s="3">
        <v>89.99</v>
      </c>
      <c r="O1564" s="2" t="s">
        <v>245</v>
      </c>
      <c r="P1564" s="2" t="s">
        <v>272</v>
      </c>
      <c r="Q1564" s="2" t="s">
        <v>239</v>
      </c>
      <c r="R1564" s="2" t="s">
        <v>233</v>
      </c>
      <c r="S1564" s="2" t="s">
        <v>7505</v>
      </c>
      <c r="T1564" s="2" t="s">
        <v>1481</v>
      </c>
      <c r="U1564" s="2" t="s">
        <v>475</v>
      </c>
      <c r="V1564" s="2" t="s">
        <v>241</v>
      </c>
      <c r="W1564" s="2" t="s">
        <v>397</v>
      </c>
      <c r="X1564" s="2" t="s">
        <v>275</v>
      </c>
      <c r="Y1564" s="2" t="s">
        <v>2795</v>
      </c>
      <c r="Z1564" s="4">
        <v>287</v>
      </c>
      <c r="AA1564" s="4">
        <f>=ROUNDDOWN(71.75,0)</f>
      </c>
      <c r="AB1564" s="5">
        <v>4</v>
      </c>
      <c r="AC1564" s="2" t="s">
        <v>233</v>
      </c>
      <c r="AD1564" s="4"/>
      <c r="AE1564" s="4"/>
      <c r="AF1564" s="6">
        <v>66</v>
      </c>
      <c r="AG1564" s="6"/>
      <c r="AH1564" s="7">
        <v>1</v>
      </c>
      <c r="AI1564" s="4"/>
      <c r="AJ1564" s="4">
        <f>=ROUNDDOWN({0},0)</f>
      </c>
      <c r="AK1564" s="5"/>
      <c r="AL1564" s="2" t="s">
        <v>233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233</v>
      </c>
      <c r="AW1564" s="8" t="s">
        <v>233</v>
      </c>
      <c r="AX1564" s="4" t="s">
        <v>233</v>
      </c>
      <c r="AY1564" s="8" t="s">
        <v>233</v>
      </c>
      <c r="AZ1564" s="7" t="s">
        <v>233</v>
      </c>
      <c r="BA1564" s="7" t="s">
        <v>233</v>
      </c>
      <c r="BB1564" s="7"/>
      <c r="BC1564" s="4" t="s">
        <v>233</v>
      </c>
      <c r="BD1564" s="8" t="s">
        <v>233</v>
      </c>
      <c r="BE1564" s="4" t="s">
        <v>233</v>
      </c>
      <c r="BF1564" s="8" t="s">
        <v>233</v>
      </c>
      <c r="BG1564" s="7" t="s">
        <v>233</v>
      </c>
      <c r="BH1564" s="7" t="s">
        <v>233</v>
      </c>
      <c r="BI1564" s="7"/>
      <c r="BJ1564" s="4">
        <v>16</v>
      </c>
      <c r="BK1564" s="8">
        <v>731.44</v>
      </c>
      <c r="BL1564" s="2" t="s">
        <v>6059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7513</v>
      </c>
      <c r="BV1564" s="2" t="s">
        <v>233</v>
      </c>
      <c r="BW1564" s="2" t="s">
        <v>233</v>
      </c>
      <c r="BX1564" s="2" t="s">
        <v>243</v>
      </c>
      <c r="BY1564" s="2" t="s">
        <v>280</v>
      </c>
      <c r="BZ1564" s="2" t="s">
        <v>245</v>
      </c>
      <c r="CA1564" s="2" t="s">
        <v>3042</v>
      </c>
      <c r="CB1564" s="2" t="s">
        <v>1001</v>
      </c>
      <c r="CC1564" s="2" t="s">
        <v>246</v>
      </c>
      <c r="CD1564" s="2" t="s">
        <v>233</v>
      </c>
      <c r="CE1564" s="4">
        <v>287</v>
      </c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  <c r="HM1564" s="4"/>
      <c r="HN1564" s="4"/>
      <c r="HO1564" s="4"/>
      <c r="HP1564" s="4"/>
      <c r="HQ1564" s="4"/>
      <c r="HR1564" s="4"/>
    </row>
    <row r="1565">
      <c r="A1565" s="2" t="s">
        <v>7514</v>
      </c>
      <c r="B1565" s="2" t="s">
        <v>910</v>
      </c>
      <c r="C1565" s="2" t="s">
        <v>911</v>
      </c>
      <c r="D1565" s="2" t="s">
        <v>912</v>
      </c>
      <c r="E1565" s="2" t="s">
        <v>1139</v>
      </c>
      <c r="F1565" s="2" t="s">
        <v>7491</v>
      </c>
      <c r="G1565" s="2" t="s">
        <v>3311</v>
      </c>
      <c r="H1565" s="2" t="s">
        <v>7492</v>
      </c>
      <c r="I1565" s="2" t="s">
        <v>1884</v>
      </c>
      <c r="J1565" s="2" t="s">
        <v>918</v>
      </c>
      <c r="K1565" s="2" t="s">
        <v>257</v>
      </c>
      <c r="L1565" s="3">
        <v>26.19</v>
      </c>
      <c r="M1565" s="3">
        <v>27.5</v>
      </c>
      <c r="N1565" s="3">
        <v>54.99</v>
      </c>
      <c r="O1565" s="2" t="s">
        <v>245</v>
      </c>
      <c r="P1565" s="2" t="s">
        <v>272</v>
      </c>
      <c r="Q1565" s="2" t="s">
        <v>239</v>
      </c>
      <c r="R1565" s="2" t="s">
        <v>233</v>
      </c>
      <c r="S1565" s="2" t="s">
        <v>7515</v>
      </c>
      <c r="T1565" s="2" t="s">
        <v>1481</v>
      </c>
      <c r="U1565" s="2" t="s">
        <v>491</v>
      </c>
      <c r="V1565" s="2" t="s">
        <v>241</v>
      </c>
      <c r="W1565" s="2" t="s">
        <v>397</v>
      </c>
      <c r="X1565" s="2" t="s">
        <v>275</v>
      </c>
      <c r="Y1565" s="2" t="s">
        <v>7510</v>
      </c>
      <c r="Z1565" s="4">
        <v>114</v>
      </c>
      <c r="AA1565" s="4">
        <f>=ROUNDDOWN(114,0)</f>
      </c>
      <c r="AB1565" s="5">
        <v>1</v>
      </c>
      <c r="AC1565" s="2" t="s">
        <v>2388</v>
      </c>
      <c r="AD1565" s="4">
        <v>180</v>
      </c>
      <c r="AE1565" s="4">
        <v>180</v>
      </c>
      <c r="AF1565" s="6">
        <v>66</v>
      </c>
      <c r="AG1565" s="6"/>
      <c r="AH1565" s="7">
        <v>1</v>
      </c>
      <c r="AI1565" s="4"/>
      <c r="AJ1565" s="4">
        <f>=ROUNDDOWN({0},0)</f>
      </c>
      <c r="AK1565" s="5"/>
      <c r="AL1565" s="2" t="s">
        <v>233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233</v>
      </c>
      <c r="AW1565" s="8" t="s">
        <v>233</v>
      </c>
      <c r="AX1565" s="4" t="s">
        <v>233</v>
      </c>
      <c r="AY1565" s="8" t="s">
        <v>233</v>
      </c>
      <c r="AZ1565" s="7" t="s">
        <v>233</v>
      </c>
      <c r="BA1565" s="7" t="s">
        <v>233</v>
      </c>
      <c r="BB1565" s="7"/>
      <c r="BC1565" s="4" t="s">
        <v>233</v>
      </c>
      <c r="BD1565" s="8" t="s">
        <v>233</v>
      </c>
      <c r="BE1565" s="4" t="s">
        <v>233</v>
      </c>
      <c r="BF1565" s="8" t="s">
        <v>233</v>
      </c>
      <c r="BG1565" s="7" t="s">
        <v>233</v>
      </c>
      <c r="BH1565" s="7" t="s">
        <v>233</v>
      </c>
      <c r="BI1565" s="7"/>
      <c r="BJ1565" s="4"/>
      <c r="BK1565" s="8"/>
      <c r="BL1565" s="2" t="s">
        <v>233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7516</v>
      </c>
      <c r="BV1565" s="2" t="s">
        <v>233</v>
      </c>
      <c r="BW1565" s="2" t="s">
        <v>233</v>
      </c>
      <c r="BX1565" s="2" t="s">
        <v>243</v>
      </c>
      <c r="BY1565" s="2" t="s">
        <v>280</v>
      </c>
      <c r="BZ1565" s="2" t="s">
        <v>245</v>
      </c>
      <c r="CA1565" s="2" t="s">
        <v>6463</v>
      </c>
      <c r="CB1565" s="2" t="s">
        <v>233</v>
      </c>
      <c r="CC1565" s="2" t="s">
        <v>246</v>
      </c>
      <c r="CD1565" s="2" t="s">
        <v>233</v>
      </c>
      <c r="CE1565" s="4">
        <v>114</v>
      </c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>
        <v>180</v>
      </c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  <c r="HM1565" s="4"/>
      <c r="HN1565" s="4"/>
      <c r="HO1565" s="4"/>
      <c r="HP1565" s="4"/>
      <c r="HQ1565" s="4"/>
      <c r="HR1565" s="4"/>
    </row>
    <row r="1566">
      <c r="A1566" s="2" t="s">
        <v>7517</v>
      </c>
      <c r="B1566" s="2" t="s">
        <v>910</v>
      </c>
      <c r="C1566" s="2" t="s">
        <v>911</v>
      </c>
      <c r="D1566" s="2" t="s">
        <v>912</v>
      </c>
      <c r="E1566" s="2" t="s">
        <v>1139</v>
      </c>
      <c r="F1566" s="2" t="s">
        <v>7491</v>
      </c>
      <c r="G1566" s="2" t="s">
        <v>3311</v>
      </c>
      <c r="H1566" s="2" t="s">
        <v>7492</v>
      </c>
      <c r="I1566" s="2" t="s">
        <v>1884</v>
      </c>
      <c r="J1566" s="2" t="s">
        <v>981</v>
      </c>
      <c r="K1566" s="2" t="s">
        <v>257</v>
      </c>
      <c r="L1566" s="3">
        <v>30.95</v>
      </c>
      <c r="M1566" s="3">
        <v>32.5</v>
      </c>
      <c r="N1566" s="3">
        <v>64.99</v>
      </c>
      <c r="O1566" s="2" t="s">
        <v>245</v>
      </c>
      <c r="P1566" s="2" t="s">
        <v>272</v>
      </c>
      <c r="Q1566" s="2" t="s">
        <v>239</v>
      </c>
      <c r="R1566" s="2" t="s">
        <v>233</v>
      </c>
      <c r="S1566" s="2" t="s">
        <v>7515</v>
      </c>
      <c r="T1566" s="2" t="s">
        <v>1481</v>
      </c>
      <c r="U1566" s="2" t="s">
        <v>475</v>
      </c>
      <c r="V1566" s="2" t="s">
        <v>241</v>
      </c>
      <c r="W1566" s="2" t="s">
        <v>397</v>
      </c>
      <c r="X1566" s="2" t="s">
        <v>275</v>
      </c>
      <c r="Y1566" s="2" t="s">
        <v>7510</v>
      </c>
      <c r="Z1566" s="4">
        <v>162</v>
      </c>
      <c r="AA1566" s="4">
        <f>=ROUNDDOWN(54,0)</f>
      </c>
      <c r="AB1566" s="5">
        <v>3</v>
      </c>
      <c r="AC1566" s="2" t="s">
        <v>2388</v>
      </c>
      <c r="AD1566" s="4">
        <v>160</v>
      </c>
      <c r="AE1566" s="4">
        <v>160</v>
      </c>
      <c r="AF1566" s="6">
        <v>66</v>
      </c>
      <c r="AG1566" s="6"/>
      <c r="AH1566" s="7">
        <v>1</v>
      </c>
      <c r="AI1566" s="4"/>
      <c r="AJ1566" s="4">
        <f>=ROUNDDOWN({0},0)</f>
      </c>
      <c r="AK1566" s="5"/>
      <c r="AL1566" s="2" t="s">
        <v>233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233</v>
      </c>
      <c r="AW1566" s="8" t="s">
        <v>233</v>
      </c>
      <c r="AX1566" s="4" t="s">
        <v>233</v>
      </c>
      <c r="AY1566" s="8" t="s">
        <v>233</v>
      </c>
      <c r="AZ1566" s="7" t="s">
        <v>233</v>
      </c>
      <c r="BA1566" s="7" t="s">
        <v>233</v>
      </c>
      <c r="BB1566" s="7"/>
      <c r="BC1566" s="4" t="s">
        <v>233</v>
      </c>
      <c r="BD1566" s="8" t="s">
        <v>233</v>
      </c>
      <c r="BE1566" s="4" t="s">
        <v>233</v>
      </c>
      <c r="BF1566" s="8" t="s">
        <v>233</v>
      </c>
      <c r="BG1566" s="7" t="s">
        <v>233</v>
      </c>
      <c r="BH1566" s="7" t="s">
        <v>233</v>
      </c>
      <c r="BI1566" s="7"/>
      <c r="BJ1566" s="4">
        <v>5</v>
      </c>
      <c r="BK1566" s="8">
        <v>165.42</v>
      </c>
      <c r="BL1566" s="2" t="s">
        <v>3599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7518</v>
      </c>
      <c r="BV1566" s="2" t="s">
        <v>233</v>
      </c>
      <c r="BW1566" s="2" t="s">
        <v>233</v>
      </c>
      <c r="BX1566" s="2" t="s">
        <v>243</v>
      </c>
      <c r="BY1566" s="2" t="s">
        <v>280</v>
      </c>
      <c r="BZ1566" s="2" t="s">
        <v>245</v>
      </c>
      <c r="CA1566" s="2" t="s">
        <v>6463</v>
      </c>
      <c r="CB1566" s="2" t="s">
        <v>350</v>
      </c>
      <c r="CC1566" s="2" t="s">
        <v>246</v>
      </c>
      <c r="CD1566" s="2" t="s">
        <v>233</v>
      </c>
      <c r="CE1566" s="4">
        <v>162</v>
      </c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>
        <v>160</v>
      </c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  <c r="HM1566" s="4"/>
      <c r="HN1566" s="4"/>
      <c r="HO1566" s="4"/>
      <c r="HP1566" s="4"/>
      <c r="HQ1566" s="4"/>
      <c r="HR1566" s="4"/>
    </row>
    <row r="1567">
      <c r="A1567" s="2" t="s">
        <v>7519</v>
      </c>
      <c r="B1567" s="2" t="s">
        <v>910</v>
      </c>
      <c r="C1567" s="2" t="s">
        <v>911</v>
      </c>
      <c r="D1567" s="2" t="s">
        <v>969</v>
      </c>
      <c r="E1567" s="2" t="s">
        <v>970</v>
      </c>
      <c r="F1567" s="2" t="s">
        <v>7491</v>
      </c>
      <c r="G1567" s="2" t="s">
        <v>3311</v>
      </c>
      <c r="H1567" s="2" t="s">
        <v>7492</v>
      </c>
      <c r="I1567" s="2" t="s">
        <v>1876</v>
      </c>
      <c r="J1567" s="2" t="s">
        <v>918</v>
      </c>
      <c r="K1567" s="2" t="s">
        <v>2951</v>
      </c>
      <c r="L1567" s="3">
        <v>33.33</v>
      </c>
      <c r="M1567" s="3">
        <v>35</v>
      </c>
      <c r="N1567" s="3">
        <v>69.99</v>
      </c>
      <c r="O1567" s="2" t="s">
        <v>245</v>
      </c>
      <c r="P1567" s="2" t="s">
        <v>272</v>
      </c>
      <c r="Q1567" s="2" t="s">
        <v>239</v>
      </c>
      <c r="R1567" s="2" t="s">
        <v>233</v>
      </c>
      <c r="S1567" s="2" t="s">
        <v>7520</v>
      </c>
      <c r="T1567" s="2" t="s">
        <v>1481</v>
      </c>
      <c r="U1567" s="2" t="s">
        <v>491</v>
      </c>
      <c r="V1567" s="2" t="s">
        <v>241</v>
      </c>
      <c r="W1567" s="2" t="s">
        <v>397</v>
      </c>
      <c r="X1567" s="2" t="s">
        <v>275</v>
      </c>
      <c r="Y1567" s="2" t="s">
        <v>1582</v>
      </c>
      <c r="Z1567" s="4">
        <v>185</v>
      </c>
      <c r="AA1567" s="4">
        <f>=ROUNDDOWN(46.25,0)</f>
      </c>
      <c r="AB1567" s="5">
        <v>4</v>
      </c>
      <c r="AC1567" s="2" t="s">
        <v>2388</v>
      </c>
      <c r="AD1567" s="4">
        <v>260</v>
      </c>
      <c r="AE1567" s="4">
        <v>260</v>
      </c>
      <c r="AF1567" s="6">
        <v>66</v>
      </c>
      <c r="AG1567" s="6"/>
      <c r="AH1567" s="7">
        <v>1</v>
      </c>
      <c r="AI1567" s="4"/>
      <c r="AJ1567" s="4">
        <f>=ROUNDDOWN({0},0)</f>
      </c>
      <c r="AK1567" s="5"/>
      <c r="AL1567" s="2" t="s">
        <v>233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233</v>
      </c>
      <c r="AW1567" s="8" t="s">
        <v>233</v>
      </c>
      <c r="AX1567" s="4" t="s">
        <v>233</v>
      </c>
      <c r="AY1567" s="8" t="s">
        <v>233</v>
      </c>
      <c r="AZ1567" s="7" t="s">
        <v>233</v>
      </c>
      <c r="BA1567" s="7" t="s">
        <v>233</v>
      </c>
      <c r="BB1567" s="7" t="s">
        <v>233</v>
      </c>
      <c r="BC1567" s="4" t="s">
        <v>233</v>
      </c>
      <c r="BD1567" s="8" t="s">
        <v>233</v>
      </c>
      <c r="BE1567" s="4" t="s">
        <v>233</v>
      </c>
      <c r="BF1567" s="8" t="s">
        <v>233</v>
      </c>
      <c r="BG1567" s="7" t="s">
        <v>233</v>
      </c>
      <c r="BH1567" s="7" t="s">
        <v>233</v>
      </c>
      <c r="BI1567" s="7"/>
      <c r="BJ1567" s="4">
        <v>3</v>
      </c>
      <c r="BK1567" s="8">
        <v>100.8</v>
      </c>
      <c r="BL1567" s="2" t="s">
        <v>662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7521</v>
      </c>
      <c r="BV1567" s="2" t="s">
        <v>233</v>
      </c>
      <c r="BW1567" s="2" t="s">
        <v>233</v>
      </c>
      <c r="BX1567" s="2" t="s">
        <v>243</v>
      </c>
      <c r="BY1567" s="2" t="s">
        <v>280</v>
      </c>
      <c r="BZ1567" s="2" t="s">
        <v>245</v>
      </c>
      <c r="CA1567" s="2" t="s">
        <v>3042</v>
      </c>
      <c r="CB1567" s="2" t="s">
        <v>2799</v>
      </c>
      <c r="CC1567" s="2" t="s">
        <v>246</v>
      </c>
      <c r="CD1567" s="2" t="s">
        <v>233</v>
      </c>
      <c r="CE1567" s="4">
        <v>185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>
        <v>260</v>
      </c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  <c r="HG1567" s="4"/>
      <c r="HH1567" s="4"/>
      <c r="HI1567" s="4"/>
      <c r="HJ1567" s="4"/>
      <c r="HK1567" s="4"/>
      <c r="HL1567" s="4"/>
      <c r="HM1567" s="4"/>
      <c r="HN1567" s="4"/>
      <c r="HO1567" s="4"/>
      <c r="HP1567" s="4"/>
      <c r="HQ1567" s="4"/>
      <c r="HR1567" s="4"/>
    </row>
    <row r="1568">
      <c r="A1568" s="2" t="s">
        <v>7522</v>
      </c>
      <c r="B1568" s="2" t="s">
        <v>910</v>
      </c>
      <c r="C1568" s="2" t="s">
        <v>911</v>
      </c>
      <c r="D1568" s="2" t="s">
        <v>912</v>
      </c>
      <c r="E1568" s="2" t="s">
        <v>1139</v>
      </c>
      <c r="F1568" s="2" t="s">
        <v>7491</v>
      </c>
      <c r="G1568" s="2" t="s">
        <v>3311</v>
      </c>
      <c r="H1568" s="2" t="s">
        <v>7492</v>
      </c>
      <c r="I1568" s="2" t="s">
        <v>1884</v>
      </c>
      <c r="J1568" s="2" t="s">
        <v>918</v>
      </c>
      <c r="K1568" s="2" t="s">
        <v>2951</v>
      </c>
      <c r="L1568" s="3">
        <v>26.19</v>
      </c>
      <c r="M1568" s="3">
        <v>27.5</v>
      </c>
      <c r="N1568" s="3">
        <v>54.99</v>
      </c>
      <c r="O1568" s="2" t="s">
        <v>245</v>
      </c>
      <c r="P1568" s="2" t="s">
        <v>272</v>
      </c>
      <c r="Q1568" s="2" t="s">
        <v>239</v>
      </c>
      <c r="R1568" s="2" t="s">
        <v>233</v>
      </c>
      <c r="S1568" s="2" t="s">
        <v>7520</v>
      </c>
      <c r="T1568" s="2" t="s">
        <v>1481</v>
      </c>
      <c r="U1568" s="2" t="s">
        <v>491</v>
      </c>
      <c r="V1568" s="2" t="s">
        <v>241</v>
      </c>
      <c r="W1568" s="2" t="s">
        <v>397</v>
      </c>
      <c r="X1568" s="2" t="s">
        <v>275</v>
      </c>
      <c r="Y1568" s="2" t="s">
        <v>7510</v>
      </c>
      <c r="Z1568" s="4">
        <v>103</v>
      </c>
      <c r="AA1568" s="4">
        <f>=ROUNDDOWN(51.5,0)</f>
      </c>
      <c r="AB1568" s="5">
        <v>2</v>
      </c>
      <c r="AC1568" s="2" t="s">
        <v>2388</v>
      </c>
      <c r="AD1568" s="4">
        <v>160</v>
      </c>
      <c r="AE1568" s="4">
        <v>160</v>
      </c>
      <c r="AF1568" s="6">
        <v>66</v>
      </c>
      <c r="AG1568" s="6"/>
      <c r="AH1568" s="7">
        <v>1</v>
      </c>
      <c r="AI1568" s="4"/>
      <c r="AJ1568" s="4">
        <f>=ROUNDDOWN({0},0)</f>
      </c>
      <c r="AK1568" s="5"/>
      <c r="AL1568" s="2" t="s">
        <v>233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233</v>
      </c>
      <c r="AW1568" s="8" t="s">
        <v>233</v>
      </c>
      <c r="AX1568" s="4" t="s">
        <v>233</v>
      </c>
      <c r="AY1568" s="8" t="s">
        <v>233</v>
      </c>
      <c r="AZ1568" s="7" t="s">
        <v>233</v>
      </c>
      <c r="BA1568" s="7" t="s">
        <v>233</v>
      </c>
      <c r="BB1568" s="7" t="s">
        <v>233</v>
      </c>
      <c r="BC1568" s="4" t="s">
        <v>233</v>
      </c>
      <c r="BD1568" s="8" t="s">
        <v>233</v>
      </c>
      <c r="BE1568" s="4" t="s">
        <v>233</v>
      </c>
      <c r="BF1568" s="8" t="s">
        <v>233</v>
      </c>
      <c r="BG1568" s="7" t="s">
        <v>233</v>
      </c>
      <c r="BH1568" s="7" t="s">
        <v>233</v>
      </c>
      <c r="BI1568" s="7"/>
      <c r="BJ1568" s="4">
        <v>2</v>
      </c>
      <c r="BK1568" s="8">
        <v>59.4</v>
      </c>
      <c r="BL1568" s="2" t="s">
        <v>2404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7523</v>
      </c>
      <c r="BV1568" s="2" t="s">
        <v>233</v>
      </c>
      <c r="BW1568" s="2" t="s">
        <v>233</v>
      </c>
      <c r="BX1568" s="2" t="s">
        <v>243</v>
      </c>
      <c r="BY1568" s="2" t="s">
        <v>280</v>
      </c>
      <c r="BZ1568" s="2" t="s">
        <v>245</v>
      </c>
      <c r="CA1568" s="2" t="s">
        <v>6463</v>
      </c>
      <c r="CB1568" s="2" t="s">
        <v>233</v>
      </c>
      <c r="CC1568" s="2" t="s">
        <v>246</v>
      </c>
      <c r="CD1568" s="2" t="s">
        <v>233</v>
      </c>
      <c r="CE1568" s="4">
        <v>103</v>
      </c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>
        <v>160</v>
      </c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/>
      <c r="HJ1568" s="4"/>
      <c r="HK1568" s="4"/>
      <c r="HL1568" s="4"/>
      <c r="HM1568" s="4"/>
      <c r="HN1568" s="4"/>
      <c r="HO1568" s="4"/>
      <c r="HP1568" s="4"/>
      <c r="HQ1568" s="4"/>
      <c r="HR1568" s="4"/>
    </row>
    <row r="1569">
      <c r="A1569" s="2" t="s">
        <v>7524</v>
      </c>
      <c r="B1569" s="2" t="s">
        <v>910</v>
      </c>
      <c r="C1569" s="2" t="s">
        <v>5876</v>
      </c>
      <c r="D1569" s="2" t="s">
        <v>969</v>
      </c>
      <c r="E1569" s="2" t="s">
        <v>1078</v>
      </c>
      <c r="F1569" s="2" t="s">
        <v>7525</v>
      </c>
      <c r="G1569" s="2" t="s">
        <v>6667</v>
      </c>
      <c r="H1569" s="2" t="s">
        <v>7526</v>
      </c>
      <c r="I1569" s="2" t="s">
        <v>7527</v>
      </c>
      <c r="J1569" s="2" t="s">
        <v>270</v>
      </c>
      <c r="K1569" s="2" t="s">
        <v>590</v>
      </c>
      <c r="L1569" s="3">
        <v>35.71</v>
      </c>
      <c r="M1569" s="3">
        <v>37.5</v>
      </c>
      <c r="N1569" s="3">
        <v>74.99</v>
      </c>
      <c r="O1569" s="2" t="s">
        <v>245</v>
      </c>
      <c r="P1569" s="2" t="s">
        <v>238</v>
      </c>
      <c r="Q1569" s="2" t="s">
        <v>239</v>
      </c>
      <c r="R1569" s="2" t="s">
        <v>233</v>
      </c>
      <c r="S1569" s="2" t="s">
        <v>7528</v>
      </c>
      <c r="T1569" s="2" t="s">
        <v>341</v>
      </c>
      <c r="U1569" s="2" t="s">
        <v>475</v>
      </c>
      <c r="V1569" s="2" t="s">
        <v>1272</v>
      </c>
      <c r="W1569" s="2" t="s">
        <v>275</v>
      </c>
      <c r="X1569" s="2" t="s">
        <v>233</v>
      </c>
      <c r="Y1569" s="2" t="s">
        <v>1136</v>
      </c>
      <c r="Z1569" s="4">
        <v>170</v>
      </c>
      <c r="AA1569" s="4">
        <f>=ROUNDDOWN({0},0)</f>
      </c>
      <c r="AB1569" s="5"/>
      <c r="AC1569" s="2" t="s">
        <v>2872</v>
      </c>
      <c r="AD1569" s="4">
        <v>180</v>
      </c>
      <c r="AE1569" s="4">
        <v>350</v>
      </c>
      <c r="AF1569" s="6">
        <v>65</v>
      </c>
      <c r="AG1569" s="6"/>
      <c r="AH1569" s="7">
        <v>0</v>
      </c>
      <c r="AI1569" s="4"/>
      <c r="AJ1569" s="4">
        <f>=ROUNDDOWN({0},0)</f>
      </c>
      <c r="AK1569" s="5"/>
      <c r="AL1569" s="2" t="s">
        <v>233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233</v>
      </c>
      <c r="AW1569" s="8" t="s">
        <v>233</v>
      </c>
      <c r="AX1569" s="4" t="s">
        <v>233</v>
      </c>
      <c r="AY1569" s="8" t="s">
        <v>233</v>
      </c>
      <c r="AZ1569" s="7" t="s">
        <v>233</v>
      </c>
      <c r="BA1569" s="7" t="s">
        <v>233</v>
      </c>
      <c r="BB1569" s="7" t="s">
        <v>233</v>
      </c>
      <c r="BC1569" s="4" t="s">
        <v>233</v>
      </c>
      <c r="BD1569" s="8" t="s">
        <v>233</v>
      </c>
      <c r="BE1569" s="4" t="s">
        <v>233</v>
      </c>
      <c r="BF1569" s="8" t="s">
        <v>233</v>
      </c>
      <c r="BG1569" s="7" t="s">
        <v>233</v>
      </c>
      <c r="BH1569" s="7" t="s">
        <v>233</v>
      </c>
      <c r="BI1569" s="7"/>
      <c r="BJ1569" s="4"/>
      <c r="BK1569" s="8"/>
      <c r="BL1569" s="2" t="s">
        <v>233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243</v>
      </c>
      <c r="BV1569" s="2" t="s">
        <v>233</v>
      </c>
      <c r="BW1569" s="2" t="s">
        <v>233</v>
      </c>
      <c r="BX1569" s="2" t="s">
        <v>243</v>
      </c>
      <c r="BY1569" s="2" t="s">
        <v>346</v>
      </c>
      <c r="BZ1569" s="2" t="s">
        <v>245</v>
      </c>
      <c r="CA1569" s="2" t="s">
        <v>233</v>
      </c>
      <c r="CB1569" s="2" t="s">
        <v>233</v>
      </c>
      <c r="CC1569" s="2" t="s">
        <v>246</v>
      </c>
      <c r="CD1569" s="2" t="s">
        <v>233</v>
      </c>
      <c r="CE1569" s="4">
        <v>170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>
        <v>180</v>
      </c>
      <c r="DG1569" s="4"/>
      <c r="DH1569" s="4"/>
      <c r="DI1569" s="4"/>
      <c r="DJ1569" s="4"/>
      <c r="DK1569" s="4"/>
      <c r="DL1569" s="4"/>
      <c r="DM1569" s="4">
        <v>170</v>
      </c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/>
      <c r="HJ1569" s="4"/>
      <c r="HK1569" s="4"/>
      <c r="HL1569" s="4"/>
      <c r="HM1569" s="4"/>
      <c r="HN1569" s="4"/>
      <c r="HO1569" s="4"/>
      <c r="HP1569" s="4"/>
      <c r="HQ1569" s="4"/>
      <c r="HR1569" s="4"/>
    </row>
    <row r="1570">
      <c r="A1570" s="2" t="s">
        <v>7529</v>
      </c>
      <c r="B1570" s="2" t="s">
        <v>910</v>
      </c>
      <c r="C1570" s="2" t="s">
        <v>5876</v>
      </c>
      <c r="D1570" s="2" t="s">
        <v>912</v>
      </c>
      <c r="E1570" s="2" t="s">
        <v>913</v>
      </c>
      <c r="F1570" s="2" t="s">
        <v>7525</v>
      </c>
      <c r="G1570" s="2" t="s">
        <v>6667</v>
      </c>
      <c r="H1570" s="2" t="s">
        <v>7526</v>
      </c>
      <c r="I1570" s="2" t="s">
        <v>7530</v>
      </c>
      <c r="J1570" s="2" t="s">
        <v>270</v>
      </c>
      <c r="K1570" s="2" t="s">
        <v>590</v>
      </c>
      <c r="L1570" s="3">
        <v>28.57</v>
      </c>
      <c r="M1570" s="3">
        <v>30</v>
      </c>
      <c r="N1570" s="3">
        <v>59.99</v>
      </c>
      <c r="O1570" s="2" t="s">
        <v>245</v>
      </c>
      <c r="P1570" s="2" t="s">
        <v>238</v>
      </c>
      <c r="Q1570" s="2" t="s">
        <v>239</v>
      </c>
      <c r="R1570" s="2" t="s">
        <v>233</v>
      </c>
      <c r="S1570" s="2" t="s">
        <v>7528</v>
      </c>
      <c r="T1570" s="2" t="s">
        <v>341</v>
      </c>
      <c r="U1570" s="2" t="s">
        <v>475</v>
      </c>
      <c r="V1570" s="2" t="s">
        <v>1272</v>
      </c>
      <c r="W1570" s="2" t="s">
        <v>275</v>
      </c>
      <c r="X1570" s="2" t="s">
        <v>233</v>
      </c>
      <c r="Y1570" s="2" t="s">
        <v>344</v>
      </c>
      <c r="Z1570" s="4">
        <v>90</v>
      </c>
      <c r="AA1570" s="4">
        <f>=ROUNDDOWN({0},0)</f>
      </c>
      <c r="AB1570" s="5"/>
      <c r="AC1570" s="2" t="s">
        <v>2872</v>
      </c>
      <c r="AD1570" s="4">
        <v>90</v>
      </c>
      <c r="AE1570" s="4">
        <v>180</v>
      </c>
      <c r="AF1570" s="6">
        <v>65</v>
      </c>
      <c r="AG1570" s="6"/>
      <c r="AH1570" s="7">
        <v>0</v>
      </c>
      <c r="AI1570" s="4"/>
      <c r="AJ1570" s="4">
        <f>=ROUNDDOWN({0},0)</f>
      </c>
      <c r="AK1570" s="5"/>
      <c r="AL1570" s="2" t="s">
        <v>233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233</v>
      </c>
      <c r="AW1570" s="8" t="s">
        <v>233</v>
      </c>
      <c r="AX1570" s="4" t="s">
        <v>233</v>
      </c>
      <c r="AY1570" s="8" t="s">
        <v>233</v>
      </c>
      <c r="AZ1570" s="7" t="s">
        <v>233</v>
      </c>
      <c r="BA1570" s="7" t="s">
        <v>233</v>
      </c>
      <c r="BB1570" s="7" t="s">
        <v>233</v>
      </c>
      <c r="BC1570" s="4" t="s">
        <v>233</v>
      </c>
      <c r="BD1570" s="8" t="s">
        <v>233</v>
      </c>
      <c r="BE1570" s="4" t="s">
        <v>233</v>
      </c>
      <c r="BF1570" s="8" t="s">
        <v>233</v>
      </c>
      <c r="BG1570" s="7" t="s">
        <v>233</v>
      </c>
      <c r="BH1570" s="7" t="s">
        <v>233</v>
      </c>
      <c r="BI1570" s="7"/>
      <c r="BJ1570" s="4"/>
      <c r="BK1570" s="8"/>
      <c r="BL1570" s="2" t="s">
        <v>233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243</v>
      </c>
      <c r="BV1570" s="2" t="s">
        <v>233</v>
      </c>
      <c r="BW1570" s="2" t="s">
        <v>233</v>
      </c>
      <c r="BX1570" s="2" t="s">
        <v>243</v>
      </c>
      <c r="BY1570" s="2" t="s">
        <v>346</v>
      </c>
      <c r="BZ1570" s="2" t="s">
        <v>245</v>
      </c>
      <c r="CA1570" s="2" t="s">
        <v>233</v>
      </c>
      <c r="CB1570" s="2" t="s">
        <v>233</v>
      </c>
      <c r="CC1570" s="2" t="s">
        <v>246</v>
      </c>
      <c r="CD1570" s="2" t="s">
        <v>233</v>
      </c>
      <c r="CE1570" s="4">
        <v>90</v>
      </c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>
        <v>90</v>
      </c>
      <c r="DG1570" s="4"/>
      <c r="DH1570" s="4"/>
      <c r="DI1570" s="4">
        <v>90</v>
      </c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/>
      <c r="HJ1570" s="4"/>
      <c r="HK1570" s="4"/>
      <c r="HL1570" s="4"/>
      <c r="HM1570" s="4"/>
      <c r="HN1570" s="4"/>
      <c r="HO1570" s="4"/>
      <c r="HP1570" s="4"/>
      <c r="HQ1570" s="4"/>
      <c r="HR1570" s="4"/>
    </row>
    <row r="1571">
      <c r="A1571" s="2" t="s">
        <v>7531</v>
      </c>
      <c r="B1571" s="2" t="s">
        <v>910</v>
      </c>
      <c r="C1571" s="2" t="s">
        <v>5876</v>
      </c>
      <c r="D1571" s="2" t="s">
        <v>969</v>
      </c>
      <c r="E1571" s="2" t="s">
        <v>1078</v>
      </c>
      <c r="F1571" s="2" t="s">
        <v>7525</v>
      </c>
      <c r="G1571" s="2" t="s">
        <v>6667</v>
      </c>
      <c r="H1571" s="2" t="s">
        <v>7526</v>
      </c>
      <c r="I1571" s="2" t="s">
        <v>7527</v>
      </c>
      <c r="J1571" s="2" t="s">
        <v>981</v>
      </c>
      <c r="K1571" s="2" t="s">
        <v>590</v>
      </c>
      <c r="L1571" s="3">
        <v>40.47</v>
      </c>
      <c r="M1571" s="3">
        <v>42.49</v>
      </c>
      <c r="N1571" s="3">
        <v>84.99</v>
      </c>
      <c r="O1571" s="2" t="s">
        <v>245</v>
      </c>
      <c r="P1571" s="2" t="s">
        <v>238</v>
      </c>
      <c r="Q1571" s="2" t="s">
        <v>239</v>
      </c>
      <c r="R1571" s="2" t="s">
        <v>233</v>
      </c>
      <c r="S1571" s="2" t="s">
        <v>7528</v>
      </c>
      <c r="T1571" s="2" t="s">
        <v>341</v>
      </c>
      <c r="U1571" s="2" t="s">
        <v>342</v>
      </c>
      <c r="V1571" s="2" t="s">
        <v>1272</v>
      </c>
      <c r="W1571" s="2" t="s">
        <v>275</v>
      </c>
      <c r="X1571" s="2" t="s">
        <v>233</v>
      </c>
      <c r="Y1571" s="2" t="s">
        <v>344</v>
      </c>
      <c r="Z1571" s="4">
        <v>150</v>
      </c>
      <c r="AA1571" s="4">
        <f>=ROUNDDOWN({0},0)</f>
      </c>
      <c r="AB1571" s="5"/>
      <c r="AC1571" s="2" t="s">
        <v>2872</v>
      </c>
      <c r="AD1571" s="4">
        <v>150</v>
      </c>
      <c r="AE1571" s="4">
        <v>290</v>
      </c>
      <c r="AF1571" s="6">
        <v>65</v>
      </c>
      <c r="AG1571" s="6"/>
      <c r="AH1571" s="7">
        <v>0</v>
      </c>
      <c r="AI1571" s="4"/>
      <c r="AJ1571" s="4">
        <f>=ROUNDDOWN({0},0)</f>
      </c>
      <c r="AK1571" s="5"/>
      <c r="AL1571" s="2" t="s">
        <v>233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233</v>
      </c>
      <c r="AW1571" s="8" t="s">
        <v>233</v>
      </c>
      <c r="AX1571" s="4" t="s">
        <v>233</v>
      </c>
      <c r="AY1571" s="8" t="s">
        <v>233</v>
      </c>
      <c r="AZ1571" s="7" t="s">
        <v>233</v>
      </c>
      <c r="BA1571" s="7" t="s">
        <v>233</v>
      </c>
      <c r="BB1571" s="7" t="s">
        <v>233</v>
      </c>
      <c r="BC1571" s="4" t="s">
        <v>233</v>
      </c>
      <c r="BD1571" s="8" t="s">
        <v>233</v>
      </c>
      <c r="BE1571" s="4" t="s">
        <v>233</v>
      </c>
      <c r="BF1571" s="8" t="s">
        <v>233</v>
      </c>
      <c r="BG1571" s="7" t="s">
        <v>233</v>
      </c>
      <c r="BH1571" s="7" t="s">
        <v>233</v>
      </c>
      <c r="BI1571" s="7"/>
      <c r="BJ1571" s="4"/>
      <c r="BK1571" s="8"/>
      <c r="BL1571" s="2" t="s">
        <v>233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243</v>
      </c>
      <c r="BV1571" s="2" t="s">
        <v>233</v>
      </c>
      <c r="BW1571" s="2" t="s">
        <v>233</v>
      </c>
      <c r="BX1571" s="2" t="s">
        <v>243</v>
      </c>
      <c r="BY1571" s="2" t="s">
        <v>346</v>
      </c>
      <c r="BZ1571" s="2" t="s">
        <v>245</v>
      </c>
      <c r="CA1571" s="2" t="s">
        <v>233</v>
      </c>
      <c r="CB1571" s="2" t="s">
        <v>233</v>
      </c>
      <c r="CC1571" s="2" t="s">
        <v>246</v>
      </c>
      <c r="CD1571" s="2" t="s">
        <v>233</v>
      </c>
      <c r="CE1571" s="4">
        <v>150</v>
      </c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>
        <v>150</v>
      </c>
      <c r="DG1571" s="4"/>
      <c r="DH1571" s="4"/>
      <c r="DI1571" s="4"/>
      <c r="DJ1571" s="4"/>
      <c r="DK1571" s="4"/>
      <c r="DL1571" s="4"/>
      <c r="DM1571" s="4">
        <v>140</v>
      </c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/>
      <c r="HJ1571" s="4"/>
      <c r="HK1571" s="4"/>
      <c r="HL1571" s="4"/>
      <c r="HM1571" s="4"/>
      <c r="HN1571" s="4"/>
      <c r="HO1571" s="4"/>
      <c r="HP1571" s="4"/>
      <c r="HQ1571" s="4"/>
      <c r="HR1571" s="4"/>
    </row>
    <row r="1572">
      <c r="A1572" s="2" t="s">
        <v>7532</v>
      </c>
      <c r="B1572" s="2" t="s">
        <v>910</v>
      </c>
      <c r="C1572" s="2" t="s">
        <v>5876</v>
      </c>
      <c r="D1572" s="2" t="s">
        <v>912</v>
      </c>
      <c r="E1572" s="2" t="s">
        <v>913</v>
      </c>
      <c r="F1572" s="2" t="s">
        <v>7525</v>
      </c>
      <c r="G1572" s="2" t="s">
        <v>6667</v>
      </c>
      <c r="H1572" s="2" t="s">
        <v>7526</v>
      </c>
      <c r="I1572" s="2" t="s">
        <v>7530</v>
      </c>
      <c r="J1572" s="2" t="s">
        <v>981</v>
      </c>
      <c r="K1572" s="2" t="s">
        <v>590</v>
      </c>
      <c r="L1572" s="3">
        <v>33.33</v>
      </c>
      <c r="M1572" s="3">
        <v>35</v>
      </c>
      <c r="N1572" s="3">
        <v>69.99</v>
      </c>
      <c r="O1572" s="2" t="s">
        <v>245</v>
      </c>
      <c r="P1572" s="2" t="s">
        <v>238</v>
      </c>
      <c r="Q1572" s="2" t="s">
        <v>239</v>
      </c>
      <c r="R1572" s="2" t="s">
        <v>233</v>
      </c>
      <c r="S1572" s="2" t="s">
        <v>7528</v>
      </c>
      <c r="T1572" s="2" t="s">
        <v>341</v>
      </c>
      <c r="U1572" s="2" t="s">
        <v>342</v>
      </c>
      <c r="V1572" s="2" t="s">
        <v>1272</v>
      </c>
      <c r="W1572" s="2" t="s">
        <v>275</v>
      </c>
      <c r="X1572" s="2" t="s">
        <v>233</v>
      </c>
      <c r="Y1572" s="2" t="s">
        <v>1136</v>
      </c>
      <c r="Z1572" s="4">
        <v>90</v>
      </c>
      <c r="AA1572" s="4">
        <f>=ROUNDDOWN({0},0)</f>
      </c>
      <c r="AB1572" s="5"/>
      <c r="AC1572" s="2" t="s">
        <v>2872</v>
      </c>
      <c r="AD1572" s="4">
        <v>90</v>
      </c>
      <c r="AE1572" s="4">
        <v>180</v>
      </c>
      <c r="AF1572" s="6">
        <v>65</v>
      </c>
      <c r="AG1572" s="6"/>
      <c r="AH1572" s="7">
        <v>0</v>
      </c>
      <c r="AI1572" s="4"/>
      <c r="AJ1572" s="4">
        <f>=ROUNDDOWN({0},0)</f>
      </c>
      <c r="AK1572" s="5"/>
      <c r="AL1572" s="2" t="s">
        <v>233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233</v>
      </c>
      <c r="AW1572" s="8" t="s">
        <v>233</v>
      </c>
      <c r="AX1572" s="4" t="s">
        <v>233</v>
      </c>
      <c r="AY1572" s="8" t="s">
        <v>233</v>
      </c>
      <c r="AZ1572" s="7" t="s">
        <v>233</v>
      </c>
      <c r="BA1572" s="7" t="s">
        <v>233</v>
      </c>
      <c r="BB1572" s="7" t="s">
        <v>233</v>
      </c>
      <c r="BC1572" s="4" t="s">
        <v>233</v>
      </c>
      <c r="BD1572" s="8" t="s">
        <v>233</v>
      </c>
      <c r="BE1572" s="4" t="s">
        <v>233</v>
      </c>
      <c r="BF1572" s="8" t="s">
        <v>233</v>
      </c>
      <c r="BG1572" s="7" t="s">
        <v>233</v>
      </c>
      <c r="BH1572" s="7" t="s">
        <v>233</v>
      </c>
      <c r="BI1572" s="7"/>
      <c r="BJ1572" s="4"/>
      <c r="BK1572" s="8"/>
      <c r="BL1572" s="2" t="s">
        <v>233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243</v>
      </c>
      <c r="BV1572" s="2" t="s">
        <v>233</v>
      </c>
      <c r="BW1572" s="2" t="s">
        <v>233</v>
      </c>
      <c r="BX1572" s="2" t="s">
        <v>243</v>
      </c>
      <c r="BY1572" s="2" t="s">
        <v>346</v>
      </c>
      <c r="BZ1572" s="2" t="s">
        <v>245</v>
      </c>
      <c r="CA1572" s="2" t="s">
        <v>233</v>
      </c>
      <c r="CB1572" s="2" t="s">
        <v>233</v>
      </c>
      <c r="CC1572" s="2" t="s">
        <v>246</v>
      </c>
      <c r="CD1572" s="2" t="s">
        <v>233</v>
      </c>
      <c r="CE1572" s="4">
        <v>90</v>
      </c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>
        <v>90</v>
      </c>
      <c r="DG1572" s="4"/>
      <c r="DH1572" s="4"/>
      <c r="DI1572" s="4"/>
      <c r="DJ1572" s="4"/>
      <c r="DK1572" s="4"/>
      <c r="DL1572" s="4"/>
      <c r="DM1572" s="4">
        <v>90</v>
      </c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  <c r="HG1572" s="4"/>
      <c r="HH1572" s="4"/>
      <c r="HI1572" s="4"/>
      <c r="HJ1572" s="4"/>
      <c r="HK1572" s="4"/>
      <c r="HL1572" s="4"/>
      <c r="HM1572" s="4"/>
      <c r="HN1572" s="4"/>
      <c r="HO1572" s="4"/>
      <c r="HP1572" s="4"/>
      <c r="HQ1572" s="4"/>
      <c r="HR1572" s="4"/>
    </row>
    <row r="1573">
      <c r="A1573" s="2" t="s">
        <v>7533</v>
      </c>
      <c r="B1573" s="2" t="s">
        <v>910</v>
      </c>
      <c r="C1573" s="2" t="s">
        <v>911</v>
      </c>
      <c r="D1573" s="2" t="s">
        <v>969</v>
      </c>
      <c r="E1573" s="2" t="s">
        <v>1078</v>
      </c>
      <c r="F1573" s="2" t="s">
        <v>7534</v>
      </c>
      <c r="G1573" s="2" t="s">
        <v>3566</v>
      </c>
      <c r="H1573" s="2" t="s">
        <v>5589</v>
      </c>
      <c r="I1573" s="2" t="s">
        <v>973</v>
      </c>
      <c r="J1573" s="2" t="s">
        <v>918</v>
      </c>
      <c r="K1573" s="2" t="s">
        <v>255</v>
      </c>
      <c r="L1573" s="3">
        <v>31.25</v>
      </c>
      <c r="M1573" s="3">
        <v>32.81</v>
      </c>
      <c r="N1573" s="3">
        <v>69.99</v>
      </c>
      <c r="O1573" s="2" t="s">
        <v>245</v>
      </c>
      <c r="P1573" s="2" t="s">
        <v>311</v>
      </c>
      <c r="Q1573" s="2" t="s">
        <v>239</v>
      </c>
      <c r="R1573" s="2" t="s">
        <v>233</v>
      </c>
      <c r="S1573" s="2" t="s">
        <v>7535</v>
      </c>
      <c r="T1573" s="2" t="s">
        <v>233</v>
      </c>
      <c r="U1573" s="2" t="s">
        <v>475</v>
      </c>
      <c r="V1573" s="2" t="s">
        <v>359</v>
      </c>
      <c r="W1573" s="2" t="s">
        <v>275</v>
      </c>
      <c r="X1573" s="2" t="s">
        <v>2082</v>
      </c>
      <c r="Y1573" s="2" t="s">
        <v>7536</v>
      </c>
      <c r="Z1573" s="4">
        <v>234</v>
      </c>
      <c r="AA1573" s="4">
        <f>=ROUNDDOWN(83.5714285714286,0)</f>
      </c>
      <c r="AB1573" s="5">
        <v>2.8</v>
      </c>
      <c r="AC1573" s="2" t="s">
        <v>233</v>
      </c>
      <c r="AD1573" s="4"/>
      <c r="AE1573" s="4"/>
      <c r="AF1573" s="6">
        <v>64</v>
      </c>
      <c r="AG1573" s="6"/>
      <c r="AH1573" s="7">
        <v>1</v>
      </c>
      <c r="AI1573" s="4"/>
      <c r="AJ1573" s="4">
        <f>=ROUNDDOWN({0},0)</f>
      </c>
      <c r="AK1573" s="5"/>
      <c r="AL1573" s="2" t="s">
        <v>233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233</v>
      </c>
      <c r="AW1573" s="8" t="s">
        <v>233</v>
      </c>
      <c r="AX1573" s="4" t="s">
        <v>233</v>
      </c>
      <c r="AY1573" s="8" t="s">
        <v>233</v>
      </c>
      <c r="AZ1573" s="7" t="s">
        <v>233</v>
      </c>
      <c r="BA1573" s="7" t="s">
        <v>233</v>
      </c>
      <c r="BB1573" s="7" t="s">
        <v>233</v>
      </c>
      <c r="BC1573" s="4" t="s">
        <v>233</v>
      </c>
      <c r="BD1573" s="8" t="s">
        <v>233</v>
      </c>
      <c r="BE1573" s="4" t="s">
        <v>233</v>
      </c>
      <c r="BF1573" s="8" t="s">
        <v>233</v>
      </c>
      <c r="BG1573" s="7" t="s">
        <v>233</v>
      </c>
      <c r="BH1573" s="7" t="s">
        <v>233</v>
      </c>
      <c r="BI1573" s="7"/>
      <c r="BJ1573" s="4">
        <v>6</v>
      </c>
      <c r="BK1573" s="8">
        <v>189.98</v>
      </c>
      <c r="BL1573" s="2" t="s">
        <v>457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7537</v>
      </c>
      <c r="BV1573" s="2" t="s">
        <v>233</v>
      </c>
      <c r="BW1573" s="2" t="s">
        <v>233</v>
      </c>
      <c r="BX1573" s="2" t="s">
        <v>233</v>
      </c>
      <c r="BY1573" s="2" t="s">
        <v>280</v>
      </c>
      <c r="BZ1573" s="2" t="s">
        <v>245</v>
      </c>
      <c r="CA1573" s="2" t="s">
        <v>6636</v>
      </c>
      <c r="CB1573" s="2" t="s">
        <v>3056</v>
      </c>
      <c r="CC1573" s="2" t="s">
        <v>246</v>
      </c>
      <c r="CD1573" s="2" t="s">
        <v>233</v>
      </c>
      <c r="CE1573" s="4">
        <v>234</v>
      </c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/>
      <c r="HJ1573" s="4"/>
      <c r="HK1573" s="4"/>
      <c r="HL1573" s="4"/>
      <c r="HM1573" s="4"/>
      <c r="HN1573" s="4"/>
      <c r="HO1573" s="4"/>
      <c r="HP1573" s="4"/>
      <c r="HQ1573" s="4"/>
      <c r="HR1573" s="4"/>
    </row>
    <row r="1574">
      <c r="A1574" s="2" t="s">
        <v>7538</v>
      </c>
      <c r="B1574" s="2" t="s">
        <v>910</v>
      </c>
      <c r="C1574" s="2" t="s">
        <v>911</v>
      </c>
      <c r="D1574" s="2" t="s">
        <v>912</v>
      </c>
      <c r="E1574" s="2" t="s">
        <v>913</v>
      </c>
      <c r="F1574" s="2" t="s">
        <v>7534</v>
      </c>
      <c r="G1574" s="2" t="s">
        <v>3566</v>
      </c>
      <c r="H1574" s="2" t="s">
        <v>5589</v>
      </c>
      <c r="I1574" s="2" t="s">
        <v>7539</v>
      </c>
      <c r="J1574" s="2" t="s">
        <v>918</v>
      </c>
      <c r="K1574" s="2" t="s">
        <v>255</v>
      </c>
      <c r="L1574" s="3">
        <v>23.96</v>
      </c>
      <c r="M1574" s="3">
        <v>25.16</v>
      </c>
      <c r="N1574" s="3">
        <v>54.99</v>
      </c>
      <c r="O1574" s="2" t="s">
        <v>245</v>
      </c>
      <c r="P1574" s="2" t="s">
        <v>311</v>
      </c>
      <c r="Q1574" s="2" t="s">
        <v>239</v>
      </c>
      <c r="R1574" s="2" t="s">
        <v>233</v>
      </c>
      <c r="S1574" s="2" t="s">
        <v>7535</v>
      </c>
      <c r="T1574" s="2" t="s">
        <v>233</v>
      </c>
      <c r="U1574" s="2" t="s">
        <v>475</v>
      </c>
      <c r="V1574" s="2" t="s">
        <v>359</v>
      </c>
      <c r="W1574" s="2" t="s">
        <v>275</v>
      </c>
      <c r="X1574" s="2" t="s">
        <v>2082</v>
      </c>
      <c r="Y1574" s="2" t="s">
        <v>7536</v>
      </c>
      <c r="Z1574" s="4">
        <v>103</v>
      </c>
      <c r="AA1574" s="4">
        <f>=ROUNDDOWN(68.6666666666667,0)</f>
      </c>
      <c r="AB1574" s="5">
        <v>1.5</v>
      </c>
      <c r="AC1574" s="2" t="s">
        <v>233</v>
      </c>
      <c r="AD1574" s="4"/>
      <c r="AE1574" s="4"/>
      <c r="AF1574" s="6">
        <v>64</v>
      </c>
      <c r="AG1574" s="6"/>
      <c r="AH1574" s="7">
        <v>1</v>
      </c>
      <c r="AI1574" s="4"/>
      <c r="AJ1574" s="4">
        <f>=ROUNDDOWN({0},0)</f>
      </c>
      <c r="AK1574" s="5"/>
      <c r="AL1574" s="2" t="s">
        <v>233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233</v>
      </c>
      <c r="AW1574" s="8" t="s">
        <v>233</v>
      </c>
      <c r="AX1574" s="4" t="s">
        <v>233</v>
      </c>
      <c r="AY1574" s="8" t="s">
        <v>233</v>
      </c>
      <c r="AZ1574" s="7" t="s">
        <v>233</v>
      </c>
      <c r="BA1574" s="7" t="s">
        <v>233</v>
      </c>
      <c r="BB1574" s="7" t="s">
        <v>233</v>
      </c>
      <c r="BC1574" s="4" t="s">
        <v>233</v>
      </c>
      <c r="BD1574" s="8" t="s">
        <v>233</v>
      </c>
      <c r="BE1574" s="4" t="s">
        <v>233</v>
      </c>
      <c r="BF1574" s="8" t="s">
        <v>233</v>
      </c>
      <c r="BG1574" s="7" t="s">
        <v>233</v>
      </c>
      <c r="BH1574" s="7" t="s">
        <v>233</v>
      </c>
      <c r="BI1574" s="7"/>
      <c r="BJ1574" s="4">
        <v>8</v>
      </c>
      <c r="BK1574" s="8">
        <v>152.43</v>
      </c>
      <c r="BL1574" s="2" t="s">
        <v>373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7540</v>
      </c>
      <c r="BV1574" s="2" t="s">
        <v>233</v>
      </c>
      <c r="BW1574" s="2" t="s">
        <v>233</v>
      </c>
      <c r="BX1574" s="2" t="s">
        <v>233</v>
      </c>
      <c r="BY1574" s="2" t="s">
        <v>280</v>
      </c>
      <c r="BZ1574" s="2" t="s">
        <v>245</v>
      </c>
      <c r="CA1574" s="2" t="s">
        <v>6636</v>
      </c>
      <c r="CB1574" s="2" t="s">
        <v>1420</v>
      </c>
      <c r="CC1574" s="2" t="s">
        <v>246</v>
      </c>
      <c r="CD1574" s="2" t="s">
        <v>233</v>
      </c>
      <c r="CE1574" s="4">
        <v>103</v>
      </c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/>
      <c r="HJ1574" s="4"/>
      <c r="HK1574" s="4"/>
      <c r="HL1574" s="4"/>
      <c r="HM1574" s="4"/>
      <c r="HN1574" s="4"/>
      <c r="HO1574" s="4"/>
      <c r="HP1574" s="4"/>
      <c r="HQ1574" s="4"/>
      <c r="HR1574" s="4"/>
    </row>
    <row r="1575">
      <c r="A1575" s="2" t="s">
        <v>7541</v>
      </c>
      <c r="B1575" s="2" t="s">
        <v>910</v>
      </c>
      <c r="C1575" s="2" t="s">
        <v>911</v>
      </c>
      <c r="D1575" s="2" t="s">
        <v>912</v>
      </c>
      <c r="E1575" s="2" t="s">
        <v>913</v>
      </c>
      <c r="F1575" s="2" t="s">
        <v>7534</v>
      </c>
      <c r="G1575" s="2" t="s">
        <v>3566</v>
      </c>
      <c r="H1575" s="2" t="s">
        <v>5589</v>
      </c>
      <c r="I1575" s="2" t="s">
        <v>7539</v>
      </c>
      <c r="J1575" s="2" t="s">
        <v>981</v>
      </c>
      <c r="K1575" s="2" t="s">
        <v>255</v>
      </c>
      <c r="L1575" s="3">
        <v>28.76</v>
      </c>
      <c r="M1575" s="3">
        <v>30.2</v>
      </c>
      <c r="N1575" s="3">
        <v>64.99</v>
      </c>
      <c r="O1575" s="2" t="s">
        <v>245</v>
      </c>
      <c r="P1575" s="2" t="s">
        <v>311</v>
      </c>
      <c r="Q1575" s="2" t="s">
        <v>239</v>
      </c>
      <c r="R1575" s="2" t="s">
        <v>233</v>
      </c>
      <c r="S1575" s="2" t="s">
        <v>7535</v>
      </c>
      <c r="T1575" s="2" t="s">
        <v>233</v>
      </c>
      <c r="U1575" s="2" t="s">
        <v>342</v>
      </c>
      <c r="V1575" s="2" t="s">
        <v>359</v>
      </c>
      <c r="W1575" s="2" t="s">
        <v>275</v>
      </c>
      <c r="X1575" s="2" t="s">
        <v>2082</v>
      </c>
      <c r="Y1575" s="2" t="s">
        <v>7536</v>
      </c>
      <c r="Z1575" s="4">
        <v>75</v>
      </c>
      <c r="AA1575" s="4">
        <f>=ROUNDDOWN(30,0)</f>
      </c>
      <c r="AB1575" s="5">
        <v>2.5</v>
      </c>
      <c r="AC1575" s="2" t="s">
        <v>233</v>
      </c>
      <c r="AD1575" s="4"/>
      <c r="AE1575" s="4"/>
      <c r="AF1575" s="6">
        <v>64</v>
      </c>
      <c r="AG1575" s="6"/>
      <c r="AH1575" s="7">
        <v>1</v>
      </c>
      <c r="AI1575" s="4"/>
      <c r="AJ1575" s="4">
        <f>=ROUNDDOWN({0},0)</f>
      </c>
      <c r="AK1575" s="5"/>
      <c r="AL1575" s="2" t="s">
        <v>233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233</v>
      </c>
      <c r="AW1575" s="8" t="s">
        <v>233</v>
      </c>
      <c r="AX1575" s="4" t="s">
        <v>233</v>
      </c>
      <c r="AY1575" s="8" t="s">
        <v>233</v>
      </c>
      <c r="AZ1575" s="7" t="s">
        <v>233</v>
      </c>
      <c r="BA1575" s="7" t="s">
        <v>233</v>
      </c>
      <c r="BB1575" s="7"/>
      <c r="BC1575" s="4" t="s">
        <v>233</v>
      </c>
      <c r="BD1575" s="8" t="s">
        <v>233</v>
      </c>
      <c r="BE1575" s="4" t="s">
        <v>233</v>
      </c>
      <c r="BF1575" s="8" t="s">
        <v>233</v>
      </c>
      <c r="BG1575" s="7" t="s">
        <v>233</v>
      </c>
      <c r="BH1575" s="7" t="s">
        <v>233</v>
      </c>
      <c r="BI1575" s="7"/>
      <c r="BJ1575" s="4">
        <v>8</v>
      </c>
      <c r="BK1575" s="8">
        <v>185.75</v>
      </c>
      <c r="BL1575" s="2" t="s">
        <v>778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7542</v>
      </c>
      <c r="BV1575" s="2" t="s">
        <v>233</v>
      </c>
      <c r="BW1575" s="2" t="s">
        <v>233</v>
      </c>
      <c r="BX1575" s="2" t="s">
        <v>233</v>
      </c>
      <c r="BY1575" s="2" t="s">
        <v>280</v>
      </c>
      <c r="BZ1575" s="2" t="s">
        <v>245</v>
      </c>
      <c r="CA1575" s="2" t="s">
        <v>6636</v>
      </c>
      <c r="CB1575" s="2" t="s">
        <v>7543</v>
      </c>
      <c r="CC1575" s="2" t="s">
        <v>246</v>
      </c>
      <c r="CD1575" s="2" t="s">
        <v>233</v>
      </c>
      <c r="CE1575" s="4">
        <v>75</v>
      </c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  <c r="HM1575" s="4"/>
      <c r="HN1575" s="4"/>
      <c r="HO1575" s="4"/>
      <c r="HP1575" s="4"/>
      <c r="HQ1575" s="4"/>
      <c r="HR1575" s="4"/>
    </row>
    <row r="1576">
      <c r="A1576" s="2" t="s">
        <v>7544</v>
      </c>
      <c r="B1576" s="2" t="s">
        <v>886</v>
      </c>
      <c r="C1576" s="2" t="s">
        <v>887</v>
      </c>
      <c r="D1576" s="2" t="s">
        <v>3762</v>
      </c>
      <c r="E1576" s="2" t="s">
        <v>3763</v>
      </c>
      <c r="F1576" s="2" t="s">
        <v>7545</v>
      </c>
      <c r="G1576" s="2" t="s">
        <v>7545</v>
      </c>
      <c r="H1576" s="2" t="s">
        <v>7545</v>
      </c>
      <c r="I1576" s="2" t="s">
        <v>7546</v>
      </c>
      <c r="J1576" s="2" t="s">
        <v>892</v>
      </c>
      <c r="K1576" s="2" t="s">
        <v>7547</v>
      </c>
      <c r="L1576" s="3">
        <v>45</v>
      </c>
      <c r="M1576" s="3">
        <v>47.25</v>
      </c>
      <c r="N1576" s="3">
        <v>94.99</v>
      </c>
      <c r="O1576" s="2" t="s">
        <v>245</v>
      </c>
      <c r="P1576" s="2" t="s">
        <v>238</v>
      </c>
      <c r="Q1576" s="2" t="s">
        <v>239</v>
      </c>
      <c r="R1576" s="2" t="s">
        <v>233</v>
      </c>
      <c r="S1576" s="2" t="s">
        <v>233</v>
      </c>
      <c r="T1576" s="2" t="s">
        <v>233</v>
      </c>
      <c r="U1576" s="2" t="s">
        <v>396</v>
      </c>
      <c r="V1576" s="2" t="s">
        <v>893</v>
      </c>
      <c r="W1576" s="2" t="s">
        <v>776</v>
      </c>
      <c r="X1576" s="2" t="s">
        <v>705</v>
      </c>
      <c r="Y1576" s="2" t="s">
        <v>233</v>
      </c>
      <c r="Z1576" s="4"/>
      <c r="AA1576" s="4">
        <f>=ROUNDDOWN({0},0)</f>
      </c>
      <c r="AB1576" s="5"/>
      <c r="AC1576" s="2" t="s">
        <v>2721</v>
      </c>
      <c r="AD1576" s="4">
        <v>100</v>
      </c>
      <c r="AE1576" s="4">
        <v>100</v>
      </c>
      <c r="AF1576" s="6">
        <v>65</v>
      </c>
      <c r="AG1576" s="6"/>
      <c r="AH1576" s="7">
        <v>0</v>
      </c>
      <c r="AI1576" s="4"/>
      <c r="AJ1576" s="4">
        <f>=ROUNDDOWN({0},0)</f>
      </c>
      <c r="AK1576" s="5"/>
      <c r="AL1576" s="2" t="s">
        <v>233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/>
      <c r="BD1576" s="8"/>
      <c r="BE1576" s="4"/>
      <c r="BF1576" s="8"/>
      <c r="BG1576" s="7"/>
      <c r="BH1576" s="7"/>
      <c r="BI1576" s="7"/>
      <c r="BJ1576" s="4"/>
      <c r="BK1576" s="8"/>
      <c r="BL1576" s="2" t="s">
        <v>233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243</v>
      </c>
      <c r="BV1576" s="2" t="s">
        <v>233</v>
      </c>
      <c r="BW1576" s="2" t="s">
        <v>233</v>
      </c>
      <c r="BX1576" s="2" t="s">
        <v>243</v>
      </c>
      <c r="BY1576" s="2" t="s">
        <v>244</v>
      </c>
      <c r="BZ1576" s="2" t="s">
        <v>245</v>
      </c>
      <c r="CA1576" s="2" t="s">
        <v>233</v>
      </c>
      <c r="CB1576" s="2" t="s">
        <v>233</v>
      </c>
      <c r="CC1576" s="2" t="s">
        <v>246</v>
      </c>
      <c r="CD1576" s="2" t="s">
        <v>233</v>
      </c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>
        <v>100</v>
      </c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/>
      <c r="HJ1576" s="4"/>
      <c r="HK1576" s="4"/>
      <c r="HL1576" s="4"/>
      <c r="HM1576" s="4"/>
      <c r="HN1576" s="4"/>
      <c r="HO1576" s="4"/>
      <c r="HP1576" s="4"/>
      <c r="HQ1576" s="4"/>
      <c r="HR1576" s="4"/>
    </row>
    <row r="1577">
      <c r="A1577" s="2" t="s">
        <v>7548</v>
      </c>
      <c r="B1577" s="2" t="s">
        <v>928</v>
      </c>
      <c r="C1577" s="2" t="s">
        <v>530</v>
      </c>
      <c r="D1577" s="2" t="s">
        <v>961</v>
      </c>
      <c r="E1577" s="2" t="s">
        <v>2028</v>
      </c>
      <c r="F1577" s="2" t="s">
        <v>7549</v>
      </c>
      <c r="G1577" s="2" t="s">
        <v>7549</v>
      </c>
      <c r="H1577" s="2" t="s">
        <v>7549</v>
      </c>
      <c r="I1577" s="2" t="s">
        <v>7550</v>
      </c>
      <c r="J1577" s="2" t="s">
        <v>892</v>
      </c>
      <c r="K1577" s="2" t="s">
        <v>271</v>
      </c>
      <c r="L1577" s="3">
        <v>24.48</v>
      </c>
      <c r="M1577" s="3">
        <v>25.7</v>
      </c>
      <c r="N1577" s="3">
        <v>59.49</v>
      </c>
      <c r="O1577" s="2" t="s">
        <v>245</v>
      </c>
      <c r="P1577" s="2" t="s">
        <v>393</v>
      </c>
      <c r="Q1577" s="2" t="s">
        <v>239</v>
      </c>
      <c r="R1577" s="2" t="s">
        <v>233</v>
      </c>
      <c r="S1577" s="2" t="s">
        <v>233</v>
      </c>
      <c r="T1577" s="2" t="s">
        <v>233</v>
      </c>
      <c r="U1577" s="2" t="s">
        <v>396</v>
      </c>
      <c r="V1577" s="2" t="s">
        <v>1272</v>
      </c>
      <c r="W1577" s="2" t="s">
        <v>451</v>
      </c>
      <c r="X1577" s="2" t="s">
        <v>233</v>
      </c>
      <c r="Y1577" s="2" t="s">
        <v>2031</v>
      </c>
      <c r="Z1577" s="4">
        <v>70</v>
      </c>
      <c r="AA1577" s="4">
        <f>=ROUNDDOWN(13.7254901960784,0)</f>
      </c>
      <c r="AB1577" s="5">
        <v>5.1</v>
      </c>
      <c r="AC1577" s="2" t="s">
        <v>233</v>
      </c>
      <c r="AD1577" s="4"/>
      <c r="AE1577" s="4"/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233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22</v>
      </c>
      <c r="BK1577" s="8">
        <v>668.35</v>
      </c>
      <c r="BL1577" s="2" t="s">
        <v>7551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7552</v>
      </c>
      <c r="BV1577" s="2" t="s">
        <v>233</v>
      </c>
      <c r="BW1577" s="2" t="s">
        <v>233</v>
      </c>
      <c r="BX1577" s="2" t="s">
        <v>233</v>
      </c>
      <c r="BY1577" s="2" t="s">
        <v>280</v>
      </c>
      <c r="BZ1577" s="2" t="s">
        <v>245</v>
      </c>
      <c r="CA1577" s="2" t="s">
        <v>7553</v>
      </c>
      <c r="CB1577" s="2" t="s">
        <v>7554</v>
      </c>
      <c r="CC1577" s="2" t="s">
        <v>246</v>
      </c>
      <c r="CD1577" s="2" t="s">
        <v>233</v>
      </c>
      <c r="CE1577" s="4"/>
      <c r="CF1577" s="4">
        <v>70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4"/>
      <c r="HH1577" s="4"/>
      <c r="HI1577" s="4"/>
      <c r="HJ1577" s="4"/>
      <c r="HK1577" s="4"/>
      <c r="HL1577" s="4"/>
      <c r="HM1577" s="4"/>
      <c r="HN1577" s="4"/>
      <c r="HO1577" s="4"/>
      <c r="HP1577" s="4"/>
      <c r="HQ1577" s="4"/>
      <c r="HR1577" s="4"/>
    </row>
    <row r="1578">
      <c r="A1578" s="2" t="s">
        <v>7555</v>
      </c>
      <c r="B1578" s="2" t="s">
        <v>886</v>
      </c>
      <c r="C1578" s="2" t="s">
        <v>901</v>
      </c>
      <c r="D1578" s="2" t="s">
        <v>1167</v>
      </c>
      <c r="E1578" s="2" t="s">
        <v>1168</v>
      </c>
      <c r="F1578" s="2" t="s">
        <v>7556</v>
      </c>
      <c r="G1578" s="2" t="s">
        <v>7556</v>
      </c>
      <c r="H1578" s="2" t="s">
        <v>7556</v>
      </c>
      <c r="I1578" s="2" t="s">
        <v>7557</v>
      </c>
      <c r="J1578" s="2" t="s">
        <v>892</v>
      </c>
      <c r="K1578" s="2" t="s">
        <v>1105</v>
      </c>
      <c r="L1578" s="3">
        <v>33</v>
      </c>
      <c r="M1578" s="3">
        <v>34.65</v>
      </c>
      <c r="N1578" s="3">
        <v>69.99</v>
      </c>
      <c r="O1578" s="2" t="s">
        <v>245</v>
      </c>
      <c r="P1578" s="2" t="s">
        <v>238</v>
      </c>
      <c r="Q1578" s="2" t="s">
        <v>239</v>
      </c>
      <c r="R1578" s="2" t="s">
        <v>233</v>
      </c>
      <c r="S1578" s="2" t="s">
        <v>233</v>
      </c>
      <c r="T1578" s="2" t="s">
        <v>233</v>
      </c>
      <c r="U1578" s="2" t="s">
        <v>396</v>
      </c>
      <c r="V1578" s="2" t="s">
        <v>893</v>
      </c>
      <c r="W1578" s="2" t="s">
        <v>397</v>
      </c>
      <c r="X1578" s="2" t="s">
        <v>705</v>
      </c>
      <c r="Y1578" s="2" t="s">
        <v>4860</v>
      </c>
      <c r="Z1578" s="4">
        <v>97</v>
      </c>
      <c r="AA1578" s="4">
        <f>=ROUNDDOWN(97,0)</f>
      </c>
      <c r="AB1578" s="5">
        <v>1</v>
      </c>
      <c r="AC1578" s="2" t="s">
        <v>233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233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/>
      <c r="BD1578" s="8"/>
      <c r="BE1578" s="4"/>
      <c r="BF1578" s="8"/>
      <c r="BG1578" s="7"/>
      <c r="BH1578" s="7"/>
      <c r="BI1578" s="7"/>
      <c r="BJ1578" s="4">
        <v>2</v>
      </c>
      <c r="BK1578" s="8">
        <v>69.3</v>
      </c>
      <c r="BL1578" s="2" t="s">
        <v>744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7558</v>
      </c>
      <c r="BV1578" s="2" t="s">
        <v>233</v>
      </c>
      <c r="BW1578" s="2" t="s">
        <v>233</v>
      </c>
      <c r="BX1578" s="2" t="s">
        <v>243</v>
      </c>
      <c r="BY1578" s="2" t="s">
        <v>280</v>
      </c>
      <c r="BZ1578" s="2" t="s">
        <v>245</v>
      </c>
      <c r="CA1578" s="2" t="s">
        <v>3027</v>
      </c>
      <c r="CB1578" s="2" t="s">
        <v>233</v>
      </c>
      <c r="CC1578" s="2" t="s">
        <v>246</v>
      </c>
      <c r="CD1578" s="2" t="s">
        <v>233</v>
      </c>
      <c r="CE1578" s="4"/>
      <c r="CF1578" s="4">
        <v>97</v>
      </c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  <c r="HG1578" s="4"/>
      <c r="HH1578" s="4"/>
      <c r="HI1578" s="4"/>
      <c r="HJ1578" s="4"/>
      <c r="HK1578" s="4"/>
      <c r="HL1578" s="4"/>
      <c r="HM1578" s="4"/>
      <c r="HN1578" s="4"/>
      <c r="HO1578" s="4"/>
      <c r="HP1578" s="4"/>
      <c r="HQ1578" s="4"/>
      <c r="HR1578" s="4"/>
    </row>
    <row r="1579">
      <c r="A1579" s="2" t="s">
        <v>7559</v>
      </c>
      <c r="B1579" s="2" t="s">
        <v>928</v>
      </c>
      <c r="C1579" s="2" t="s">
        <v>947</v>
      </c>
      <c r="D1579" s="2" t="s">
        <v>1101</v>
      </c>
      <c r="E1579" s="2" t="s">
        <v>1102</v>
      </c>
      <c r="F1579" s="2" t="s">
        <v>7560</v>
      </c>
      <c r="G1579" s="2" t="s">
        <v>7560</v>
      </c>
      <c r="H1579" s="2" t="s">
        <v>7560</v>
      </c>
      <c r="I1579" s="2" t="s">
        <v>7561</v>
      </c>
      <c r="J1579" s="2" t="s">
        <v>892</v>
      </c>
      <c r="K1579" s="2" t="s">
        <v>1537</v>
      </c>
      <c r="L1579" s="3">
        <v>45.23</v>
      </c>
      <c r="M1579" s="3">
        <v>47.49</v>
      </c>
      <c r="N1579" s="3">
        <v>94.99</v>
      </c>
      <c r="O1579" s="2" t="s">
        <v>245</v>
      </c>
      <c r="P1579" s="2" t="s">
        <v>272</v>
      </c>
      <c r="Q1579" s="2" t="s">
        <v>239</v>
      </c>
      <c r="R1579" s="2" t="s">
        <v>233</v>
      </c>
      <c r="S1579" s="2" t="s">
        <v>233</v>
      </c>
      <c r="T1579" s="2" t="s">
        <v>233</v>
      </c>
      <c r="U1579" s="2" t="s">
        <v>396</v>
      </c>
      <c r="V1579" s="2" t="s">
        <v>893</v>
      </c>
      <c r="W1579" s="2" t="s">
        <v>343</v>
      </c>
      <c r="X1579" s="2" t="s">
        <v>5825</v>
      </c>
      <c r="Y1579" s="2" t="s">
        <v>746</v>
      </c>
      <c r="Z1579" s="4">
        <v>164</v>
      </c>
      <c r="AA1579" s="4">
        <f>=ROUNDDOWN(23.4285714285714,0)</f>
      </c>
      <c r="AB1579" s="5">
        <v>7</v>
      </c>
      <c r="AC1579" s="2" t="s">
        <v>233</v>
      </c>
      <c r="AD1579" s="4"/>
      <c r="AE1579" s="4"/>
      <c r="AF1579" s="6">
        <v>63</v>
      </c>
      <c r="AG1579" s="6"/>
      <c r="AH1579" s="7">
        <v>0.0645</v>
      </c>
      <c r="AI1579" s="4"/>
      <c r="AJ1579" s="4">
        <f>=ROUNDDOWN({0},0)</f>
      </c>
      <c r="AK1579" s="5"/>
      <c r="AL1579" s="2" t="s">
        <v>233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/>
      <c r="BD1579" s="8"/>
      <c r="BE1579" s="4"/>
      <c r="BF1579" s="8"/>
      <c r="BG1579" s="7"/>
      <c r="BH1579" s="7"/>
      <c r="BI1579" s="7"/>
      <c r="BJ1579" s="4">
        <v>1</v>
      </c>
      <c r="BK1579" s="8">
        <v>63.4</v>
      </c>
      <c r="BL1579" s="2" t="s">
        <v>744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7562</v>
      </c>
      <c r="BV1579" s="2" t="s">
        <v>233</v>
      </c>
      <c r="BW1579" s="2" t="s">
        <v>233</v>
      </c>
      <c r="BX1579" s="2" t="s">
        <v>233</v>
      </c>
      <c r="BY1579" s="2" t="s">
        <v>280</v>
      </c>
      <c r="BZ1579" s="2" t="s">
        <v>245</v>
      </c>
      <c r="CA1579" s="2" t="s">
        <v>3147</v>
      </c>
      <c r="CB1579" s="2" t="s">
        <v>2096</v>
      </c>
      <c r="CC1579" s="2" t="s">
        <v>246</v>
      </c>
      <c r="CD1579" s="2" t="s">
        <v>233</v>
      </c>
      <c r="CE1579" s="4">
        <v>164</v>
      </c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/>
      <c r="HJ1579" s="4"/>
      <c r="HK1579" s="4"/>
      <c r="HL1579" s="4"/>
      <c r="HM1579" s="4"/>
      <c r="HN1579" s="4"/>
      <c r="HO1579" s="4"/>
      <c r="HP1579" s="4"/>
      <c r="HQ1579" s="4"/>
      <c r="HR1579" s="4"/>
    </row>
    <row r="1580">
      <c r="A1580" s="2" t="s">
        <v>7563</v>
      </c>
      <c r="B1580" s="2" t="s">
        <v>886</v>
      </c>
      <c r="C1580" s="2" t="s">
        <v>887</v>
      </c>
      <c r="D1580" s="2" t="s">
        <v>1167</v>
      </c>
      <c r="E1580" s="2" t="s">
        <v>1168</v>
      </c>
      <c r="F1580" s="2" t="s">
        <v>7564</v>
      </c>
      <c r="G1580" s="2" t="s">
        <v>7564</v>
      </c>
      <c r="H1580" s="2" t="s">
        <v>7564</v>
      </c>
      <c r="I1580" s="2" t="s">
        <v>7565</v>
      </c>
      <c r="J1580" s="2" t="s">
        <v>892</v>
      </c>
      <c r="K1580" s="2" t="s">
        <v>271</v>
      </c>
      <c r="L1580" s="3">
        <v>57</v>
      </c>
      <c r="M1580" s="3">
        <v>59.85</v>
      </c>
      <c r="N1580" s="3">
        <v>119</v>
      </c>
      <c r="O1580" s="2" t="s">
        <v>245</v>
      </c>
      <c r="P1580" s="2" t="s">
        <v>238</v>
      </c>
      <c r="Q1580" s="2" t="s">
        <v>239</v>
      </c>
      <c r="R1580" s="2" t="s">
        <v>233</v>
      </c>
      <c r="S1580" s="2" t="s">
        <v>233</v>
      </c>
      <c r="T1580" s="2" t="s">
        <v>233</v>
      </c>
      <c r="U1580" s="2" t="s">
        <v>396</v>
      </c>
      <c r="V1580" s="2" t="s">
        <v>893</v>
      </c>
      <c r="W1580" s="2" t="s">
        <v>275</v>
      </c>
      <c r="X1580" s="2" t="s">
        <v>776</v>
      </c>
      <c r="Y1580" s="2" t="s">
        <v>5514</v>
      </c>
      <c r="Z1580" s="4">
        <v>75</v>
      </c>
      <c r="AA1580" s="4">
        <f>=ROUNDDOWN(68.1818181818182,0)</f>
      </c>
      <c r="AB1580" s="5">
        <v>1.1</v>
      </c>
      <c r="AC1580" s="2" t="s">
        <v>233</v>
      </c>
      <c r="AD1580" s="4"/>
      <c r="AE1580" s="4"/>
      <c r="AF1580" s="6">
        <v>63</v>
      </c>
      <c r="AG1580" s="6"/>
      <c r="AH1580" s="7">
        <v>1</v>
      </c>
      <c r="AI1580" s="4"/>
      <c r="AJ1580" s="4">
        <f>=ROUNDDOWN({0},0)</f>
      </c>
      <c r="AK1580" s="5"/>
      <c r="AL1580" s="2" t="s">
        <v>233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 t="s">
        <v>233</v>
      </c>
      <c r="BD1580" s="8" t="s">
        <v>233</v>
      </c>
      <c r="BE1580" s="4" t="s">
        <v>233</v>
      </c>
      <c r="BF1580" s="8" t="s">
        <v>233</v>
      </c>
      <c r="BG1580" s="7" t="s">
        <v>233</v>
      </c>
      <c r="BH1580" s="7" t="s">
        <v>233</v>
      </c>
      <c r="BI1580" s="7"/>
      <c r="BJ1580" s="4">
        <v>4</v>
      </c>
      <c r="BK1580" s="8">
        <v>249.57</v>
      </c>
      <c r="BL1580" s="2" t="s">
        <v>7252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7566</v>
      </c>
      <c r="BV1580" s="2" t="s">
        <v>233</v>
      </c>
      <c r="BW1580" s="2" t="s">
        <v>233</v>
      </c>
      <c r="BX1580" s="2" t="s">
        <v>243</v>
      </c>
      <c r="BY1580" s="2" t="s">
        <v>280</v>
      </c>
      <c r="BZ1580" s="2" t="s">
        <v>245</v>
      </c>
      <c r="CA1580" s="2" t="s">
        <v>2963</v>
      </c>
      <c r="CB1580" s="2" t="s">
        <v>233</v>
      </c>
      <c r="CC1580" s="2" t="s">
        <v>246</v>
      </c>
      <c r="CD1580" s="2" t="s">
        <v>233</v>
      </c>
      <c r="CE1580" s="4"/>
      <c r="CF1580" s="4">
        <v>75</v>
      </c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  <c r="HM1580" s="4"/>
      <c r="HN1580" s="4"/>
      <c r="HO1580" s="4"/>
      <c r="HP1580" s="4"/>
      <c r="HQ1580" s="4"/>
      <c r="HR1580" s="4"/>
    </row>
    <row r="1581">
      <c r="A1581" s="2" t="s">
        <v>7567</v>
      </c>
      <c r="B1581" s="2" t="s">
        <v>886</v>
      </c>
      <c r="C1581" s="2" t="s">
        <v>887</v>
      </c>
      <c r="D1581" s="2" t="s">
        <v>1167</v>
      </c>
      <c r="E1581" s="2" t="s">
        <v>1168</v>
      </c>
      <c r="F1581" s="2" t="s">
        <v>7564</v>
      </c>
      <c r="G1581" s="2" t="s">
        <v>7564</v>
      </c>
      <c r="H1581" s="2" t="s">
        <v>7564</v>
      </c>
      <c r="I1581" s="2" t="s">
        <v>7565</v>
      </c>
      <c r="J1581" s="2" t="s">
        <v>892</v>
      </c>
      <c r="K1581" s="2" t="s">
        <v>7568</v>
      </c>
      <c r="L1581" s="3">
        <v>62</v>
      </c>
      <c r="M1581" s="3">
        <v>65.1</v>
      </c>
      <c r="N1581" s="3">
        <v>129.99</v>
      </c>
      <c r="O1581" s="2" t="s">
        <v>245</v>
      </c>
      <c r="P1581" s="2" t="s">
        <v>238</v>
      </c>
      <c r="Q1581" s="2" t="s">
        <v>239</v>
      </c>
      <c r="R1581" s="2" t="s">
        <v>233</v>
      </c>
      <c r="S1581" s="2" t="s">
        <v>233</v>
      </c>
      <c r="T1581" s="2" t="s">
        <v>233</v>
      </c>
      <c r="U1581" s="2" t="s">
        <v>396</v>
      </c>
      <c r="V1581" s="2" t="s">
        <v>893</v>
      </c>
      <c r="W1581" s="2" t="s">
        <v>275</v>
      </c>
      <c r="X1581" s="2" t="s">
        <v>776</v>
      </c>
      <c r="Y1581" s="2" t="s">
        <v>3856</v>
      </c>
      <c r="Z1581" s="4">
        <v>97</v>
      </c>
      <c r="AA1581" s="4">
        <f>=ROUNDDOWN(97,0)</f>
      </c>
      <c r="AB1581" s="5">
        <v>1</v>
      </c>
      <c r="AC1581" s="2" t="s">
        <v>233</v>
      </c>
      <c r="AD1581" s="4"/>
      <c r="AE1581" s="4"/>
      <c r="AF1581" s="6">
        <v>63</v>
      </c>
      <c r="AG1581" s="6"/>
      <c r="AH1581" s="7">
        <v>1</v>
      </c>
      <c r="AI1581" s="4"/>
      <c r="AJ1581" s="4">
        <f>=ROUNDDOWN({0},0)</f>
      </c>
      <c r="AK1581" s="5"/>
      <c r="AL1581" s="2" t="s">
        <v>233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 t="s">
        <v>233</v>
      </c>
      <c r="BD1581" s="8" t="s">
        <v>233</v>
      </c>
      <c r="BE1581" s="4" t="s">
        <v>233</v>
      </c>
      <c r="BF1581" s="8" t="s">
        <v>233</v>
      </c>
      <c r="BG1581" s="7" t="s">
        <v>233</v>
      </c>
      <c r="BH1581" s="7" t="s">
        <v>233</v>
      </c>
      <c r="BI1581" s="7"/>
      <c r="BJ1581" s="4"/>
      <c r="BK1581" s="8"/>
      <c r="BL1581" s="2" t="s">
        <v>233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7569</v>
      </c>
      <c r="BV1581" s="2" t="s">
        <v>233</v>
      </c>
      <c r="BW1581" s="2" t="s">
        <v>233</v>
      </c>
      <c r="BX1581" s="2" t="s">
        <v>243</v>
      </c>
      <c r="BY1581" s="2" t="s">
        <v>280</v>
      </c>
      <c r="BZ1581" s="2" t="s">
        <v>245</v>
      </c>
      <c r="CA1581" s="2" t="s">
        <v>2963</v>
      </c>
      <c r="CB1581" s="2" t="s">
        <v>233</v>
      </c>
      <c r="CC1581" s="2" t="s">
        <v>246</v>
      </c>
      <c r="CD1581" s="2" t="s">
        <v>233</v>
      </c>
      <c r="CE1581" s="4"/>
      <c r="CF1581" s="4">
        <v>97</v>
      </c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  <c r="HM1581" s="4"/>
      <c r="HN1581" s="4"/>
      <c r="HO1581" s="4"/>
      <c r="HP1581" s="4"/>
      <c r="HQ1581" s="4"/>
      <c r="HR1581" s="4"/>
    </row>
    <row r="1582">
      <c r="A1582" s="2" t="s">
        <v>7570</v>
      </c>
      <c r="B1582" s="2" t="s">
        <v>333</v>
      </c>
      <c r="C1582" s="2" t="s">
        <v>990</v>
      </c>
      <c r="D1582" s="2" t="s">
        <v>335</v>
      </c>
      <c r="E1582" s="2" t="s">
        <v>336</v>
      </c>
      <c r="F1582" s="2" t="s">
        <v>7571</v>
      </c>
      <c r="G1582" s="2" t="s">
        <v>7571</v>
      </c>
      <c r="H1582" s="2" t="s">
        <v>7571</v>
      </c>
      <c r="I1582" s="2" t="s">
        <v>7572</v>
      </c>
      <c r="J1582" s="2" t="s">
        <v>328</v>
      </c>
      <c r="K1582" s="2" t="s">
        <v>255</v>
      </c>
      <c r="L1582" s="3">
        <v>22.28</v>
      </c>
      <c r="M1582" s="3">
        <v>23.39</v>
      </c>
      <c r="N1582" s="3">
        <v>59.99</v>
      </c>
      <c r="O1582" s="2" t="s">
        <v>245</v>
      </c>
      <c r="P1582" s="2" t="s">
        <v>272</v>
      </c>
      <c r="Q1582" s="2" t="s">
        <v>239</v>
      </c>
      <c r="R1582" s="2" t="s">
        <v>233</v>
      </c>
      <c r="S1582" s="2" t="s">
        <v>233</v>
      </c>
      <c r="T1582" s="2" t="s">
        <v>341</v>
      </c>
      <c r="U1582" s="2" t="s">
        <v>233</v>
      </c>
      <c r="V1582" s="2" t="s">
        <v>241</v>
      </c>
      <c r="W1582" s="2" t="s">
        <v>705</v>
      </c>
      <c r="X1582" s="2" t="s">
        <v>233</v>
      </c>
      <c r="Y1582" s="2" t="s">
        <v>3755</v>
      </c>
      <c r="Z1582" s="4">
        <v>1</v>
      </c>
      <c r="AA1582" s="4">
        <f>=ROUNDDOWN(0.5,0)</f>
      </c>
      <c r="AB1582" s="5">
        <v>2</v>
      </c>
      <c r="AC1582" s="2" t="s">
        <v>319</v>
      </c>
      <c r="AD1582" s="4">
        <v>20</v>
      </c>
      <c r="AE1582" s="4">
        <v>52</v>
      </c>
      <c r="AF1582" s="6">
        <v>65</v>
      </c>
      <c r="AG1582" s="6"/>
      <c r="AH1582" s="7">
        <v>0</v>
      </c>
      <c r="AI1582" s="4"/>
      <c r="AJ1582" s="4">
        <f>=ROUNDDOWN({0},0)</f>
      </c>
      <c r="AK1582" s="5"/>
      <c r="AL1582" s="2" t="s">
        <v>233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233</v>
      </c>
      <c r="AW1582" s="8" t="s">
        <v>233</v>
      </c>
      <c r="AX1582" s="4" t="s">
        <v>233</v>
      </c>
      <c r="AY1582" s="8" t="s">
        <v>233</v>
      </c>
      <c r="AZ1582" s="7" t="s">
        <v>233</v>
      </c>
      <c r="BA1582" s="7" t="s">
        <v>233</v>
      </c>
      <c r="BB1582" s="7"/>
      <c r="BC1582" s="4" t="s">
        <v>233</v>
      </c>
      <c r="BD1582" s="8" t="s">
        <v>233</v>
      </c>
      <c r="BE1582" s="4" t="s">
        <v>233</v>
      </c>
      <c r="BF1582" s="8" t="s">
        <v>233</v>
      </c>
      <c r="BG1582" s="7" t="s">
        <v>233</v>
      </c>
      <c r="BH1582" s="7" t="s">
        <v>233</v>
      </c>
      <c r="BI1582" s="7"/>
      <c r="BJ1582" s="4"/>
      <c r="BK1582" s="8"/>
      <c r="BL1582" s="2" t="s">
        <v>233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7573</v>
      </c>
      <c r="BV1582" s="2" t="s">
        <v>233</v>
      </c>
      <c r="BW1582" s="2" t="s">
        <v>233</v>
      </c>
      <c r="BX1582" s="2" t="s">
        <v>233</v>
      </c>
      <c r="BY1582" s="2" t="s">
        <v>280</v>
      </c>
      <c r="BZ1582" s="2" t="s">
        <v>245</v>
      </c>
      <c r="CA1582" s="2" t="s">
        <v>2354</v>
      </c>
      <c r="CB1582" s="2" t="s">
        <v>1950</v>
      </c>
      <c r="CC1582" s="2" t="s">
        <v>246</v>
      </c>
      <c r="CD1582" s="2" t="s">
        <v>233</v>
      </c>
      <c r="CE1582" s="4">
        <v>1</v>
      </c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>
        <v>20</v>
      </c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>
        <v>32</v>
      </c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  <c r="HG1582" s="4"/>
      <c r="HH1582" s="4"/>
      <c r="HI1582" s="4"/>
      <c r="HJ1582" s="4"/>
      <c r="HK1582" s="4"/>
      <c r="HL1582" s="4"/>
      <c r="HM1582" s="4"/>
      <c r="HN1582" s="4"/>
      <c r="HO1582" s="4"/>
      <c r="HP1582" s="4"/>
      <c r="HQ1582" s="4"/>
      <c r="HR1582" s="4"/>
    </row>
    <row r="1583">
      <c r="A1583" s="2" t="s">
        <v>7574</v>
      </c>
      <c r="B1583" s="2" t="s">
        <v>333</v>
      </c>
      <c r="C1583" s="2" t="s">
        <v>990</v>
      </c>
      <c r="D1583" s="2" t="s">
        <v>335</v>
      </c>
      <c r="E1583" s="2" t="s">
        <v>336</v>
      </c>
      <c r="F1583" s="2" t="s">
        <v>7571</v>
      </c>
      <c r="G1583" s="2" t="s">
        <v>7571</v>
      </c>
      <c r="H1583" s="2" t="s">
        <v>7571</v>
      </c>
      <c r="I1583" s="2" t="s">
        <v>7572</v>
      </c>
      <c r="J1583" s="2" t="s">
        <v>7575</v>
      </c>
      <c r="K1583" s="2" t="s">
        <v>255</v>
      </c>
      <c r="L1583" s="3">
        <v>18.57</v>
      </c>
      <c r="M1583" s="3">
        <v>19.5</v>
      </c>
      <c r="N1583" s="3">
        <v>49.99</v>
      </c>
      <c r="O1583" s="2" t="s">
        <v>245</v>
      </c>
      <c r="P1583" s="2" t="s">
        <v>272</v>
      </c>
      <c r="Q1583" s="2" t="s">
        <v>239</v>
      </c>
      <c r="R1583" s="2" t="s">
        <v>233</v>
      </c>
      <c r="S1583" s="2" t="s">
        <v>233</v>
      </c>
      <c r="T1583" s="2" t="s">
        <v>341</v>
      </c>
      <c r="U1583" s="2" t="s">
        <v>233</v>
      </c>
      <c r="V1583" s="2" t="s">
        <v>241</v>
      </c>
      <c r="W1583" s="2" t="s">
        <v>705</v>
      </c>
      <c r="X1583" s="2" t="s">
        <v>233</v>
      </c>
      <c r="Y1583" s="2" t="s">
        <v>3755</v>
      </c>
      <c r="Z1583" s="4"/>
      <c r="AA1583" s="4">
        <f>=ROUNDDOWN({0},0)</f>
      </c>
      <c r="AB1583" s="5">
        <v>2</v>
      </c>
      <c r="AC1583" s="2" t="s">
        <v>319</v>
      </c>
      <c r="AD1583" s="4">
        <v>32</v>
      </c>
      <c r="AE1583" s="4">
        <v>84</v>
      </c>
      <c r="AF1583" s="6">
        <v>65</v>
      </c>
      <c r="AG1583" s="6"/>
      <c r="AH1583" s="7">
        <v>0</v>
      </c>
      <c r="AI1583" s="4"/>
      <c r="AJ1583" s="4">
        <f>=ROUNDDOWN({0},0)</f>
      </c>
      <c r="AK1583" s="5"/>
      <c r="AL1583" s="2" t="s">
        <v>233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233</v>
      </c>
      <c r="AW1583" s="8" t="s">
        <v>233</v>
      </c>
      <c r="AX1583" s="4" t="s">
        <v>233</v>
      </c>
      <c r="AY1583" s="8" t="s">
        <v>233</v>
      </c>
      <c r="AZ1583" s="7" t="s">
        <v>233</v>
      </c>
      <c r="BA1583" s="7" t="s">
        <v>233</v>
      </c>
      <c r="BB1583" s="7"/>
      <c r="BC1583" s="4" t="s">
        <v>233</v>
      </c>
      <c r="BD1583" s="8" t="s">
        <v>233</v>
      </c>
      <c r="BE1583" s="4" t="s">
        <v>233</v>
      </c>
      <c r="BF1583" s="8" t="s">
        <v>233</v>
      </c>
      <c r="BG1583" s="7" t="s">
        <v>233</v>
      </c>
      <c r="BH1583" s="7" t="s">
        <v>233</v>
      </c>
      <c r="BI1583" s="7"/>
      <c r="BJ1583" s="4">
        <v>1</v>
      </c>
      <c r="BK1583" s="8">
        <v>42.49</v>
      </c>
      <c r="BL1583" s="2" t="s">
        <v>2501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7576</v>
      </c>
      <c r="BV1583" s="2" t="s">
        <v>233</v>
      </c>
      <c r="BW1583" s="2" t="s">
        <v>233</v>
      </c>
      <c r="BX1583" s="2" t="s">
        <v>233</v>
      </c>
      <c r="BY1583" s="2" t="s">
        <v>280</v>
      </c>
      <c r="BZ1583" s="2" t="s">
        <v>245</v>
      </c>
      <c r="CA1583" s="2" t="s">
        <v>2354</v>
      </c>
      <c r="CB1583" s="2" t="s">
        <v>2423</v>
      </c>
      <c r="CC1583" s="2" t="s">
        <v>246</v>
      </c>
      <c r="CD1583" s="2" t="s">
        <v>233</v>
      </c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>
        <v>32</v>
      </c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>
        <v>52</v>
      </c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  <c r="HG1583" s="4"/>
      <c r="HH1583" s="4"/>
      <c r="HI1583" s="4"/>
      <c r="HJ1583" s="4"/>
      <c r="HK1583" s="4"/>
      <c r="HL1583" s="4"/>
      <c r="HM1583" s="4"/>
      <c r="HN1583" s="4"/>
      <c r="HO1583" s="4"/>
      <c r="HP1583" s="4"/>
      <c r="HQ1583" s="4"/>
      <c r="HR1583" s="4"/>
    </row>
    <row r="1584">
      <c r="A1584" s="2" t="s">
        <v>7577</v>
      </c>
      <c r="B1584" s="2" t="s">
        <v>333</v>
      </c>
      <c r="C1584" s="2" t="s">
        <v>990</v>
      </c>
      <c r="D1584" s="2" t="s">
        <v>335</v>
      </c>
      <c r="E1584" s="2" t="s">
        <v>336</v>
      </c>
      <c r="F1584" s="2" t="s">
        <v>7571</v>
      </c>
      <c r="G1584" s="2" t="s">
        <v>7571</v>
      </c>
      <c r="H1584" s="2" t="s">
        <v>7571</v>
      </c>
      <c r="I1584" s="2" t="s">
        <v>7572</v>
      </c>
      <c r="J1584" s="2" t="s">
        <v>328</v>
      </c>
      <c r="K1584" s="2" t="s">
        <v>569</v>
      </c>
      <c r="L1584" s="3">
        <v>22.28</v>
      </c>
      <c r="M1584" s="3">
        <v>23.39</v>
      </c>
      <c r="N1584" s="3">
        <v>59.99</v>
      </c>
      <c r="O1584" s="2" t="s">
        <v>245</v>
      </c>
      <c r="P1584" s="2" t="s">
        <v>272</v>
      </c>
      <c r="Q1584" s="2" t="s">
        <v>239</v>
      </c>
      <c r="R1584" s="2" t="s">
        <v>233</v>
      </c>
      <c r="S1584" s="2" t="s">
        <v>233</v>
      </c>
      <c r="T1584" s="2" t="s">
        <v>341</v>
      </c>
      <c r="U1584" s="2" t="s">
        <v>233</v>
      </c>
      <c r="V1584" s="2" t="s">
        <v>241</v>
      </c>
      <c r="W1584" s="2" t="s">
        <v>705</v>
      </c>
      <c r="X1584" s="2" t="s">
        <v>233</v>
      </c>
      <c r="Y1584" s="2" t="s">
        <v>3755</v>
      </c>
      <c r="Z1584" s="4"/>
      <c r="AA1584" s="4">
        <f>=ROUNDDOWN({0},0)</f>
      </c>
      <c r="AB1584" s="5">
        <v>1</v>
      </c>
      <c r="AC1584" s="2" t="s">
        <v>319</v>
      </c>
      <c r="AD1584" s="4">
        <v>32</v>
      </c>
      <c r="AE1584" s="4">
        <v>64</v>
      </c>
      <c r="AF1584" s="6">
        <v>65</v>
      </c>
      <c r="AG1584" s="6"/>
      <c r="AH1584" s="7">
        <v>0</v>
      </c>
      <c r="AI1584" s="4"/>
      <c r="AJ1584" s="4">
        <f>=ROUNDDOWN({0},0)</f>
      </c>
      <c r="AK1584" s="5"/>
      <c r="AL1584" s="2" t="s">
        <v>233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233</v>
      </c>
      <c r="AW1584" s="8" t="s">
        <v>233</v>
      </c>
      <c r="AX1584" s="4" t="s">
        <v>233</v>
      </c>
      <c r="AY1584" s="8" t="s">
        <v>233</v>
      </c>
      <c r="AZ1584" s="7" t="s">
        <v>233</v>
      </c>
      <c r="BA1584" s="7" t="s">
        <v>233</v>
      </c>
      <c r="BB1584" s="7"/>
      <c r="BC1584" s="4" t="s">
        <v>233</v>
      </c>
      <c r="BD1584" s="8" t="s">
        <v>233</v>
      </c>
      <c r="BE1584" s="4" t="s">
        <v>233</v>
      </c>
      <c r="BF1584" s="8" t="s">
        <v>233</v>
      </c>
      <c r="BG1584" s="7" t="s">
        <v>233</v>
      </c>
      <c r="BH1584" s="7" t="s">
        <v>233</v>
      </c>
      <c r="BI1584" s="7"/>
      <c r="BJ1584" s="4">
        <v>1</v>
      </c>
      <c r="BK1584" s="8">
        <v>50.99</v>
      </c>
      <c r="BL1584" s="2" t="s">
        <v>1602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7578</v>
      </c>
      <c r="BV1584" s="2" t="s">
        <v>233</v>
      </c>
      <c r="BW1584" s="2" t="s">
        <v>233</v>
      </c>
      <c r="BX1584" s="2" t="s">
        <v>233</v>
      </c>
      <c r="BY1584" s="2" t="s">
        <v>280</v>
      </c>
      <c r="BZ1584" s="2" t="s">
        <v>245</v>
      </c>
      <c r="CA1584" s="2" t="s">
        <v>2354</v>
      </c>
      <c r="CB1584" s="2" t="s">
        <v>1582</v>
      </c>
      <c r="CC1584" s="2" t="s">
        <v>246</v>
      </c>
      <c r="CD1584" s="2" t="s">
        <v>233</v>
      </c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>
        <v>32</v>
      </c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>
        <v>32</v>
      </c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  <c r="HM1584" s="4"/>
      <c r="HN1584" s="4"/>
      <c r="HO1584" s="4"/>
      <c r="HP1584" s="4"/>
      <c r="HQ1584" s="4"/>
      <c r="HR1584" s="4"/>
    </row>
    <row r="1585">
      <c r="A1585" s="2" t="s">
        <v>7579</v>
      </c>
      <c r="B1585" s="2" t="s">
        <v>333</v>
      </c>
      <c r="C1585" s="2" t="s">
        <v>990</v>
      </c>
      <c r="D1585" s="2" t="s">
        <v>335</v>
      </c>
      <c r="E1585" s="2" t="s">
        <v>336</v>
      </c>
      <c r="F1585" s="2" t="s">
        <v>7571</v>
      </c>
      <c r="G1585" s="2" t="s">
        <v>7571</v>
      </c>
      <c r="H1585" s="2" t="s">
        <v>7571</v>
      </c>
      <c r="I1585" s="2" t="s">
        <v>7580</v>
      </c>
      <c r="J1585" s="2" t="s">
        <v>546</v>
      </c>
      <c r="K1585" s="2" t="s">
        <v>569</v>
      </c>
      <c r="L1585" s="3">
        <v>74.28</v>
      </c>
      <c r="M1585" s="3">
        <v>77.99</v>
      </c>
      <c r="N1585" s="3">
        <v>199.99</v>
      </c>
      <c r="O1585" s="2" t="s">
        <v>245</v>
      </c>
      <c r="P1585" s="2" t="s">
        <v>272</v>
      </c>
      <c r="Q1585" s="2" t="s">
        <v>239</v>
      </c>
      <c r="R1585" s="2" t="s">
        <v>233</v>
      </c>
      <c r="S1585" s="2" t="s">
        <v>233</v>
      </c>
      <c r="T1585" s="2" t="s">
        <v>341</v>
      </c>
      <c r="U1585" s="2" t="s">
        <v>233</v>
      </c>
      <c r="V1585" s="2" t="s">
        <v>241</v>
      </c>
      <c r="W1585" s="2" t="s">
        <v>705</v>
      </c>
      <c r="X1585" s="2" t="s">
        <v>233</v>
      </c>
      <c r="Y1585" s="2" t="s">
        <v>3755</v>
      </c>
      <c r="Z1585" s="4">
        <v>67</v>
      </c>
      <c r="AA1585" s="4">
        <f>=ROUNDDOWN(33.5,0)</f>
      </c>
      <c r="AB1585" s="5">
        <v>2</v>
      </c>
      <c r="AC1585" s="2" t="s">
        <v>813</v>
      </c>
      <c r="AD1585" s="4">
        <v>40</v>
      </c>
      <c r="AE1585" s="4">
        <v>40</v>
      </c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233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233</v>
      </c>
      <c r="AW1585" s="8" t="s">
        <v>233</v>
      </c>
      <c r="AX1585" s="4" t="s">
        <v>233</v>
      </c>
      <c r="AY1585" s="8" t="s">
        <v>233</v>
      </c>
      <c r="AZ1585" s="7" t="s">
        <v>233</v>
      </c>
      <c r="BA1585" s="7" t="s">
        <v>233</v>
      </c>
      <c r="BB1585" s="7"/>
      <c r="BC1585" s="4" t="s">
        <v>233</v>
      </c>
      <c r="BD1585" s="8" t="s">
        <v>233</v>
      </c>
      <c r="BE1585" s="4" t="s">
        <v>233</v>
      </c>
      <c r="BF1585" s="8" t="s">
        <v>233</v>
      </c>
      <c r="BG1585" s="7" t="s">
        <v>233</v>
      </c>
      <c r="BH1585" s="7" t="s">
        <v>233</v>
      </c>
      <c r="BI1585" s="7"/>
      <c r="BJ1585" s="4">
        <v>2</v>
      </c>
      <c r="BK1585" s="8">
        <v>179.08</v>
      </c>
      <c r="BL1585" s="2" t="s">
        <v>935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7581</v>
      </c>
      <c r="BV1585" s="2" t="s">
        <v>233</v>
      </c>
      <c r="BW1585" s="2" t="s">
        <v>233</v>
      </c>
      <c r="BX1585" s="2" t="s">
        <v>233</v>
      </c>
      <c r="BY1585" s="2" t="s">
        <v>280</v>
      </c>
      <c r="BZ1585" s="2" t="s">
        <v>245</v>
      </c>
      <c r="CA1585" s="2" t="s">
        <v>2354</v>
      </c>
      <c r="CB1585" s="2" t="s">
        <v>3479</v>
      </c>
      <c r="CC1585" s="2" t="s">
        <v>246</v>
      </c>
      <c r="CD1585" s="2" t="s">
        <v>233</v>
      </c>
      <c r="CE1585" s="4">
        <v>67</v>
      </c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>
        <v>40</v>
      </c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/>
      <c r="HJ1585" s="4"/>
      <c r="HK1585" s="4"/>
      <c r="HL1585" s="4"/>
      <c r="HM1585" s="4"/>
      <c r="HN1585" s="4"/>
      <c r="HO1585" s="4"/>
      <c r="HP1585" s="4"/>
      <c r="HQ1585" s="4"/>
      <c r="HR1585" s="4"/>
    </row>
    <row r="1586">
      <c r="A1586" s="2" t="s">
        <v>7582</v>
      </c>
      <c r="B1586" s="2" t="s">
        <v>333</v>
      </c>
      <c r="C1586" s="2" t="s">
        <v>990</v>
      </c>
      <c r="D1586" s="2" t="s">
        <v>335</v>
      </c>
      <c r="E1586" s="2" t="s">
        <v>336</v>
      </c>
      <c r="F1586" s="2" t="s">
        <v>7571</v>
      </c>
      <c r="G1586" s="2" t="s">
        <v>7571</v>
      </c>
      <c r="H1586" s="2" t="s">
        <v>7571</v>
      </c>
      <c r="I1586" s="2" t="s">
        <v>7572</v>
      </c>
      <c r="J1586" s="2" t="s">
        <v>7575</v>
      </c>
      <c r="K1586" s="2" t="s">
        <v>569</v>
      </c>
      <c r="L1586" s="3">
        <v>18.57</v>
      </c>
      <c r="M1586" s="3">
        <v>19.5</v>
      </c>
      <c r="N1586" s="3">
        <v>49.99</v>
      </c>
      <c r="O1586" s="2" t="s">
        <v>245</v>
      </c>
      <c r="P1586" s="2" t="s">
        <v>272</v>
      </c>
      <c r="Q1586" s="2" t="s">
        <v>239</v>
      </c>
      <c r="R1586" s="2" t="s">
        <v>233</v>
      </c>
      <c r="S1586" s="2" t="s">
        <v>233</v>
      </c>
      <c r="T1586" s="2" t="s">
        <v>341</v>
      </c>
      <c r="U1586" s="2" t="s">
        <v>233</v>
      </c>
      <c r="V1586" s="2" t="s">
        <v>241</v>
      </c>
      <c r="W1586" s="2" t="s">
        <v>705</v>
      </c>
      <c r="X1586" s="2" t="s">
        <v>233</v>
      </c>
      <c r="Y1586" s="2" t="s">
        <v>3755</v>
      </c>
      <c r="Z1586" s="4"/>
      <c r="AA1586" s="4">
        <f>=ROUNDDOWN({0},0)</f>
      </c>
      <c r="AB1586" s="5">
        <v>2</v>
      </c>
      <c r="AC1586" s="2" t="s">
        <v>319</v>
      </c>
      <c r="AD1586" s="4">
        <v>40</v>
      </c>
      <c r="AE1586" s="4">
        <v>80</v>
      </c>
      <c r="AF1586" s="6">
        <v>65</v>
      </c>
      <c r="AG1586" s="6"/>
      <c r="AH1586" s="7">
        <v>0</v>
      </c>
      <c r="AI1586" s="4"/>
      <c r="AJ1586" s="4">
        <f>=ROUNDDOWN({0},0)</f>
      </c>
      <c r="AK1586" s="5"/>
      <c r="AL1586" s="2" t="s">
        <v>233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233</v>
      </c>
      <c r="AW1586" s="8" t="s">
        <v>233</v>
      </c>
      <c r="AX1586" s="4" t="s">
        <v>233</v>
      </c>
      <c r="AY1586" s="8" t="s">
        <v>233</v>
      </c>
      <c r="AZ1586" s="7" t="s">
        <v>233</v>
      </c>
      <c r="BA1586" s="7" t="s">
        <v>233</v>
      </c>
      <c r="BB1586" s="7"/>
      <c r="BC1586" s="4" t="s">
        <v>233</v>
      </c>
      <c r="BD1586" s="8" t="s">
        <v>233</v>
      </c>
      <c r="BE1586" s="4" t="s">
        <v>233</v>
      </c>
      <c r="BF1586" s="8" t="s">
        <v>233</v>
      </c>
      <c r="BG1586" s="7" t="s">
        <v>233</v>
      </c>
      <c r="BH1586" s="7" t="s">
        <v>233</v>
      </c>
      <c r="BI1586" s="7"/>
      <c r="BJ1586" s="4"/>
      <c r="BK1586" s="8"/>
      <c r="BL1586" s="2" t="s">
        <v>233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7583</v>
      </c>
      <c r="BV1586" s="2" t="s">
        <v>233</v>
      </c>
      <c r="BW1586" s="2" t="s">
        <v>233</v>
      </c>
      <c r="BX1586" s="2" t="s">
        <v>233</v>
      </c>
      <c r="BY1586" s="2" t="s">
        <v>280</v>
      </c>
      <c r="BZ1586" s="2" t="s">
        <v>245</v>
      </c>
      <c r="CA1586" s="2" t="s">
        <v>2354</v>
      </c>
      <c r="CB1586" s="2" t="s">
        <v>1424</v>
      </c>
      <c r="CC1586" s="2" t="s">
        <v>246</v>
      </c>
      <c r="CD1586" s="2" t="s">
        <v>233</v>
      </c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>
        <v>40</v>
      </c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>
        <v>40</v>
      </c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  <c r="HG1586" s="4"/>
      <c r="HH1586" s="4"/>
      <c r="HI1586" s="4"/>
      <c r="HJ1586" s="4"/>
      <c r="HK1586" s="4"/>
      <c r="HL1586" s="4"/>
      <c r="HM1586" s="4"/>
      <c r="HN1586" s="4"/>
      <c r="HO1586" s="4"/>
      <c r="HP1586" s="4"/>
      <c r="HQ1586" s="4"/>
      <c r="HR1586" s="4"/>
    </row>
    <row r="1587">
      <c r="A1587" s="2" t="s">
        <v>7584</v>
      </c>
      <c r="B1587" s="2" t="s">
        <v>333</v>
      </c>
      <c r="C1587" s="2" t="s">
        <v>990</v>
      </c>
      <c r="D1587" s="2" t="s">
        <v>335</v>
      </c>
      <c r="E1587" s="2" t="s">
        <v>336</v>
      </c>
      <c r="F1587" s="2" t="s">
        <v>7571</v>
      </c>
      <c r="G1587" s="2" t="s">
        <v>7571</v>
      </c>
      <c r="H1587" s="2" t="s">
        <v>7571</v>
      </c>
      <c r="I1587" s="2" t="s">
        <v>7572</v>
      </c>
      <c r="J1587" s="2" t="s">
        <v>328</v>
      </c>
      <c r="K1587" s="2" t="s">
        <v>297</v>
      </c>
      <c r="L1587" s="3">
        <v>22.28</v>
      </c>
      <c r="M1587" s="3">
        <v>23.39</v>
      </c>
      <c r="N1587" s="3">
        <v>59.99</v>
      </c>
      <c r="O1587" s="2" t="s">
        <v>245</v>
      </c>
      <c r="P1587" s="2" t="s">
        <v>272</v>
      </c>
      <c r="Q1587" s="2" t="s">
        <v>239</v>
      </c>
      <c r="R1587" s="2" t="s">
        <v>233</v>
      </c>
      <c r="S1587" s="2" t="s">
        <v>233</v>
      </c>
      <c r="T1587" s="2" t="s">
        <v>341</v>
      </c>
      <c r="U1587" s="2" t="s">
        <v>233</v>
      </c>
      <c r="V1587" s="2" t="s">
        <v>241</v>
      </c>
      <c r="W1587" s="2" t="s">
        <v>705</v>
      </c>
      <c r="X1587" s="2" t="s">
        <v>233</v>
      </c>
      <c r="Y1587" s="2" t="s">
        <v>3755</v>
      </c>
      <c r="Z1587" s="4"/>
      <c r="AA1587" s="4">
        <f>=ROUNDDOWN({0},0)</f>
      </c>
      <c r="AB1587" s="5">
        <v>1</v>
      </c>
      <c r="AC1587" s="2" t="s">
        <v>319</v>
      </c>
      <c r="AD1587" s="4">
        <v>20</v>
      </c>
      <c r="AE1587" s="4">
        <v>40</v>
      </c>
      <c r="AF1587" s="6">
        <v>65</v>
      </c>
      <c r="AG1587" s="6"/>
      <c r="AH1587" s="7">
        <v>0</v>
      </c>
      <c r="AI1587" s="4"/>
      <c r="AJ1587" s="4">
        <f>=ROUNDDOWN({0},0)</f>
      </c>
      <c r="AK1587" s="5"/>
      <c r="AL1587" s="2" t="s">
        <v>233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233</v>
      </c>
      <c r="AW1587" s="8" t="s">
        <v>233</v>
      </c>
      <c r="AX1587" s="4" t="s">
        <v>233</v>
      </c>
      <c r="AY1587" s="8" t="s">
        <v>233</v>
      </c>
      <c r="AZ1587" s="7" t="s">
        <v>233</v>
      </c>
      <c r="BA1587" s="7" t="s">
        <v>233</v>
      </c>
      <c r="BB1587" s="7"/>
      <c r="BC1587" s="4" t="s">
        <v>233</v>
      </c>
      <c r="BD1587" s="8" t="s">
        <v>233</v>
      </c>
      <c r="BE1587" s="4" t="s">
        <v>233</v>
      </c>
      <c r="BF1587" s="8" t="s">
        <v>233</v>
      </c>
      <c r="BG1587" s="7" t="s">
        <v>233</v>
      </c>
      <c r="BH1587" s="7" t="s">
        <v>233</v>
      </c>
      <c r="BI1587" s="7"/>
      <c r="BJ1587" s="4"/>
      <c r="BK1587" s="8"/>
      <c r="BL1587" s="2" t="s">
        <v>233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243</v>
      </c>
      <c r="BV1587" s="2" t="s">
        <v>233</v>
      </c>
      <c r="BW1587" s="2" t="s">
        <v>233</v>
      </c>
      <c r="BX1587" s="2" t="s">
        <v>243</v>
      </c>
      <c r="BY1587" s="2" t="s">
        <v>244</v>
      </c>
      <c r="BZ1587" s="2" t="s">
        <v>245</v>
      </c>
      <c r="CA1587" s="2" t="s">
        <v>233</v>
      </c>
      <c r="CB1587" s="2" t="s">
        <v>233</v>
      </c>
      <c r="CC1587" s="2" t="s">
        <v>246</v>
      </c>
      <c r="CD1587" s="2" t="s">
        <v>233</v>
      </c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>
        <v>20</v>
      </c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>
        <v>20</v>
      </c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  <c r="HG1587" s="4"/>
      <c r="HH1587" s="4"/>
      <c r="HI1587" s="4"/>
      <c r="HJ1587" s="4"/>
      <c r="HK1587" s="4"/>
      <c r="HL1587" s="4"/>
      <c r="HM1587" s="4"/>
      <c r="HN1587" s="4"/>
      <c r="HO1587" s="4"/>
      <c r="HP1587" s="4"/>
      <c r="HQ1587" s="4"/>
      <c r="HR1587" s="4"/>
    </row>
    <row r="1588">
      <c r="A1588" s="2" t="s">
        <v>7585</v>
      </c>
      <c r="B1588" s="2" t="s">
        <v>333</v>
      </c>
      <c r="C1588" s="2" t="s">
        <v>990</v>
      </c>
      <c r="D1588" s="2" t="s">
        <v>335</v>
      </c>
      <c r="E1588" s="2" t="s">
        <v>336</v>
      </c>
      <c r="F1588" s="2" t="s">
        <v>7571</v>
      </c>
      <c r="G1588" s="2" t="s">
        <v>7571</v>
      </c>
      <c r="H1588" s="2" t="s">
        <v>7571</v>
      </c>
      <c r="I1588" s="2" t="s">
        <v>7572</v>
      </c>
      <c r="J1588" s="2" t="s">
        <v>7575</v>
      </c>
      <c r="K1588" s="2" t="s">
        <v>297</v>
      </c>
      <c r="L1588" s="3">
        <v>18.57</v>
      </c>
      <c r="M1588" s="3">
        <v>19.5</v>
      </c>
      <c r="N1588" s="3">
        <v>49.99</v>
      </c>
      <c r="O1588" s="2" t="s">
        <v>245</v>
      </c>
      <c r="P1588" s="2" t="s">
        <v>272</v>
      </c>
      <c r="Q1588" s="2" t="s">
        <v>239</v>
      </c>
      <c r="R1588" s="2" t="s">
        <v>233</v>
      </c>
      <c r="S1588" s="2" t="s">
        <v>233</v>
      </c>
      <c r="T1588" s="2" t="s">
        <v>341</v>
      </c>
      <c r="U1588" s="2" t="s">
        <v>233</v>
      </c>
      <c r="V1588" s="2" t="s">
        <v>241</v>
      </c>
      <c r="W1588" s="2" t="s">
        <v>705</v>
      </c>
      <c r="X1588" s="2" t="s">
        <v>233</v>
      </c>
      <c r="Y1588" s="2" t="s">
        <v>3755</v>
      </c>
      <c r="Z1588" s="4"/>
      <c r="AA1588" s="4">
        <f>=ROUNDDOWN({0},0)</f>
      </c>
      <c r="AB1588" s="5">
        <v>2</v>
      </c>
      <c r="AC1588" s="2" t="s">
        <v>319</v>
      </c>
      <c r="AD1588" s="4">
        <v>40</v>
      </c>
      <c r="AE1588" s="4">
        <v>92</v>
      </c>
      <c r="AF1588" s="6">
        <v>65</v>
      </c>
      <c r="AG1588" s="6"/>
      <c r="AH1588" s="7">
        <v>0</v>
      </c>
      <c r="AI1588" s="4"/>
      <c r="AJ1588" s="4">
        <f>=ROUNDDOWN({0},0)</f>
      </c>
      <c r="AK1588" s="5"/>
      <c r="AL1588" s="2" t="s">
        <v>233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233</v>
      </c>
      <c r="AW1588" s="8" t="s">
        <v>233</v>
      </c>
      <c r="AX1588" s="4" t="s">
        <v>233</v>
      </c>
      <c r="AY1588" s="8" t="s">
        <v>233</v>
      </c>
      <c r="AZ1588" s="7" t="s">
        <v>233</v>
      </c>
      <c r="BA1588" s="7" t="s">
        <v>233</v>
      </c>
      <c r="BB1588" s="7"/>
      <c r="BC1588" s="4" t="s">
        <v>233</v>
      </c>
      <c r="BD1588" s="8" t="s">
        <v>233</v>
      </c>
      <c r="BE1588" s="4" t="s">
        <v>233</v>
      </c>
      <c r="BF1588" s="8" t="s">
        <v>233</v>
      </c>
      <c r="BG1588" s="7" t="s">
        <v>233</v>
      </c>
      <c r="BH1588" s="7" t="s">
        <v>233</v>
      </c>
      <c r="BI1588" s="7"/>
      <c r="BJ1588" s="4"/>
      <c r="BK1588" s="8"/>
      <c r="BL1588" s="2" t="s">
        <v>233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7586</v>
      </c>
      <c r="BV1588" s="2" t="s">
        <v>233</v>
      </c>
      <c r="BW1588" s="2" t="s">
        <v>233</v>
      </c>
      <c r="BX1588" s="2" t="s">
        <v>233</v>
      </c>
      <c r="BY1588" s="2" t="s">
        <v>280</v>
      </c>
      <c r="BZ1588" s="2" t="s">
        <v>245</v>
      </c>
      <c r="CA1588" s="2" t="s">
        <v>3388</v>
      </c>
      <c r="CB1588" s="2" t="s">
        <v>2119</v>
      </c>
      <c r="CC1588" s="2" t="s">
        <v>246</v>
      </c>
      <c r="CD1588" s="2" t="s">
        <v>233</v>
      </c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>
        <v>40</v>
      </c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>
        <v>52</v>
      </c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  <c r="HG1588" s="4"/>
      <c r="HH1588" s="4"/>
      <c r="HI1588" s="4"/>
      <c r="HJ1588" s="4"/>
      <c r="HK1588" s="4"/>
      <c r="HL1588" s="4"/>
      <c r="HM1588" s="4"/>
      <c r="HN1588" s="4"/>
      <c r="HO1588" s="4"/>
      <c r="HP1588" s="4"/>
      <c r="HQ1588" s="4"/>
      <c r="HR1588" s="4"/>
    </row>
    <row r="1589">
      <c r="A1589" s="2" t="s">
        <v>7587</v>
      </c>
      <c r="B1589" s="2" t="s">
        <v>1066</v>
      </c>
      <c r="C1589" s="2" t="s">
        <v>530</v>
      </c>
      <c r="D1589" s="2" t="s">
        <v>5551</v>
      </c>
      <c r="E1589" s="2" t="s">
        <v>5552</v>
      </c>
      <c r="F1589" s="2" t="s">
        <v>7588</v>
      </c>
      <c r="G1589" s="2" t="s">
        <v>1703</v>
      </c>
      <c r="H1589" s="2" t="s">
        <v>7589</v>
      </c>
      <c r="I1589" s="2" t="s">
        <v>5552</v>
      </c>
      <c r="J1589" s="2" t="s">
        <v>892</v>
      </c>
      <c r="K1589" s="2" t="s">
        <v>645</v>
      </c>
      <c r="L1589" s="3">
        <v>475</v>
      </c>
      <c r="M1589" s="3">
        <v>498.75</v>
      </c>
      <c r="N1589" s="3">
        <v>999</v>
      </c>
      <c r="O1589" s="2" t="s">
        <v>245</v>
      </c>
      <c r="P1589" s="2" t="s">
        <v>311</v>
      </c>
      <c r="Q1589" s="2" t="s">
        <v>239</v>
      </c>
      <c r="R1589" s="2" t="s">
        <v>233</v>
      </c>
      <c r="S1589" s="2" t="s">
        <v>7590</v>
      </c>
      <c r="T1589" s="2" t="s">
        <v>233</v>
      </c>
      <c r="U1589" s="2" t="s">
        <v>233</v>
      </c>
      <c r="V1589" s="2" t="s">
        <v>241</v>
      </c>
      <c r="W1589" s="2" t="s">
        <v>451</v>
      </c>
      <c r="X1589" s="2" t="s">
        <v>233</v>
      </c>
      <c r="Y1589" s="2" t="s">
        <v>7591</v>
      </c>
      <c r="Z1589" s="4">
        <v>129</v>
      </c>
      <c r="AA1589" s="4">
        <f>=ROUNDDOWN(129,0)</f>
      </c>
      <c r="AB1589" s="5">
        <v>1</v>
      </c>
      <c r="AC1589" s="2" t="s">
        <v>233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233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/>
      <c r="BD1589" s="8"/>
      <c r="BE1589" s="4"/>
      <c r="BF1589" s="8"/>
      <c r="BG1589" s="7"/>
      <c r="BH1589" s="7"/>
      <c r="BI1589" s="7"/>
      <c r="BJ1589" s="4"/>
      <c r="BK1589" s="8"/>
      <c r="BL1589" s="2" t="s">
        <v>1023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7592</v>
      </c>
      <c r="BV1589" s="2" t="s">
        <v>233</v>
      </c>
      <c r="BW1589" s="2" t="s">
        <v>233</v>
      </c>
      <c r="BX1589" s="2" t="s">
        <v>233</v>
      </c>
      <c r="BY1589" s="2" t="s">
        <v>280</v>
      </c>
      <c r="BZ1589" s="2" t="s">
        <v>245</v>
      </c>
      <c r="CA1589" s="2" t="s">
        <v>1306</v>
      </c>
      <c r="CB1589" s="2" t="s">
        <v>5559</v>
      </c>
      <c r="CC1589" s="2" t="s">
        <v>246</v>
      </c>
      <c r="CD1589" s="2" t="s">
        <v>233</v>
      </c>
      <c r="CE1589" s="4"/>
      <c r="CF1589" s="4">
        <v>129</v>
      </c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  <c r="HG1589" s="4"/>
      <c r="HH1589" s="4"/>
      <c r="HI1589" s="4"/>
      <c r="HJ1589" s="4"/>
      <c r="HK1589" s="4"/>
      <c r="HL1589" s="4"/>
      <c r="HM1589" s="4"/>
      <c r="HN1589" s="4"/>
      <c r="HO1589" s="4"/>
      <c r="HP1589" s="4"/>
      <c r="HQ1589" s="4"/>
      <c r="HR1589" s="4"/>
    </row>
    <row r="1590">
      <c r="A1590" s="2" t="s">
        <v>7593</v>
      </c>
      <c r="B1590" s="2" t="s">
        <v>886</v>
      </c>
      <c r="C1590" s="2" t="s">
        <v>887</v>
      </c>
      <c r="D1590" s="2" t="s">
        <v>1167</v>
      </c>
      <c r="E1590" s="2" t="s">
        <v>1168</v>
      </c>
      <c r="F1590" s="2" t="s">
        <v>7594</v>
      </c>
      <c r="G1590" s="2" t="s">
        <v>7594</v>
      </c>
      <c r="H1590" s="2" t="s">
        <v>7594</v>
      </c>
      <c r="I1590" s="2" t="s">
        <v>7595</v>
      </c>
      <c r="J1590" s="2" t="s">
        <v>892</v>
      </c>
      <c r="K1590" s="2" t="s">
        <v>449</v>
      </c>
      <c r="L1590" s="3">
        <v>38</v>
      </c>
      <c r="M1590" s="3">
        <v>39.9</v>
      </c>
      <c r="N1590" s="3">
        <v>79.99</v>
      </c>
      <c r="O1590" s="2" t="s">
        <v>245</v>
      </c>
      <c r="P1590" s="2" t="s">
        <v>238</v>
      </c>
      <c r="Q1590" s="2" t="s">
        <v>239</v>
      </c>
      <c r="R1590" s="2" t="s">
        <v>233</v>
      </c>
      <c r="S1590" s="2" t="s">
        <v>233</v>
      </c>
      <c r="T1590" s="2" t="s">
        <v>233</v>
      </c>
      <c r="U1590" s="2" t="s">
        <v>396</v>
      </c>
      <c r="V1590" s="2" t="s">
        <v>893</v>
      </c>
      <c r="W1590" s="2" t="s">
        <v>451</v>
      </c>
      <c r="X1590" s="2" t="s">
        <v>233</v>
      </c>
      <c r="Y1590" s="2" t="s">
        <v>233</v>
      </c>
      <c r="Z1590" s="4"/>
      <c r="AA1590" s="4">
        <f>=ROUNDDOWN({0},0)</f>
      </c>
      <c r="AB1590" s="5"/>
      <c r="AC1590" s="2" t="s">
        <v>1701</v>
      </c>
      <c r="AD1590" s="4">
        <v>100</v>
      </c>
      <c r="AE1590" s="4">
        <v>100</v>
      </c>
      <c r="AF1590" s="6"/>
      <c r="AG1590" s="6"/>
      <c r="AH1590" s="7">
        <v>0</v>
      </c>
      <c r="AI1590" s="4"/>
      <c r="AJ1590" s="4">
        <f>=ROUNDDOWN({0},0)</f>
      </c>
      <c r="AK1590" s="5"/>
      <c r="AL1590" s="2" t="s">
        <v>233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/>
      <c r="BD1590" s="8"/>
      <c r="BE1590" s="4"/>
      <c r="BF1590" s="8"/>
      <c r="BG1590" s="7"/>
      <c r="BH1590" s="7"/>
      <c r="BI1590" s="7"/>
      <c r="BJ1590" s="4"/>
      <c r="BK1590" s="8"/>
      <c r="BL1590" s="2" t="s">
        <v>233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243</v>
      </c>
      <c r="BV1590" s="2" t="s">
        <v>233</v>
      </c>
      <c r="BW1590" s="2" t="s">
        <v>233</v>
      </c>
      <c r="BX1590" s="2" t="s">
        <v>243</v>
      </c>
      <c r="BY1590" s="2" t="s">
        <v>244</v>
      </c>
      <c r="BZ1590" s="2" t="s">
        <v>245</v>
      </c>
      <c r="CA1590" s="2" t="s">
        <v>233</v>
      </c>
      <c r="CB1590" s="2" t="s">
        <v>233</v>
      </c>
      <c r="CC1590" s="2" t="s">
        <v>246</v>
      </c>
      <c r="CD1590" s="2" t="s">
        <v>233</v>
      </c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>
        <v>100</v>
      </c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/>
      <c r="HJ1590" s="4"/>
      <c r="HK1590" s="4"/>
      <c r="HL1590" s="4"/>
      <c r="HM1590" s="4"/>
      <c r="HN1590" s="4"/>
      <c r="HO1590" s="4"/>
      <c r="HP1590" s="4"/>
      <c r="HQ1590" s="4"/>
      <c r="HR1590" s="4"/>
    </row>
    <row r="1591">
      <c r="A1591" s="2" t="s">
        <v>7596</v>
      </c>
      <c r="B1591" s="2" t="s">
        <v>1242</v>
      </c>
      <c r="C1591" s="2" t="s">
        <v>701</v>
      </c>
      <c r="D1591" s="2" t="s">
        <v>969</v>
      </c>
      <c r="E1591" s="2" t="s">
        <v>970</v>
      </c>
      <c r="F1591" s="2" t="s">
        <v>7597</v>
      </c>
      <c r="G1591" s="2" t="s">
        <v>7597</v>
      </c>
      <c r="H1591" s="2" t="s">
        <v>7597</v>
      </c>
      <c r="I1591" s="2" t="s">
        <v>7598</v>
      </c>
      <c r="J1591" s="2" t="s">
        <v>1142</v>
      </c>
      <c r="K1591" s="2" t="s">
        <v>271</v>
      </c>
      <c r="L1591" s="3">
        <v>50.28</v>
      </c>
      <c r="M1591" s="3">
        <v>52.79</v>
      </c>
      <c r="N1591" s="3">
        <v>109.99</v>
      </c>
      <c r="O1591" s="2" t="s">
        <v>245</v>
      </c>
      <c r="P1591" s="2" t="s">
        <v>311</v>
      </c>
      <c r="Q1591" s="2" t="s">
        <v>239</v>
      </c>
      <c r="R1591" s="2" t="s">
        <v>233</v>
      </c>
      <c r="S1591" s="2" t="s">
        <v>7599</v>
      </c>
      <c r="T1591" s="2" t="s">
        <v>233</v>
      </c>
      <c r="U1591" s="2" t="s">
        <v>475</v>
      </c>
      <c r="V1591" s="2" t="s">
        <v>241</v>
      </c>
      <c r="W1591" s="2" t="s">
        <v>275</v>
      </c>
      <c r="X1591" s="2" t="s">
        <v>233</v>
      </c>
      <c r="Y1591" s="2" t="s">
        <v>1680</v>
      </c>
      <c r="Z1591" s="4">
        <v>8</v>
      </c>
      <c r="AA1591" s="4">
        <f>=ROUNDDOWN(1.33333333333333,0)</f>
      </c>
      <c r="AB1591" s="5">
        <v>6</v>
      </c>
      <c r="AC1591" s="2" t="s">
        <v>1492</v>
      </c>
      <c r="AD1591" s="4">
        <v>120</v>
      </c>
      <c r="AE1591" s="4">
        <v>220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233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233</v>
      </c>
      <c r="AW1591" s="8" t="s">
        <v>233</v>
      </c>
      <c r="AX1591" s="4" t="s">
        <v>233</v>
      </c>
      <c r="AY1591" s="8" t="s">
        <v>233</v>
      </c>
      <c r="AZ1591" s="7" t="s">
        <v>233</v>
      </c>
      <c r="BA1591" s="7" t="s">
        <v>233</v>
      </c>
      <c r="BB1591" s="7" t="s">
        <v>233</v>
      </c>
      <c r="BC1591" s="4" t="s">
        <v>233</v>
      </c>
      <c r="BD1591" s="8" t="s">
        <v>233</v>
      </c>
      <c r="BE1591" s="4" t="s">
        <v>233</v>
      </c>
      <c r="BF1591" s="8" t="s">
        <v>233</v>
      </c>
      <c r="BG1591" s="7" t="s">
        <v>233</v>
      </c>
      <c r="BH1591" s="7" t="s">
        <v>233</v>
      </c>
      <c r="BI1591" s="7"/>
      <c r="BJ1591" s="4">
        <v>4</v>
      </c>
      <c r="BK1591" s="8">
        <v>226.49</v>
      </c>
      <c r="BL1591" s="2" t="s">
        <v>7600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7601</v>
      </c>
      <c r="BV1591" s="2" t="s">
        <v>233</v>
      </c>
      <c r="BW1591" s="2" t="s">
        <v>233</v>
      </c>
      <c r="BX1591" s="2" t="s">
        <v>233</v>
      </c>
      <c r="BY1591" s="2" t="s">
        <v>280</v>
      </c>
      <c r="BZ1591" s="2" t="s">
        <v>245</v>
      </c>
      <c r="CA1591" s="2" t="s">
        <v>1683</v>
      </c>
      <c r="CB1591" s="2" t="s">
        <v>5992</v>
      </c>
      <c r="CC1591" s="2" t="s">
        <v>246</v>
      </c>
      <c r="CD1591" s="2" t="s">
        <v>233</v>
      </c>
      <c r="CE1591" s="4">
        <v>8</v>
      </c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>
        <v>120</v>
      </c>
      <c r="EA1591" s="4"/>
      <c r="EB1591" s="4"/>
      <c r="EC1591" s="4"/>
      <c r="ED1591" s="4"/>
      <c r="EE1591" s="4"/>
      <c r="EF1591" s="4"/>
      <c r="EG1591" s="4">
        <v>100</v>
      </c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  <c r="HM1591" s="4"/>
      <c r="HN1591" s="4"/>
      <c r="HO1591" s="4"/>
      <c r="HP1591" s="4"/>
      <c r="HQ1591" s="4"/>
      <c r="HR1591" s="4"/>
    </row>
    <row r="1592">
      <c r="A1592" s="2" t="s">
        <v>7602</v>
      </c>
      <c r="B1592" s="2" t="s">
        <v>1242</v>
      </c>
      <c r="C1592" s="2" t="s">
        <v>701</v>
      </c>
      <c r="D1592" s="2" t="s">
        <v>912</v>
      </c>
      <c r="E1592" s="2" t="s">
        <v>1139</v>
      </c>
      <c r="F1592" s="2" t="s">
        <v>7597</v>
      </c>
      <c r="G1592" s="2" t="s">
        <v>7597</v>
      </c>
      <c r="H1592" s="2" t="s">
        <v>7597</v>
      </c>
      <c r="I1592" s="2" t="s">
        <v>7603</v>
      </c>
      <c r="J1592" s="2" t="s">
        <v>1142</v>
      </c>
      <c r="K1592" s="2" t="s">
        <v>271</v>
      </c>
      <c r="L1592" s="3">
        <v>36.57</v>
      </c>
      <c r="M1592" s="3">
        <v>38.4</v>
      </c>
      <c r="N1592" s="3">
        <v>79.99</v>
      </c>
      <c r="O1592" s="2" t="s">
        <v>245</v>
      </c>
      <c r="P1592" s="2" t="s">
        <v>311</v>
      </c>
      <c r="Q1592" s="2" t="s">
        <v>239</v>
      </c>
      <c r="R1592" s="2" t="s">
        <v>233</v>
      </c>
      <c r="S1592" s="2" t="s">
        <v>7599</v>
      </c>
      <c r="T1592" s="2" t="s">
        <v>233</v>
      </c>
      <c r="U1592" s="2" t="s">
        <v>475</v>
      </c>
      <c r="V1592" s="2" t="s">
        <v>241</v>
      </c>
      <c r="W1592" s="2" t="s">
        <v>275</v>
      </c>
      <c r="X1592" s="2" t="s">
        <v>233</v>
      </c>
      <c r="Y1592" s="2" t="s">
        <v>1680</v>
      </c>
      <c r="Z1592" s="4">
        <v>84</v>
      </c>
      <c r="AA1592" s="4">
        <f>=ROUNDDOWN(21,0)</f>
      </c>
      <c r="AB1592" s="5">
        <v>4</v>
      </c>
      <c r="AC1592" s="2" t="s">
        <v>1492</v>
      </c>
      <c r="AD1592" s="4">
        <v>30</v>
      </c>
      <c r="AE1592" s="4">
        <v>90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233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233</v>
      </c>
      <c r="AW1592" s="8" t="s">
        <v>233</v>
      </c>
      <c r="AX1592" s="4" t="s">
        <v>233</v>
      </c>
      <c r="AY1592" s="8" t="s">
        <v>233</v>
      </c>
      <c r="AZ1592" s="7" t="s">
        <v>233</v>
      </c>
      <c r="BA1592" s="7" t="s">
        <v>233</v>
      </c>
      <c r="BB1592" s="7" t="s">
        <v>233</v>
      </c>
      <c r="BC1592" s="4" t="s">
        <v>233</v>
      </c>
      <c r="BD1592" s="8" t="s">
        <v>233</v>
      </c>
      <c r="BE1592" s="4" t="s">
        <v>233</v>
      </c>
      <c r="BF1592" s="8" t="s">
        <v>233</v>
      </c>
      <c r="BG1592" s="7" t="s">
        <v>233</v>
      </c>
      <c r="BH1592" s="7" t="s">
        <v>233</v>
      </c>
      <c r="BI1592" s="7"/>
      <c r="BJ1592" s="4">
        <v>5</v>
      </c>
      <c r="BK1592" s="8">
        <v>203.9</v>
      </c>
      <c r="BL1592" s="2" t="s">
        <v>1237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7604</v>
      </c>
      <c r="BV1592" s="2" t="s">
        <v>233</v>
      </c>
      <c r="BW1592" s="2" t="s">
        <v>233</v>
      </c>
      <c r="BX1592" s="2" t="s">
        <v>233</v>
      </c>
      <c r="BY1592" s="2" t="s">
        <v>280</v>
      </c>
      <c r="BZ1592" s="2" t="s">
        <v>245</v>
      </c>
      <c r="CA1592" s="2" t="s">
        <v>1683</v>
      </c>
      <c r="CB1592" s="2" t="s">
        <v>1962</v>
      </c>
      <c r="CC1592" s="2" t="s">
        <v>246</v>
      </c>
      <c r="CD1592" s="2" t="s">
        <v>233</v>
      </c>
      <c r="CE1592" s="4">
        <v>84</v>
      </c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>
        <v>30</v>
      </c>
      <c r="EA1592" s="4"/>
      <c r="EB1592" s="4"/>
      <c r="EC1592" s="4"/>
      <c r="ED1592" s="4"/>
      <c r="EE1592" s="4"/>
      <c r="EF1592" s="4"/>
      <c r="EG1592" s="4">
        <v>60</v>
      </c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  <c r="HG1592" s="4"/>
      <c r="HH1592" s="4"/>
      <c r="HI1592" s="4"/>
      <c r="HJ1592" s="4"/>
      <c r="HK1592" s="4"/>
      <c r="HL1592" s="4"/>
      <c r="HM1592" s="4"/>
      <c r="HN1592" s="4"/>
      <c r="HO1592" s="4"/>
      <c r="HP1592" s="4"/>
      <c r="HQ1592" s="4"/>
      <c r="HR1592" s="4"/>
    </row>
    <row r="1593">
      <c r="A1593" s="2" t="s">
        <v>7605</v>
      </c>
      <c r="B1593" s="2" t="s">
        <v>1242</v>
      </c>
      <c r="C1593" s="2" t="s">
        <v>701</v>
      </c>
      <c r="D1593" s="2" t="s">
        <v>912</v>
      </c>
      <c r="E1593" s="2" t="s">
        <v>1139</v>
      </c>
      <c r="F1593" s="2" t="s">
        <v>7597</v>
      </c>
      <c r="G1593" s="2" t="s">
        <v>7597</v>
      </c>
      <c r="H1593" s="2" t="s">
        <v>7597</v>
      </c>
      <c r="I1593" s="2" t="s">
        <v>7603</v>
      </c>
      <c r="J1593" s="2" t="s">
        <v>981</v>
      </c>
      <c r="K1593" s="2" t="s">
        <v>1537</v>
      </c>
      <c r="L1593" s="3">
        <v>32</v>
      </c>
      <c r="M1593" s="3">
        <v>33.6</v>
      </c>
      <c r="N1593" s="3">
        <v>69.99</v>
      </c>
      <c r="O1593" s="2" t="s">
        <v>245</v>
      </c>
      <c r="P1593" s="2" t="s">
        <v>311</v>
      </c>
      <c r="Q1593" s="2" t="s">
        <v>239</v>
      </c>
      <c r="R1593" s="2" t="s">
        <v>233</v>
      </c>
      <c r="S1593" s="2" t="s">
        <v>7606</v>
      </c>
      <c r="T1593" s="2" t="s">
        <v>233</v>
      </c>
      <c r="U1593" s="2" t="s">
        <v>475</v>
      </c>
      <c r="V1593" s="2" t="s">
        <v>241</v>
      </c>
      <c r="W1593" s="2" t="s">
        <v>275</v>
      </c>
      <c r="X1593" s="2" t="s">
        <v>233</v>
      </c>
      <c r="Y1593" s="2" t="s">
        <v>1680</v>
      </c>
      <c r="Z1593" s="4">
        <v>237</v>
      </c>
      <c r="AA1593" s="4">
        <f>=ROUNDDOWN(39.5,0)</f>
      </c>
      <c r="AB1593" s="5">
        <v>6</v>
      </c>
      <c r="AC1593" s="2" t="s">
        <v>233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233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233</v>
      </c>
      <c r="AW1593" s="8" t="s">
        <v>233</v>
      </c>
      <c r="AX1593" s="4" t="s">
        <v>233</v>
      </c>
      <c r="AY1593" s="8" t="s">
        <v>233</v>
      </c>
      <c r="AZ1593" s="7" t="s">
        <v>233</v>
      </c>
      <c r="BA1593" s="7" t="s">
        <v>233</v>
      </c>
      <c r="BB1593" s="7"/>
      <c r="BC1593" s="4" t="s">
        <v>233</v>
      </c>
      <c r="BD1593" s="8" t="s">
        <v>233</v>
      </c>
      <c r="BE1593" s="4" t="s">
        <v>233</v>
      </c>
      <c r="BF1593" s="8" t="s">
        <v>233</v>
      </c>
      <c r="BG1593" s="7" t="s">
        <v>233</v>
      </c>
      <c r="BH1593" s="7" t="s">
        <v>233</v>
      </c>
      <c r="BI1593" s="7"/>
      <c r="BJ1593" s="4">
        <v>6</v>
      </c>
      <c r="BK1593" s="8">
        <v>216.39</v>
      </c>
      <c r="BL1593" s="2" t="s">
        <v>1254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7607</v>
      </c>
      <c r="BV1593" s="2" t="s">
        <v>233</v>
      </c>
      <c r="BW1593" s="2" t="s">
        <v>233</v>
      </c>
      <c r="BX1593" s="2" t="s">
        <v>233</v>
      </c>
      <c r="BY1593" s="2" t="s">
        <v>280</v>
      </c>
      <c r="BZ1593" s="2" t="s">
        <v>245</v>
      </c>
      <c r="CA1593" s="2" t="s">
        <v>1683</v>
      </c>
      <c r="CB1593" s="2" t="s">
        <v>908</v>
      </c>
      <c r="CC1593" s="2" t="s">
        <v>246</v>
      </c>
      <c r="CD1593" s="2" t="s">
        <v>233</v>
      </c>
      <c r="CE1593" s="4">
        <v>237</v>
      </c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  <c r="HM1593" s="4"/>
      <c r="HN1593" s="4"/>
      <c r="HO1593" s="4"/>
      <c r="HP1593" s="4"/>
      <c r="HQ1593" s="4"/>
      <c r="HR1593" s="4"/>
    </row>
    <row r="1594">
      <c r="A1594" s="2" t="s">
        <v>7608</v>
      </c>
      <c r="B1594" s="2" t="s">
        <v>1242</v>
      </c>
      <c r="C1594" s="2" t="s">
        <v>701</v>
      </c>
      <c r="D1594" s="2" t="s">
        <v>912</v>
      </c>
      <c r="E1594" s="2" t="s">
        <v>1139</v>
      </c>
      <c r="F1594" s="2" t="s">
        <v>7597</v>
      </c>
      <c r="G1594" s="2" t="s">
        <v>7597</v>
      </c>
      <c r="H1594" s="2" t="s">
        <v>7597</v>
      </c>
      <c r="I1594" s="2" t="s">
        <v>7603</v>
      </c>
      <c r="J1594" s="2" t="s">
        <v>1142</v>
      </c>
      <c r="K1594" s="2" t="s">
        <v>1537</v>
      </c>
      <c r="L1594" s="3">
        <v>36.57</v>
      </c>
      <c r="M1594" s="3">
        <v>38.4</v>
      </c>
      <c r="N1594" s="3">
        <v>79.99</v>
      </c>
      <c r="O1594" s="2" t="s">
        <v>245</v>
      </c>
      <c r="P1594" s="2" t="s">
        <v>311</v>
      </c>
      <c r="Q1594" s="2" t="s">
        <v>239</v>
      </c>
      <c r="R1594" s="2" t="s">
        <v>233</v>
      </c>
      <c r="S1594" s="2" t="s">
        <v>7606</v>
      </c>
      <c r="T1594" s="2" t="s">
        <v>233</v>
      </c>
      <c r="U1594" s="2" t="s">
        <v>475</v>
      </c>
      <c r="V1594" s="2" t="s">
        <v>241</v>
      </c>
      <c r="W1594" s="2" t="s">
        <v>275</v>
      </c>
      <c r="X1594" s="2" t="s">
        <v>233</v>
      </c>
      <c r="Y1594" s="2" t="s">
        <v>1680</v>
      </c>
      <c r="Z1594" s="4">
        <v>108</v>
      </c>
      <c r="AA1594" s="4">
        <f>=ROUNDDOWN(18,0)</f>
      </c>
      <c r="AB1594" s="5">
        <v>6</v>
      </c>
      <c r="AC1594" s="2" t="s">
        <v>233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233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233</v>
      </c>
      <c r="AW1594" s="8" t="s">
        <v>233</v>
      </c>
      <c r="AX1594" s="4" t="s">
        <v>233</v>
      </c>
      <c r="AY1594" s="8" t="s">
        <v>233</v>
      </c>
      <c r="AZ1594" s="7" t="s">
        <v>233</v>
      </c>
      <c r="BA1594" s="7" t="s">
        <v>233</v>
      </c>
      <c r="BB1594" s="7"/>
      <c r="BC1594" s="4" t="s">
        <v>233</v>
      </c>
      <c r="BD1594" s="8" t="s">
        <v>233</v>
      </c>
      <c r="BE1594" s="4" t="s">
        <v>233</v>
      </c>
      <c r="BF1594" s="8" t="s">
        <v>233</v>
      </c>
      <c r="BG1594" s="7" t="s">
        <v>233</v>
      </c>
      <c r="BH1594" s="7" t="s">
        <v>233</v>
      </c>
      <c r="BI1594" s="7"/>
      <c r="BJ1594" s="4">
        <v>18</v>
      </c>
      <c r="BK1594" s="8">
        <v>708.08</v>
      </c>
      <c r="BL1594" s="2" t="s">
        <v>7609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7610</v>
      </c>
      <c r="BV1594" s="2" t="s">
        <v>233</v>
      </c>
      <c r="BW1594" s="2" t="s">
        <v>233</v>
      </c>
      <c r="BX1594" s="2" t="s">
        <v>233</v>
      </c>
      <c r="BY1594" s="2" t="s">
        <v>280</v>
      </c>
      <c r="BZ1594" s="2" t="s">
        <v>245</v>
      </c>
      <c r="CA1594" s="2" t="s">
        <v>1683</v>
      </c>
      <c r="CB1594" s="2" t="s">
        <v>5570</v>
      </c>
      <c r="CC1594" s="2" t="s">
        <v>246</v>
      </c>
      <c r="CD1594" s="2" t="s">
        <v>233</v>
      </c>
      <c r="CE1594" s="4">
        <v>108</v>
      </c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  <c r="HM1594" s="4"/>
      <c r="HN1594" s="4"/>
      <c r="HO1594" s="4"/>
      <c r="HP1594" s="4"/>
      <c r="HQ1594" s="4"/>
      <c r="HR1594" s="4"/>
    </row>
    <row r="1595">
      <c r="A1595" s="2" t="s">
        <v>7611</v>
      </c>
      <c r="B1595" s="2" t="s">
        <v>1066</v>
      </c>
      <c r="C1595" s="2" t="s">
        <v>1321</v>
      </c>
      <c r="D1595" s="2" t="s">
        <v>1782</v>
      </c>
      <c r="E1595" s="2" t="s">
        <v>7233</v>
      </c>
      <c r="F1595" s="2" t="s">
        <v>7612</v>
      </c>
      <c r="G1595" s="2" t="s">
        <v>233</v>
      </c>
      <c r="H1595" s="2" t="s">
        <v>233</v>
      </c>
      <c r="I1595" s="2" t="s">
        <v>7233</v>
      </c>
      <c r="J1595" s="2" t="s">
        <v>892</v>
      </c>
      <c r="K1595" s="2" t="s">
        <v>7613</v>
      </c>
      <c r="L1595" s="3">
        <v>247.5</v>
      </c>
      <c r="M1595" s="3">
        <v>259.88</v>
      </c>
      <c r="N1595" s="3">
        <v>519</v>
      </c>
      <c r="O1595" s="2" t="s">
        <v>237</v>
      </c>
      <c r="P1595" s="2" t="s">
        <v>311</v>
      </c>
      <c r="Q1595" s="2" t="s">
        <v>239</v>
      </c>
      <c r="R1595" s="2" t="s">
        <v>233</v>
      </c>
      <c r="S1595" s="2" t="s">
        <v>7614</v>
      </c>
      <c r="T1595" s="2" t="s">
        <v>233</v>
      </c>
      <c r="U1595" s="2" t="s">
        <v>233</v>
      </c>
      <c r="V1595" s="2" t="s">
        <v>241</v>
      </c>
      <c r="W1595" s="2" t="s">
        <v>776</v>
      </c>
      <c r="X1595" s="2" t="s">
        <v>233</v>
      </c>
      <c r="Y1595" s="2" t="s">
        <v>3555</v>
      </c>
      <c r="Z1595" s="4">
        <v>58</v>
      </c>
      <c r="AA1595" s="4">
        <f>=ROUNDDOWN(9.66666666666667,0)</f>
      </c>
      <c r="AB1595" s="5">
        <v>6</v>
      </c>
      <c r="AC1595" s="2" t="s">
        <v>233</v>
      </c>
      <c r="AD1595" s="4"/>
      <c r="AE1595" s="4"/>
      <c r="AF1595" s="6">
        <v>74</v>
      </c>
      <c r="AG1595" s="6"/>
      <c r="AH1595" s="7">
        <v>1</v>
      </c>
      <c r="AI1595" s="4"/>
      <c r="AJ1595" s="4">
        <f>=ROUNDDOWN({0},0)</f>
      </c>
      <c r="AK1595" s="5"/>
      <c r="AL1595" s="2" t="s">
        <v>233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/>
      <c r="AW1595" s="8"/>
      <c r="AX1595" s="4"/>
      <c r="AY1595" s="8"/>
      <c r="AZ1595" s="7"/>
      <c r="BA1595" s="7"/>
      <c r="BB1595" s="7"/>
      <c r="BC1595" s="4"/>
      <c r="BD1595" s="8"/>
      <c r="BE1595" s="4"/>
      <c r="BF1595" s="8"/>
      <c r="BG1595" s="7"/>
      <c r="BH1595" s="7"/>
      <c r="BI1595" s="7"/>
      <c r="BJ1595" s="4">
        <v>23</v>
      </c>
      <c r="BK1595" s="8">
        <v>4197.42</v>
      </c>
      <c r="BL1595" s="2" t="s">
        <v>7615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7616</v>
      </c>
      <c r="BV1595" s="2" t="s">
        <v>233</v>
      </c>
      <c r="BW1595" s="2" t="s">
        <v>233</v>
      </c>
      <c r="BX1595" s="2" t="s">
        <v>243</v>
      </c>
      <c r="BY1595" s="2" t="s">
        <v>280</v>
      </c>
      <c r="BZ1595" s="2" t="s">
        <v>245</v>
      </c>
      <c r="CA1595" s="2" t="s">
        <v>433</v>
      </c>
      <c r="CB1595" s="2" t="s">
        <v>3555</v>
      </c>
      <c r="CC1595" s="2" t="s">
        <v>246</v>
      </c>
      <c r="CD1595" s="2" t="s">
        <v>233</v>
      </c>
      <c r="CE1595" s="4"/>
      <c r="CF1595" s="4">
        <v>58</v>
      </c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  <c r="HG1595" s="4"/>
      <c r="HH1595" s="4"/>
      <c r="HI1595" s="4"/>
      <c r="HJ1595" s="4"/>
      <c r="HK1595" s="4"/>
      <c r="HL1595" s="4"/>
      <c r="HM1595" s="4"/>
      <c r="HN1595" s="4"/>
      <c r="HO1595" s="4"/>
      <c r="HP1595" s="4"/>
      <c r="HQ1595" s="4"/>
      <c r="HR1595" s="4"/>
    </row>
    <row r="1596">
      <c r="A1596" s="2" t="s">
        <v>7617</v>
      </c>
      <c r="B1596" s="2" t="s">
        <v>1066</v>
      </c>
      <c r="C1596" s="2" t="s">
        <v>947</v>
      </c>
      <c r="D1596" s="2" t="s">
        <v>1111</v>
      </c>
      <c r="E1596" s="2" t="s">
        <v>1112</v>
      </c>
      <c r="F1596" s="2" t="s">
        <v>7618</v>
      </c>
      <c r="G1596" s="2" t="s">
        <v>7618</v>
      </c>
      <c r="H1596" s="2" t="s">
        <v>7618</v>
      </c>
      <c r="I1596" s="2" t="s">
        <v>7619</v>
      </c>
      <c r="J1596" s="2" t="s">
        <v>892</v>
      </c>
      <c r="K1596" s="2" t="s">
        <v>236</v>
      </c>
      <c r="L1596" s="3">
        <v>228</v>
      </c>
      <c r="M1596" s="3">
        <v>239.4</v>
      </c>
      <c r="N1596" s="3">
        <v>479</v>
      </c>
      <c r="O1596" s="2" t="s">
        <v>245</v>
      </c>
      <c r="P1596" s="2" t="s">
        <v>311</v>
      </c>
      <c r="Q1596" s="2" t="s">
        <v>239</v>
      </c>
      <c r="R1596" s="2" t="s">
        <v>233</v>
      </c>
      <c r="S1596" s="2" t="s">
        <v>233</v>
      </c>
      <c r="T1596" s="2" t="s">
        <v>233</v>
      </c>
      <c r="U1596" s="2" t="s">
        <v>396</v>
      </c>
      <c r="V1596" s="2" t="s">
        <v>893</v>
      </c>
      <c r="W1596" s="2" t="s">
        <v>397</v>
      </c>
      <c r="X1596" s="2" t="s">
        <v>1664</v>
      </c>
      <c r="Y1596" s="2" t="s">
        <v>6657</v>
      </c>
      <c r="Z1596" s="4">
        <v>125</v>
      </c>
      <c r="AA1596" s="4">
        <f>=ROUNDDOWN(625,0)</f>
      </c>
      <c r="AB1596" s="5">
        <v>0.2</v>
      </c>
      <c r="AC1596" s="2" t="s">
        <v>233</v>
      </c>
      <c r="AD1596" s="4"/>
      <c r="AE1596" s="4"/>
      <c r="AF1596" s="6">
        <v>74</v>
      </c>
      <c r="AG1596" s="6"/>
      <c r="AH1596" s="7">
        <v>1</v>
      </c>
      <c r="AI1596" s="4"/>
      <c r="AJ1596" s="4">
        <f>=ROUNDDOWN({0},0)</f>
      </c>
      <c r="AK1596" s="5"/>
      <c r="AL1596" s="2" t="s">
        <v>233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/>
      <c r="BD1596" s="8"/>
      <c r="BE1596" s="4"/>
      <c r="BF1596" s="8"/>
      <c r="BG1596" s="7"/>
      <c r="BH1596" s="7"/>
      <c r="BI1596" s="7"/>
      <c r="BJ1596" s="4"/>
      <c r="BK1596" s="8"/>
      <c r="BL1596" s="2" t="s">
        <v>233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7620</v>
      </c>
      <c r="BV1596" s="2" t="s">
        <v>233</v>
      </c>
      <c r="BW1596" s="2" t="s">
        <v>233</v>
      </c>
      <c r="BX1596" s="2" t="s">
        <v>233</v>
      </c>
      <c r="BY1596" s="2" t="s">
        <v>280</v>
      </c>
      <c r="BZ1596" s="2" t="s">
        <v>245</v>
      </c>
      <c r="CA1596" s="2" t="s">
        <v>6657</v>
      </c>
      <c r="CB1596" s="2" t="s">
        <v>233</v>
      </c>
      <c r="CC1596" s="2" t="s">
        <v>246</v>
      </c>
      <c r="CD1596" s="2" t="s">
        <v>233</v>
      </c>
      <c r="CE1596" s="4"/>
      <c r="CF1596" s="4">
        <v>125</v>
      </c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/>
      <c r="HJ1596" s="4"/>
      <c r="HK1596" s="4"/>
      <c r="HL1596" s="4"/>
      <c r="HM1596" s="4"/>
      <c r="HN1596" s="4"/>
      <c r="HO1596" s="4"/>
      <c r="HP1596" s="4"/>
      <c r="HQ1596" s="4"/>
      <c r="HR1596" s="4"/>
    </row>
    <row r="1597">
      <c r="A1597" s="2" t="s">
        <v>7621</v>
      </c>
      <c r="B1597" s="2" t="s">
        <v>886</v>
      </c>
      <c r="C1597" s="2" t="s">
        <v>887</v>
      </c>
      <c r="D1597" s="2" t="s">
        <v>1167</v>
      </c>
      <c r="E1597" s="2" t="s">
        <v>1168</v>
      </c>
      <c r="F1597" s="2" t="s">
        <v>7622</v>
      </c>
      <c r="G1597" s="2" t="s">
        <v>7622</v>
      </c>
      <c r="H1597" s="2" t="s">
        <v>7622</v>
      </c>
      <c r="I1597" s="2" t="s">
        <v>7623</v>
      </c>
      <c r="J1597" s="2" t="s">
        <v>892</v>
      </c>
      <c r="K1597" s="2" t="s">
        <v>1083</v>
      </c>
      <c r="L1597" s="3">
        <v>50</v>
      </c>
      <c r="M1597" s="3">
        <v>52.5</v>
      </c>
      <c r="N1597" s="3">
        <v>104.99</v>
      </c>
      <c r="O1597" s="2" t="s">
        <v>245</v>
      </c>
      <c r="P1597" s="2" t="s">
        <v>238</v>
      </c>
      <c r="Q1597" s="2" t="s">
        <v>239</v>
      </c>
      <c r="R1597" s="2" t="s">
        <v>233</v>
      </c>
      <c r="S1597" s="2" t="s">
        <v>233</v>
      </c>
      <c r="T1597" s="2" t="s">
        <v>233</v>
      </c>
      <c r="U1597" s="2" t="s">
        <v>396</v>
      </c>
      <c r="V1597" s="2" t="s">
        <v>893</v>
      </c>
      <c r="W1597" s="2" t="s">
        <v>343</v>
      </c>
      <c r="X1597" s="2" t="s">
        <v>451</v>
      </c>
      <c r="Y1597" s="2" t="s">
        <v>3025</v>
      </c>
      <c r="Z1597" s="4">
        <v>97</v>
      </c>
      <c r="AA1597" s="4">
        <f>=ROUNDDOWN(485,0)</f>
      </c>
      <c r="AB1597" s="5">
        <v>0.2</v>
      </c>
      <c r="AC1597" s="2" t="s">
        <v>233</v>
      </c>
      <c r="AD1597" s="4"/>
      <c r="AE1597" s="4"/>
      <c r="AF1597" s="6">
        <v>63</v>
      </c>
      <c r="AG1597" s="6"/>
      <c r="AH1597" s="7">
        <v>1</v>
      </c>
      <c r="AI1597" s="4"/>
      <c r="AJ1597" s="4">
        <f>=ROUNDDOWN({0},0)</f>
      </c>
      <c r="AK1597" s="5"/>
      <c r="AL1597" s="2" t="s">
        <v>233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/>
      <c r="AW1597" s="8"/>
      <c r="AX1597" s="4"/>
      <c r="AY1597" s="8"/>
      <c r="AZ1597" s="7"/>
      <c r="BA1597" s="7"/>
      <c r="BB1597" s="7"/>
      <c r="BC1597" s="4"/>
      <c r="BD1597" s="8"/>
      <c r="BE1597" s="4"/>
      <c r="BF1597" s="8"/>
      <c r="BG1597" s="7"/>
      <c r="BH1597" s="7"/>
      <c r="BI1597" s="7"/>
      <c r="BJ1597" s="4">
        <v>2</v>
      </c>
      <c r="BK1597" s="8">
        <v>105</v>
      </c>
      <c r="BL1597" s="2" t="s">
        <v>744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7624</v>
      </c>
      <c r="BV1597" s="2" t="s">
        <v>233</v>
      </c>
      <c r="BW1597" s="2" t="s">
        <v>233</v>
      </c>
      <c r="BX1597" s="2" t="s">
        <v>243</v>
      </c>
      <c r="BY1597" s="2" t="s">
        <v>280</v>
      </c>
      <c r="BZ1597" s="2" t="s">
        <v>245</v>
      </c>
      <c r="CA1597" s="2" t="s">
        <v>7625</v>
      </c>
      <c r="CB1597" s="2" t="s">
        <v>233</v>
      </c>
      <c r="CC1597" s="2" t="s">
        <v>246</v>
      </c>
      <c r="CD1597" s="2" t="s">
        <v>233</v>
      </c>
      <c r="CE1597" s="4"/>
      <c r="CF1597" s="4">
        <v>97</v>
      </c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/>
      <c r="HJ1597" s="4"/>
      <c r="HK1597" s="4"/>
      <c r="HL1597" s="4"/>
      <c r="HM1597" s="4"/>
      <c r="HN1597" s="4"/>
      <c r="HO1597" s="4"/>
      <c r="HP1597" s="4"/>
      <c r="HQ1597" s="4"/>
      <c r="HR1597" s="4"/>
    </row>
    <row r="1598">
      <c r="A1598" s="2" t="s">
        <v>7626</v>
      </c>
      <c r="B1598" s="2" t="s">
        <v>1066</v>
      </c>
      <c r="C1598" s="2" t="s">
        <v>901</v>
      </c>
      <c r="D1598" s="2" t="s">
        <v>1851</v>
      </c>
      <c r="E1598" s="2" t="s">
        <v>1852</v>
      </c>
      <c r="F1598" s="2" t="s">
        <v>7627</v>
      </c>
      <c r="G1598" s="2" t="s">
        <v>7627</v>
      </c>
      <c r="H1598" s="2" t="s">
        <v>7627</v>
      </c>
      <c r="I1598" s="2" t="s">
        <v>1852</v>
      </c>
      <c r="J1598" s="2" t="s">
        <v>892</v>
      </c>
      <c r="K1598" s="2" t="s">
        <v>271</v>
      </c>
      <c r="L1598" s="3">
        <v>118</v>
      </c>
      <c r="M1598" s="3">
        <v>123.9</v>
      </c>
      <c r="N1598" s="3">
        <v>249</v>
      </c>
      <c r="O1598" s="2" t="s">
        <v>237</v>
      </c>
      <c r="P1598" s="2" t="s">
        <v>311</v>
      </c>
      <c r="Q1598" s="2" t="s">
        <v>239</v>
      </c>
      <c r="R1598" s="2" t="s">
        <v>233</v>
      </c>
      <c r="S1598" s="2" t="s">
        <v>233</v>
      </c>
      <c r="T1598" s="2" t="s">
        <v>233</v>
      </c>
      <c r="U1598" s="2" t="s">
        <v>396</v>
      </c>
      <c r="V1598" s="2" t="s">
        <v>241</v>
      </c>
      <c r="W1598" s="2" t="s">
        <v>451</v>
      </c>
      <c r="X1598" s="2" t="s">
        <v>233</v>
      </c>
      <c r="Y1598" s="2" t="s">
        <v>7628</v>
      </c>
      <c r="Z1598" s="4">
        <v>4</v>
      </c>
      <c r="AA1598" s="4">
        <f>=ROUNDDOWN(1.11111111111111,0)</f>
      </c>
      <c r="AB1598" s="5">
        <v>3.6</v>
      </c>
      <c r="AC1598" s="2" t="s">
        <v>233</v>
      </c>
      <c r="AD1598" s="4"/>
      <c r="AE1598" s="4"/>
      <c r="AF1598" s="6">
        <v>66</v>
      </c>
      <c r="AG1598" s="6"/>
      <c r="AH1598" s="7">
        <v>1</v>
      </c>
      <c r="AI1598" s="4"/>
      <c r="AJ1598" s="4">
        <f>=ROUNDDOWN({0},0)</f>
      </c>
      <c r="AK1598" s="5"/>
      <c r="AL1598" s="2" t="s">
        <v>233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/>
      <c r="BD1598" s="8"/>
      <c r="BE1598" s="4"/>
      <c r="BF1598" s="8"/>
      <c r="BG1598" s="7"/>
      <c r="BH1598" s="7"/>
      <c r="BI1598" s="7"/>
      <c r="BJ1598" s="4">
        <v>14</v>
      </c>
      <c r="BK1598" s="8">
        <v>1039.08</v>
      </c>
      <c r="BL1598" s="2" t="s">
        <v>7629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7630</v>
      </c>
      <c r="BV1598" s="2" t="s">
        <v>233</v>
      </c>
      <c r="BW1598" s="2" t="s">
        <v>233</v>
      </c>
      <c r="BX1598" s="2" t="s">
        <v>233</v>
      </c>
      <c r="BY1598" s="2" t="s">
        <v>280</v>
      </c>
      <c r="BZ1598" s="2" t="s">
        <v>245</v>
      </c>
      <c r="CA1598" s="2" t="s">
        <v>2209</v>
      </c>
      <c r="CB1598" s="2" t="s">
        <v>1252</v>
      </c>
      <c r="CC1598" s="2" t="s">
        <v>246</v>
      </c>
      <c r="CD1598" s="2" t="s">
        <v>233</v>
      </c>
      <c r="CE1598" s="4"/>
      <c r="CF1598" s="4">
        <v>4</v>
      </c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/>
      <c r="HJ1598" s="4"/>
      <c r="HK1598" s="4"/>
      <c r="HL1598" s="4"/>
      <c r="HM1598" s="4"/>
      <c r="HN1598" s="4"/>
      <c r="HO1598" s="4"/>
      <c r="HP1598" s="4"/>
      <c r="HQ1598" s="4"/>
      <c r="HR1598" s="4"/>
    </row>
    <row r="1599">
      <c r="A1599" s="2" t="s">
        <v>7631</v>
      </c>
      <c r="B1599" s="2" t="s">
        <v>1066</v>
      </c>
      <c r="C1599" s="2" t="s">
        <v>530</v>
      </c>
      <c r="D1599" s="2" t="s">
        <v>1919</v>
      </c>
      <c r="E1599" s="2" t="s">
        <v>1920</v>
      </c>
      <c r="F1599" s="2" t="s">
        <v>7632</v>
      </c>
      <c r="G1599" s="2" t="s">
        <v>7633</v>
      </c>
      <c r="H1599" s="2" t="s">
        <v>7634</v>
      </c>
      <c r="I1599" s="2" t="s">
        <v>1920</v>
      </c>
      <c r="J1599" s="2" t="s">
        <v>892</v>
      </c>
      <c r="K1599" s="2" t="s">
        <v>7635</v>
      </c>
      <c r="L1599" s="3">
        <v>80</v>
      </c>
      <c r="M1599" s="3">
        <v>84</v>
      </c>
      <c r="N1599" s="3">
        <v>169</v>
      </c>
      <c r="O1599" s="2" t="s">
        <v>245</v>
      </c>
      <c r="P1599" s="2" t="s">
        <v>238</v>
      </c>
      <c r="Q1599" s="2" t="s">
        <v>239</v>
      </c>
      <c r="R1599" s="2" t="s">
        <v>233</v>
      </c>
      <c r="S1599" s="2" t="s">
        <v>233</v>
      </c>
      <c r="T1599" s="2" t="s">
        <v>233</v>
      </c>
      <c r="U1599" s="2" t="s">
        <v>396</v>
      </c>
      <c r="V1599" s="2" t="s">
        <v>241</v>
      </c>
      <c r="W1599" s="2" t="s">
        <v>397</v>
      </c>
      <c r="X1599" s="2" t="s">
        <v>894</v>
      </c>
      <c r="Y1599" s="2" t="s">
        <v>233</v>
      </c>
      <c r="Z1599" s="4"/>
      <c r="AA1599" s="4">
        <f>=ROUNDDOWN({0},0)</f>
      </c>
      <c r="AB1599" s="5">
        <v>15</v>
      </c>
      <c r="AC1599" s="2" t="s">
        <v>233</v>
      </c>
      <c r="AD1599" s="4"/>
      <c r="AE1599" s="4"/>
      <c r="AF1599" s="6">
        <v>66</v>
      </c>
      <c r="AG1599" s="6"/>
      <c r="AH1599" s="7">
        <v>0</v>
      </c>
      <c r="AI1599" s="4"/>
      <c r="AJ1599" s="4">
        <f>=ROUNDDOWN({0},0)</f>
      </c>
      <c r="AK1599" s="5"/>
      <c r="AL1599" s="2" t="s">
        <v>233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/>
      <c r="BD1599" s="8"/>
      <c r="BE1599" s="4"/>
      <c r="BF1599" s="8"/>
      <c r="BG1599" s="7"/>
      <c r="BH1599" s="7"/>
      <c r="BI1599" s="7"/>
      <c r="BJ1599" s="4"/>
      <c r="BK1599" s="8"/>
      <c r="BL1599" s="2" t="s">
        <v>233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243</v>
      </c>
      <c r="BV1599" s="2" t="s">
        <v>233</v>
      </c>
      <c r="BW1599" s="2" t="s">
        <v>233</v>
      </c>
      <c r="BX1599" s="2" t="s">
        <v>243</v>
      </c>
      <c r="BY1599" s="2" t="s">
        <v>244</v>
      </c>
      <c r="BZ1599" s="2" t="s">
        <v>245</v>
      </c>
      <c r="CA1599" s="2" t="s">
        <v>233</v>
      </c>
      <c r="CB1599" s="2" t="s">
        <v>233</v>
      </c>
      <c r="CC1599" s="2" t="s">
        <v>246</v>
      </c>
      <c r="CD1599" s="2" t="s">
        <v>233</v>
      </c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/>
      <c r="HJ1599" s="4"/>
      <c r="HK1599" s="4"/>
      <c r="HL1599" s="4"/>
      <c r="HM1599" s="4"/>
      <c r="HN1599" s="4"/>
      <c r="HO1599" s="4"/>
      <c r="HP1599" s="4"/>
      <c r="HQ1599" s="4"/>
      <c r="HR1599" s="4"/>
    </row>
    <row r="1600">
      <c r="A1600" s="2" t="s">
        <v>7636</v>
      </c>
      <c r="B1600" s="2" t="s">
        <v>1066</v>
      </c>
      <c r="C1600" s="2" t="s">
        <v>530</v>
      </c>
      <c r="D1600" s="2" t="s">
        <v>1067</v>
      </c>
      <c r="E1600" s="2" t="s">
        <v>1068</v>
      </c>
      <c r="F1600" s="2" t="s">
        <v>7637</v>
      </c>
      <c r="G1600" s="2" t="s">
        <v>7638</v>
      </c>
      <c r="H1600" s="2" t="s">
        <v>7639</v>
      </c>
      <c r="I1600" s="2" t="s">
        <v>2650</v>
      </c>
      <c r="J1600" s="2" t="s">
        <v>892</v>
      </c>
      <c r="K1600" s="2" t="s">
        <v>236</v>
      </c>
      <c r="L1600" s="3">
        <v>178.2</v>
      </c>
      <c r="M1600" s="3">
        <v>187.11</v>
      </c>
      <c r="N1600" s="3">
        <v>379</v>
      </c>
      <c r="O1600" s="2" t="s">
        <v>237</v>
      </c>
      <c r="P1600" s="2" t="s">
        <v>311</v>
      </c>
      <c r="Q1600" s="2" t="s">
        <v>239</v>
      </c>
      <c r="R1600" s="2" t="s">
        <v>233</v>
      </c>
      <c r="S1600" s="2" t="s">
        <v>233</v>
      </c>
      <c r="T1600" s="2" t="s">
        <v>233</v>
      </c>
      <c r="U1600" s="2" t="s">
        <v>396</v>
      </c>
      <c r="V1600" s="2" t="s">
        <v>241</v>
      </c>
      <c r="W1600" s="2" t="s">
        <v>451</v>
      </c>
      <c r="X1600" s="2" t="s">
        <v>233</v>
      </c>
      <c r="Y1600" s="2" t="s">
        <v>1128</v>
      </c>
      <c r="Z1600" s="4">
        <v>47</v>
      </c>
      <c r="AA1600" s="4">
        <f>=ROUNDDOWN(26.1111111111111,0)</f>
      </c>
      <c r="AB1600" s="5">
        <v>1.8</v>
      </c>
      <c r="AC1600" s="2" t="s">
        <v>233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233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/>
      <c r="BD1600" s="8"/>
      <c r="BE1600" s="4"/>
      <c r="BF1600" s="8"/>
      <c r="BG1600" s="7"/>
      <c r="BH1600" s="7"/>
      <c r="BI1600" s="7"/>
      <c r="BJ1600" s="4">
        <v>4</v>
      </c>
      <c r="BK1600" s="8">
        <v>661.48</v>
      </c>
      <c r="BL1600" s="2" t="s">
        <v>744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7640</v>
      </c>
      <c r="BV1600" s="2" t="s">
        <v>233</v>
      </c>
      <c r="BW1600" s="2" t="s">
        <v>233</v>
      </c>
      <c r="BX1600" s="2" t="s">
        <v>233</v>
      </c>
      <c r="BY1600" s="2" t="s">
        <v>280</v>
      </c>
      <c r="BZ1600" s="2" t="s">
        <v>245</v>
      </c>
      <c r="CA1600" s="2" t="s">
        <v>3020</v>
      </c>
      <c r="CB1600" s="2" t="s">
        <v>7641</v>
      </c>
      <c r="CC1600" s="2" t="s">
        <v>246</v>
      </c>
      <c r="CD1600" s="2" t="s">
        <v>233</v>
      </c>
      <c r="CE1600" s="4"/>
      <c r="CF1600" s="4">
        <v>47</v>
      </c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  <c r="HG1600" s="4"/>
      <c r="HH1600" s="4"/>
      <c r="HI1600" s="4"/>
      <c r="HJ1600" s="4"/>
      <c r="HK1600" s="4"/>
      <c r="HL1600" s="4"/>
      <c r="HM1600" s="4"/>
      <c r="HN1600" s="4"/>
      <c r="HO1600" s="4"/>
      <c r="HP1600" s="4"/>
      <c r="HQ1600" s="4"/>
      <c r="HR1600" s="4"/>
    </row>
    <row r="1601">
      <c r="A1601" s="2" t="s">
        <v>7642</v>
      </c>
      <c r="B1601" s="2" t="s">
        <v>1066</v>
      </c>
      <c r="C1601" s="2" t="s">
        <v>947</v>
      </c>
      <c r="D1601" s="2" t="s">
        <v>1067</v>
      </c>
      <c r="E1601" s="2" t="s">
        <v>2543</v>
      </c>
      <c r="F1601" s="2" t="s">
        <v>7643</v>
      </c>
      <c r="G1601" s="2" t="s">
        <v>7643</v>
      </c>
      <c r="H1601" s="2" t="s">
        <v>7643</v>
      </c>
      <c r="I1601" s="2" t="s">
        <v>7644</v>
      </c>
      <c r="J1601" s="2" t="s">
        <v>892</v>
      </c>
      <c r="K1601" s="2" t="s">
        <v>2197</v>
      </c>
      <c r="L1601" s="3">
        <v>174.15</v>
      </c>
      <c r="M1601" s="3">
        <v>182.86</v>
      </c>
      <c r="N1601" s="3">
        <v>369</v>
      </c>
      <c r="O1601" s="2" t="s">
        <v>245</v>
      </c>
      <c r="P1601" s="2" t="s">
        <v>311</v>
      </c>
      <c r="Q1601" s="2" t="s">
        <v>239</v>
      </c>
      <c r="R1601" s="2" t="s">
        <v>233</v>
      </c>
      <c r="S1601" s="2" t="s">
        <v>233</v>
      </c>
      <c r="T1601" s="2" t="s">
        <v>233</v>
      </c>
      <c r="U1601" s="2" t="s">
        <v>396</v>
      </c>
      <c r="V1601" s="2" t="s">
        <v>893</v>
      </c>
      <c r="W1601" s="2" t="s">
        <v>233</v>
      </c>
      <c r="X1601" s="2" t="s">
        <v>953</v>
      </c>
      <c r="Y1601" s="2" t="s">
        <v>7645</v>
      </c>
      <c r="Z1601" s="4">
        <v>30</v>
      </c>
      <c r="AA1601" s="4">
        <f>=ROUNDDOWN(8.82352941176471,0)</f>
      </c>
      <c r="AB1601" s="5">
        <v>3.4</v>
      </c>
      <c r="AC1601" s="2" t="s">
        <v>233</v>
      </c>
      <c r="AD1601" s="4"/>
      <c r="AE1601" s="4"/>
      <c r="AF1601" s="6">
        <v>74</v>
      </c>
      <c r="AG1601" s="6"/>
      <c r="AH1601" s="7">
        <v>1</v>
      </c>
      <c r="AI1601" s="4"/>
      <c r="AJ1601" s="4">
        <f>=ROUNDDOWN({0},0)</f>
      </c>
      <c r="AK1601" s="5"/>
      <c r="AL1601" s="2" t="s">
        <v>233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/>
      <c r="AW1601" s="8"/>
      <c r="AX1601" s="4"/>
      <c r="AY1601" s="8"/>
      <c r="AZ1601" s="7"/>
      <c r="BA1601" s="7"/>
      <c r="BB1601" s="7"/>
      <c r="BC1601" s="4"/>
      <c r="BD1601" s="8"/>
      <c r="BE1601" s="4"/>
      <c r="BF1601" s="8"/>
      <c r="BG1601" s="7"/>
      <c r="BH1601" s="7"/>
      <c r="BI1601" s="7"/>
      <c r="BJ1601" s="4">
        <v>6</v>
      </c>
      <c r="BK1601" s="8">
        <v>750.43</v>
      </c>
      <c r="BL1601" s="2" t="s">
        <v>6317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7646</v>
      </c>
      <c r="BV1601" s="2" t="s">
        <v>233</v>
      </c>
      <c r="BW1601" s="2" t="s">
        <v>233</v>
      </c>
      <c r="BX1601" s="2" t="s">
        <v>233</v>
      </c>
      <c r="BY1601" s="2" t="s">
        <v>280</v>
      </c>
      <c r="BZ1601" s="2" t="s">
        <v>245</v>
      </c>
      <c r="CA1601" s="2" t="s">
        <v>2509</v>
      </c>
      <c r="CB1601" s="2" t="s">
        <v>7647</v>
      </c>
      <c r="CC1601" s="2" t="s">
        <v>246</v>
      </c>
      <c r="CD1601" s="2" t="s">
        <v>233</v>
      </c>
      <c r="CE1601" s="4"/>
      <c r="CF1601" s="4">
        <v>30</v>
      </c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  <c r="HF1601" s="4"/>
      <c r="HG1601" s="4"/>
      <c r="HH1601" s="4"/>
      <c r="HI1601" s="4"/>
      <c r="HJ1601" s="4"/>
      <c r="HK1601" s="4"/>
      <c r="HL1601" s="4"/>
      <c r="HM1601" s="4"/>
      <c r="HN1601" s="4"/>
      <c r="HO1601" s="4"/>
      <c r="HP1601" s="4"/>
      <c r="HQ1601" s="4"/>
      <c r="HR1601" s="4"/>
    </row>
    <row r="1602">
      <c r="A1602" s="2" t="s">
        <v>7648</v>
      </c>
      <c r="B1602" s="2" t="s">
        <v>1066</v>
      </c>
      <c r="C1602" s="2" t="s">
        <v>901</v>
      </c>
      <c r="D1602" s="2" t="s">
        <v>1067</v>
      </c>
      <c r="E1602" s="2" t="s">
        <v>1068</v>
      </c>
      <c r="F1602" s="2" t="s">
        <v>7649</v>
      </c>
      <c r="G1602" s="2" t="s">
        <v>7649</v>
      </c>
      <c r="H1602" s="2" t="s">
        <v>7649</v>
      </c>
      <c r="I1602" s="2" t="s">
        <v>2650</v>
      </c>
      <c r="J1602" s="2" t="s">
        <v>892</v>
      </c>
      <c r="K1602" s="2" t="s">
        <v>255</v>
      </c>
      <c r="L1602" s="3">
        <v>209.95</v>
      </c>
      <c r="M1602" s="3">
        <v>220.45</v>
      </c>
      <c r="N1602" s="3">
        <v>439</v>
      </c>
      <c r="O1602" s="2" t="s">
        <v>245</v>
      </c>
      <c r="P1602" s="2" t="s">
        <v>272</v>
      </c>
      <c r="Q1602" s="2" t="s">
        <v>239</v>
      </c>
      <c r="R1602" s="2" t="s">
        <v>233</v>
      </c>
      <c r="S1602" s="2" t="s">
        <v>7650</v>
      </c>
      <c r="T1602" s="2" t="s">
        <v>233</v>
      </c>
      <c r="U1602" s="2" t="s">
        <v>396</v>
      </c>
      <c r="V1602" s="2" t="s">
        <v>241</v>
      </c>
      <c r="W1602" s="2" t="s">
        <v>275</v>
      </c>
      <c r="X1602" s="2" t="s">
        <v>233</v>
      </c>
      <c r="Y1602" s="2" t="s">
        <v>276</v>
      </c>
      <c r="Z1602" s="4">
        <v>88</v>
      </c>
      <c r="AA1602" s="4">
        <f>=ROUNDDOWN(22,0)</f>
      </c>
      <c r="AB1602" s="5">
        <v>4</v>
      </c>
      <c r="AC1602" s="2" t="s">
        <v>1719</v>
      </c>
      <c r="AD1602" s="4">
        <v>3</v>
      </c>
      <c r="AE1602" s="4">
        <v>103</v>
      </c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233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 t="s">
        <v>233</v>
      </c>
      <c r="BD1602" s="8" t="s">
        <v>233</v>
      </c>
      <c r="BE1602" s="4" t="s">
        <v>233</v>
      </c>
      <c r="BF1602" s="8" t="s">
        <v>233</v>
      </c>
      <c r="BG1602" s="7" t="s">
        <v>233</v>
      </c>
      <c r="BH1602" s="7" t="s">
        <v>233</v>
      </c>
      <c r="BI1602" s="7"/>
      <c r="BJ1602" s="4">
        <v>5</v>
      </c>
      <c r="BK1602" s="8">
        <v>1041.89</v>
      </c>
      <c r="BL1602" s="2" t="s">
        <v>7651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7652</v>
      </c>
      <c r="BV1602" s="2" t="s">
        <v>233</v>
      </c>
      <c r="BW1602" s="2" t="s">
        <v>233</v>
      </c>
      <c r="BX1602" s="2" t="s">
        <v>233</v>
      </c>
      <c r="BY1602" s="2" t="s">
        <v>280</v>
      </c>
      <c r="BZ1602" s="2" t="s">
        <v>245</v>
      </c>
      <c r="CA1602" s="2" t="s">
        <v>4292</v>
      </c>
      <c r="CB1602" s="2" t="s">
        <v>4413</v>
      </c>
      <c r="CC1602" s="2" t="s">
        <v>246</v>
      </c>
      <c r="CD1602" s="2" t="s">
        <v>233</v>
      </c>
      <c r="CE1602" s="4"/>
      <c r="CF1602" s="4">
        <v>88</v>
      </c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>
        <v>3</v>
      </c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>
        <v>100</v>
      </c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  <c r="HG1602" s="4"/>
      <c r="HH1602" s="4"/>
      <c r="HI1602" s="4"/>
      <c r="HJ1602" s="4"/>
      <c r="HK1602" s="4"/>
      <c r="HL1602" s="4"/>
      <c r="HM1602" s="4"/>
      <c r="HN1602" s="4"/>
      <c r="HO1602" s="4"/>
      <c r="HP1602" s="4"/>
      <c r="HQ1602" s="4"/>
      <c r="HR1602" s="4"/>
    </row>
    <row r="1603">
      <c r="A1603" s="2" t="s">
        <v>7653</v>
      </c>
      <c r="B1603" s="2" t="s">
        <v>1066</v>
      </c>
      <c r="C1603" s="2" t="s">
        <v>901</v>
      </c>
      <c r="D1603" s="2" t="s">
        <v>1067</v>
      </c>
      <c r="E1603" s="2" t="s">
        <v>1068</v>
      </c>
      <c r="F1603" s="2" t="s">
        <v>7649</v>
      </c>
      <c r="G1603" s="2" t="s">
        <v>7649</v>
      </c>
      <c r="H1603" s="2" t="s">
        <v>7649</v>
      </c>
      <c r="I1603" s="2" t="s">
        <v>2650</v>
      </c>
      <c r="J1603" s="2" t="s">
        <v>892</v>
      </c>
      <c r="K1603" s="2" t="s">
        <v>1537</v>
      </c>
      <c r="L1603" s="3">
        <v>209.95</v>
      </c>
      <c r="M1603" s="3">
        <v>220.45</v>
      </c>
      <c r="N1603" s="3">
        <v>439</v>
      </c>
      <c r="O1603" s="2" t="s">
        <v>245</v>
      </c>
      <c r="P1603" s="2" t="s">
        <v>311</v>
      </c>
      <c r="Q1603" s="2" t="s">
        <v>239</v>
      </c>
      <c r="R1603" s="2" t="s">
        <v>233</v>
      </c>
      <c r="S1603" s="2" t="s">
        <v>233</v>
      </c>
      <c r="T1603" s="2" t="s">
        <v>233</v>
      </c>
      <c r="U1603" s="2" t="s">
        <v>396</v>
      </c>
      <c r="V1603" s="2" t="s">
        <v>241</v>
      </c>
      <c r="W1603" s="2" t="s">
        <v>397</v>
      </c>
      <c r="X1603" s="2" t="s">
        <v>894</v>
      </c>
      <c r="Y1603" s="2" t="s">
        <v>807</v>
      </c>
      <c r="Z1603" s="4">
        <v>27</v>
      </c>
      <c r="AA1603" s="4">
        <f>=ROUNDDOWN(13.5,0)</f>
      </c>
      <c r="AB1603" s="5">
        <v>2</v>
      </c>
      <c r="AC1603" s="2" t="s">
        <v>233</v>
      </c>
      <c r="AD1603" s="4"/>
      <c r="AE1603" s="4"/>
      <c r="AF1603" s="6">
        <v>65</v>
      </c>
      <c r="AG1603" s="6">
        <v>48</v>
      </c>
      <c r="AH1603" s="7">
        <v>1</v>
      </c>
      <c r="AI1603" s="4"/>
      <c r="AJ1603" s="4">
        <f>=ROUNDDOWN({0},0)</f>
      </c>
      <c r="AK1603" s="5"/>
      <c r="AL1603" s="2" t="s">
        <v>233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 t="s">
        <v>233</v>
      </c>
      <c r="BD1603" s="8" t="s">
        <v>233</v>
      </c>
      <c r="BE1603" s="4" t="s">
        <v>233</v>
      </c>
      <c r="BF1603" s="8" t="s">
        <v>233</v>
      </c>
      <c r="BG1603" s="7" t="s">
        <v>233</v>
      </c>
      <c r="BH1603" s="7" t="s">
        <v>233</v>
      </c>
      <c r="BI1603" s="7"/>
      <c r="BJ1603" s="4">
        <v>11</v>
      </c>
      <c r="BK1603" s="8">
        <v>1433.04</v>
      </c>
      <c r="BL1603" s="2" t="s">
        <v>7654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7655</v>
      </c>
      <c r="BV1603" s="2" t="s">
        <v>233</v>
      </c>
      <c r="BW1603" s="2" t="s">
        <v>233</v>
      </c>
      <c r="BX1603" s="2" t="s">
        <v>233</v>
      </c>
      <c r="BY1603" s="2" t="s">
        <v>280</v>
      </c>
      <c r="BZ1603" s="2" t="s">
        <v>245</v>
      </c>
      <c r="CA1603" s="2" t="s">
        <v>5758</v>
      </c>
      <c r="CB1603" s="2" t="s">
        <v>1386</v>
      </c>
      <c r="CC1603" s="2" t="s">
        <v>246</v>
      </c>
      <c r="CD1603" s="2" t="s">
        <v>233</v>
      </c>
      <c r="CE1603" s="4"/>
      <c r="CF1603" s="4"/>
      <c r="CG1603" s="4"/>
      <c r="CH1603" s="4"/>
      <c r="CI1603" s="4">
        <v>27</v>
      </c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  <c r="HF1603" s="4"/>
      <c r="HG1603" s="4"/>
      <c r="HH1603" s="4"/>
      <c r="HI1603" s="4"/>
      <c r="HJ1603" s="4"/>
      <c r="HK1603" s="4"/>
      <c r="HL1603" s="4"/>
      <c r="HM1603" s="4"/>
      <c r="HN1603" s="4"/>
      <c r="HO1603" s="4"/>
      <c r="HP1603" s="4"/>
      <c r="HQ1603" s="4"/>
      <c r="HR1603" s="4"/>
    </row>
    <row r="1604">
      <c r="A1604" s="2" t="s">
        <v>7656</v>
      </c>
      <c r="B1604" s="2" t="s">
        <v>1066</v>
      </c>
      <c r="C1604" s="2" t="s">
        <v>947</v>
      </c>
      <c r="D1604" s="2" t="s">
        <v>1067</v>
      </c>
      <c r="E1604" s="2" t="s">
        <v>2650</v>
      </c>
      <c r="F1604" s="2" t="s">
        <v>7657</v>
      </c>
      <c r="G1604" s="2" t="s">
        <v>7657</v>
      </c>
      <c r="H1604" s="2" t="s">
        <v>7657</v>
      </c>
      <c r="I1604" s="2" t="s">
        <v>2650</v>
      </c>
      <c r="J1604" s="2" t="s">
        <v>892</v>
      </c>
      <c r="K1604" s="2" t="s">
        <v>1938</v>
      </c>
      <c r="L1604" s="3">
        <v>250</v>
      </c>
      <c r="M1604" s="3">
        <v>262.5</v>
      </c>
      <c r="N1604" s="3">
        <v>519</v>
      </c>
      <c r="O1604" s="2" t="s">
        <v>237</v>
      </c>
      <c r="P1604" s="2" t="s">
        <v>311</v>
      </c>
      <c r="Q1604" s="2" t="s">
        <v>239</v>
      </c>
      <c r="R1604" s="2" t="s">
        <v>233</v>
      </c>
      <c r="S1604" s="2" t="s">
        <v>233</v>
      </c>
      <c r="T1604" s="2" t="s">
        <v>233</v>
      </c>
      <c r="U1604" s="2" t="s">
        <v>233</v>
      </c>
      <c r="V1604" s="2" t="s">
        <v>241</v>
      </c>
      <c r="W1604" s="2" t="s">
        <v>397</v>
      </c>
      <c r="X1604" s="2" t="s">
        <v>1664</v>
      </c>
      <c r="Y1604" s="2" t="s">
        <v>1396</v>
      </c>
      <c r="Z1604" s="4">
        <v>49</v>
      </c>
      <c r="AA1604" s="4">
        <f>=ROUNDDOWN({0},0)</f>
      </c>
      <c r="AB1604" s="5"/>
      <c r="AC1604" s="2" t="s">
        <v>233</v>
      </c>
      <c r="AD1604" s="4"/>
      <c r="AE1604" s="4"/>
      <c r="AF1604" s="6">
        <v>66</v>
      </c>
      <c r="AG1604" s="6"/>
      <c r="AH1604" s="7">
        <v>1</v>
      </c>
      <c r="AI1604" s="4"/>
      <c r="AJ1604" s="4">
        <f>=ROUNDDOWN({0},0)</f>
      </c>
      <c r="AK1604" s="5"/>
      <c r="AL1604" s="2" t="s">
        <v>233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/>
      <c r="BD1604" s="8"/>
      <c r="BE1604" s="4"/>
      <c r="BF1604" s="8"/>
      <c r="BG1604" s="7"/>
      <c r="BH1604" s="7"/>
      <c r="BI1604" s="7"/>
      <c r="BJ1604" s="4"/>
      <c r="BK1604" s="8"/>
      <c r="BL1604" s="2" t="s">
        <v>744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7658</v>
      </c>
      <c r="BV1604" s="2" t="s">
        <v>233</v>
      </c>
      <c r="BW1604" s="2" t="s">
        <v>233</v>
      </c>
      <c r="BX1604" s="2" t="s">
        <v>243</v>
      </c>
      <c r="BY1604" s="2" t="s">
        <v>280</v>
      </c>
      <c r="BZ1604" s="2" t="s">
        <v>245</v>
      </c>
      <c r="CA1604" s="2" t="s">
        <v>7659</v>
      </c>
      <c r="CB1604" s="2" t="s">
        <v>7641</v>
      </c>
      <c r="CC1604" s="2" t="s">
        <v>246</v>
      </c>
      <c r="CD1604" s="2" t="s">
        <v>233</v>
      </c>
      <c r="CE1604" s="4"/>
      <c r="CF1604" s="4">
        <v>49</v>
      </c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  <c r="HG1604" s="4"/>
      <c r="HH1604" s="4"/>
      <c r="HI1604" s="4"/>
      <c r="HJ1604" s="4"/>
      <c r="HK1604" s="4"/>
      <c r="HL1604" s="4"/>
      <c r="HM1604" s="4"/>
      <c r="HN1604" s="4"/>
      <c r="HO1604" s="4"/>
      <c r="HP1604" s="4"/>
      <c r="HQ1604" s="4"/>
      <c r="HR1604" s="4"/>
    </row>
    <row r="1605">
      <c r="A1605" s="2" t="s">
        <v>7660</v>
      </c>
      <c r="B1605" s="2" t="s">
        <v>1066</v>
      </c>
      <c r="C1605" s="2" t="s">
        <v>901</v>
      </c>
      <c r="D1605" s="2" t="s">
        <v>1713</v>
      </c>
      <c r="E1605" s="2" t="s">
        <v>1714</v>
      </c>
      <c r="F1605" s="2" t="s">
        <v>7661</v>
      </c>
      <c r="G1605" s="2" t="s">
        <v>7661</v>
      </c>
      <c r="H1605" s="2" t="s">
        <v>7661</v>
      </c>
      <c r="I1605" s="2" t="s">
        <v>7662</v>
      </c>
      <c r="J1605" s="2" t="s">
        <v>892</v>
      </c>
      <c r="K1605" s="2" t="s">
        <v>271</v>
      </c>
      <c r="L1605" s="3">
        <v>108</v>
      </c>
      <c r="M1605" s="3">
        <v>113.4</v>
      </c>
      <c r="N1605" s="3">
        <v>229</v>
      </c>
      <c r="O1605" s="2" t="s">
        <v>245</v>
      </c>
      <c r="P1605" s="2" t="s">
        <v>272</v>
      </c>
      <c r="Q1605" s="2" t="s">
        <v>239</v>
      </c>
      <c r="R1605" s="2" t="s">
        <v>233</v>
      </c>
      <c r="S1605" s="2" t="s">
        <v>233</v>
      </c>
      <c r="T1605" s="2" t="s">
        <v>233</v>
      </c>
      <c r="U1605" s="2" t="s">
        <v>233</v>
      </c>
      <c r="V1605" s="2" t="s">
        <v>893</v>
      </c>
      <c r="W1605" s="2" t="s">
        <v>275</v>
      </c>
      <c r="X1605" s="2" t="s">
        <v>233</v>
      </c>
      <c r="Y1605" s="2" t="s">
        <v>7663</v>
      </c>
      <c r="Z1605" s="4">
        <v>69</v>
      </c>
      <c r="AA1605" s="4">
        <f>=ROUNDDOWN(11.5,0)</f>
      </c>
      <c r="AB1605" s="5">
        <v>6</v>
      </c>
      <c r="AC1605" s="2" t="s">
        <v>5614</v>
      </c>
      <c r="AD1605" s="4">
        <v>110</v>
      </c>
      <c r="AE1605" s="4">
        <v>110</v>
      </c>
      <c r="AF1605" s="6">
        <v>76</v>
      </c>
      <c r="AG1605" s="6"/>
      <c r="AH1605" s="7">
        <v>1</v>
      </c>
      <c r="AI1605" s="4"/>
      <c r="AJ1605" s="4">
        <f>=ROUNDDOWN({0},0)</f>
      </c>
      <c r="AK1605" s="5"/>
      <c r="AL1605" s="2" t="s">
        <v>233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/>
      <c r="BD1605" s="8"/>
      <c r="BE1605" s="4"/>
      <c r="BF1605" s="8"/>
      <c r="BG1605" s="7"/>
      <c r="BH1605" s="7"/>
      <c r="BI1605" s="7"/>
      <c r="BJ1605" s="4">
        <v>21</v>
      </c>
      <c r="BK1605" s="8">
        <v>2219.67</v>
      </c>
      <c r="BL1605" s="2" t="s">
        <v>7664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7665</v>
      </c>
      <c r="BV1605" s="2" t="s">
        <v>233</v>
      </c>
      <c r="BW1605" s="2" t="s">
        <v>233</v>
      </c>
      <c r="BX1605" s="2" t="s">
        <v>233</v>
      </c>
      <c r="BY1605" s="2" t="s">
        <v>280</v>
      </c>
      <c r="BZ1605" s="2" t="s">
        <v>245</v>
      </c>
      <c r="CA1605" s="2" t="s">
        <v>7432</v>
      </c>
      <c r="CB1605" s="2" t="s">
        <v>934</v>
      </c>
      <c r="CC1605" s="2" t="s">
        <v>246</v>
      </c>
      <c r="CD1605" s="2" t="s">
        <v>233</v>
      </c>
      <c r="CE1605" s="4"/>
      <c r="CF1605" s="4">
        <v>69</v>
      </c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>
        <v>110</v>
      </c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4"/>
      <c r="HG1605" s="4"/>
      <c r="HH1605" s="4"/>
      <c r="HI1605" s="4"/>
      <c r="HJ1605" s="4"/>
      <c r="HK1605" s="4"/>
      <c r="HL1605" s="4"/>
      <c r="HM1605" s="4"/>
      <c r="HN1605" s="4"/>
      <c r="HO1605" s="4"/>
      <c r="HP1605" s="4"/>
      <c r="HQ1605" s="4"/>
      <c r="HR1605" s="4"/>
    </row>
    <row r="1606">
      <c r="A1606" s="2" t="s">
        <v>7666</v>
      </c>
      <c r="B1606" s="2" t="s">
        <v>1242</v>
      </c>
      <c r="C1606" s="2" t="s">
        <v>530</v>
      </c>
      <c r="D1606" s="2" t="s">
        <v>969</v>
      </c>
      <c r="E1606" s="2" t="s">
        <v>1078</v>
      </c>
      <c r="F1606" s="2" t="s">
        <v>7667</v>
      </c>
      <c r="G1606" s="2" t="s">
        <v>7668</v>
      </c>
      <c r="H1606" s="2" t="s">
        <v>3240</v>
      </c>
      <c r="I1606" s="2" t="s">
        <v>7669</v>
      </c>
      <c r="J1606" s="2" t="s">
        <v>981</v>
      </c>
      <c r="K1606" s="2" t="s">
        <v>257</v>
      </c>
      <c r="L1606" s="3">
        <v>36.57</v>
      </c>
      <c r="M1606" s="3">
        <v>38.4</v>
      </c>
      <c r="N1606" s="3">
        <v>79.99</v>
      </c>
      <c r="O1606" s="2" t="s">
        <v>245</v>
      </c>
      <c r="P1606" s="2" t="s">
        <v>238</v>
      </c>
      <c r="Q1606" s="2" t="s">
        <v>239</v>
      </c>
      <c r="R1606" s="2" t="s">
        <v>233</v>
      </c>
      <c r="S1606" s="2" t="s">
        <v>7670</v>
      </c>
      <c r="T1606" s="2" t="s">
        <v>395</v>
      </c>
      <c r="U1606" s="2" t="s">
        <v>342</v>
      </c>
      <c r="V1606" s="2" t="s">
        <v>1272</v>
      </c>
      <c r="W1606" s="2" t="s">
        <v>977</v>
      </c>
      <c r="X1606" s="2" t="s">
        <v>275</v>
      </c>
      <c r="Y1606" s="2" t="s">
        <v>233</v>
      </c>
      <c r="Z1606" s="4"/>
      <c r="AA1606" s="4">
        <f>=ROUNDDOWN({0},0)</f>
      </c>
      <c r="AB1606" s="5"/>
      <c r="AC1606" s="2" t="s">
        <v>1492</v>
      </c>
      <c r="AD1606" s="4">
        <v>75</v>
      </c>
      <c r="AE1606" s="4">
        <v>300</v>
      </c>
      <c r="AF1606" s="6">
        <v>64</v>
      </c>
      <c r="AG1606" s="6"/>
      <c r="AH1606" s="7">
        <v>0</v>
      </c>
      <c r="AI1606" s="4"/>
      <c r="AJ1606" s="4">
        <f>=ROUNDDOWN({0},0)</f>
      </c>
      <c r="AK1606" s="5"/>
      <c r="AL1606" s="2" t="s">
        <v>233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233</v>
      </c>
      <c r="AW1606" s="8" t="s">
        <v>233</v>
      </c>
      <c r="AX1606" s="4" t="s">
        <v>233</v>
      </c>
      <c r="AY1606" s="8" t="s">
        <v>233</v>
      </c>
      <c r="AZ1606" s="7" t="s">
        <v>233</v>
      </c>
      <c r="BA1606" s="7" t="s">
        <v>233</v>
      </c>
      <c r="BB1606" s="7" t="s">
        <v>233</v>
      </c>
      <c r="BC1606" s="4" t="s">
        <v>233</v>
      </c>
      <c r="BD1606" s="8" t="s">
        <v>233</v>
      </c>
      <c r="BE1606" s="4" t="s">
        <v>233</v>
      </c>
      <c r="BF1606" s="8" t="s">
        <v>233</v>
      </c>
      <c r="BG1606" s="7" t="s">
        <v>233</v>
      </c>
      <c r="BH1606" s="7" t="s">
        <v>233</v>
      </c>
      <c r="BI1606" s="7"/>
      <c r="BJ1606" s="4"/>
      <c r="BK1606" s="8"/>
      <c r="BL1606" s="2" t="s">
        <v>233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243</v>
      </c>
      <c r="BV1606" s="2" t="s">
        <v>233</v>
      </c>
      <c r="BW1606" s="2" t="s">
        <v>233</v>
      </c>
      <c r="BX1606" s="2" t="s">
        <v>243</v>
      </c>
      <c r="BY1606" s="2" t="s">
        <v>244</v>
      </c>
      <c r="BZ1606" s="2" t="s">
        <v>245</v>
      </c>
      <c r="CA1606" s="2" t="s">
        <v>233</v>
      </c>
      <c r="CB1606" s="2" t="s">
        <v>233</v>
      </c>
      <c r="CC1606" s="2" t="s">
        <v>246</v>
      </c>
      <c r="CD1606" s="2" t="s">
        <v>233</v>
      </c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>
        <v>75</v>
      </c>
      <c r="EA1606" s="4"/>
      <c r="EB1606" s="4"/>
      <c r="EC1606" s="4">
        <v>75</v>
      </c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>
        <v>150</v>
      </c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  <c r="HG1606" s="4"/>
      <c r="HH1606" s="4"/>
      <c r="HI1606" s="4"/>
      <c r="HJ1606" s="4"/>
      <c r="HK1606" s="4"/>
      <c r="HL1606" s="4"/>
      <c r="HM1606" s="4"/>
      <c r="HN1606" s="4"/>
      <c r="HO1606" s="4"/>
      <c r="HP1606" s="4"/>
      <c r="HQ1606" s="4"/>
      <c r="HR1606" s="4"/>
    </row>
    <row r="1607">
      <c r="A1607" s="2" t="s">
        <v>7671</v>
      </c>
      <c r="B1607" s="2" t="s">
        <v>1242</v>
      </c>
      <c r="C1607" s="2" t="s">
        <v>530</v>
      </c>
      <c r="D1607" s="2" t="s">
        <v>912</v>
      </c>
      <c r="E1607" s="2" t="s">
        <v>1139</v>
      </c>
      <c r="F1607" s="2" t="s">
        <v>7667</v>
      </c>
      <c r="G1607" s="2" t="s">
        <v>7668</v>
      </c>
      <c r="H1607" s="2" t="s">
        <v>3240</v>
      </c>
      <c r="I1607" s="2" t="s">
        <v>7672</v>
      </c>
      <c r="J1607" s="2" t="s">
        <v>981</v>
      </c>
      <c r="K1607" s="2" t="s">
        <v>257</v>
      </c>
      <c r="L1607" s="3">
        <v>22.85</v>
      </c>
      <c r="M1607" s="3">
        <v>23.99</v>
      </c>
      <c r="N1607" s="3">
        <v>49.99</v>
      </c>
      <c r="O1607" s="2" t="s">
        <v>245</v>
      </c>
      <c r="P1607" s="2" t="s">
        <v>238</v>
      </c>
      <c r="Q1607" s="2" t="s">
        <v>239</v>
      </c>
      <c r="R1607" s="2" t="s">
        <v>233</v>
      </c>
      <c r="S1607" s="2" t="s">
        <v>7670</v>
      </c>
      <c r="T1607" s="2" t="s">
        <v>395</v>
      </c>
      <c r="U1607" s="2" t="s">
        <v>475</v>
      </c>
      <c r="V1607" s="2" t="s">
        <v>1272</v>
      </c>
      <c r="W1607" s="2" t="s">
        <v>977</v>
      </c>
      <c r="X1607" s="2" t="s">
        <v>275</v>
      </c>
      <c r="Y1607" s="2" t="s">
        <v>233</v>
      </c>
      <c r="Z1607" s="4"/>
      <c r="AA1607" s="4">
        <f>=ROUNDDOWN({0},0)</f>
      </c>
      <c r="AB1607" s="5"/>
      <c r="AC1607" s="2" t="s">
        <v>1492</v>
      </c>
      <c r="AD1607" s="4">
        <v>35</v>
      </c>
      <c r="AE1607" s="4">
        <v>130</v>
      </c>
      <c r="AF1607" s="6">
        <v>64</v>
      </c>
      <c r="AG1607" s="6"/>
      <c r="AH1607" s="7">
        <v>0</v>
      </c>
      <c r="AI1607" s="4"/>
      <c r="AJ1607" s="4">
        <f>=ROUNDDOWN({0},0)</f>
      </c>
      <c r="AK1607" s="5"/>
      <c r="AL1607" s="2" t="s">
        <v>233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233</v>
      </c>
      <c r="AW1607" s="8" t="s">
        <v>233</v>
      </c>
      <c r="AX1607" s="4" t="s">
        <v>233</v>
      </c>
      <c r="AY1607" s="8" t="s">
        <v>233</v>
      </c>
      <c r="AZ1607" s="7" t="s">
        <v>233</v>
      </c>
      <c r="BA1607" s="7" t="s">
        <v>233</v>
      </c>
      <c r="BB1607" s="7" t="s">
        <v>233</v>
      </c>
      <c r="BC1607" s="4" t="s">
        <v>233</v>
      </c>
      <c r="BD1607" s="8" t="s">
        <v>233</v>
      </c>
      <c r="BE1607" s="4" t="s">
        <v>233</v>
      </c>
      <c r="BF1607" s="8" t="s">
        <v>233</v>
      </c>
      <c r="BG1607" s="7" t="s">
        <v>233</v>
      </c>
      <c r="BH1607" s="7" t="s">
        <v>233</v>
      </c>
      <c r="BI1607" s="7"/>
      <c r="BJ1607" s="4"/>
      <c r="BK1607" s="8"/>
      <c r="BL1607" s="2" t="s">
        <v>233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243</v>
      </c>
      <c r="BV1607" s="2" t="s">
        <v>233</v>
      </c>
      <c r="BW1607" s="2" t="s">
        <v>233</v>
      </c>
      <c r="BX1607" s="2" t="s">
        <v>243</v>
      </c>
      <c r="BY1607" s="2" t="s">
        <v>244</v>
      </c>
      <c r="BZ1607" s="2" t="s">
        <v>245</v>
      </c>
      <c r="CA1607" s="2" t="s">
        <v>233</v>
      </c>
      <c r="CB1607" s="2" t="s">
        <v>233</v>
      </c>
      <c r="CC1607" s="2" t="s">
        <v>246</v>
      </c>
      <c r="CD1607" s="2" t="s">
        <v>233</v>
      </c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>
        <v>35</v>
      </c>
      <c r="EA1607" s="4"/>
      <c r="EB1607" s="4"/>
      <c r="EC1607" s="4">
        <v>35</v>
      </c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>
        <v>60</v>
      </c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  <c r="HG1607" s="4"/>
      <c r="HH1607" s="4"/>
      <c r="HI1607" s="4"/>
      <c r="HJ1607" s="4"/>
      <c r="HK1607" s="4"/>
      <c r="HL1607" s="4"/>
      <c r="HM1607" s="4"/>
      <c r="HN1607" s="4"/>
      <c r="HO1607" s="4"/>
      <c r="HP1607" s="4"/>
      <c r="HQ1607" s="4"/>
      <c r="HR1607" s="4"/>
    </row>
    <row r="1608">
      <c r="A1608" s="2" t="s">
        <v>7673</v>
      </c>
      <c r="B1608" s="2" t="s">
        <v>1242</v>
      </c>
      <c r="C1608" s="2" t="s">
        <v>530</v>
      </c>
      <c r="D1608" s="2" t="s">
        <v>969</v>
      </c>
      <c r="E1608" s="2" t="s">
        <v>1078</v>
      </c>
      <c r="F1608" s="2" t="s">
        <v>7667</v>
      </c>
      <c r="G1608" s="2" t="s">
        <v>7668</v>
      </c>
      <c r="H1608" s="2" t="s">
        <v>3240</v>
      </c>
      <c r="I1608" s="2" t="s">
        <v>7669</v>
      </c>
      <c r="J1608" s="2" t="s">
        <v>1142</v>
      </c>
      <c r="K1608" s="2" t="s">
        <v>257</v>
      </c>
      <c r="L1608" s="3">
        <v>41.14</v>
      </c>
      <c r="M1608" s="3">
        <v>43.2</v>
      </c>
      <c r="N1608" s="3">
        <v>89.99</v>
      </c>
      <c r="O1608" s="2" t="s">
        <v>245</v>
      </c>
      <c r="P1608" s="2" t="s">
        <v>238</v>
      </c>
      <c r="Q1608" s="2" t="s">
        <v>239</v>
      </c>
      <c r="R1608" s="2" t="s">
        <v>233</v>
      </c>
      <c r="S1608" s="2" t="s">
        <v>7670</v>
      </c>
      <c r="T1608" s="2" t="s">
        <v>395</v>
      </c>
      <c r="U1608" s="2" t="s">
        <v>342</v>
      </c>
      <c r="V1608" s="2" t="s">
        <v>1272</v>
      </c>
      <c r="W1608" s="2" t="s">
        <v>977</v>
      </c>
      <c r="X1608" s="2" t="s">
        <v>275</v>
      </c>
      <c r="Y1608" s="2" t="s">
        <v>233</v>
      </c>
      <c r="Z1608" s="4"/>
      <c r="AA1608" s="4">
        <f>=ROUNDDOWN({0},0)</f>
      </c>
      <c r="AB1608" s="5"/>
      <c r="AC1608" s="2" t="s">
        <v>1492</v>
      </c>
      <c r="AD1608" s="4">
        <v>60</v>
      </c>
      <c r="AE1608" s="4">
        <v>240</v>
      </c>
      <c r="AF1608" s="6">
        <v>64</v>
      </c>
      <c r="AG1608" s="6"/>
      <c r="AH1608" s="7">
        <v>0</v>
      </c>
      <c r="AI1608" s="4"/>
      <c r="AJ1608" s="4">
        <f>=ROUNDDOWN({0},0)</f>
      </c>
      <c r="AK1608" s="5"/>
      <c r="AL1608" s="2" t="s">
        <v>233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233</v>
      </c>
      <c r="AW1608" s="8" t="s">
        <v>233</v>
      </c>
      <c r="AX1608" s="4" t="s">
        <v>233</v>
      </c>
      <c r="AY1608" s="8" t="s">
        <v>233</v>
      </c>
      <c r="AZ1608" s="7" t="s">
        <v>233</v>
      </c>
      <c r="BA1608" s="7" t="s">
        <v>233</v>
      </c>
      <c r="BB1608" s="7" t="s">
        <v>233</v>
      </c>
      <c r="BC1608" s="4" t="s">
        <v>233</v>
      </c>
      <c r="BD1608" s="8" t="s">
        <v>233</v>
      </c>
      <c r="BE1608" s="4" t="s">
        <v>233</v>
      </c>
      <c r="BF1608" s="8" t="s">
        <v>233</v>
      </c>
      <c r="BG1608" s="7" t="s">
        <v>233</v>
      </c>
      <c r="BH1608" s="7" t="s">
        <v>233</v>
      </c>
      <c r="BI1608" s="7"/>
      <c r="BJ1608" s="4"/>
      <c r="BK1608" s="8"/>
      <c r="BL1608" s="2" t="s">
        <v>233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243</v>
      </c>
      <c r="BV1608" s="2" t="s">
        <v>233</v>
      </c>
      <c r="BW1608" s="2" t="s">
        <v>233</v>
      </c>
      <c r="BX1608" s="2" t="s">
        <v>243</v>
      </c>
      <c r="BY1608" s="2" t="s">
        <v>244</v>
      </c>
      <c r="BZ1608" s="2" t="s">
        <v>245</v>
      </c>
      <c r="CA1608" s="2" t="s">
        <v>233</v>
      </c>
      <c r="CB1608" s="2" t="s">
        <v>233</v>
      </c>
      <c r="CC1608" s="2" t="s">
        <v>246</v>
      </c>
      <c r="CD1608" s="2" t="s">
        <v>233</v>
      </c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>
        <v>60</v>
      </c>
      <c r="EA1608" s="4"/>
      <c r="EB1608" s="4"/>
      <c r="EC1608" s="4">
        <v>60</v>
      </c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>
        <v>120</v>
      </c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  <c r="HG1608" s="4"/>
      <c r="HH1608" s="4"/>
      <c r="HI1608" s="4"/>
      <c r="HJ1608" s="4"/>
      <c r="HK1608" s="4"/>
      <c r="HL1608" s="4"/>
      <c r="HM1608" s="4"/>
      <c r="HN1608" s="4"/>
      <c r="HO1608" s="4"/>
      <c r="HP1608" s="4"/>
      <c r="HQ1608" s="4"/>
      <c r="HR1608" s="4"/>
    </row>
    <row r="1609">
      <c r="A1609" s="2" t="s">
        <v>7674</v>
      </c>
      <c r="B1609" s="2" t="s">
        <v>1242</v>
      </c>
      <c r="C1609" s="2" t="s">
        <v>530</v>
      </c>
      <c r="D1609" s="2" t="s">
        <v>912</v>
      </c>
      <c r="E1609" s="2" t="s">
        <v>1139</v>
      </c>
      <c r="F1609" s="2" t="s">
        <v>7667</v>
      </c>
      <c r="G1609" s="2" t="s">
        <v>7668</v>
      </c>
      <c r="H1609" s="2" t="s">
        <v>3240</v>
      </c>
      <c r="I1609" s="2" t="s">
        <v>7672</v>
      </c>
      <c r="J1609" s="2" t="s">
        <v>1142</v>
      </c>
      <c r="K1609" s="2" t="s">
        <v>257</v>
      </c>
      <c r="L1609" s="3">
        <v>27.42</v>
      </c>
      <c r="M1609" s="3">
        <v>28.79</v>
      </c>
      <c r="N1609" s="3">
        <v>59.99</v>
      </c>
      <c r="O1609" s="2" t="s">
        <v>245</v>
      </c>
      <c r="P1609" s="2" t="s">
        <v>238</v>
      </c>
      <c r="Q1609" s="2" t="s">
        <v>239</v>
      </c>
      <c r="R1609" s="2" t="s">
        <v>233</v>
      </c>
      <c r="S1609" s="2" t="s">
        <v>7670</v>
      </c>
      <c r="T1609" s="2" t="s">
        <v>395</v>
      </c>
      <c r="U1609" s="2" t="s">
        <v>475</v>
      </c>
      <c r="V1609" s="2" t="s">
        <v>1272</v>
      </c>
      <c r="W1609" s="2" t="s">
        <v>977</v>
      </c>
      <c r="X1609" s="2" t="s">
        <v>275</v>
      </c>
      <c r="Y1609" s="2" t="s">
        <v>233</v>
      </c>
      <c r="Z1609" s="4"/>
      <c r="AA1609" s="4">
        <f>=ROUNDDOWN({0},0)</f>
      </c>
      <c r="AB1609" s="5"/>
      <c r="AC1609" s="2" t="s">
        <v>1492</v>
      </c>
      <c r="AD1609" s="4">
        <v>35</v>
      </c>
      <c r="AE1609" s="4">
        <v>130</v>
      </c>
      <c r="AF1609" s="6">
        <v>64</v>
      </c>
      <c r="AG1609" s="6"/>
      <c r="AH1609" s="7">
        <v>0</v>
      </c>
      <c r="AI1609" s="4"/>
      <c r="AJ1609" s="4">
        <f>=ROUNDDOWN({0},0)</f>
      </c>
      <c r="AK1609" s="5"/>
      <c r="AL1609" s="2" t="s">
        <v>233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233</v>
      </c>
      <c r="AW1609" s="8" t="s">
        <v>233</v>
      </c>
      <c r="AX1609" s="4" t="s">
        <v>233</v>
      </c>
      <c r="AY1609" s="8" t="s">
        <v>233</v>
      </c>
      <c r="AZ1609" s="7" t="s">
        <v>233</v>
      </c>
      <c r="BA1609" s="7" t="s">
        <v>233</v>
      </c>
      <c r="BB1609" s="7" t="s">
        <v>233</v>
      </c>
      <c r="BC1609" s="4" t="s">
        <v>233</v>
      </c>
      <c r="BD1609" s="8" t="s">
        <v>233</v>
      </c>
      <c r="BE1609" s="4" t="s">
        <v>233</v>
      </c>
      <c r="BF1609" s="8" t="s">
        <v>233</v>
      </c>
      <c r="BG1609" s="7" t="s">
        <v>233</v>
      </c>
      <c r="BH1609" s="7" t="s">
        <v>233</v>
      </c>
      <c r="BI1609" s="7"/>
      <c r="BJ1609" s="4"/>
      <c r="BK1609" s="8"/>
      <c r="BL1609" s="2" t="s">
        <v>233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243</v>
      </c>
      <c r="BV1609" s="2" t="s">
        <v>233</v>
      </c>
      <c r="BW1609" s="2" t="s">
        <v>233</v>
      </c>
      <c r="BX1609" s="2" t="s">
        <v>243</v>
      </c>
      <c r="BY1609" s="2" t="s">
        <v>244</v>
      </c>
      <c r="BZ1609" s="2" t="s">
        <v>245</v>
      </c>
      <c r="CA1609" s="2" t="s">
        <v>233</v>
      </c>
      <c r="CB1609" s="2" t="s">
        <v>233</v>
      </c>
      <c r="CC1609" s="2" t="s">
        <v>246</v>
      </c>
      <c r="CD1609" s="2" t="s">
        <v>233</v>
      </c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>
        <v>35</v>
      </c>
      <c r="EA1609" s="4"/>
      <c r="EB1609" s="4"/>
      <c r="EC1609" s="4">
        <v>35</v>
      </c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>
        <v>60</v>
      </c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  <c r="HG1609" s="4"/>
      <c r="HH1609" s="4"/>
      <c r="HI1609" s="4"/>
      <c r="HJ1609" s="4"/>
      <c r="HK1609" s="4"/>
      <c r="HL1609" s="4"/>
      <c r="HM1609" s="4"/>
      <c r="HN1609" s="4"/>
      <c r="HO1609" s="4"/>
      <c r="HP1609" s="4"/>
      <c r="HQ1609" s="4"/>
      <c r="HR1609" s="4"/>
    </row>
    <row r="1610">
      <c r="A1610" s="2" t="s">
        <v>7675</v>
      </c>
      <c r="B1610" s="2" t="s">
        <v>1242</v>
      </c>
      <c r="C1610" s="2" t="s">
        <v>530</v>
      </c>
      <c r="D1610" s="2" t="s">
        <v>912</v>
      </c>
      <c r="E1610" s="2" t="s">
        <v>1139</v>
      </c>
      <c r="F1610" s="2" t="s">
        <v>7676</v>
      </c>
      <c r="G1610" s="2" t="s">
        <v>7560</v>
      </c>
      <c r="H1610" s="2" t="s">
        <v>7434</v>
      </c>
      <c r="I1610" s="2" t="s">
        <v>7677</v>
      </c>
      <c r="J1610" s="2" t="s">
        <v>1142</v>
      </c>
      <c r="K1610" s="2" t="s">
        <v>2344</v>
      </c>
      <c r="L1610" s="3">
        <v>60.85</v>
      </c>
      <c r="M1610" s="3">
        <v>63.9</v>
      </c>
      <c r="N1610" s="3">
        <v>134.99</v>
      </c>
      <c r="O1610" s="2" t="s">
        <v>245</v>
      </c>
      <c r="P1610" s="2" t="s">
        <v>272</v>
      </c>
      <c r="Q1610" s="2" t="s">
        <v>239</v>
      </c>
      <c r="R1610" s="2" t="s">
        <v>233</v>
      </c>
      <c r="S1610" s="2" t="s">
        <v>7678</v>
      </c>
      <c r="T1610" s="2" t="s">
        <v>341</v>
      </c>
      <c r="U1610" s="2" t="s">
        <v>475</v>
      </c>
      <c r="V1610" s="2" t="s">
        <v>241</v>
      </c>
      <c r="W1610" s="2" t="s">
        <v>2882</v>
      </c>
      <c r="X1610" s="2" t="s">
        <v>2215</v>
      </c>
      <c r="Y1610" s="2" t="s">
        <v>7679</v>
      </c>
      <c r="Z1610" s="4">
        <v>174</v>
      </c>
      <c r="AA1610" s="4">
        <f>=ROUNDDOWN(58,0)</f>
      </c>
      <c r="AB1610" s="5">
        <v>3</v>
      </c>
      <c r="AC1610" s="2" t="s">
        <v>233</v>
      </c>
      <c r="AD1610" s="4"/>
      <c r="AE1610" s="4"/>
      <c r="AF1610" s="6">
        <v>69</v>
      </c>
      <c r="AG1610" s="6"/>
      <c r="AH1610" s="7">
        <v>1</v>
      </c>
      <c r="AI1610" s="4"/>
      <c r="AJ1610" s="4">
        <f>=ROUNDDOWN({0},0)</f>
      </c>
      <c r="AK1610" s="5"/>
      <c r="AL1610" s="2" t="s">
        <v>233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/>
      <c r="AW1610" s="8"/>
      <c r="AX1610" s="4"/>
      <c r="AY1610" s="8"/>
      <c r="AZ1610" s="7"/>
      <c r="BA1610" s="7"/>
      <c r="BB1610" s="7"/>
      <c r="BC1610" s="4"/>
      <c r="BD1610" s="8"/>
      <c r="BE1610" s="4"/>
      <c r="BF1610" s="8"/>
      <c r="BG1610" s="7"/>
      <c r="BH1610" s="7"/>
      <c r="BI1610" s="7"/>
      <c r="BJ1610" s="4">
        <v>7</v>
      </c>
      <c r="BK1610" s="8">
        <v>524.88</v>
      </c>
      <c r="BL1610" s="2" t="s">
        <v>7680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7681</v>
      </c>
      <c r="BV1610" s="2" t="s">
        <v>233</v>
      </c>
      <c r="BW1610" s="2" t="s">
        <v>233</v>
      </c>
      <c r="BX1610" s="2" t="s">
        <v>233</v>
      </c>
      <c r="BY1610" s="2" t="s">
        <v>280</v>
      </c>
      <c r="BZ1610" s="2" t="s">
        <v>245</v>
      </c>
      <c r="CA1610" s="2" t="s">
        <v>7682</v>
      </c>
      <c r="CB1610" s="2" t="s">
        <v>7683</v>
      </c>
      <c r="CC1610" s="2" t="s">
        <v>246</v>
      </c>
      <c r="CD1610" s="2" t="s">
        <v>233</v>
      </c>
      <c r="CE1610" s="4">
        <v>174</v>
      </c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/>
      <c r="HJ1610" s="4"/>
      <c r="HK1610" s="4"/>
      <c r="HL1610" s="4"/>
      <c r="HM1610" s="4"/>
      <c r="HN1610" s="4"/>
      <c r="HO1610" s="4"/>
      <c r="HP1610" s="4"/>
      <c r="HQ1610" s="4"/>
      <c r="HR1610" s="4"/>
    </row>
    <row r="1611">
      <c r="A1611" s="2" t="s">
        <v>7684</v>
      </c>
      <c r="B1611" s="2" t="s">
        <v>1066</v>
      </c>
      <c r="C1611" s="2" t="s">
        <v>530</v>
      </c>
      <c r="D1611" s="2" t="s">
        <v>2140</v>
      </c>
      <c r="E1611" s="2" t="s">
        <v>2141</v>
      </c>
      <c r="F1611" s="2" t="s">
        <v>7685</v>
      </c>
      <c r="G1611" s="2" t="s">
        <v>7686</v>
      </c>
      <c r="H1611" s="2" t="s">
        <v>2079</v>
      </c>
      <c r="I1611" s="2" t="s">
        <v>7687</v>
      </c>
      <c r="J1611" s="2" t="s">
        <v>892</v>
      </c>
      <c r="K1611" s="2" t="s">
        <v>297</v>
      </c>
      <c r="L1611" s="3">
        <v>285</v>
      </c>
      <c r="M1611" s="3">
        <v>299.25</v>
      </c>
      <c r="N1611" s="3">
        <v>599</v>
      </c>
      <c r="O1611" s="2" t="s">
        <v>237</v>
      </c>
      <c r="P1611" s="2" t="s">
        <v>311</v>
      </c>
      <c r="Q1611" s="2" t="s">
        <v>239</v>
      </c>
      <c r="R1611" s="2" t="s">
        <v>233</v>
      </c>
      <c r="S1611" s="2" t="s">
        <v>7688</v>
      </c>
      <c r="T1611" s="2" t="s">
        <v>233</v>
      </c>
      <c r="U1611" s="2" t="s">
        <v>233</v>
      </c>
      <c r="V1611" s="2" t="s">
        <v>1085</v>
      </c>
      <c r="W1611" s="2" t="s">
        <v>397</v>
      </c>
      <c r="X1611" s="2" t="s">
        <v>233</v>
      </c>
      <c r="Y1611" s="2" t="s">
        <v>276</v>
      </c>
      <c r="Z1611" s="4">
        <v>4</v>
      </c>
      <c r="AA1611" s="4">
        <f>=ROUNDDOWN({0},0)</f>
      </c>
      <c r="AB1611" s="5"/>
      <c r="AC1611" s="2" t="s">
        <v>233</v>
      </c>
      <c r="AD1611" s="4"/>
      <c r="AE1611" s="4"/>
      <c r="AF1611" s="6">
        <v>65</v>
      </c>
      <c r="AG1611" s="6">
        <v>48</v>
      </c>
      <c r="AH1611" s="7">
        <v>1</v>
      </c>
      <c r="AI1611" s="4"/>
      <c r="AJ1611" s="4">
        <f>=ROUNDDOWN({0},0)</f>
      </c>
      <c r="AK1611" s="5"/>
      <c r="AL1611" s="2" t="s">
        <v>233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/>
      <c r="BK1611" s="8"/>
      <c r="BL1611" s="2" t="s">
        <v>1028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7689</v>
      </c>
      <c r="BV1611" s="2" t="s">
        <v>233</v>
      </c>
      <c r="BW1611" s="2" t="s">
        <v>233</v>
      </c>
      <c r="BX1611" s="2" t="s">
        <v>233</v>
      </c>
      <c r="BY1611" s="2" t="s">
        <v>280</v>
      </c>
      <c r="BZ1611" s="2" t="s">
        <v>245</v>
      </c>
      <c r="CA1611" s="2" t="s">
        <v>7690</v>
      </c>
      <c r="CB1611" s="2" t="s">
        <v>648</v>
      </c>
      <c r="CC1611" s="2" t="s">
        <v>246</v>
      </c>
      <c r="CD1611" s="2" t="s">
        <v>233</v>
      </c>
      <c r="CE1611" s="4"/>
      <c r="CF1611" s="4">
        <v>4</v>
      </c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/>
      <c r="HJ1611" s="4"/>
      <c r="HK1611" s="4"/>
      <c r="HL1611" s="4"/>
      <c r="HM1611" s="4"/>
      <c r="HN1611" s="4"/>
      <c r="HO1611" s="4"/>
      <c r="HP1611" s="4"/>
      <c r="HQ1611" s="4"/>
      <c r="HR1611" s="4"/>
    </row>
    <row r="1612">
      <c r="A1612" s="2" t="s">
        <v>7691</v>
      </c>
      <c r="B1612" s="2" t="s">
        <v>1066</v>
      </c>
      <c r="C1612" s="2" t="s">
        <v>530</v>
      </c>
      <c r="D1612" s="2" t="s">
        <v>1919</v>
      </c>
      <c r="E1612" s="2" t="s">
        <v>1920</v>
      </c>
      <c r="F1612" s="2" t="s">
        <v>7692</v>
      </c>
      <c r="G1612" s="2" t="s">
        <v>7693</v>
      </c>
      <c r="H1612" s="2" t="s">
        <v>7694</v>
      </c>
      <c r="I1612" s="2" t="s">
        <v>7695</v>
      </c>
      <c r="J1612" s="2" t="s">
        <v>892</v>
      </c>
      <c r="K1612" s="2" t="s">
        <v>1201</v>
      </c>
      <c r="L1612" s="3">
        <v>84.15</v>
      </c>
      <c r="M1612" s="3">
        <v>88.36</v>
      </c>
      <c r="N1612" s="3">
        <v>179</v>
      </c>
      <c r="O1612" s="2" t="s">
        <v>245</v>
      </c>
      <c r="P1612" s="2" t="s">
        <v>272</v>
      </c>
      <c r="Q1612" s="2" t="s">
        <v>239</v>
      </c>
      <c r="R1612" s="2" t="s">
        <v>233</v>
      </c>
      <c r="S1612" s="2" t="s">
        <v>7696</v>
      </c>
      <c r="T1612" s="2" t="s">
        <v>233</v>
      </c>
      <c r="U1612" s="2" t="s">
        <v>233</v>
      </c>
      <c r="V1612" s="2" t="s">
        <v>241</v>
      </c>
      <c r="W1612" s="2" t="s">
        <v>451</v>
      </c>
      <c r="X1612" s="2" t="s">
        <v>233</v>
      </c>
      <c r="Y1612" s="2" t="s">
        <v>276</v>
      </c>
      <c r="Z1612" s="4">
        <v>449</v>
      </c>
      <c r="AA1612" s="4">
        <f>=ROUNDDOWN(26.4117647058824,0)</f>
      </c>
      <c r="AB1612" s="5">
        <v>17</v>
      </c>
      <c r="AC1612" s="2" t="s">
        <v>5360</v>
      </c>
      <c r="AD1612" s="4">
        <v>74</v>
      </c>
      <c r="AE1612" s="4">
        <v>284</v>
      </c>
      <c r="AF1612" s="6">
        <v>76</v>
      </c>
      <c r="AG1612" s="6"/>
      <c r="AH1612" s="7">
        <v>1</v>
      </c>
      <c r="AI1612" s="4"/>
      <c r="AJ1612" s="4">
        <f>=ROUNDDOWN({0},0)</f>
      </c>
      <c r="AK1612" s="5"/>
      <c r="AL1612" s="2" t="s">
        <v>233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/>
      <c r="BD1612" s="8"/>
      <c r="BE1612" s="4"/>
      <c r="BF1612" s="8"/>
      <c r="BG1612" s="7"/>
      <c r="BH1612" s="7"/>
      <c r="BI1612" s="7"/>
      <c r="BJ1612" s="4">
        <v>67</v>
      </c>
      <c r="BK1612" s="8">
        <v>5214.35</v>
      </c>
      <c r="BL1612" s="2" t="s">
        <v>7697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7698</v>
      </c>
      <c r="BV1612" s="2" t="s">
        <v>233</v>
      </c>
      <c r="BW1612" s="2" t="s">
        <v>233</v>
      </c>
      <c r="BX1612" s="2" t="s">
        <v>233</v>
      </c>
      <c r="BY1612" s="2" t="s">
        <v>280</v>
      </c>
      <c r="BZ1612" s="2" t="s">
        <v>245</v>
      </c>
      <c r="CA1612" s="2" t="s">
        <v>281</v>
      </c>
      <c r="CB1612" s="2" t="s">
        <v>7699</v>
      </c>
      <c r="CC1612" s="2" t="s">
        <v>246</v>
      </c>
      <c r="CD1612" s="2" t="s">
        <v>233</v>
      </c>
      <c r="CE1612" s="4"/>
      <c r="CF1612" s="4">
        <v>449</v>
      </c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>
        <v>74</v>
      </c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>
        <v>210</v>
      </c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  <c r="HM1612" s="4"/>
      <c r="HN1612" s="4"/>
      <c r="HO1612" s="4"/>
      <c r="HP1612" s="4"/>
      <c r="HQ1612" s="4"/>
      <c r="HR1612" s="4"/>
    </row>
    <row r="1613">
      <c r="A1613" s="2" t="s">
        <v>7700</v>
      </c>
      <c r="B1613" s="2" t="s">
        <v>1066</v>
      </c>
      <c r="C1613" s="2" t="s">
        <v>947</v>
      </c>
      <c r="D1613" s="2" t="s">
        <v>1067</v>
      </c>
      <c r="E1613" s="2" t="s">
        <v>2650</v>
      </c>
      <c r="F1613" s="2" t="s">
        <v>7701</v>
      </c>
      <c r="G1613" s="2" t="s">
        <v>7701</v>
      </c>
      <c r="H1613" s="2" t="s">
        <v>7701</v>
      </c>
      <c r="I1613" s="2" t="s">
        <v>7702</v>
      </c>
      <c r="J1613" s="2" t="s">
        <v>892</v>
      </c>
      <c r="K1613" s="2" t="s">
        <v>7703</v>
      </c>
      <c r="L1613" s="3">
        <v>190</v>
      </c>
      <c r="M1613" s="3">
        <v>199.5</v>
      </c>
      <c r="N1613" s="3">
        <v>399</v>
      </c>
      <c r="O1613" s="2" t="s">
        <v>237</v>
      </c>
      <c r="P1613" s="2" t="s">
        <v>311</v>
      </c>
      <c r="Q1613" s="2" t="s">
        <v>239</v>
      </c>
      <c r="R1613" s="2" t="s">
        <v>233</v>
      </c>
      <c r="S1613" s="2" t="s">
        <v>233</v>
      </c>
      <c r="T1613" s="2" t="s">
        <v>233</v>
      </c>
      <c r="U1613" s="2" t="s">
        <v>396</v>
      </c>
      <c r="V1613" s="2" t="s">
        <v>893</v>
      </c>
      <c r="W1613" s="2" t="s">
        <v>977</v>
      </c>
      <c r="X1613" s="2" t="s">
        <v>953</v>
      </c>
      <c r="Y1613" s="2" t="s">
        <v>7704</v>
      </c>
      <c r="Z1613" s="4">
        <v>61</v>
      </c>
      <c r="AA1613" s="4">
        <f>=ROUNDDOWN({0},0)</f>
      </c>
      <c r="AB1613" s="5"/>
      <c r="AC1613" s="2" t="s">
        <v>233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233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/>
      <c r="BK1613" s="8"/>
      <c r="BL1613" s="2" t="s">
        <v>2064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7705</v>
      </c>
      <c r="BV1613" s="2" t="s">
        <v>233</v>
      </c>
      <c r="BW1613" s="2" t="s">
        <v>233</v>
      </c>
      <c r="BX1613" s="2" t="s">
        <v>233</v>
      </c>
      <c r="BY1613" s="2" t="s">
        <v>280</v>
      </c>
      <c r="BZ1613" s="2" t="s">
        <v>245</v>
      </c>
      <c r="CA1613" s="2" t="s">
        <v>3754</v>
      </c>
      <c r="CB1613" s="2" t="s">
        <v>1799</v>
      </c>
      <c r="CC1613" s="2" t="s">
        <v>246</v>
      </c>
      <c r="CD1613" s="2" t="s">
        <v>233</v>
      </c>
      <c r="CE1613" s="4"/>
      <c r="CF1613" s="4">
        <v>61</v>
      </c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/>
      <c r="HJ1613" s="4"/>
      <c r="HK1613" s="4"/>
      <c r="HL1613" s="4"/>
      <c r="HM1613" s="4"/>
      <c r="HN1613" s="4"/>
      <c r="HO1613" s="4"/>
      <c r="HP1613" s="4"/>
      <c r="HQ1613" s="4"/>
      <c r="HR1613" s="4"/>
    </row>
    <row r="1614">
      <c r="A1614" s="2" t="s">
        <v>7706</v>
      </c>
      <c r="B1614" s="2" t="s">
        <v>928</v>
      </c>
      <c r="C1614" s="2" t="s">
        <v>1321</v>
      </c>
      <c r="D1614" s="2" t="s">
        <v>1101</v>
      </c>
      <c r="E1614" s="2" t="s">
        <v>1102</v>
      </c>
      <c r="F1614" s="2" t="s">
        <v>7707</v>
      </c>
      <c r="G1614" s="2" t="s">
        <v>7707</v>
      </c>
      <c r="H1614" s="2" t="s">
        <v>7707</v>
      </c>
      <c r="I1614" s="2" t="s">
        <v>7708</v>
      </c>
      <c r="J1614" s="2" t="s">
        <v>7709</v>
      </c>
      <c r="K1614" s="2" t="s">
        <v>1105</v>
      </c>
      <c r="L1614" s="3">
        <v>104.91</v>
      </c>
      <c r="M1614" s="3">
        <v>110.16</v>
      </c>
      <c r="N1614" s="3">
        <v>229.49</v>
      </c>
      <c r="O1614" s="2" t="s">
        <v>245</v>
      </c>
      <c r="P1614" s="2" t="s">
        <v>272</v>
      </c>
      <c r="Q1614" s="2" t="s">
        <v>239</v>
      </c>
      <c r="R1614" s="2" t="s">
        <v>233</v>
      </c>
      <c r="S1614" s="2" t="s">
        <v>7710</v>
      </c>
      <c r="T1614" s="2" t="s">
        <v>233</v>
      </c>
      <c r="U1614" s="2" t="s">
        <v>475</v>
      </c>
      <c r="V1614" s="2" t="s">
        <v>241</v>
      </c>
      <c r="W1614" s="2" t="s">
        <v>397</v>
      </c>
      <c r="X1614" s="2" t="s">
        <v>705</v>
      </c>
      <c r="Y1614" s="2" t="s">
        <v>3174</v>
      </c>
      <c r="Z1614" s="4">
        <v>80</v>
      </c>
      <c r="AA1614" s="4">
        <f>=ROUNDDOWN(26.6666666666667,0)</f>
      </c>
      <c r="AB1614" s="5">
        <v>3</v>
      </c>
      <c r="AC1614" s="2" t="s">
        <v>233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233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8</v>
      </c>
      <c r="BK1614" s="8">
        <v>1005</v>
      </c>
      <c r="BL1614" s="2" t="s">
        <v>7711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7712</v>
      </c>
      <c r="BV1614" s="2" t="s">
        <v>233</v>
      </c>
      <c r="BW1614" s="2" t="s">
        <v>233</v>
      </c>
      <c r="BX1614" s="2" t="s">
        <v>798</v>
      </c>
      <c r="BY1614" s="2" t="s">
        <v>280</v>
      </c>
      <c r="BZ1614" s="2" t="s">
        <v>245</v>
      </c>
      <c r="CA1614" s="2" t="s">
        <v>5483</v>
      </c>
      <c r="CB1614" s="2" t="s">
        <v>1355</v>
      </c>
      <c r="CC1614" s="2" t="s">
        <v>246</v>
      </c>
      <c r="CD1614" s="2" t="s">
        <v>233</v>
      </c>
      <c r="CE1614" s="4"/>
      <c r="CF1614" s="4">
        <v>80</v>
      </c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  <c r="HM1614" s="4"/>
      <c r="HN1614" s="4"/>
      <c r="HO1614" s="4"/>
      <c r="HP1614" s="4"/>
      <c r="HQ1614" s="4"/>
      <c r="HR1614" s="4"/>
    </row>
    <row r="1615">
      <c r="A1615" s="2" t="s">
        <v>7713</v>
      </c>
      <c r="B1615" s="2" t="s">
        <v>1242</v>
      </c>
      <c r="C1615" s="2" t="s">
        <v>901</v>
      </c>
      <c r="D1615" s="2" t="s">
        <v>912</v>
      </c>
      <c r="E1615" s="2" t="s">
        <v>913</v>
      </c>
      <c r="F1615" s="2" t="s">
        <v>7714</v>
      </c>
      <c r="G1615" s="2" t="s">
        <v>7714</v>
      </c>
      <c r="H1615" s="2" t="s">
        <v>7714</v>
      </c>
      <c r="I1615" s="2" t="s">
        <v>7715</v>
      </c>
      <c r="J1615" s="2" t="s">
        <v>981</v>
      </c>
      <c r="K1615" s="2" t="s">
        <v>552</v>
      </c>
      <c r="L1615" s="3">
        <v>49</v>
      </c>
      <c r="M1615" s="3">
        <v>51.44</v>
      </c>
      <c r="N1615" s="3">
        <v>99.99</v>
      </c>
      <c r="O1615" s="2" t="s">
        <v>237</v>
      </c>
      <c r="P1615" s="2" t="s">
        <v>311</v>
      </c>
      <c r="Q1615" s="2" t="s">
        <v>239</v>
      </c>
      <c r="R1615" s="2" t="s">
        <v>233</v>
      </c>
      <c r="S1615" s="2" t="s">
        <v>7716</v>
      </c>
      <c r="T1615" s="2" t="s">
        <v>233</v>
      </c>
      <c r="U1615" s="2" t="s">
        <v>233</v>
      </c>
      <c r="V1615" s="2" t="s">
        <v>241</v>
      </c>
      <c r="W1615" s="2" t="s">
        <v>451</v>
      </c>
      <c r="X1615" s="2" t="s">
        <v>1303</v>
      </c>
      <c r="Y1615" s="2" t="s">
        <v>2884</v>
      </c>
      <c r="Z1615" s="4"/>
      <c r="AA1615" s="4">
        <f>=ROUNDDOWN({0},0)</f>
      </c>
      <c r="AB1615" s="5">
        <v>2.8</v>
      </c>
      <c r="AC1615" s="2" t="s">
        <v>233</v>
      </c>
      <c r="AD1615" s="4"/>
      <c r="AE1615" s="4"/>
      <c r="AF1615" s="6">
        <v>67</v>
      </c>
      <c r="AG1615" s="6"/>
      <c r="AH1615" s="7">
        <v>0</v>
      </c>
      <c r="AI1615" s="4"/>
      <c r="AJ1615" s="4">
        <f>=ROUNDDOWN({0},0)</f>
      </c>
      <c r="AK1615" s="5"/>
      <c r="AL1615" s="2" t="s">
        <v>233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 t="s">
        <v>233</v>
      </c>
      <c r="AW1615" s="8" t="s">
        <v>233</v>
      </c>
      <c r="AX1615" s="4" t="s">
        <v>233</v>
      </c>
      <c r="AY1615" s="8" t="s">
        <v>233</v>
      </c>
      <c r="AZ1615" s="7" t="s">
        <v>233</v>
      </c>
      <c r="BA1615" s="7" t="s">
        <v>233</v>
      </c>
      <c r="BB1615" s="7"/>
      <c r="BC1615" s="4" t="s">
        <v>233</v>
      </c>
      <c r="BD1615" s="8" t="s">
        <v>233</v>
      </c>
      <c r="BE1615" s="4" t="s">
        <v>233</v>
      </c>
      <c r="BF1615" s="8" t="s">
        <v>233</v>
      </c>
      <c r="BG1615" s="7" t="s">
        <v>233</v>
      </c>
      <c r="BH1615" s="7" t="s">
        <v>233</v>
      </c>
      <c r="BI1615" s="7"/>
      <c r="BJ1615" s="4"/>
      <c r="BK1615" s="8"/>
      <c r="BL1615" s="2" t="s">
        <v>2352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7717</v>
      </c>
      <c r="BV1615" s="2" t="s">
        <v>233</v>
      </c>
      <c r="BW1615" s="2" t="s">
        <v>233</v>
      </c>
      <c r="BX1615" s="2" t="s">
        <v>233</v>
      </c>
      <c r="BY1615" s="2" t="s">
        <v>280</v>
      </c>
      <c r="BZ1615" s="2" t="s">
        <v>245</v>
      </c>
      <c r="CA1615" s="2" t="s">
        <v>7718</v>
      </c>
      <c r="CB1615" s="2" t="s">
        <v>7719</v>
      </c>
      <c r="CC1615" s="2" t="s">
        <v>246</v>
      </c>
      <c r="CD1615" s="2" t="s">
        <v>233</v>
      </c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/>
      <c r="HJ1615" s="4"/>
      <c r="HK1615" s="4"/>
      <c r="HL1615" s="4"/>
      <c r="HM1615" s="4"/>
      <c r="HN1615" s="4"/>
      <c r="HO1615" s="4"/>
      <c r="HP1615" s="4"/>
      <c r="HQ1615" s="4"/>
      <c r="HR1615" s="4"/>
    </row>
    <row r="1616">
      <c r="A1616" s="2" t="s">
        <v>7720</v>
      </c>
      <c r="B1616" s="2" t="s">
        <v>1242</v>
      </c>
      <c r="C1616" s="2" t="s">
        <v>901</v>
      </c>
      <c r="D1616" s="2" t="s">
        <v>912</v>
      </c>
      <c r="E1616" s="2" t="s">
        <v>913</v>
      </c>
      <c r="F1616" s="2" t="s">
        <v>7714</v>
      </c>
      <c r="G1616" s="2" t="s">
        <v>7714</v>
      </c>
      <c r="H1616" s="2" t="s">
        <v>7714</v>
      </c>
      <c r="I1616" s="2" t="s">
        <v>7715</v>
      </c>
      <c r="J1616" s="2" t="s">
        <v>1142</v>
      </c>
      <c r="K1616" s="2" t="s">
        <v>552</v>
      </c>
      <c r="L1616" s="3">
        <v>65</v>
      </c>
      <c r="M1616" s="3">
        <v>68.24</v>
      </c>
      <c r="N1616" s="3">
        <v>129.99</v>
      </c>
      <c r="O1616" s="2" t="s">
        <v>237</v>
      </c>
      <c r="P1616" s="2" t="s">
        <v>311</v>
      </c>
      <c r="Q1616" s="2" t="s">
        <v>239</v>
      </c>
      <c r="R1616" s="2" t="s">
        <v>233</v>
      </c>
      <c r="S1616" s="2" t="s">
        <v>7716</v>
      </c>
      <c r="T1616" s="2" t="s">
        <v>233</v>
      </c>
      <c r="U1616" s="2" t="s">
        <v>233</v>
      </c>
      <c r="V1616" s="2" t="s">
        <v>241</v>
      </c>
      <c r="W1616" s="2" t="s">
        <v>451</v>
      </c>
      <c r="X1616" s="2" t="s">
        <v>1303</v>
      </c>
      <c r="Y1616" s="2" t="s">
        <v>2884</v>
      </c>
      <c r="Z1616" s="4">
        <v>110</v>
      </c>
      <c r="AA1616" s="4">
        <f>=ROUNDDOWN(91.6666666666667,0)</f>
      </c>
      <c r="AB1616" s="5">
        <v>1.2</v>
      </c>
      <c r="AC1616" s="2" t="s">
        <v>233</v>
      </c>
      <c r="AD1616" s="4"/>
      <c r="AE1616" s="4"/>
      <c r="AF1616" s="6">
        <v>67</v>
      </c>
      <c r="AG1616" s="6"/>
      <c r="AH1616" s="7">
        <v>1</v>
      </c>
      <c r="AI1616" s="4"/>
      <c r="AJ1616" s="4">
        <f>=ROUNDDOWN({0},0)</f>
      </c>
      <c r="AK1616" s="5"/>
      <c r="AL1616" s="2" t="s">
        <v>233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 t="s">
        <v>233</v>
      </c>
      <c r="AW1616" s="8" t="s">
        <v>233</v>
      </c>
      <c r="AX1616" s="4" t="s">
        <v>233</v>
      </c>
      <c r="AY1616" s="8" t="s">
        <v>233</v>
      </c>
      <c r="AZ1616" s="7" t="s">
        <v>233</v>
      </c>
      <c r="BA1616" s="7" t="s">
        <v>233</v>
      </c>
      <c r="BB1616" s="7"/>
      <c r="BC1616" s="4" t="s">
        <v>233</v>
      </c>
      <c r="BD1616" s="8" t="s">
        <v>233</v>
      </c>
      <c r="BE1616" s="4" t="s">
        <v>233</v>
      </c>
      <c r="BF1616" s="8" t="s">
        <v>233</v>
      </c>
      <c r="BG1616" s="7" t="s">
        <v>233</v>
      </c>
      <c r="BH1616" s="7" t="s">
        <v>233</v>
      </c>
      <c r="BI1616" s="7"/>
      <c r="BJ1616" s="4">
        <v>8</v>
      </c>
      <c r="BK1616" s="8">
        <v>568.6</v>
      </c>
      <c r="BL1616" s="2" t="s">
        <v>7721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7722</v>
      </c>
      <c r="BV1616" s="2" t="s">
        <v>233</v>
      </c>
      <c r="BW1616" s="2" t="s">
        <v>233</v>
      </c>
      <c r="BX1616" s="2" t="s">
        <v>233</v>
      </c>
      <c r="BY1616" s="2" t="s">
        <v>280</v>
      </c>
      <c r="BZ1616" s="2" t="s">
        <v>245</v>
      </c>
      <c r="CA1616" s="2" t="s">
        <v>7718</v>
      </c>
      <c r="CB1616" s="2" t="s">
        <v>2671</v>
      </c>
      <c r="CC1616" s="2" t="s">
        <v>246</v>
      </c>
      <c r="CD1616" s="2" t="s">
        <v>233</v>
      </c>
      <c r="CE1616" s="4">
        <v>110</v>
      </c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  <c r="HM1616" s="4"/>
      <c r="HN1616" s="4"/>
      <c r="HO1616" s="4"/>
      <c r="HP1616" s="4"/>
      <c r="HQ1616" s="4"/>
      <c r="HR1616" s="4"/>
    </row>
    <row r="1617">
      <c r="A1617" s="2" t="s">
        <v>7723</v>
      </c>
      <c r="B1617" s="2" t="s">
        <v>1242</v>
      </c>
      <c r="C1617" s="2" t="s">
        <v>901</v>
      </c>
      <c r="D1617" s="2" t="s">
        <v>912</v>
      </c>
      <c r="E1617" s="2" t="s">
        <v>913</v>
      </c>
      <c r="F1617" s="2" t="s">
        <v>7714</v>
      </c>
      <c r="G1617" s="2" t="s">
        <v>7714</v>
      </c>
      <c r="H1617" s="2" t="s">
        <v>233</v>
      </c>
      <c r="I1617" s="2" t="s">
        <v>7715</v>
      </c>
      <c r="J1617" s="2" t="s">
        <v>1142</v>
      </c>
      <c r="K1617" s="2" t="s">
        <v>257</v>
      </c>
      <c r="L1617" s="3">
        <v>65</v>
      </c>
      <c r="M1617" s="3">
        <v>68.24</v>
      </c>
      <c r="N1617" s="3">
        <v>129.99</v>
      </c>
      <c r="O1617" s="2" t="s">
        <v>237</v>
      </c>
      <c r="P1617" s="2" t="s">
        <v>311</v>
      </c>
      <c r="Q1617" s="2" t="s">
        <v>239</v>
      </c>
      <c r="R1617" s="2" t="s">
        <v>233</v>
      </c>
      <c r="S1617" s="2" t="s">
        <v>7724</v>
      </c>
      <c r="T1617" s="2" t="s">
        <v>233</v>
      </c>
      <c r="U1617" s="2" t="s">
        <v>233</v>
      </c>
      <c r="V1617" s="2" t="s">
        <v>241</v>
      </c>
      <c r="W1617" s="2" t="s">
        <v>451</v>
      </c>
      <c r="X1617" s="2" t="s">
        <v>1303</v>
      </c>
      <c r="Y1617" s="2" t="s">
        <v>276</v>
      </c>
      <c r="Z1617" s="4">
        <v>9</v>
      </c>
      <c r="AA1617" s="4">
        <f>=ROUNDDOWN(4.73684210526316,0)</f>
      </c>
      <c r="AB1617" s="5">
        <v>1.9</v>
      </c>
      <c r="AC1617" s="2" t="s">
        <v>233</v>
      </c>
      <c r="AD1617" s="4"/>
      <c r="AE1617" s="4"/>
      <c r="AF1617" s="6">
        <v>67</v>
      </c>
      <c r="AG1617" s="6"/>
      <c r="AH1617" s="7">
        <v>1</v>
      </c>
      <c r="AI1617" s="4"/>
      <c r="AJ1617" s="4">
        <f>=ROUNDDOWN({0},0)</f>
      </c>
      <c r="AK1617" s="5"/>
      <c r="AL1617" s="2" t="s">
        <v>233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 t="s">
        <v>233</v>
      </c>
      <c r="BD1617" s="8" t="s">
        <v>233</v>
      </c>
      <c r="BE1617" s="4" t="s">
        <v>233</v>
      </c>
      <c r="BF1617" s="8" t="s">
        <v>233</v>
      </c>
      <c r="BG1617" s="7" t="s">
        <v>233</v>
      </c>
      <c r="BH1617" s="7" t="s">
        <v>233</v>
      </c>
      <c r="BI1617" s="7"/>
      <c r="BJ1617" s="4">
        <v>7</v>
      </c>
      <c r="BK1617" s="8">
        <v>386.62</v>
      </c>
      <c r="BL1617" s="2" t="s">
        <v>7725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7726</v>
      </c>
      <c r="BV1617" s="2" t="s">
        <v>233</v>
      </c>
      <c r="BW1617" s="2" t="s">
        <v>233</v>
      </c>
      <c r="BX1617" s="2" t="s">
        <v>233</v>
      </c>
      <c r="BY1617" s="2" t="s">
        <v>280</v>
      </c>
      <c r="BZ1617" s="2" t="s">
        <v>245</v>
      </c>
      <c r="CA1617" s="2" t="s">
        <v>1318</v>
      </c>
      <c r="CB1617" s="2" t="s">
        <v>4558</v>
      </c>
      <c r="CC1617" s="2" t="s">
        <v>246</v>
      </c>
      <c r="CD1617" s="2" t="s">
        <v>233</v>
      </c>
      <c r="CE1617" s="4">
        <v>9</v>
      </c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  <c r="HM1617" s="4"/>
      <c r="HN1617" s="4"/>
      <c r="HO1617" s="4"/>
      <c r="HP1617" s="4"/>
      <c r="HQ1617" s="4"/>
      <c r="HR1617" s="4"/>
    </row>
    <row r="1618">
      <c r="A1618" s="2" t="s">
        <v>7727</v>
      </c>
      <c r="B1618" s="2" t="s">
        <v>1414</v>
      </c>
      <c r="C1618" s="2" t="s">
        <v>530</v>
      </c>
      <c r="D1618" s="2" t="s">
        <v>1414</v>
      </c>
      <c r="E1618" s="2" t="s">
        <v>1414</v>
      </c>
      <c r="F1618" s="2" t="s">
        <v>7728</v>
      </c>
      <c r="G1618" s="2" t="s">
        <v>7729</v>
      </c>
      <c r="H1618" s="2" t="s">
        <v>7730</v>
      </c>
      <c r="I1618" s="2" t="s">
        <v>7731</v>
      </c>
      <c r="J1618" s="2" t="s">
        <v>1418</v>
      </c>
      <c r="K1618" s="2" t="s">
        <v>3743</v>
      </c>
      <c r="L1618" s="3">
        <v>45</v>
      </c>
      <c r="M1618" s="3">
        <v>47.25</v>
      </c>
      <c r="N1618" s="3">
        <v>99.99</v>
      </c>
      <c r="O1618" s="2" t="s">
        <v>245</v>
      </c>
      <c r="P1618" s="2" t="s">
        <v>311</v>
      </c>
      <c r="Q1618" s="2" t="s">
        <v>239</v>
      </c>
      <c r="R1618" s="2" t="s">
        <v>233</v>
      </c>
      <c r="S1618" s="2" t="s">
        <v>7732</v>
      </c>
      <c r="T1618" s="2" t="s">
        <v>233</v>
      </c>
      <c r="U1618" s="2" t="s">
        <v>396</v>
      </c>
      <c r="V1618" s="2" t="s">
        <v>5239</v>
      </c>
      <c r="W1618" s="2" t="s">
        <v>1763</v>
      </c>
      <c r="X1618" s="2" t="s">
        <v>233</v>
      </c>
      <c r="Y1618" s="2" t="s">
        <v>1796</v>
      </c>
      <c r="Z1618" s="4">
        <v>85</v>
      </c>
      <c r="AA1618" s="4">
        <f>=ROUNDDOWN(283.333333333333,0)</f>
      </c>
      <c r="AB1618" s="5">
        <v>0.3</v>
      </c>
      <c r="AC1618" s="2" t="s">
        <v>233</v>
      </c>
      <c r="AD1618" s="4"/>
      <c r="AE1618" s="4"/>
      <c r="AF1618" s="6">
        <v>63</v>
      </c>
      <c r="AG1618" s="6"/>
      <c r="AH1618" s="7">
        <v>1</v>
      </c>
      <c r="AI1618" s="4"/>
      <c r="AJ1618" s="4">
        <f>=ROUNDDOWN({0},0)</f>
      </c>
      <c r="AK1618" s="5"/>
      <c r="AL1618" s="2" t="s">
        <v>233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233</v>
      </c>
      <c r="AW1618" s="8" t="s">
        <v>233</v>
      </c>
      <c r="AX1618" s="4" t="s">
        <v>233</v>
      </c>
      <c r="AY1618" s="8" t="s">
        <v>233</v>
      </c>
      <c r="AZ1618" s="7" t="s">
        <v>233</v>
      </c>
      <c r="BA1618" s="7" t="s">
        <v>233</v>
      </c>
      <c r="BB1618" s="7"/>
      <c r="BC1618" s="4" t="s">
        <v>233</v>
      </c>
      <c r="BD1618" s="8" t="s">
        <v>233</v>
      </c>
      <c r="BE1618" s="4" t="s">
        <v>233</v>
      </c>
      <c r="BF1618" s="8" t="s">
        <v>233</v>
      </c>
      <c r="BG1618" s="7" t="s">
        <v>233</v>
      </c>
      <c r="BH1618" s="7" t="s">
        <v>233</v>
      </c>
      <c r="BI1618" s="7"/>
      <c r="BJ1618" s="4">
        <v>2</v>
      </c>
      <c r="BK1618" s="8">
        <v>122.06</v>
      </c>
      <c r="BL1618" s="2" t="s">
        <v>7733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7734</v>
      </c>
      <c r="BV1618" s="2" t="s">
        <v>233</v>
      </c>
      <c r="BW1618" s="2" t="s">
        <v>233</v>
      </c>
      <c r="BX1618" s="2" t="s">
        <v>233</v>
      </c>
      <c r="BY1618" s="2" t="s">
        <v>280</v>
      </c>
      <c r="BZ1618" s="2" t="s">
        <v>245</v>
      </c>
      <c r="CA1618" s="2" t="s">
        <v>5398</v>
      </c>
      <c r="CB1618" s="2" t="s">
        <v>233</v>
      </c>
      <c r="CC1618" s="2" t="s">
        <v>246</v>
      </c>
      <c r="CD1618" s="2" t="s">
        <v>233</v>
      </c>
      <c r="CE1618" s="4"/>
      <c r="CF1618" s="4">
        <v>85</v>
      </c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  <c r="HM1618" s="4"/>
      <c r="HN1618" s="4"/>
      <c r="HO1618" s="4"/>
      <c r="HP1618" s="4"/>
      <c r="HQ1618" s="4"/>
      <c r="HR1618" s="4"/>
    </row>
    <row r="1619">
      <c r="A1619" s="2" t="s">
        <v>7735</v>
      </c>
      <c r="B1619" s="2" t="s">
        <v>1414</v>
      </c>
      <c r="C1619" s="2" t="s">
        <v>530</v>
      </c>
      <c r="D1619" s="2" t="s">
        <v>1414</v>
      </c>
      <c r="E1619" s="2" t="s">
        <v>1414</v>
      </c>
      <c r="F1619" s="2" t="s">
        <v>7728</v>
      </c>
      <c r="G1619" s="2" t="s">
        <v>7729</v>
      </c>
      <c r="H1619" s="2" t="s">
        <v>7730</v>
      </c>
      <c r="I1619" s="2" t="s">
        <v>7731</v>
      </c>
      <c r="J1619" s="2" t="s">
        <v>1426</v>
      </c>
      <c r="K1619" s="2" t="s">
        <v>3743</v>
      </c>
      <c r="L1619" s="3">
        <v>67.5</v>
      </c>
      <c r="M1619" s="3">
        <v>70.88</v>
      </c>
      <c r="N1619" s="3">
        <v>149.98</v>
      </c>
      <c r="O1619" s="2" t="s">
        <v>245</v>
      </c>
      <c r="P1619" s="2" t="s">
        <v>311</v>
      </c>
      <c r="Q1619" s="2" t="s">
        <v>239</v>
      </c>
      <c r="R1619" s="2" t="s">
        <v>233</v>
      </c>
      <c r="S1619" s="2" t="s">
        <v>7732</v>
      </c>
      <c r="T1619" s="2" t="s">
        <v>233</v>
      </c>
      <c r="U1619" s="2" t="s">
        <v>396</v>
      </c>
      <c r="V1619" s="2" t="s">
        <v>5239</v>
      </c>
      <c r="W1619" s="2" t="s">
        <v>1763</v>
      </c>
      <c r="X1619" s="2" t="s">
        <v>233</v>
      </c>
      <c r="Y1619" s="2" t="s">
        <v>1796</v>
      </c>
      <c r="Z1619" s="4">
        <v>83</v>
      </c>
      <c r="AA1619" s="4">
        <f>=ROUNDDOWN({0},0)</f>
      </c>
      <c r="AB1619" s="5"/>
      <c r="AC1619" s="2" t="s">
        <v>233</v>
      </c>
      <c r="AD1619" s="4"/>
      <c r="AE1619" s="4"/>
      <c r="AF1619" s="6">
        <v>63</v>
      </c>
      <c r="AG1619" s="6"/>
      <c r="AH1619" s="7">
        <v>1</v>
      </c>
      <c r="AI1619" s="4"/>
      <c r="AJ1619" s="4">
        <f>=ROUNDDOWN({0},0)</f>
      </c>
      <c r="AK1619" s="5"/>
      <c r="AL1619" s="2" t="s">
        <v>233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 t="s">
        <v>233</v>
      </c>
      <c r="AW1619" s="8" t="s">
        <v>233</v>
      </c>
      <c r="AX1619" s="4" t="s">
        <v>233</v>
      </c>
      <c r="AY1619" s="8" t="s">
        <v>233</v>
      </c>
      <c r="AZ1619" s="7" t="s">
        <v>233</v>
      </c>
      <c r="BA1619" s="7" t="s">
        <v>233</v>
      </c>
      <c r="BB1619" s="7"/>
      <c r="BC1619" s="4" t="s">
        <v>233</v>
      </c>
      <c r="BD1619" s="8" t="s">
        <v>233</v>
      </c>
      <c r="BE1619" s="4" t="s">
        <v>233</v>
      </c>
      <c r="BF1619" s="8" t="s">
        <v>233</v>
      </c>
      <c r="BG1619" s="7" t="s">
        <v>233</v>
      </c>
      <c r="BH1619" s="7" t="s">
        <v>233</v>
      </c>
      <c r="BI1619" s="7"/>
      <c r="BJ1619" s="4"/>
      <c r="BK1619" s="8"/>
      <c r="BL1619" s="2" t="s">
        <v>233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7736</v>
      </c>
      <c r="BV1619" s="2" t="s">
        <v>233</v>
      </c>
      <c r="BW1619" s="2" t="s">
        <v>233</v>
      </c>
      <c r="BX1619" s="2" t="s">
        <v>233</v>
      </c>
      <c r="BY1619" s="2" t="s">
        <v>280</v>
      </c>
      <c r="BZ1619" s="2" t="s">
        <v>245</v>
      </c>
      <c r="CA1619" s="2" t="s">
        <v>5398</v>
      </c>
      <c r="CB1619" s="2" t="s">
        <v>7737</v>
      </c>
      <c r="CC1619" s="2" t="s">
        <v>246</v>
      </c>
      <c r="CD1619" s="2" t="s">
        <v>233</v>
      </c>
      <c r="CE1619" s="4"/>
      <c r="CF1619" s="4">
        <v>83</v>
      </c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  <c r="HM1619" s="4"/>
      <c r="HN1619" s="4"/>
      <c r="HO1619" s="4"/>
      <c r="HP1619" s="4"/>
      <c r="HQ1619" s="4"/>
      <c r="HR1619" s="4"/>
    </row>
    <row r="1620">
      <c r="A1620" s="2" t="s">
        <v>7738</v>
      </c>
      <c r="B1620" s="2" t="s">
        <v>1414</v>
      </c>
      <c r="C1620" s="2" t="s">
        <v>530</v>
      </c>
      <c r="D1620" s="2" t="s">
        <v>1414</v>
      </c>
      <c r="E1620" s="2" t="s">
        <v>1414</v>
      </c>
      <c r="F1620" s="2" t="s">
        <v>7728</v>
      </c>
      <c r="G1620" s="2" t="s">
        <v>7729</v>
      </c>
      <c r="H1620" s="2" t="s">
        <v>7730</v>
      </c>
      <c r="I1620" s="2" t="s">
        <v>7731</v>
      </c>
      <c r="J1620" s="2" t="s">
        <v>1808</v>
      </c>
      <c r="K1620" s="2" t="s">
        <v>3743</v>
      </c>
      <c r="L1620" s="3">
        <v>94.5</v>
      </c>
      <c r="M1620" s="3">
        <v>99.23</v>
      </c>
      <c r="N1620" s="3">
        <v>199.98</v>
      </c>
      <c r="O1620" s="2" t="s">
        <v>245</v>
      </c>
      <c r="P1620" s="2" t="s">
        <v>311</v>
      </c>
      <c r="Q1620" s="2" t="s">
        <v>239</v>
      </c>
      <c r="R1620" s="2" t="s">
        <v>233</v>
      </c>
      <c r="S1620" s="2" t="s">
        <v>7732</v>
      </c>
      <c r="T1620" s="2" t="s">
        <v>233</v>
      </c>
      <c r="U1620" s="2" t="s">
        <v>396</v>
      </c>
      <c r="V1620" s="2" t="s">
        <v>5239</v>
      </c>
      <c r="W1620" s="2" t="s">
        <v>1763</v>
      </c>
      <c r="X1620" s="2" t="s">
        <v>233</v>
      </c>
      <c r="Y1620" s="2" t="s">
        <v>1796</v>
      </c>
      <c r="Z1620" s="4">
        <v>45</v>
      </c>
      <c r="AA1620" s="4">
        <f>=ROUNDDOWN(25,0)</f>
      </c>
      <c r="AB1620" s="5">
        <v>1.8</v>
      </c>
      <c r="AC1620" s="2" t="s">
        <v>233</v>
      </c>
      <c r="AD1620" s="4"/>
      <c r="AE1620" s="4"/>
      <c r="AF1620" s="6">
        <v>63</v>
      </c>
      <c r="AG1620" s="6"/>
      <c r="AH1620" s="7">
        <v>1</v>
      </c>
      <c r="AI1620" s="4"/>
      <c r="AJ1620" s="4">
        <f>=ROUNDDOWN({0},0)</f>
      </c>
      <c r="AK1620" s="5"/>
      <c r="AL1620" s="2" t="s">
        <v>233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 t="s">
        <v>233</v>
      </c>
      <c r="AW1620" s="8" t="s">
        <v>233</v>
      </c>
      <c r="AX1620" s="4" t="s">
        <v>233</v>
      </c>
      <c r="AY1620" s="8" t="s">
        <v>233</v>
      </c>
      <c r="AZ1620" s="7" t="s">
        <v>233</v>
      </c>
      <c r="BA1620" s="7" t="s">
        <v>233</v>
      </c>
      <c r="BB1620" s="7"/>
      <c r="BC1620" s="4" t="s">
        <v>233</v>
      </c>
      <c r="BD1620" s="8" t="s">
        <v>233</v>
      </c>
      <c r="BE1620" s="4" t="s">
        <v>233</v>
      </c>
      <c r="BF1620" s="8" t="s">
        <v>233</v>
      </c>
      <c r="BG1620" s="7" t="s">
        <v>233</v>
      </c>
      <c r="BH1620" s="7" t="s">
        <v>233</v>
      </c>
      <c r="BI1620" s="7"/>
      <c r="BJ1620" s="4">
        <v>2</v>
      </c>
      <c r="BK1620" s="8">
        <v>221.36</v>
      </c>
      <c r="BL1620" s="2" t="s">
        <v>7739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7740</v>
      </c>
      <c r="BV1620" s="2" t="s">
        <v>233</v>
      </c>
      <c r="BW1620" s="2" t="s">
        <v>233</v>
      </c>
      <c r="BX1620" s="2" t="s">
        <v>233</v>
      </c>
      <c r="BY1620" s="2" t="s">
        <v>280</v>
      </c>
      <c r="BZ1620" s="2" t="s">
        <v>245</v>
      </c>
      <c r="CA1620" s="2" t="s">
        <v>5398</v>
      </c>
      <c r="CB1620" s="2" t="s">
        <v>233</v>
      </c>
      <c r="CC1620" s="2" t="s">
        <v>246</v>
      </c>
      <c r="CD1620" s="2" t="s">
        <v>233</v>
      </c>
      <c r="CE1620" s="4"/>
      <c r="CF1620" s="4">
        <v>45</v>
      </c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  <c r="HM1620" s="4"/>
      <c r="HN1620" s="4"/>
      <c r="HO1620" s="4"/>
      <c r="HP1620" s="4"/>
      <c r="HQ1620" s="4"/>
      <c r="HR1620" s="4"/>
    </row>
    <row r="1621">
      <c r="A1621" s="2" t="s">
        <v>7741</v>
      </c>
      <c r="B1621" s="2" t="s">
        <v>1066</v>
      </c>
      <c r="C1621" s="2" t="s">
        <v>530</v>
      </c>
      <c r="D1621" s="2" t="s">
        <v>1919</v>
      </c>
      <c r="E1621" s="2" t="s">
        <v>1920</v>
      </c>
      <c r="F1621" s="2" t="s">
        <v>7728</v>
      </c>
      <c r="G1621" s="2" t="s">
        <v>7742</v>
      </c>
      <c r="H1621" s="2" t="s">
        <v>7743</v>
      </c>
      <c r="I1621" s="2" t="s">
        <v>7744</v>
      </c>
      <c r="J1621" s="2" t="s">
        <v>892</v>
      </c>
      <c r="K1621" s="2" t="s">
        <v>255</v>
      </c>
      <c r="L1621" s="3">
        <v>142.86</v>
      </c>
      <c r="M1621" s="3">
        <v>150</v>
      </c>
      <c r="N1621" s="3">
        <v>299</v>
      </c>
      <c r="O1621" s="2" t="s">
        <v>245</v>
      </c>
      <c r="P1621" s="2" t="s">
        <v>393</v>
      </c>
      <c r="Q1621" s="2" t="s">
        <v>239</v>
      </c>
      <c r="R1621" s="2" t="s">
        <v>233</v>
      </c>
      <c r="S1621" s="2" t="s">
        <v>233</v>
      </c>
      <c r="T1621" s="2" t="s">
        <v>233</v>
      </c>
      <c r="U1621" s="2" t="s">
        <v>396</v>
      </c>
      <c r="V1621" s="2" t="s">
        <v>241</v>
      </c>
      <c r="W1621" s="2" t="s">
        <v>451</v>
      </c>
      <c r="X1621" s="2" t="s">
        <v>275</v>
      </c>
      <c r="Y1621" s="2" t="s">
        <v>7745</v>
      </c>
      <c r="Z1621" s="4">
        <v>36</v>
      </c>
      <c r="AA1621" s="4">
        <f>=ROUNDDOWN(25.7142857142857,0)</f>
      </c>
      <c r="AB1621" s="5">
        <v>1.4</v>
      </c>
      <c r="AC1621" s="2" t="s">
        <v>813</v>
      </c>
      <c r="AD1621" s="4">
        <v>10</v>
      </c>
      <c r="AE1621" s="4">
        <v>90</v>
      </c>
      <c r="AF1621" s="6">
        <v>66</v>
      </c>
      <c r="AG1621" s="6"/>
      <c r="AH1621" s="7">
        <v>1</v>
      </c>
      <c r="AI1621" s="4"/>
      <c r="AJ1621" s="4">
        <f>=ROUNDDOWN({0},0)</f>
      </c>
      <c r="AK1621" s="5"/>
      <c r="AL1621" s="2" t="s">
        <v>233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233</v>
      </c>
      <c r="BD1621" s="8" t="s">
        <v>233</v>
      </c>
      <c r="BE1621" s="4" t="s">
        <v>233</v>
      </c>
      <c r="BF1621" s="8" t="s">
        <v>233</v>
      </c>
      <c r="BG1621" s="7" t="s">
        <v>233</v>
      </c>
      <c r="BH1621" s="7" t="s">
        <v>233</v>
      </c>
      <c r="BI1621" s="7"/>
      <c r="BJ1621" s="4"/>
      <c r="BK1621" s="8"/>
      <c r="BL1621" s="2" t="s">
        <v>1802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7746</v>
      </c>
      <c r="BV1621" s="2" t="s">
        <v>233</v>
      </c>
      <c r="BW1621" s="2" t="s">
        <v>233</v>
      </c>
      <c r="BX1621" s="2" t="s">
        <v>233</v>
      </c>
      <c r="BY1621" s="2" t="s">
        <v>280</v>
      </c>
      <c r="BZ1621" s="2" t="s">
        <v>245</v>
      </c>
      <c r="CA1621" s="2" t="s">
        <v>7745</v>
      </c>
      <c r="CB1621" s="2" t="s">
        <v>2077</v>
      </c>
      <c r="CC1621" s="2" t="s">
        <v>246</v>
      </c>
      <c r="CD1621" s="2" t="s">
        <v>233</v>
      </c>
      <c r="CE1621" s="4"/>
      <c r="CF1621" s="4">
        <v>36</v>
      </c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>
        <v>10</v>
      </c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>
        <v>35</v>
      </c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>
        <v>45</v>
      </c>
      <c r="HH1621" s="4"/>
      <c r="HI1621" s="4"/>
      <c r="HJ1621" s="4"/>
      <c r="HK1621" s="4"/>
      <c r="HL1621" s="4"/>
      <c r="HM1621" s="4"/>
      <c r="HN1621" s="4"/>
      <c r="HO1621" s="4"/>
      <c r="HP1621" s="4"/>
      <c r="HQ1621" s="4"/>
      <c r="HR1621" s="4"/>
    </row>
    <row r="1622">
      <c r="A1622" s="2" t="s">
        <v>7747</v>
      </c>
      <c r="B1622" s="2" t="s">
        <v>1066</v>
      </c>
      <c r="C1622" s="2" t="s">
        <v>530</v>
      </c>
      <c r="D1622" s="2" t="s">
        <v>1111</v>
      </c>
      <c r="E1622" s="2" t="s">
        <v>1974</v>
      </c>
      <c r="F1622" s="2" t="s">
        <v>7748</v>
      </c>
      <c r="G1622" s="2" t="s">
        <v>7749</v>
      </c>
      <c r="H1622" s="2" t="s">
        <v>7750</v>
      </c>
      <c r="I1622" s="2" t="s">
        <v>1978</v>
      </c>
      <c r="J1622" s="2" t="s">
        <v>892</v>
      </c>
      <c r="K1622" s="2" t="s">
        <v>236</v>
      </c>
      <c r="L1622" s="3">
        <v>270.75</v>
      </c>
      <c r="M1622" s="3">
        <v>284.29</v>
      </c>
      <c r="N1622" s="3">
        <v>569</v>
      </c>
      <c r="O1622" s="2" t="s">
        <v>245</v>
      </c>
      <c r="P1622" s="2" t="s">
        <v>393</v>
      </c>
      <c r="Q1622" s="2" t="s">
        <v>239</v>
      </c>
      <c r="R1622" s="2" t="s">
        <v>233</v>
      </c>
      <c r="S1622" s="2" t="s">
        <v>233</v>
      </c>
      <c r="T1622" s="2" t="s">
        <v>233</v>
      </c>
      <c r="U1622" s="2" t="s">
        <v>396</v>
      </c>
      <c r="V1622" s="2" t="s">
        <v>241</v>
      </c>
      <c r="W1622" s="2" t="s">
        <v>776</v>
      </c>
      <c r="X1622" s="2" t="s">
        <v>233</v>
      </c>
      <c r="Y1622" s="2" t="s">
        <v>1128</v>
      </c>
      <c r="Z1622" s="4">
        <v>48</v>
      </c>
      <c r="AA1622" s="4">
        <f>=ROUNDDOWN(24,0)</f>
      </c>
      <c r="AB1622" s="5">
        <v>2</v>
      </c>
      <c r="AC1622" s="2" t="s">
        <v>813</v>
      </c>
      <c r="AD1622" s="4">
        <v>30</v>
      </c>
      <c r="AE1622" s="4">
        <v>50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233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/>
      <c r="BD1622" s="8"/>
      <c r="BE1622" s="4"/>
      <c r="BF1622" s="8"/>
      <c r="BG1622" s="7"/>
      <c r="BH1622" s="7"/>
      <c r="BI1622" s="7"/>
      <c r="BJ1622" s="4">
        <v>5</v>
      </c>
      <c r="BK1622" s="8">
        <v>1179.98</v>
      </c>
      <c r="BL1622" s="2" t="s">
        <v>1023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7751</v>
      </c>
      <c r="BV1622" s="2" t="s">
        <v>233</v>
      </c>
      <c r="BW1622" s="2" t="s">
        <v>233</v>
      </c>
      <c r="BX1622" s="2" t="s">
        <v>233</v>
      </c>
      <c r="BY1622" s="2" t="s">
        <v>280</v>
      </c>
      <c r="BZ1622" s="2" t="s">
        <v>245</v>
      </c>
      <c r="CA1622" s="2" t="s">
        <v>3020</v>
      </c>
      <c r="CB1622" s="2" t="s">
        <v>7752</v>
      </c>
      <c r="CC1622" s="2" t="s">
        <v>246</v>
      </c>
      <c r="CD1622" s="2" t="s">
        <v>233</v>
      </c>
      <c r="CE1622" s="4"/>
      <c r="CF1622" s="4">
        <v>48</v>
      </c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>
        <v>30</v>
      </c>
      <c r="EJ1622" s="4"/>
      <c r="EK1622" s="4"/>
      <c r="EL1622" s="4"/>
      <c r="EM1622" s="4"/>
      <c r="EN1622" s="4"/>
      <c r="EO1622" s="4"/>
      <c r="EP1622" s="4">
        <v>20</v>
      </c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  <c r="HM1622" s="4"/>
      <c r="HN1622" s="4"/>
      <c r="HO1622" s="4"/>
      <c r="HP1622" s="4"/>
      <c r="HQ1622" s="4"/>
      <c r="HR1622" s="4"/>
    </row>
    <row r="1623">
      <c r="A1623" s="2" t="s">
        <v>7753</v>
      </c>
      <c r="B1623" s="2" t="s">
        <v>1174</v>
      </c>
      <c r="C1623" s="2" t="s">
        <v>1447</v>
      </c>
      <c r="D1623" s="2" t="s">
        <v>1175</v>
      </c>
      <c r="E1623" s="2" t="s">
        <v>1448</v>
      </c>
      <c r="F1623" s="2" t="s">
        <v>4818</v>
      </c>
      <c r="G1623" s="2" t="s">
        <v>7754</v>
      </c>
      <c r="H1623" s="2" t="s">
        <v>7755</v>
      </c>
      <c r="I1623" s="2" t="s">
        <v>7756</v>
      </c>
      <c r="J1623" s="2" t="s">
        <v>1524</v>
      </c>
      <c r="K1623" s="2" t="s">
        <v>7757</v>
      </c>
      <c r="L1623" s="3">
        <v>16.28</v>
      </c>
      <c r="M1623" s="3">
        <v>17.09</v>
      </c>
      <c r="N1623" s="3">
        <v>36.99</v>
      </c>
      <c r="O1623" s="2" t="s">
        <v>245</v>
      </c>
      <c r="P1623" s="2" t="s">
        <v>272</v>
      </c>
      <c r="Q1623" s="2" t="s">
        <v>239</v>
      </c>
      <c r="R1623" s="2" t="s">
        <v>233</v>
      </c>
      <c r="S1623" s="2" t="s">
        <v>7758</v>
      </c>
      <c r="T1623" s="2" t="s">
        <v>233</v>
      </c>
      <c r="U1623" s="2" t="s">
        <v>233</v>
      </c>
      <c r="V1623" s="2" t="s">
        <v>241</v>
      </c>
      <c r="W1623" s="2" t="s">
        <v>275</v>
      </c>
      <c r="X1623" s="2" t="s">
        <v>2589</v>
      </c>
      <c r="Y1623" s="2" t="s">
        <v>6819</v>
      </c>
      <c r="Z1623" s="4">
        <v>267</v>
      </c>
      <c r="AA1623" s="4">
        <f>=ROUNDDOWN(27.8125,0)</f>
      </c>
      <c r="AB1623" s="5">
        <v>9.6</v>
      </c>
      <c r="AC1623" s="2" t="s">
        <v>233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233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233</v>
      </c>
      <c r="AW1623" s="8" t="s">
        <v>233</v>
      </c>
      <c r="AX1623" s="4" t="s">
        <v>233</v>
      </c>
      <c r="AY1623" s="8" t="s">
        <v>233</v>
      </c>
      <c r="AZ1623" s="7" t="s">
        <v>233</v>
      </c>
      <c r="BA1623" s="7" t="s">
        <v>233</v>
      </c>
      <c r="BB1623" s="7"/>
      <c r="BC1623" s="4" t="s">
        <v>233</v>
      </c>
      <c r="BD1623" s="8" t="s">
        <v>233</v>
      </c>
      <c r="BE1623" s="4" t="s">
        <v>233</v>
      </c>
      <c r="BF1623" s="8" t="s">
        <v>233</v>
      </c>
      <c r="BG1623" s="7" t="s">
        <v>233</v>
      </c>
      <c r="BH1623" s="7" t="s">
        <v>233</v>
      </c>
      <c r="BI1623" s="7"/>
      <c r="BJ1623" s="4">
        <v>32</v>
      </c>
      <c r="BK1623" s="8">
        <v>746.99</v>
      </c>
      <c r="BL1623" s="2" t="s">
        <v>7759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7760</v>
      </c>
      <c r="BV1623" s="2" t="s">
        <v>233</v>
      </c>
      <c r="BW1623" s="2" t="s">
        <v>233</v>
      </c>
      <c r="BX1623" s="2" t="s">
        <v>233</v>
      </c>
      <c r="BY1623" s="2" t="s">
        <v>280</v>
      </c>
      <c r="BZ1623" s="2" t="s">
        <v>245</v>
      </c>
      <c r="CA1623" s="2" t="s">
        <v>6822</v>
      </c>
      <c r="CB1623" s="2" t="s">
        <v>7761</v>
      </c>
      <c r="CC1623" s="2" t="s">
        <v>246</v>
      </c>
      <c r="CD1623" s="2" t="s">
        <v>233</v>
      </c>
      <c r="CE1623" s="4">
        <v>267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  <c r="HM1623" s="4"/>
      <c r="HN1623" s="4"/>
      <c r="HO1623" s="4"/>
      <c r="HP1623" s="4"/>
      <c r="HQ1623" s="4"/>
      <c r="HR1623" s="4"/>
    </row>
    <row r="1624">
      <c r="A1624" s="2" t="s">
        <v>7762</v>
      </c>
      <c r="B1624" s="2" t="s">
        <v>1174</v>
      </c>
      <c r="C1624" s="2" t="s">
        <v>1447</v>
      </c>
      <c r="D1624" s="2" t="s">
        <v>1175</v>
      </c>
      <c r="E1624" s="2" t="s">
        <v>1448</v>
      </c>
      <c r="F1624" s="2" t="s">
        <v>4818</v>
      </c>
      <c r="G1624" s="2" t="s">
        <v>7754</v>
      </c>
      <c r="H1624" s="2" t="s">
        <v>7755</v>
      </c>
      <c r="I1624" s="2" t="s">
        <v>7756</v>
      </c>
      <c r="J1624" s="2" t="s">
        <v>1490</v>
      </c>
      <c r="K1624" s="2" t="s">
        <v>7757</v>
      </c>
      <c r="L1624" s="3">
        <v>18</v>
      </c>
      <c r="M1624" s="3">
        <v>18.9</v>
      </c>
      <c r="N1624" s="3">
        <v>39.99</v>
      </c>
      <c r="O1624" s="2" t="s">
        <v>245</v>
      </c>
      <c r="P1624" s="2" t="s">
        <v>996</v>
      </c>
      <c r="Q1624" s="2" t="s">
        <v>239</v>
      </c>
      <c r="R1624" s="2" t="s">
        <v>233</v>
      </c>
      <c r="S1624" s="2" t="s">
        <v>7763</v>
      </c>
      <c r="T1624" s="2" t="s">
        <v>233</v>
      </c>
      <c r="U1624" s="2" t="s">
        <v>233</v>
      </c>
      <c r="V1624" s="2" t="s">
        <v>241</v>
      </c>
      <c r="W1624" s="2" t="s">
        <v>275</v>
      </c>
      <c r="X1624" s="2" t="s">
        <v>233</v>
      </c>
      <c r="Y1624" s="2" t="s">
        <v>6819</v>
      </c>
      <c r="Z1624" s="4">
        <v>2</v>
      </c>
      <c r="AA1624" s="4">
        <f>=ROUNDDOWN(0.666666666666667,0)</f>
      </c>
      <c r="AB1624" s="5">
        <v>3</v>
      </c>
      <c r="AC1624" s="2" t="s">
        <v>233</v>
      </c>
      <c r="AD1624" s="4"/>
      <c r="AE1624" s="4"/>
      <c r="AF1624" s="6">
        <v>65</v>
      </c>
      <c r="AG1624" s="6"/>
      <c r="AH1624" s="7">
        <v>0.5484</v>
      </c>
      <c r="AI1624" s="4"/>
      <c r="AJ1624" s="4">
        <f>=ROUNDDOWN({0},0)</f>
      </c>
      <c r="AK1624" s="5"/>
      <c r="AL1624" s="2" t="s">
        <v>233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233</v>
      </c>
      <c r="AW1624" s="8" t="s">
        <v>233</v>
      </c>
      <c r="AX1624" s="4" t="s">
        <v>233</v>
      </c>
      <c r="AY1624" s="8" t="s">
        <v>233</v>
      </c>
      <c r="AZ1624" s="7" t="s">
        <v>233</v>
      </c>
      <c r="BA1624" s="7" t="s">
        <v>233</v>
      </c>
      <c r="BB1624" s="7"/>
      <c r="BC1624" s="4" t="s">
        <v>233</v>
      </c>
      <c r="BD1624" s="8" t="s">
        <v>233</v>
      </c>
      <c r="BE1624" s="4" t="s">
        <v>233</v>
      </c>
      <c r="BF1624" s="8" t="s">
        <v>233</v>
      </c>
      <c r="BG1624" s="7" t="s">
        <v>233</v>
      </c>
      <c r="BH1624" s="7" t="s">
        <v>233</v>
      </c>
      <c r="BI1624" s="7"/>
      <c r="BJ1624" s="4">
        <v>2</v>
      </c>
      <c r="BK1624" s="8">
        <v>41.56</v>
      </c>
      <c r="BL1624" s="2" t="s">
        <v>5597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7764</v>
      </c>
      <c r="BV1624" s="2" t="s">
        <v>233</v>
      </c>
      <c r="BW1624" s="2" t="s">
        <v>233</v>
      </c>
      <c r="BX1624" s="2" t="s">
        <v>233</v>
      </c>
      <c r="BY1624" s="2" t="s">
        <v>280</v>
      </c>
      <c r="BZ1624" s="2" t="s">
        <v>245</v>
      </c>
      <c r="CA1624" s="2" t="s">
        <v>6822</v>
      </c>
      <c r="CB1624" s="2" t="s">
        <v>7765</v>
      </c>
      <c r="CC1624" s="2" t="s">
        <v>246</v>
      </c>
      <c r="CD1624" s="2" t="s">
        <v>233</v>
      </c>
      <c r="CE1624" s="4">
        <v>2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4"/>
      <c r="HH1624" s="4"/>
      <c r="HI1624" s="4"/>
      <c r="HJ1624" s="4"/>
      <c r="HK1624" s="4"/>
      <c r="HL1624" s="4"/>
      <c r="HM1624" s="4"/>
      <c r="HN1624" s="4"/>
      <c r="HO1624" s="4"/>
      <c r="HP1624" s="4"/>
      <c r="HQ1624" s="4"/>
      <c r="HR1624" s="4"/>
    </row>
    <row r="1625">
      <c r="A1625" s="2" t="s">
        <v>7766</v>
      </c>
      <c r="B1625" s="2" t="s">
        <v>1174</v>
      </c>
      <c r="C1625" s="2" t="s">
        <v>1447</v>
      </c>
      <c r="D1625" s="2" t="s">
        <v>1175</v>
      </c>
      <c r="E1625" s="2" t="s">
        <v>1448</v>
      </c>
      <c r="F1625" s="2" t="s">
        <v>4818</v>
      </c>
      <c r="G1625" s="2" t="s">
        <v>7754</v>
      </c>
      <c r="H1625" s="2" t="s">
        <v>7755</v>
      </c>
      <c r="I1625" s="2" t="s">
        <v>7756</v>
      </c>
      <c r="J1625" s="2" t="s">
        <v>7767</v>
      </c>
      <c r="K1625" s="2" t="s">
        <v>7757</v>
      </c>
      <c r="L1625" s="3">
        <v>12.76</v>
      </c>
      <c r="M1625" s="3">
        <v>13.4</v>
      </c>
      <c r="N1625" s="3">
        <v>28.99</v>
      </c>
      <c r="O1625" s="2" t="s">
        <v>245</v>
      </c>
      <c r="P1625" s="2" t="s">
        <v>272</v>
      </c>
      <c r="Q1625" s="2" t="s">
        <v>239</v>
      </c>
      <c r="R1625" s="2" t="s">
        <v>233</v>
      </c>
      <c r="S1625" s="2" t="s">
        <v>7758</v>
      </c>
      <c r="T1625" s="2" t="s">
        <v>233</v>
      </c>
      <c r="U1625" s="2" t="s">
        <v>233</v>
      </c>
      <c r="V1625" s="2" t="s">
        <v>241</v>
      </c>
      <c r="W1625" s="2" t="s">
        <v>275</v>
      </c>
      <c r="X1625" s="2" t="s">
        <v>2589</v>
      </c>
      <c r="Y1625" s="2" t="s">
        <v>6819</v>
      </c>
      <c r="Z1625" s="4">
        <v>132</v>
      </c>
      <c r="AA1625" s="4">
        <f>=ROUNDDOWN(26.4,0)</f>
      </c>
      <c r="AB1625" s="5">
        <v>5</v>
      </c>
      <c r="AC1625" s="2" t="s">
        <v>233</v>
      </c>
      <c r="AD1625" s="4"/>
      <c r="AE1625" s="4"/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233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233</v>
      </c>
      <c r="AW1625" s="8" t="s">
        <v>233</v>
      </c>
      <c r="AX1625" s="4" t="s">
        <v>233</v>
      </c>
      <c r="AY1625" s="8" t="s">
        <v>233</v>
      </c>
      <c r="AZ1625" s="7" t="s">
        <v>233</v>
      </c>
      <c r="BA1625" s="7" t="s">
        <v>233</v>
      </c>
      <c r="BB1625" s="7"/>
      <c r="BC1625" s="4" t="s">
        <v>233</v>
      </c>
      <c r="BD1625" s="8" t="s">
        <v>233</v>
      </c>
      <c r="BE1625" s="4" t="s">
        <v>233</v>
      </c>
      <c r="BF1625" s="8" t="s">
        <v>233</v>
      </c>
      <c r="BG1625" s="7" t="s">
        <v>233</v>
      </c>
      <c r="BH1625" s="7" t="s">
        <v>233</v>
      </c>
      <c r="BI1625" s="7"/>
      <c r="BJ1625" s="4">
        <v>23</v>
      </c>
      <c r="BK1625" s="8">
        <v>299.65</v>
      </c>
      <c r="BL1625" s="2" t="s">
        <v>7768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7769</v>
      </c>
      <c r="BV1625" s="2" t="s">
        <v>233</v>
      </c>
      <c r="BW1625" s="2" t="s">
        <v>233</v>
      </c>
      <c r="BX1625" s="2" t="s">
        <v>233</v>
      </c>
      <c r="BY1625" s="2" t="s">
        <v>280</v>
      </c>
      <c r="BZ1625" s="2" t="s">
        <v>245</v>
      </c>
      <c r="CA1625" s="2" t="s">
        <v>6822</v>
      </c>
      <c r="CB1625" s="2" t="s">
        <v>3940</v>
      </c>
      <c r="CC1625" s="2" t="s">
        <v>246</v>
      </c>
      <c r="CD1625" s="2" t="s">
        <v>233</v>
      </c>
      <c r="CE1625" s="4">
        <v>132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  <c r="HM1625" s="4"/>
      <c r="HN1625" s="4"/>
      <c r="HO1625" s="4"/>
      <c r="HP1625" s="4"/>
      <c r="HQ1625" s="4"/>
      <c r="HR1625" s="4"/>
    </row>
    <row r="1626">
      <c r="A1626" s="2" t="s">
        <v>7770</v>
      </c>
      <c r="B1626" s="2" t="s">
        <v>1174</v>
      </c>
      <c r="C1626" s="2" t="s">
        <v>1447</v>
      </c>
      <c r="D1626" s="2" t="s">
        <v>1175</v>
      </c>
      <c r="E1626" s="2" t="s">
        <v>1448</v>
      </c>
      <c r="F1626" s="2" t="s">
        <v>4818</v>
      </c>
      <c r="G1626" s="2" t="s">
        <v>7754</v>
      </c>
      <c r="H1626" s="2" t="s">
        <v>7755</v>
      </c>
      <c r="I1626" s="2" t="s">
        <v>7756</v>
      </c>
      <c r="J1626" s="2" t="s">
        <v>1524</v>
      </c>
      <c r="K1626" s="2" t="s">
        <v>255</v>
      </c>
      <c r="L1626" s="3">
        <v>16.28</v>
      </c>
      <c r="M1626" s="3">
        <v>17.09</v>
      </c>
      <c r="N1626" s="3">
        <v>36.99</v>
      </c>
      <c r="O1626" s="2" t="s">
        <v>245</v>
      </c>
      <c r="P1626" s="2" t="s">
        <v>272</v>
      </c>
      <c r="Q1626" s="2" t="s">
        <v>239</v>
      </c>
      <c r="R1626" s="2" t="s">
        <v>233</v>
      </c>
      <c r="S1626" s="2" t="s">
        <v>7771</v>
      </c>
      <c r="T1626" s="2" t="s">
        <v>233</v>
      </c>
      <c r="U1626" s="2" t="s">
        <v>233</v>
      </c>
      <c r="V1626" s="2" t="s">
        <v>241</v>
      </c>
      <c r="W1626" s="2" t="s">
        <v>275</v>
      </c>
      <c r="X1626" s="2" t="s">
        <v>2589</v>
      </c>
      <c r="Y1626" s="2" t="s">
        <v>6819</v>
      </c>
      <c r="Z1626" s="4">
        <v>216</v>
      </c>
      <c r="AA1626" s="4">
        <f>=ROUNDDOWN(27,0)</f>
      </c>
      <c r="AB1626" s="5">
        <v>8</v>
      </c>
      <c r="AC1626" s="2" t="s">
        <v>547</v>
      </c>
      <c r="AD1626" s="4">
        <v>204</v>
      </c>
      <c r="AE1626" s="4">
        <v>324</v>
      </c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233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233</v>
      </c>
      <c r="AW1626" s="8" t="s">
        <v>233</v>
      </c>
      <c r="AX1626" s="4" t="s">
        <v>233</v>
      </c>
      <c r="AY1626" s="8" t="s">
        <v>233</v>
      </c>
      <c r="AZ1626" s="7" t="s">
        <v>233</v>
      </c>
      <c r="BA1626" s="7" t="s">
        <v>233</v>
      </c>
      <c r="BB1626" s="7"/>
      <c r="BC1626" s="4" t="s">
        <v>233</v>
      </c>
      <c r="BD1626" s="8" t="s">
        <v>233</v>
      </c>
      <c r="BE1626" s="4" t="s">
        <v>233</v>
      </c>
      <c r="BF1626" s="8" t="s">
        <v>233</v>
      </c>
      <c r="BG1626" s="7" t="s">
        <v>233</v>
      </c>
      <c r="BH1626" s="7" t="s">
        <v>233</v>
      </c>
      <c r="BI1626" s="7"/>
      <c r="BJ1626" s="4">
        <v>13</v>
      </c>
      <c r="BK1626" s="8">
        <v>205.94</v>
      </c>
      <c r="BL1626" s="2" t="s">
        <v>7772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7773</v>
      </c>
      <c r="BV1626" s="2" t="s">
        <v>233</v>
      </c>
      <c r="BW1626" s="2" t="s">
        <v>233</v>
      </c>
      <c r="BX1626" s="2" t="s">
        <v>233</v>
      </c>
      <c r="BY1626" s="2" t="s">
        <v>280</v>
      </c>
      <c r="BZ1626" s="2" t="s">
        <v>245</v>
      </c>
      <c r="CA1626" s="2" t="s">
        <v>6822</v>
      </c>
      <c r="CB1626" s="2" t="s">
        <v>4173</v>
      </c>
      <c r="CC1626" s="2" t="s">
        <v>246</v>
      </c>
      <c r="CD1626" s="2" t="s">
        <v>233</v>
      </c>
      <c r="CE1626" s="4">
        <v>216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>
        <v>204</v>
      </c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>
        <v>120</v>
      </c>
      <c r="HF1626" s="4"/>
      <c r="HG1626" s="4"/>
      <c r="HH1626" s="4"/>
      <c r="HI1626" s="4"/>
      <c r="HJ1626" s="4"/>
      <c r="HK1626" s="4"/>
      <c r="HL1626" s="4"/>
      <c r="HM1626" s="4"/>
      <c r="HN1626" s="4"/>
      <c r="HO1626" s="4"/>
      <c r="HP1626" s="4"/>
      <c r="HQ1626" s="4"/>
      <c r="HR1626" s="4"/>
    </row>
    <row r="1627">
      <c r="A1627" s="2" t="s">
        <v>7774</v>
      </c>
      <c r="B1627" s="2" t="s">
        <v>1174</v>
      </c>
      <c r="C1627" s="2" t="s">
        <v>1447</v>
      </c>
      <c r="D1627" s="2" t="s">
        <v>1175</v>
      </c>
      <c r="E1627" s="2" t="s">
        <v>1448</v>
      </c>
      <c r="F1627" s="2" t="s">
        <v>4818</v>
      </c>
      <c r="G1627" s="2" t="s">
        <v>7754</v>
      </c>
      <c r="H1627" s="2" t="s">
        <v>7755</v>
      </c>
      <c r="I1627" s="2" t="s">
        <v>7756</v>
      </c>
      <c r="J1627" s="2" t="s">
        <v>7767</v>
      </c>
      <c r="K1627" s="2" t="s">
        <v>255</v>
      </c>
      <c r="L1627" s="3">
        <v>12.76</v>
      </c>
      <c r="M1627" s="3">
        <v>13.4</v>
      </c>
      <c r="N1627" s="3">
        <v>28.99</v>
      </c>
      <c r="O1627" s="2" t="s">
        <v>245</v>
      </c>
      <c r="P1627" s="2" t="s">
        <v>272</v>
      </c>
      <c r="Q1627" s="2" t="s">
        <v>239</v>
      </c>
      <c r="R1627" s="2" t="s">
        <v>233</v>
      </c>
      <c r="S1627" s="2" t="s">
        <v>7771</v>
      </c>
      <c r="T1627" s="2" t="s">
        <v>233</v>
      </c>
      <c r="U1627" s="2" t="s">
        <v>233</v>
      </c>
      <c r="V1627" s="2" t="s">
        <v>241</v>
      </c>
      <c r="W1627" s="2" t="s">
        <v>275</v>
      </c>
      <c r="X1627" s="2" t="s">
        <v>2589</v>
      </c>
      <c r="Y1627" s="2" t="s">
        <v>6819</v>
      </c>
      <c r="Z1627" s="4">
        <v>237</v>
      </c>
      <c r="AA1627" s="4">
        <f>=ROUNDDOWN(22.7884615384615,0)</f>
      </c>
      <c r="AB1627" s="5">
        <v>10.4</v>
      </c>
      <c r="AC1627" s="2" t="s">
        <v>547</v>
      </c>
      <c r="AD1627" s="4">
        <v>128</v>
      </c>
      <c r="AE1627" s="4">
        <v>240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233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233</v>
      </c>
      <c r="AW1627" s="8" t="s">
        <v>233</v>
      </c>
      <c r="AX1627" s="4" t="s">
        <v>233</v>
      </c>
      <c r="AY1627" s="8" t="s">
        <v>233</v>
      </c>
      <c r="AZ1627" s="7" t="s">
        <v>233</v>
      </c>
      <c r="BA1627" s="7" t="s">
        <v>233</v>
      </c>
      <c r="BB1627" s="7"/>
      <c r="BC1627" s="4" t="s">
        <v>233</v>
      </c>
      <c r="BD1627" s="8" t="s">
        <v>233</v>
      </c>
      <c r="BE1627" s="4" t="s">
        <v>233</v>
      </c>
      <c r="BF1627" s="8" t="s">
        <v>233</v>
      </c>
      <c r="BG1627" s="7" t="s">
        <v>233</v>
      </c>
      <c r="BH1627" s="7" t="s">
        <v>233</v>
      </c>
      <c r="BI1627" s="7"/>
      <c r="BJ1627" s="4">
        <v>42</v>
      </c>
      <c r="BK1627" s="8">
        <v>558.79</v>
      </c>
      <c r="BL1627" s="2" t="s">
        <v>7775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7776</v>
      </c>
      <c r="BV1627" s="2" t="s">
        <v>233</v>
      </c>
      <c r="BW1627" s="2" t="s">
        <v>233</v>
      </c>
      <c r="BX1627" s="2" t="s">
        <v>233</v>
      </c>
      <c r="BY1627" s="2" t="s">
        <v>280</v>
      </c>
      <c r="BZ1627" s="2" t="s">
        <v>245</v>
      </c>
      <c r="CA1627" s="2" t="s">
        <v>6822</v>
      </c>
      <c r="CB1627" s="2" t="s">
        <v>2668</v>
      </c>
      <c r="CC1627" s="2" t="s">
        <v>246</v>
      </c>
      <c r="CD1627" s="2" t="s">
        <v>233</v>
      </c>
      <c r="CE1627" s="4">
        <v>237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>
        <v>128</v>
      </c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>
        <v>112</v>
      </c>
      <c r="HF1627" s="4"/>
      <c r="HG1627" s="4"/>
      <c r="HH1627" s="4"/>
      <c r="HI1627" s="4"/>
      <c r="HJ1627" s="4"/>
      <c r="HK1627" s="4"/>
      <c r="HL1627" s="4"/>
      <c r="HM1627" s="4"/>
      <c r="HN1627" s="4"/>
      <c r="HO1627" s="4"/>
      <c r="HP1627" s="4"/>
      <c r="HQ1627" s="4"/>
      <c r="HR1627" s="4"/>
    </row>
    <row r="1628">
      <c r="A1628" s="2" t="s">
        <v>7777</v>
      </c>
      <c r="B1628" s="2" t="s">
        <v>1174</v>
      </c>
      <c r="C1628" s="2" t="s">
        <v>1447</v>
      </c>
      <c r="D1628" s="2" t="s">
        <v>1175</v>
      </c>
      <c r="E1628" s="2" t="s">
        <v>1448</v>
      </c>
      <c r="F1628" s="2" t="s">
        <v>4818</v>
      </c>
      <c r="G1628" s="2" t="s">
        <v>7754</v>
      </c>
      <c r="H1628" s="2" t="s">
        <v>7755</v>
      </c>
      <c r="I1628" s="2" t="s">
        <v>7756</v>
      </c>
      <c r="J1628" s="2" t="s">
        <v>7767</v>
      </c>
      <c r="K1628" s="2" t="s">
        <v>257</v>
      </c>
      <c r="L1628" s="3">
        <v>12.76</v>
      </c>
      <c r="M1628" s="3">
        <v>13.4</v>
      </c>
      <c r="N1628" s="3">
        <v>28.99</v>
      </c>
      <c r="O1628" s="2" t="s">
        <v>245</v>
      </c>
      <c r="P1628" s="2" t="s">
        <v>311</v>
      </c>
      <c r="Q1628" s="2" t="s">
        <v>239</v>
      </c>
      <c r="R1628" s="2" t="s">
        <v>233</v>
      </c>
      <c r="S1628" s="2" t="s">
        <v>7778</v>
      </c>
      <c r="T1628" s="2" t="s">
        <v>233</v>
      </c>
      <c r="U1628" s="2" t="s">
        <v>396</v>
      </c>
      <c r="V1628" s="2" t="s">
        <v>241</v>
      </c>
      <c r="W1628" s="2" t="s">
        <v>275</v>
      </c>
      <c r="X1628" s="2" t="s">
        <v>233</v>
      </c>
      <c r="Y1628" s="2" t="s">
        <v>7779</v>
      </c>
      <c r="Z1628" s="4">
        <v>42</v>
      </c>
      <c r="AA1628" s="4">
        <f>=ROUNDDOWN(7,0)</f>
      </c>
      <c r="AB1628" s="5">
        <v>6</v>
      </c>
      <c r="AC1628" s="2" t="s">
        <v>233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233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 t="s">
        <v>233</v>
      </c>
      <c r="BD1628" s="8" t="s">
        <v>233</v>
      </c>
      <c r="BE1628" s="4" t="s">
        <v>233</v>
      </c>
      <c r="BF1628" s="8" t="s">
        <v>233</v>
      </c>
      <c r="BG1628" s="7" t="s">
        <v>233</v>
      </c>
      <c r="BH1628" s="7" t="s">
        <v>233</v>
      </c>
      <c r="BI1628" s="7"/>
      <c r="BJ1628" s="4">
        <v>26</v>
      </c>
      <c r="BK1628" s="8">
        <v>259.14</v>
      </c>
      <c r="BL1628" s="2" t="s">
        <v>3868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7780</v>
      </c>
      <c r="BV1628" s="2" t="s">
        <v>233</v>
      </c>
      <c r="BW1628" s="2" t="s">
        <v>233</v>
      </c>
      <c r="BX1628" s="2" t="s">
        <v>233</v>
      </c>
      <c r="BY1628" s="2" t="s">
        <v>280</v>
      </c>
      <c r="BZ1628" s="2" t="s">
        <v>245</v>
      </c>
      <c r="CA1628" s="2" t="s">
        <v>7779</v>
      </c>
      <c r="CB1628" s="2" t="s">
        <v>7781</v>
      </c>
      <c r="CC1628" s="2" t="s">
        <v>246</v>
      </c>
      <c r="CD1628" s="2" t="s">
        <v>233</v>
      </c>
      <c r="CE1628" s="4">
        <v>42</v>
      </c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  <c r="HM1628" s="4"/>
      <c r="HN1628" s="4"/>
      <c r="HO1628" s="4"/>
      <c r="HP1628" s="4"/>
      <c r="HQ1628" s="4"/>
      <c r="HR1628" s="4"/>
    </row>
    <row r="1629">
      <c r="A1629" s="2" t="s">
        <v>7782</v>
      </c>
      <c r="B1629" s="2" t="s">
        <v>1174</v>
      </c>
      <c r="C1629" s="2" t="s">
        <v>1447</v>
      </c>
      <c r="D1629" s="2" t="s">
        <v>1175</v>
      </c>
      <c r="E1629" s="2" t="s">
        <v>1448</v>
      </c>
      <c r="F1629" s="2" t="s">
        <v>4818</v>
      </c>
      <c r="G1629" s="2" t="s">
        <v>7754</v>
      </c>
      <c r="H1629" s="2" t="s">
        <v>7755</v>
      </c>
      <c r="I1629" s="2" t="s">
        <v>7756</v>
      </c>
      <c r="J1629" s="2" t="s">
        <v>5014</v>
      </c>
      <c r="K1629" s="2" t="s">
        <v>2197</v>
      </c>
      <c r="L1629" s="3">
        <v>13.76</v>
      </c>
      <c r="M1629" s="3">
        <v>14.45</v>
      </c>
      <c r="N1629" s="3">
        <v>31.99</v>
      </c>
      <c r="O1629" s="2" t="s">
        <v>252</v>
      </c>
      <c r="P1629" s="2" t="s">
        <v>311</v>
      </c>
      <c r="Q1629" s="2" t="s">
        <v>239</v>
      </c>
      <c r="R1629" s="2" t="s">
        <v>233</v>
      </c>
      <c r="S1629" s="2" t="s">
        <v>7783</v>
      </c>
      <c r="T1629" s="2" t="s">
        <v>233</v>
      </c>
      <c r="U1629" s="2" t="s">
        <v>233</v>
      </c>
      <c r="V1629" s="2" t="s">
        <v>241</v>
      </c>
      <c r="W1629" s="2" t="s">
        <v>275</v>
      </c>
      <c r="X1629" s="2" t="s">
        <v>233</v>
      </c>
      <c r="Y1629" s="2" t="s">
        <v>6819</v>
      </c>
      <c r="Z1629" s="4"/>
      <c r="AA1629" s="4">
        <f>=ROUNDDOWN({0},0)</f>
      </c>
      <c r="AB1629" s="5">
        <v>4</v>
      </c>
      <c r="AC1629" s="2" t="s">
        <v>233</v>
      </c>
      <c r="AD1629" s="4"/>
      <c r="AE1629" s="4"/>
      <c r="AF1629" s="6">
        <v>65</v>
      </c>
      <c r="AG1629" s="6"/>
      <c r="AH1629" s="7">
        <v>0.9677</v>
      </c>
      <c r="AI1629" s="4"/>
      <c r="AJ1629" s="4">
        <f>=ROUNDDOWN({0},0)</f>
      </c>
      <c r="AK1629" s="5"/>
      <c r="AL1629" s="2" t="s">
        <v>233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233</v>
      </c>
      <c r="AW1629" s="8" t="s">
        <v>233</v>
      </c>
      <c r="AX1629" s="4" t="s">
        <v>233</v>
      </c>
      <c r="AY1629" s="8" t="s">
        <v>233</v>
      </c>
      <c r="AZ1629" s="7" t="s">
        <v>233</v>
      </c>
      <c r="BA1629" s="7" t="s">
        <v>233</v>
      </c>
      <c r="BB1629" s="7"/>
      <c r="BC1629" s="4" t="s">
        <v>233</v>
      </c>
      <c r="BD1629" s="8" t="s">
        <v>233</v>
      </c>
      <c r="BE1629" s="4" t="s">
        <v>233</v>
      </c>
      <c r="BF1629" s="8" t="s">
        <v>233</v>
      </c>
      <c r="BG1629" s="7" t="s">
        <v>233</v>
      </c>
      <c r="BH1629" s="7" t="s">
        <v>233</v>
      </c>
      <c r="BI1629" s="7"/>
      <c r="BJ1629" s="4">
        <v>9</v>
      </c>
      <c r="BK1629" s="8">
        <v>113.8</v>
      </c>
      <c r="BL1629" s="2" t="s">
        <v>7784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7785</v>
      </c>
      <c r="BV1629" s="2" t="s">
        <v>233</v>
      </c>
      <c r="BW1629" s="2" t="s">
        <v>233</v>
      </c>
      <c r="BX1629" s="2" t="s">
        <v>243</v>
      </c>
      <c r="BY1629" s="2" t="s">
        <v>280</v>
      </c>
      <c r="BZ1629" s="2" t="s">
        <v>245</v>
      </c>
      <c r="CA1629" s="2" t="s">
        <v>6822</v>
      </c>
      <c r="CB1629" s="2" t="s">
        <v>2620</v>
      </c>
      <c r="CC1629" s="2" t="s">
        <v>246</v>
      </c>
      <c r="CD1629" s="2" t="s">
        <v>233</v>
      </c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  <c r="HM1629" s="4"/>
      <c r="HN1629" s="4"/>
      <c r="HO1629" s="4"/>
      <c r="HP1629" s="4"/>
      <c r="HQ1629" s="4"/>
      <c r="HR1629" s="4"/>
    </row>
    <row r="1630">
      <c r="A1630" s="2" t="s">
        <v>7786</v>
      </c>
      <c r="B1630" s="2" t="s">
        <v>1174</v>
      </c>
      <c r="C1630" s="2" t="s">
        <v>1447</v>
      </c>
      <c r="D1630" s="2" t="s">
        <v>1175</v>
      </c>
      <c r="E1630" s="2" t="s">
        <v>1448</v>
      </c>
      <c r="F1630" s="2" t="s">
        <v>4818</v>
      </c>
      <c r="G1630" s="2" t="s">
        <v>7754</v>
      </c>
      <c r="H1630" s="2" t="s">
        <v>7755</v>
      </c>
      <c r="I1630" s="2" t="s">
        <v>7756</v>
      </c>
      <c r="J1630" s="2" t="s">
        <v>1524</v>
      </c>
      <c r="K1630" s="2" t="s">
        <v>2197</v>
      </c>
      <c r="L1630" s="3">
        <v>16.28</v>
      </c>
      <c r="M1630" s="3">
        <v>17.09</v>
      </c>
      <c r="N1630" s="3">
        <v>36.99</v>
      </c>
      <c r="O1630" s="2" t="s">
        <v>245</v>
      </c>
      <c r="P1630" s="2" t="s">
        <v>272</v>
      </c>
      <c r="Q1630" s="2" t="s">
        <v>239</v>
      </c>
      <c r="R1630" s="2" t="s">
        <v>233</v>
      </c>
      <c r="S1630" s="2" t="s">
        <v>7783</v>
      </c>
      <c r="T1630" s="2" t="s">
        <v>233</v>
      </c>
      <c r="U1630" s="2" t="s">
        <v>233</v>
      </c>
      <c r="V1630" s="2" t="s">
        <v>241</v>
      </c>
      <c r="W1630" s="2" t="s">
        <v>275</v>
      </c>
      <c r="X1630" s="2" t="s">
        <v>2589</v>
      </c>
      <c r="Y1630" s="2" t="s">
        <v>6819</v>
      </c>
      <c r="Z1630" s="4">
        <v>519</v>
      </c>
      <c r="AA1630" s="4">
        <f>=ROUNDDOWN(47.1818181818182,0)</f>
      </c>
      <c r="AB1630" s="5">
        <v>11</v>
      </c>
      <c r="AC1630" s="2" t="s">
        <v>233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233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233</v>
      </c>
      <c r="AW1630" s="8" t="s">
        <v>233</v>
      </c>
      <c r="AX1630" s="4" t="s">
        <v>233</v>
      </c>
      <c r="AY1630" s="8" t="s">
        <v>233</v>
      </c>
      <c r="AZ1630" s="7" t="s">
        <v>233</v>
      </c>
      <c r="BA1630" s="7" t="s">
        <v>233</v>
      </c>
      <c r="BB1630" s="7"/>
      <c r="BC1630" s="4" t="s">
        <v>233</v>
      </c>
      <c r="BD1630" s="8" t="s">
        <v>233</v>
      </c>
      <c r="BE1630" s="4" t="s">
        <v>233</v>
      </c>
      <c r="BF1630" s="8" t="s">
        <v>233</v>
      </c>
      <c r="BG1630" s="7" t="s">
        <v>233</v>
      </c>
      <c r="BH1630" s="7" t="s">
        <v>233</v>
      </c>
      <c r="BI1630" s="7"/>
      <c r="BJ1630" s="4">
        <v>37</v>
      </c>
      <c r="BK1630" s="8">
        <v>618.54</v>
      </c>
      <c r="BL1630" s="2" t="s">
        <v>1058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7787</v>
      </c>
      <c r="BV1630" s="2" t="s">
        <v>233</v>
      </c>
      <c r="BW1630" s="2" t="s">
        <v>233</v>
      </c>
      <c r="BX1630" s="2" t="s">
        <v>233</v>
      </c>
      <c r="BY1630" s="2" t="s">
        <v>280</v>
      </c>
      <c r="BZ1630" s="2" t="s">
        <v>245</v>
      </c>
      <c r="CA1630" s="2" t="s">
        <v>6822</v>
      </c>
      <c r="CB1630" s="2" t="s">
        <v>4189</v>
      </c>
      <c r="CC1630" s="2" t="s">
        <v>246</v>
      </c>
      <c r="CD1630" s="2" t="s">
        <v>233</v>
      </c>
      <c r="CE1630" s="4">
        <v>519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  <c r="HM1630" s="4"/>
      <c r="HN1630" s="4"/>
      <c r="HO1630" s="4"/>
      <c r="HP1630" s="4"/>
      <c r="HQ1630" s="4"/>
      <c r="HR1630" s="4"/>
    </row>
    <row r="1631">
      <c r="A1631" s="2" t="s">
        <v>7788</v>
      </c>
      <c r="B1631" s="2" t="s">
        <v>1174</v>
      </c>
      <c r="C1631" s="2" t="s">
        <v>1447</v>
      </c>
      <c r="D1631" s="2" t="s">
        <v>1175</v>
      </c>
      <c r="E1631" s="2" t="s">
        <v>1448</v>
      </c>
      <c r="F1631" s="2" t="s">
        <v>4818</v>
      </c>
      <c r="G1631" s="2" t="s">
        <v>7754</v>
      </c>
      <c r="H1631" s="2" t="s">
        <v>7755</v>
      </c>
      <c r="I1631" s="2" t="s">
        <v>7756</v>
      </c>
      <c r="J1631" s="2" t="s">
        <v>1490</v>
      </c>
      <c r="K1631" s="2" t="s">
        <v>2197</v>
      </c>
      <c r="L1631" s="3">
        <v>18</v>
      </c>
      <c r="M1631" s="3">
        <v>18.9</v>
      </c>
      <c r="N1631" s="3">
        <v>39.99</v>
      </c>
      <c r="O1631" s="2" t="s">
        <v>245</v>
      </c>
      <c r="P1631" s="2" t="s">
        <v>996</v>
      </c>
      <c r="Q1631" s="2" t="s">
        <v>239</v>
      </c>
      <c r="R1631" s="2" t="s">
        <v>233</v>
      </c>
      <c r="S1631" s="2" t="s">
        <v>7783</v>
      </c>
      <c r="T1631" s="2" t="s">
        <v>233</v>
      </c>
      <c r="U1631" s="2" t="s">
        <v>233</v>
      </c>
      <c r="V1631" s="2" t="s">
        <v>241</v>
      </c>
      <c r="W1631" s="2" t="s">
        <v>275</v>
      </c>
      <c r="X1631" s="2" t="s">
        <v>233</v>
      </c>
      <c r="Y1631" s="2" t="s">
        <v>6819</v>
      </c>
      <c r="Z1631" s="4">
        <v>1</v>
      </c>
      <c r="AA1631" s="4">
        <f>=ROUNDDOWN(0.333333333333333,0)</f>
      </c>
      <c r="AB1631" s="5">
        <v>3</v>
      </c>
      <c r="AC1631" s="2" t="s">
        <v>233</v>
      </c>
      <c r="AD1631" s="4"/>
      <c r="AE1631" s="4"/>
      <c r="AF1631" s="6">
        <v>65</v>
      </c>
      <c r="AG1631" s="6"/>
      <c r="AH1631" s="7">
        <v>0.9032</v>
      </c>
      <c r="AI1631" s="4"/>
      <c r="AJ1631" s="4">
        <f>=ROUNDDOWN({0},0)</f>
      </c>
      <c r="AK1631" s="5"/>
      <c r="AL1631" s="2" t="s">
        <v>233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 t="s">
        <v>233</v>
      </c>
      <c r="AW1631" s="8" t="s">
        <v>233</v>
      </c>
      <c r="AX1631" s="4" t="s">
        <v>233</v>
      </c>
      <c r="AY1631" s="8" t="s">
        <v>233</v>
      </c>
      <c r="AZ1631" s="7" t="s">
        <v>233</v>
      </c>
      <c r="BA1631" s="7" t="s">
        <v>233</v>
      </c>
      <c r="BB1631" s="7"/>
      <c r="BC1631" s="4" t="s">
        <v>233</v>
      </c>
      <c r="BD1631" s="8" t="s">
        <v>233</v>
      </c>
      <c r="BE1631" s="4" t="s">
        <v>233</v>
      </c>
      <c r="BF1631" s="8" t="s">
        <v>233</v>
      </c>
      <c r="BG1631" s="7" t="s">
        <v>233</v>
      </c>
      <c r="BH1631" s="7" t="s">
        <v>233</v>
      </c>
      <c r="BI1631" s="7"/>
      <c r="BJ1631" s="4">
        <v>8</v>
      </c>
      <c r="BK1631" s="8">
        <v>125.42</v>
      </c>
      <c r="BL1631" s="2" t="s">
        <v>7789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7790</v>
      </c>
      <c r="BV1631" s="2" t="s">
        <v>233</v>
      </c>
      <c r="BW1631" s="2" t="s">
        <v>233</v>
      </c>
      <c r="BX1631" s="2" t="s">
        <v>233</v>
      </c>
      <c r="BY1631" s="2" t="s">
        <v>280</v>
      </c>
      <c r="BZ1631" s="2" t="s">
        <v>245</v>
      </c>
      <c r="CA1631" s="2" t="s">
        <v>6822</v>
      </c>
      <c r="CB1631" s="2" t="s">
        <v>3988</v>
      </c>
      <c r="CC1631" s="2" t="s">
        <v>246</v>
      </c>
      <c r="CD1631" s="2" t="s">
        <v>233</v>
      </c>
      <c r="CE1631" s="4">
        <v>1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/>
      <c r="HJ1631" s="4"/>
      <c r="HK1631" s="4"/>
      <c r="HL1631" s="4"/>
      <c r="HM1631" s="4"/>
      <c r="HN1631" s="4"/>
      <c r="HO1631" s="4"/>
      <c r="HP1631" s="4"/>
      <c r="HQ1631" s="4"/>
      <c r="HR1631" s="4"/>
    </row>
    <row r="1632">
      <c r="A1632" s="2" t="s">
        <v>7791</v>
      </c>
      <c r="B1632" s="2" t="s">
        <v>1174</v>
      </c>
      <c r="C1632" s="2" t="s">
        <v>1447</v>
      </c>
      <c r="D1632" s="2" t="s">
        <v>1175</v>
      </c>
      <c r="E1632" s="2" t="s">
        <v>1448</v>
      </c>
      <c r="F1632" s="2" t="s">
        <v>4818</v>
      </c>
      <c r="G1632" s="2" t="s">
        <v>7754</v>
      </c>
      <c r="H1632" s="2" t="s">
        <v>7755</v>
      </c>
      <c r="I1632" s="2" t="s">
        <v>7756</v>
      </c>
      <c r="J1632" s="2" t="s">
        <v>7767</v>
      </c>
      <c r="K1632" s="2" t="s">
        <v>2197</v>
      </c>
      <c r="L1632" s="3">
        <v>12.76</v>
      </c>
      <c r="M1632" s="3">
        <v>13.4</v>
      </c>
      <c r="N1632" s="3">
        <v>28.99</v>
      </c>
      <c r="O1632" s="2" t="s">
        <v>245</v>
      </c>
      <c r="P1632" s="2" t="s">
        <v>272</v>
      </c>
      <c r="Q1632" s="2" t="s">
        <v>239</v>
      </c>
      <c r="R1632" s="2" t="s">
        <v>233</v>
      </c>
      <c r="S1632" s="2" t="s">
        <v>7783</v>
      </c>
      <c r="T1632" s="2" t="s">
        <v>233</v>
      </c>
      <c r="U1632" s="2" t="s">
        <v>233</v>
      </c>
      <c r="V1632" s="2" t="s">
        <v>241</v>
      </c>
      <c r="W1632" s="2" t="s">
        <v>275</v>
      </c>
      <c r="X1632" s="2" t="s">
        <v>2589</v>
      </c>
      <c r="Y1632" s="2" t="s">
        <v>6819</v>
      </c>
      <c r="Z1632" s="4">
        <v>410</v>
      </c>
      <c r="AA1632" s="4">
        <f>=ROUNDDOWN(48.2352941176471,0)</f>
      </c>
      <c r="AB1632" s="5">
        <v>8.5</v>
      </c>
      <c r="AC1632" s="2" t="s">
        <v>233</v>
      </c>
      <c r="AD1632" s="4"/>
      <c r="AE1632" s="4"/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233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 t="s">
        <v>233</v>
      </c>
      <c r="AW1632" s="8" t="s">
        <v>233</v>
      </c>
      <c r="AX1632" s="4" t="s">
        <v>233</v>
      </c>
      <c r="AY1632" s="8" t="s">
        <v>233</v>
      </c>
      <c r="AZ1632" s="7" t="s">
        <v>233</v>
      </c>
      <c r="BA1632" s="7" t="s">
        <v>233</v>
      </c>
      <c r="BB1632" s="7"/>
      <c r="BC1632" s="4" t="s">
        <v>233</v>
      </c>
      <c r="BD1632" s="8" t="s">
        <v>233</v>
      </c>
      <c r="BE1632" s="4" t="s">
        <v>233</v>
      </c>
      <c r="BF1632" s="8" t="s">
        <v>233</v>
      </c>
      <c r="BG1632" s="7" t="s">
        <v>233</v>
      </c>
      <c r="BH1632" s="7" t="s">
        <v>233</v>
      </c>
      <c r="BI1632" s="7"/>
      <c r="BJ1632" s="4">
        <v>36</v>
      </c>
      <c r="BK1632" s="8">
        <v>508.64</v>
      </c>
      <c r="BL1632" s="2" t="s">
        <v>7792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7793</v>
      </c>
      <c r="BV1632" s="2" t="s">
        <v>233</v>
      </c>
      <c r="BW1632" s="2" t="s">
        <v>233</v>
      </c>
      <c r="BX1632" s="2" t="s">
        <v>233</v>
      </c>
      <c r="BY1632" s="2" t="s">
        <v>280</v>
      </c>
      <c r="BZ1632" s="2" t="s">
        <v>245</v>
      </c>
      <c r="CA1632" s="2" t="s">
        <v>6822</v>
      </c>
      <c r="CB1632" s="2" t="s">
        <v>1333</v>
      </c>
      <c r="CC1632" s="2" t="s">
        <v>246</v>
      </c>
      <c r="CD1632" s="2" t="s">
        <v>233</v>
      </c>
      <c r="CE1632" s="4">
        <v>410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  <c r="HM1632" s="4"/>
      <c r="HN1632" s="4"/>
      <c r="HO1632" s="4"/>
      <c r="HP1632" s="4"/>
      <c r="HQ1632" s="4"/>
      <c r="HR1632" s="4"/>
    </row>
    <row r="1633">
      <c r="A1633" s="2" t="s">
        <v>7794</v>
      </c>
      <c r="B1633" s="2" t="s">
        <v>1242</v>
      </c>
      <c r="C1633" s="2" t="s">
        <v>1781</v>
      </c>
      <c r="D1633" s="2" t="s">
        <v>969</v>
      </c>
      <c r="E1633" s="2" t="s">
        <v>1078</v>
      </c>
      <c r="F1633" s="2" t="s">
        <v>7795</v>
      </c>
      <c r="G1633" s="2" t="s">
        <v>7795</v>
      </c>
      <c r="H1633" s="2" t="s">
        <v>7795</v>
      </c>
      <c r="I1633" s="2" t="s">
        <v>1082</v>
      </c>
      <c r="J1633" s="2" t="s">
        <v>546</v>
      </c>
      <c r="K1633" s="2" t="s">
        <v>297</v>
      </c>
      <c r="L1633" s="3">
        <v>135</v>
      </c>
      <c r="M1633" s="3">
        <v>141.74</v>
      </c>
      <c r="N1633" s="3">
        <v>279.99</v>
      </c>
      <c r="O1633" s="2" t="s">
        <v>245</v>
      </c>
      <c r="P1633" s="2" t="s">
        <v>763</v>
      </c>
      <c r="Q1633" s="2" t="s">
        <v>239</v>
      </c>
      <c r="R1633" s="2" t="s">
        <v>233</v>
      </c>
      <c r="S1633" s="2" t="s">
        <v>7796</v>
      </c>
      <c r="T1633" s="2" t="s">
        <v>233</v>
      </c>
      <c r="U1633" s="2" t="s">
        <v>342</v>
      </c>
      <c r="V1633" s="2" t="s">
        <v>343</v>
      </c>
      <c r="W1633" s="2" t="s">
        <v>343</v>
      </c>
      <c r="X1633" s="2" t="s">
        <v>776</v>
      </c>
      <c r="Y1633" s="2" t="s">
        <v>276</v>
      </c>
      <c r="Z1633" s="4">
        <v>70</v>
      </c>
      <c r="AA1633" s="4">
        <f>=ROUNDDOWN(35,0)</f>
      </c>
      <c r="AB1633" s="5">
        <v>2</v>
      </c>
      <c r="AC1633" s="2" t="s">
        <v>7797</v>
      </c>
      <c r="AD1633" s="4">
        <v>15</v>
      </c>
      <c r="AE1633" s="4">
        <v>15</v>
      </c>
      <c r="AF1633" s="6">
        <v>66</v>
      </c>
      <c r="AG1633" s="6"/>
      <c r="AH1633" s="7">
        <v>1</v>
      </c>
      <c r="AI1633" s="4"/>
      <c r="AJ1633" s="4">
        <f>=ROUNDDOWN({0},0)</f>
      </c>
      <c r="AK1633" s="5"/>
      <c r="AL1633" s="2" t="s">
        <v>233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/>
      <c r="BD1633" s="8"/>
      <c r="BE1633" s="4"/>
      <c r="BF1633" s="8"/>
      <c r="BG1633" s="7"/>
      <c r="BH1633" s="7"/>
      <c r="BI1633" s="7"/>
      <c r="BJ1633" s="4">
        <v>4</v>
      </c>
      <c r="BK1633" s="8">
        <v>573.06</v>
      </c>
      <c r="BL1633" s="2" t="s">
        <v>7798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7799</v>
      </c>
      <c r="BV1633" s="2" t="s">
        <v>233</v>
      </c>
      <c r="BW1633" s="2" t="s">
        <v>233</v>
      </c>
      <c r="BX1633" s="2" t="s">
        <v>233</v>
      </c>
      <c r="BY1633" s="2" t="s">
        <v>280</v>
      </c>
      <c r="BZ1633" s="2" t="s">
        <v>245</v>
      </c>
      <c r="CA1633" s="2" t="s">
        <v>281</v>
      </c>
      <c r="CB1633" s="2" t="s">
        <v>660</v>
      </c>
      <c r="CC1633" s="2" t="s">
        <v>246</v>
      </c>
      <c r="CD1633" s="2" t="s">
        <v>233</v>
      </c>
      <c r="CE1633" s="4">
        <v>70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>
        <v>15</v>
      </c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  <c r="HM1633" s="4"/>
      <c r="HN1633" s="4"/>
      <c r="HO1633" s="4"/>
      <c r="HP1633" s="4"/>
      <c r="HQ1633" s="4"/>
      <c r="HR1633" s="4"/>
    </row>
    <row r="1634">
      <c r="A1634" s="2" t="s">
        <v>7800</v>
      </c>
      <c r="B1634" s="2" t="s">
        <v>1066</v>
      </c>
      <c r="C1634" s="2" t="s">
        <v>901</v>
      </c>
      <c r="D1634" s="2" t="s">
        <v>1067</v>
      </c>
      <c r="E1634" s="2" t="s">
        <v>1068</v>
      </c>
      <c r="F1634" s="2" t="s">
        <v>7801</v>
      </c>
      <c r="G1634" s="2" t="s">
        <v>7801</v>
      </c>
      <c r="H1634" s="2" t="s">
        <v>7801</v>
      </c>
      <c r="I1634" s="2" t="s">
        <v>2650</v>
      </c>
      <c r="J1634" s="2" t="s">
        <v>892</v>
      </c>
      <c r="K1634" s="2" t="s">
        <v>7802</v>
      </c>
      <c r="L1634" s="3">
        <v>200</v>
      </c>
      <c r="M1634" s="3">
        <v>210</v>
      </c>
      <c r="N1634" s="3">
        <v>429</v>
      </c>
      <c r="O1634" s="2" t="s">
        <v>245</v>
      </c>
      <c r="P1634" s="2" t="s">
        <v>311</v>
      </c>
      <c r="Q1634" s="2" t="s">
        <v>239</v>
      </c>
      <c r="R1634" s="2" t="s">
        <v>233</v>
      </c>
      <c r="S1634" s="2" t="s">
        <v>7803</v>
      </c>
      <c r="T1634" s="2" t="s">
        <v>233</v>
      </c>
      <c r="U1634" s="2" t="s">
        <v>233</v>
      </c>
      <c r="V1634" s="2" t="s">
        <v>241</v>
      </c>
      <c r="W1634" s="2" t="s">
        <v>397</v>
      </c>
      <c r="X1634" s="2" t="s">
        <v>233</v>
      </c>
      <c r="Y1634" s="2" t="s">
        <v>554</v>
      </c>
      <c r="Z1634" s="4">
        <v>16</v>
      </c>
      <c r="AA1634" s="4">
        <f>=ROUNDDOWN(4,0)</f>
      </c>
      <c r="AB1634" s="5">
        <v>4</v>
      </c>
      <c r="AC1634" s="2" t="s">
        <v>233</v>
      </c>
      <c r="AD1634" s="4"/>
      <c r="AE1634" s="4"/>
      <c r="AF1634" s="6">
        <v>65</v>
      </c>
      <c r="AG1634" s="6">
        <v>48</v>
      </c>
      <c r="AH1634" s="7">
        <v>1</v>
      </c>
      <c r="AI1634" s="4"/>
      <c r="AJ1634" s="4">
        <f>=ROUNDDOWN({0},0)</f>
      </c>
      <c r="AK1634" s="5"/>
      <c r="AL1634" s="2" t="s">
        <v>233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13</v>
      </c>
      <c r="BK1634" s="8">
        <v>1957.49</v>
      </c>
      <c r="BL1634" s="2" t="s">
        <v>7804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7805</v>
      </c>
      <c r="BV1634" s="2" t="s">
        <v>233</v>
      </c>
      <c r="BW1634" s="2" t="s">
        <v>233</v>
      </c>
      <c r="BX1634" s="2" t="s">
        <v>233</v>
      </c>
      <c r="BY1634" s="2" t="s">
        <v>280</v>
      </c>
      <c r="BZ1634" s="2" t="s">
        <v>245</v>
      </c>
      <c r="CA1634" s="2" t="s">
        <v>7806</v>
      </c>
      <c r="CB1634" s="2" t="s">
        <v>7807</v>
      </c>
      <c r="CC1634" s="2" t="s">
        <v>246</v>
      </c>
      <c r="CD1634" s="2" t="s">
        <v>233</v>
      </c>
      <c r="CE1634" s="4"/>
      <c r="CF1634" s="4">
        <v>16</v>
      </c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  <c r="HM1634" s="4"/>
      <c r="HN1634" s="4"/>
      <c r="HO1634" s="4"/>
      <c r="HP1634" s="4"/>
      <c r="HQ1634" s="4"/>
      <c r="HR1634" s="4"/>
    </row>
    <row r="1635">
      <c r="A1635" s="2" t="s">
        <v>7808</v>
      </c>
      <c r="B1635" s="2" t="s">
        <v>886</v>
      </c>
      <c r="C1635" s="2" t="s">
        <v>887</v>
      </c>
      <c r="D1635" s="2" t="s">
        <v>888</v>
      </c>
      <c r="E1635" s="2" t="s">
        <v>889</v>
      </c>
      <c r="F1635" s="2" t="s">
        <v>7809</v>
      </c>
      <c r="G1635" s="2" t="s">
        <v>7809</v>
      </c>
      <c r="H1635" s="2" t="s">
        <v>7809</v>
      </c>
      <c r="I1635" s="2" t="s">
        <v>7810</v>
      </c>
      <c r="J1635" s="2" t="s">
        <v>892</v>
      </c>
      <c r="K1635" s="2" t="s">
        <v>7811</v>
      </c>
      <c r="L1635" s="3">
        <v>66.24</v>
      </c>
      <c r="M1635" s="3">
        <v>69.55</v>
      </c>
      <c r="N1635" s="3">
        <v>149.99</v>
      </c>
      <c r="O1635" s="2" t="s">
        <v>245</v>
      </c>
      <c r="P1635" s="2" t="s">
        <v>311</v>
      </c>
      <c r="Q1635" s="2" t="s">
        <v>239</v>
      </c>
      <c r="R1635" s="2" t="s">
        <v>233</v>
      </c>
      <c r="S1635" s="2" t="s">
        <v>233</v>
      </c>
      <c r="T1635" s="2" t="s">
        <v>233</v>
      </c>
      <c r="U1635" s="2" t="s">
        <v>396</v>
      </c>
      <c r="V1635" s="2" t="s">
        <v>893</v>
      </c>
      <c r="W1635" s="2" t="s">
        <v>397</v>
      </c>
      <c r="X1635" s="2" t="s">
        <v>233</v>
      </c>
      <c r="Y1635" s="2" t="s">
        <v>7812</v>
      </c>
      <c r="Z1635" s="4">
        <v>130</v>
      </c>
      <c r="AA1635" s="4">
        <f>=ROUNDDOWN({0},0)</f>
      </c>
      <c r="AB1635" s="5"/>
      <c r="AC1635" s="2" t="s">
        <v>233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233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/>
      <c r="BK1635" s="8"/>
      <c r="BL1635" s="2" t="s">
        <v>233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7813</v>
      </c>
      <c r="BV1635" s="2" t="s">
        <v>233</v>
      </c>
      <c r="BW1635" s="2" t="s">
        <v>233</v>
      </c>
      <c r="BX1635" s="2" t="s">
        <v>233</v>
      </c>
      <c r="BY1635" s="2" t="s">
        <v>280</v>
      </c>
      <c r="BZ1635" s="2" t="s">
        <v>245</v>
      </c>
      <c r="CA1635" s="2" t="s">
        <v>1711</v>
      </c>
      <c r="CB1635" s="2" t="s">
        <v>7814</v>
      </c>
      <c r="CC1635" s="2" t="s">
        <v>246</v>
      </c>
      <c r="CD1635" s="2" t="s">
        <v>233</v>
      </c>
      <c r="CE1635" s="4"/>
      <c r="CF1635" s="4">
        <v>130</v>
      </c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  <c r="HM1635" s="4"/>
      <c r="HN1635" s="4"/>
      <c r="HO1635" s="4"/>
      <c r="HP1635" s="4"/>
      <c r="HQ1635" s="4"/>
      <c r="HR1635" s="4"/>
    </row>
    <row r="1636">
      <c r="A1636" s="2" t="s">
        <v>7815</v>
      </c>
      <c r="B1636" s="2" t="s">
        <v>1066</v>
      </c>
      <c r="C1636" s="2" t="s">
        <v>901</v>
      </c>
      <c r="D1636" s="2" t="s">
        <v>2333</v>
      </c>
      <c r="E1636" s="2" t="s">
        <v>2334</v>
      </c>
      <c r="F1636" s="2" t="s">
        <v>7816</v>
      </c>
      <c r="G1636" s="2" t="s">
        <v>7816</v>
      </c>
      <c r="H1636" s="2" t="s">
        <v>7816</v>
      </c>
      <c r="I1636" s="2" t="s">
        <v>7817</v>
      </c>
      <c r="J1636" s="2" t="s">
        <v>892</v>
      </c>
      <c r="K1636" s="2" t="s">
        <v>645</v>
      </c>
      <c r="L1636" s="3">
        <v>405</v>
      </c>
      <c r="M1636" s="3">
        <v>425.25</v>
      </c>
      <c r="N1636" s="3">
        <v>849</v>
      </c>
      <c r="O1636" s="2" t="s">
        <v>245</v>
      </c>
      <c r="P1636" s="2" t="s">
        <v>272</v>
      </c>
      <c r="Q1636" s="2" t="s">
        <v>239</v>
      </c>
      <c r="R1636" s="2" t="s">
        <v>233</v>
      </c>
      <c r="S1636" s="2" t="s">
        <v>233</v>
      </c>
      <c r="T1636" s="2" t="s">
        <v>233</v>
      </c>
      <c r="U1636" s="2" t="s">
        <v>233</v>
      </c>
      <c r="V1636" s="2" t="s">
        <v>893</v>
      </c>
      <c r="W1636" s="2" t="s">
        <v>894</v>
      </c>
      <c r="X1636" s="2" t="s">
        <v>397</v>
      </c>
      <c r="Y1636" s="2" t="s">
        <v>1126</v>
      </c>
      <c r="Z1636" s="4">
        <v>128</v>
      </c>
      <c r="AA1636" s="4">
        <f>=ROUNDDOWN(42.6666666666667,0)</f>
      </c>
      <c r="AB1636" s="5">
        <v>3</v>
      </c>
      <c r="AC1636" s="2" t="s">
        <v>7818</v>
      </c>
      <c r="AD1636" s="4">
        <v>100</v>
      </c>
      <c r="AE1636" s="4">
        <v>100</v>
      </c>
      <c r="AF1636" s="6">
        <v>74</v>
      </c>
      <c r="AG1636" s="6"/>
      <c r="AH1636" s="7">
        <v>1</v>
      </c>
      <c r="AI1636" s="4"/>
      <c r="AJ1636" s="4">
        <f>=ROUNDDOWN({0},0)</f>
      </c>
      <c r="AK1636" s="5"/>
      <c r="AL1636" s="2" t="s">
        <v>233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/>
      <c r="AW1636" s="8"/>
      <c r="AX1636" s="4"/>
      <c r="AY1636" s="8"/>
      <c r="AZ1636" s="7"/>
      <c r="BA1636" s="7"/>
      <c r="BB1636" s="7"/>
      <c r="BC1636" s="4" t="s">
        <v>233</v>
      </c>
      <c r="BD1636" s="8" t="s">
        <v>233</v>
      </c>
      <c r="BE1636" s="4" t="s">
        <v>233</v>
      </c>
      <c r="BF1636" s="8" t="s">
        <v>233</v>
      </c>
      <c r="BG1636" s="7" t="s">
        <v>233</v>
      </c>
      <c r="BH1636" s="7" t="s">
        <v>233</v>
      </c>
      <c r="BI1636" s="7"/>
      <c r="BJ1636" s="4">
        <v>11</v>
      </c>
      <c r="BK1636" s="8">
        <v>4002.89</v>
      </c>
      <c r="BL1636" s="2" t="s">
        <v>7819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7820</v>
      </c>
      <c r="BV1636" s="2" t="s">
        <v>233</v>
      </c>
      <c r="BW1636" s="2" t="s">
        <v>233</v>
      </c>
      <c r="BX1636" s="2" t="s">
        <v>243</v>
      </c>
      <c r="BY1636" s="2" t="s">
        <v>280</v>
      </c>
      <c r="BZ1636" s="2" t="s">
        <v>245</v>
      </c>
      <c r="CA1636" s="2" t="s">
        <v>7821</v>
      </c>
      <c r="CB1636" s="2" t="s">
        <v>1710</v>
      </c>
      <c r="CC1636" s="2" t="s">
        <v>246</v>
      </c>
      <c r="CD1636" s="2" t="s">
        <v>233</v>
      </c>
      <c r="CE1636" s="4"/>
      <c r="CF1636" s="4">
        <v>128</v>
      </c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>
        <v>100</v>
      </c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/>
      <c r="HJ1636" s="4"/>
      <c r="HK1636" s="4"/>
      <c r="HL1636" s="4"/>
      <c r="HM1636" s="4"/>
      <c r="HN1636" s="4"/>
      <c r="HO1636" s="4"/>
      <c r="HP1636" s="4"/>
      <c r="HQ1636" s="4"/>
      <c r="HR1636" s="4"/>
    </row>
    <row r="1637">
      <c r="A1637" s="2" t="s">
        <v>7822</v>
      </c>
      <c r="B1637" s="2" t="s">
        <v>1066</v>
      </c>
      <c r="C1637" s="2" t="s">
        <v>901</v>
      </c>
      <c r="D1637" s="2" t="s">
        <v>1322</v>
      </c>
      <c r="E1637" s="2" t="s">
        <v>2279</v>
      </c>
      <c r="F1637" s="2" t="s">
        <v>7816</v>
      </c>
      <c r="G1637" s="2" t="s">
        <v>7816</v>
      </c>
      <c r="H1637" s="2" t="s">
        <v>7816</v>
      </c>
      <c r="I1637" s="2" t="s">
        <v>7823</v>
      </c>
      <c r="J1637" s="2" t="s">
        <v>348</v>
      </c>
      <c r="K1637" s="2" t="s">
        <v>7824</v>
      </c>
      <c r="L1637" s="3">
        <v>370</v>
      </c>
      <c r="M1637" s="3">
        <v>388.5</v>
      </c>
      <c r="N1637" s="3">
        <v>769</v>
      </c>
      <c r="O1637" s="2" t="s">
        <v>245</v>
      </c>
      <c r="P1637" s="2" t="s">
        <v>311</v>
      </c>
      <c r="Q1637" s="2" t="s">
        <v>239</v>
      </c>
      <c r="R1637" s="2" t="s">
        <v>233</v>
      </c>
      <c r="S1637" s="2" t="s">
        <v>233</v>
      </c>
      <c r="T1637" s="2" t="s">
        <v>233</v>
      </c>
      <c r="U1637" s="2" t="s">
        <v>396</v>
      </c>
      <c r="V1637" s="2" t="s">
        <v>893</v>
      </c>
      <c r="W1637" s="2" t="s">
        <v>894</v>
      </c>
      <c r="X1637" s="2" t="s">
        <v>894</v>
      </c>
      <c r="Y1637" s="2" t="s">
        <v>7825</v>
      </c>
      <c r="Z1637" s="4">
        <v>72</v>
      </c>
      <c r="AA1637" s="4">
        <f>=ROUNDDOWN(240,0)</f>
      </c>
      <c r="AB1637" s="5">
        <v>0.3</v>
      </c>
      <c r="AC1637" s="2" t="s">
        <v>233</v>
      </c>
      <c r="AD1637" s="4"/>
      <c r="AE1637" s="4"/>
      <c r="AF1637" s="6">
        <v>74</v>
      </c>
      <c r="AG1637" s="6"/>
      <c r="AH1637" s="7">
        <v>1</v>
      </c>
      <c r="AI1637" s="4"/>
      <c r="AJ1637" s="4">
        <f>=ROUNDDOWN({0},0)</f>
      </c>
      <c r="AK1637" s="5"/>
      <c r="AL1637" s="2" t="s">
        <v>233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 t="s">
        <v>233</v>
      </c>
      <c r="BD1637" s="8" t="s">
        <v>233</v>
      </c>
      <c r="BE1637" s="4" t="s">
        <v>233</v>
      </c>
      <c r="BF1637" s="8" t="s">
        <v>233</v>
      </c>
      <c r="BG1637" s="7" t="s">
        <v>233</v>
      </c>
      <c r="BH1637" s="7" t="s">
        <v>233</v>
      </c>
      <c r="BI1637" s="7"/>
      <c r="BJ1637" s="4">
        <v>1</v>
      </c>
      <c r="BK1637" s="8">
        <v>310.8</v>
      </c>
      <c r="BL1637" s="2" t="s">
        <v>1023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7826</v>
      </c>
      <c r="BV1637" s="2" t="s">
        <v>233</v>
      </c>
      <c r="BW1637" s="2" t="s">
        <v>233</v>
      </c>
      <c r="BX1637" s="2" t="s">
        <v>233</v>
      </c>
      <c r="BY1637" s="2" t="s">
        <v>280</v>
      </c>
      <c r="BZ1637" s="2" t="s">
        <v>245</v>
      </c>
      <c r="CA1637" s="2" t="s">
        <v>6354</v>
      </c>
      <c r="CB1637" s="2" t="s">
        <v>233</v>
      </c>
      <c r="CC1637" s="2" t="s">
        <v>246</v>
      </c>
      <c r="CD1637" s="2" t="s">
        <v>233</v>
      </c>
      <c r="CE1637" s="4"/>
      <c r="CF1637" s="4">
        <v>72</v>
      </c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  <c r="HM1637" s="4"/>
      <c r="HN1637" s="4"/>
      <c r="HO1637" s="4"/>
      <c r="HP1637" s="4"/>
      <c r="HQ1637" s="4"/>
      <c r="HR1637" s="4"/>
    </row>
    <row r="1638">
      <c r="A1638" s="2" t="s">
        <v>7827</v>
      </c>
      <c r="B1638" s="2" t="s">
        <v>910</v>
      </c>
      <c r="C1638" s="2" t="s">
        <v>1130</v>
      </c>
      <c r="D1638" s="2" t="s">
        <v>912</v>
      </c>
      <c r="E1638" s="2" t="s">
        <v>1139</v>
      </c>
      <c r="F1638" s="2" t="s">
        <v>7816</v>
      </c>
      <c r="G1638" s="2" t="s">
        <v>3067</v>
      </c>
      <c r="H1638" s="2" t="s">
        <v>7828</v>
      </c>
      <c r="I1638" s="2" t="s">
        <v>7829</v>
      </c>
      <c r="J1638" s="2" t="s">
        <v>1142</v>
      </c>
      <c r="K1638" s="2" t="s">
        <v>255</v>
      </c>
      <c r="L1638" s="3">
        <v>65</v>
      </c>
      <c r="M1638" s="3">
        <v>68.25</v>
      </c>
      <c r="N1638" s="3">
        <v>129.99</v>
      </c>
      <c r="O1638" s="2" t="s">
        <v>252</v>
      </c>
      <c r="P1638" s="2" t="s">
        <v>311</v>
      </c>
      <c r="Q1638" s="2" t="s">
        <v>239</v>
      </c>
      <c r="R1638" s="2" t="s">
        <v>233</v>
      </c>
      <c r="S1638" s="2" t="s">
        <v>7830</v>
      </c>
      <c r="T1638" s="2" t="s">
        <v>341</v>
      </c>
      <c r="U1638" s="2" t="s">
        <v>475</v>
      </c>
      <c r="V1638" s="2" t="s">
        <v>241</v>
      </c>
      <c r="W1638" s="2" t="s">
        <v>397</v>
      </c>
      <c r="X1638" s="2" t="s">
        <v>7831</v>
      </c>
      <c r="Y1638" s="2" t="s">
        <v>2830</v>
      </c>
      <c r="Z1638" s="4"/>
      <c r="AA1638" s="4">
        <f>=ROUNDDOWN({0},0)</f>
      </c>
      <c r="AB1638" s="5"/>
      <c r="AC1638" s="2" t="s">
        <v>233</v>
      </c>
      <c r="AD1638" s="4"/>
      <c r="AE1638" s="4"/>
      <c r="AF1638" s="6"/>
      <c r="AG1638" s="6"/>
      <c r="AH1638" s="7">
        <v>0</v>
      </c>
      <c r="AI1638" s="4"/>
      <c r="AJ1638" s="4">
        <f>=ROUNDDOWN({0},0)</f>
      </c>
      <c r="AK1638" s="5"/>
      <c r="AL1638" s="2" t="s">
        <v>233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 t="s">
        <v>233</v>
      </c>
      <c r="BD1638" s="8" t="s">
        <v>233</v>
      </c>
      <c r="BE1638" s="4" t="s">
        <v>233</v>
      </c>
      <c r="BF1638" s="8" t="s">
        <v>233</v>
      </c>
      <c r="BG1638" s="7" t="s">
        <v>233</v>
      </c>
      <c r="BH1638" s="7" t="s">
        <v>233</v>
      </c>
      <c r="BI1638" s="7"/>
      <c r="BJ1638" s="4"/>
      <c r="BK1638" s="8"/>
      <c r="BL1638" s="2" t="s">
        <v>233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7832</v>
      </c>
      <c r="BV1638" s="2" t="s">
        <v>233</v>
      </c>
      <c r="BW1638" s="2" t="s">
        <v>233</v>
      </c>
      <c r="BX1638" s="2" t="s">
        <v>233</v>
      </c>
      <c r="BY1638" s="2" t="s">
        <v>280</v>
      </c>
      <c r="BZ1638" s="2" t="s">
        <v>245</v>
      </c>
      <c r="CA1638" s="2" t="s">
        <v>2830</v>
      </c>
      <c r="CB1638" s="2" t="s">
        <v>7833</v>
      </c>
      <c r="CC1638" s="2" t="s">
        <v>246</v>
      </c>
      <c r="CD1638" s="2" t="s">
        <v>233</v>
      </c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  <c r="HM1638" s="4"/>
      <c r="HN1638" s="4"/>
      <c r="HO1638" s="4"/>
      <c r="HP1638" s="4"/>
      <c r="HQ1638" s="4"/>
      <c r="HR1638" s="4"/>
    </row>
    <row r="1639">
      <c r="A1639" s="2" t="s">
        <v>7834</v>
      </c>
      <c r="B1639" s="2" t="s">
        <v>910</v>
      </c>
      <c r="C1639" s="2" t="s">
        <v>1130</v>
      </c>
      <c r="D1639" s="2" t="s">
        <v>1862</v>
      </c>
      <c r="E1639" s="2" t="s">
        <v>1863</v>
      </c>
      <c r="F1639" s="2" t="s">
        <v>7816</v>
      </c>
      <c r="G1639" s="2" t="s">
        <v>3067</v>
      </c>
      <c r="H1639" s="2" t="s">
        <v>7828</v>
      </c>
      <c r="I1639" s="2" t="s">
        <v>7835</v>
      </c>
      <c r="J1639" s="2" t="s">
        <v>981</v>
      </c>
      <c r="K1639" s="2" t="s">
        <v>569</v>
      </c>
      <c r="L1639" s="3">
        <v>71.39</v>
      </c>
      <c r="M1639" s="3">
        <v>74.96</v>
      </c>
      <c r="N1639" s="3">
        <v>139.99</v>
      </c>
      <c r="O1639" s="2" t="s">
        <v>245</v>
      </c>
      <c r="P1639" s="2" t="s">
        <v>272</v>
      </c>
      <c r="Q1639" s="2" t="s">
        <v>239</v>
      </c>
      <c r="R1639" s="2" t="s">
        <v>233</v>
      </c>
      <c r="S1639" s="2" t="s">
        <v>7836</v>
      </c>
      <c r="T1639" s="2" t="s">
        <v>341</v>
      </c>
      <c r="U1639" s="2" t="s">
        <v>475</v>
      </c>
      <c r="V1639" s="2" t="s">
        <v>241</v>
      </c>
      <c r="W1639" s="2" t="s">
        <v>397</v>
      </c>
      <c r="X1639" s="2" t="s">
        <v>7831</v>
      </c>
      <c r="Y1639" s="2" t="s">
        <v>7837</v>
      </c>
      <c r="Z1639" s="4">
        <v>133</v>
      </c>
      <c r="AA1639" s="4">
        <f>=ROUNDDOWN(66.5,0)</f>
      </c>
      <c r="AB1639" s="5">
        <v>2</v>
      </c>
      <c r="AC1639" s="2" t="s">
        <v>233</v>
      </c>
      <c r="AD1639" s="4"/>
      <c r="AE1639" s="4"/>
      <c r="AF1639" s="6">
        <v>69</v>
      </c>
      <c r="AG1639" s="6"/>
      <c r="AH1639" s="7">
        <v>1</v>
      </c>
      <c r="AI1639" s="4"/>
      <c r="AJ1639" s="4">
        <f>=ROUNDDOWN({0},0)</f>
      </c>
      <c r="AK1639" s="5"/>
      <c r="AL1639" s="2" t="s">
        <v>233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 t="s">
        <v>233</v>
      </c>
      <c r="BD1639" s="8" t="s">
        <v>233</v>
      </c>
      <c r="BE1639" s="4" t="s">
        <v>233</v>
      </c>
      <c r="BF1639" s="8" t="s">
        <v>233</v>
      </c>
      <c r="BG1639" s="7" t="s">
        <v>233</v>
      </c>
      <c r="BH1639" s="7" t="s">
        <v>233</v>
      </c>
      <c r="BI1639" s="7"/>
      <c r="BJ1639" s="4">
        <v>1</v>
      </c>
      <c r="BK1639" s="8">
        <v>80.7</v>
      </c>
      <c r="BL1639" s="2" t="s">
        <v>2045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7838</v>
      </c>
      <c r="BV1639" s="2" t="s">
        <v>233</v>
      </c>
      <c r="BW1639" s="2" t="s">
        <v>233</v>
      </c>
      <c r="BX1639" s="2" t="s">
        <v>233</v>
      </c>
      <c r="BY1639" s="2" t="s">
        <v>280</v>
      </c>
      <c r="BZ1639" s="2" t="s">
        <v>245</v>
      </c>
      <c r="CA1639" s="2" t="s">
        <v>7837</v>
      </c>
      <c r="CB1639" s="2" t="s">
        <v>7839</v>
      </c>
      <c r="CC1639" s="2" t="s">
        <v>246</v>
      </c>
      <c r="CD1639" s="2" t="s">
        <v>233</v>
      </c>
      <c r="CE1639" s="4">
        <v>133</v>
      </c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/>
      <c r="HJ1639" s="4"/>
      <c r="HK1639" s="4"/>
      <c r="HL1639" s="4"/>
      <c r="HM1639" s="4"/>
      <c r="HN1639" s="4"/>
      <c r="HO1639" s="4"/>
      <c r="HP1639" s="4"/>
      <c r="HQ1639" s="4"/>
      <c r="HR1639" s="4"/>
    </row>
    <row r="1640">
      <c r="A1640" s="2" t="s">
        <v>7840</v>
      </c>
      <c r="B1640" s="2" t="s">
        <v>1242</v>
      </c>
      <c r="C1640" s="2" t="s">
        <v>334</v>
      </c>
      <c r="D1640" s="2" t="s">
        <v>969</v>
      </c>
      <c r="E1640" s="2" t="s">
        <v>3334</v>
      </c>
      <c r="F1640" s="2" t="s">
        <v>7841</v>
      </c>
      <c r="G1640" s="2" t="s">
        <v>7842</v>
      </c>
      <c r="H1640" s="2" t="s">
        <v>7843</v>
      </c>
      <c r="I1640" s="2" t="s">
        <v>3338</v>
      </c>
      <c r="J1640" s="2" t="s">
        <v>284</v>
      </c>
      <c r="K1640" s="2" t="s">
        <v>257</v>
      </c>
      <c r="L1640" s="3">
        <v>54.59</v>
      </c>
      <c r="M1640" s="3">
        <v>57.32</v>
      </c>
      <c r="N1640" s="3">
        <v>104.99</v>
      </c>
      <c r="O1640" s="2" t="s">
        <v>245</v>
      </c>
      <c r="P1640" s="2" t="s">
        <v>311</v>
      </c>
      <c r="Q1640" s="2" t="s">
        <v>239</v>
      </c>
      <c r="R1640" s="2" t="s">
        <v>233</v>
      </c>
      <c r="S1640" s="2" t="s">
        <v>7844</v>
      </c>
      <c r="T1640" s="2" t="s">
        <v>233</v>
      </c>
      <c r="U1640" s="2" t="s">
        <v>1507</v>
      </c>
      <c r="V1640" s="2" t="s">
        <v>1085</v>
      </c>
      <c r="W1640" s="2" t="s">
        <v>451</v>
      </c>
      <c r="X1640" s="2" t="s">
        <v>1509</v>
      </c>
      <c r="Y1640" s="2" t="s">
        <v>7845</v>
      </c>
      <c r="Z1640" s="4">
        <v>36</v>
      </c>
      <c r="AA1640" s="4">
        <f>=ROUNDDOWN(18,0)</f>
      </c>
      <c r="AB1640" s="5">
        <v>2</v>
      </c>
      <c r="AC1640" s="2" t="s">
        <v>233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233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233</v>
      </c>
      <c r="AW1640" s="8" t="s">
        <v>233</v>
      </c>
      <c r="AX1640" s="4" t="s">
        <v>233</v>
      </c>
      <c r="AY1640" s="8" t="s">
        <v>233</v>
      </c>
      <c r="AZ1640" s="7" t="s">
        <v>233</v>
      </c>
      <c r="BA1640" s="7" t="s">
        <v>233</v>
      </c>
      <c r="BB1640" s="7"/>
      <c r="BC1640" s="4" t="s">
        <v>233</v>
      </c>
      <c r="BD1640" s="8" t="s">
        <v>233</v>
      </c>
      <c r="BE1640" s="4" t="s">
        <v>233</v>
      </c>
      <c r="BF1640" s="8" t="s">
        <v>233</v>
      </c>
      <c r="BG1640" s="7" t="s">
        <v>233</v>
      </c>
      <c r="BH1640" s="7" t="s">
        <v>233</v>
      </c>
      <c r="BI1640" s="7"/>
      <c r="BJ1640" s="4">
        <v>5</v>
      </c>
      <c r="BK1640" s="8">
        <v>176.72</v>
      </c>
      <c r="BL1640" s="2" t="s">
        <v>5814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7846</v>
      </c>
      <c r="BV1640" s="2" t="s">
        <v>233</v>
      </c>
      <c r="BW1640" s="2" t="s">
        <v>233</v>
      </c>
      <c r="BX1640" s="2" t="s">
        <v>233</v>
      </c>
      <c r="BY1640" s="2" t="s">
        <v>280</v>
      </c>
      <c r="BZ1640" s="2" t="s">
        <v>245</v>
      </c>
      <c r="CA1640" s="2" t="s">
        <v>7847</v>
      </c>
      <c r="CB1640" s="2" t="s">
        <v>4496</v>
      </c>
      <c r="CC1640" s="2" t="s">
        <v>246</v>
      </c>
      <c r="CD1640" s="2" t="s">
        <v>233</v>
      </c>
      <c r="CE1640" s="4">
        <v>36</v>
      </c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  <c r="HM1640" s="4"/>
      <c r="HN1640" s="4"/>
      <c r="HO1640" s="4"/>
      <c r="HP1640" s="4"/>
      <c r="HQ1640" s="4"/>
      <c r="HR1640" s="4"/>
    </row>
    <row r="1641">
      <c r="A1641" s="2" t="s">
        <v>7848</v>
      </c>
      <c r="B1641" s="2" t="s">
        <v>1242</v>
      </c>
      <c r="C1641" s="2" t="s">
        <v>334</v>
      </c>
      <c r="D1641" s="2" t="s">
        <v>1862</v>
      </c>
      <c r="E1641" s="2" t="s">
        <v>7849</v>
      </c>
      <c r="F1641" s="2" t="s">
        <v>7841</v>
      </c>
      <c r="G1641" s="2" t="s">
        <v>7842</v>
      </c>
      <c r="H1641" s="2" t="s">
        <v>7843</v>
      </c>
      <c r="I1641" s="2" t="s">
        <v>7850</v>
      </c>
      <c r="J1641" s="2" t="s">
        <v>981</v>
      </c>
      <c r="K1641" s="2" t="s">
        <v>257</v>
      </c>
      <c r="L1641" s="3">
        <v>38.4</v>
      </c>
      <c r="M1641" s="3">
        <v>40.31</v>
      </c>
      <c r="N1641" s="3">
        <v>79.99</v>
      </c>
      <c r="O1641" s="2" t="s">
        <v>245</v>
      </c>
      <c r="P1641" s="2" t="s">
        <v>311</v>
      </c>
      <c r="Q1641" s="2" t="s">
        <v>239</v>
      </c>
      <c r="R1641" s="2" t="s">
        <v>233</v>
      </c>
      <c r="S1641" s="2" t="s">
        <v>7851</v>
      </c>
      <c r="T1641" s="2" t="s">
        <v>233</v>
      </c>
      <c r="U1641" s="2" t="s">
        <v>342</v>
      </c>
      <c r="V1641" s="2" t="s">
        <v>1085</v>
      </c>
      <c r="W1641" s="2" t="s">
        <v>451</v>
      </c>
      <c r="X1641" s="2" t="s">
        <v>1509</v>
      </c>
      <c r="Y1641" s="2" t="s">
        <v>276</v>
      </c>
      <c r="Z1641" s="4">
        <v>139</v>
      </c>
      <c r="AA1641" s="4">
        <f>=ROUNDDOWN(34.75,0)</f>
      </c>
      <c r="AB1641" s="5">
        <v>4</v>
      </c>
      <c r="AC1641" s="2" t="s">
        <v>233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233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233</v>
      </c>
      <c r="AW1641" s="8" t="s">
        <v>233</v>
      </c>
      <c r="AX1641" s="4" t="s">
        <v>233</v>
      </c>
      <c r="AY1641" s="8" t="s">
        <v>233</v>
      </c>
      <c r="AZ1641" s="7" t="s">
        <v>233</v>
      </c>
      <c r="BA1641" s="7" t="s">
        <v>233</v>
      </c>
      <c r="BB1641" s="7"/>
      <c r="BC1641" s="4" t="s">
        <v>233</v>
      </c>
      <c r="BD1641" s="8" t="s">
        <v>233</v>
      </c>
      <c r="BE1641" s="4" t="s">
        <v>233</v>
      </c>
      <c r="BF1641" s="8" t="s">
        <v>233</v>
      </c>
      <c r="BG1641" s="7" t="s">
        <v>233</v>
      </c>
      <c r="BH1641" s="7" t="s">
        <v>233</v>
      </c>
      <c r="BI1641" s="7"/>
      <c r="BJ1641" s="4">
        <v>7</v>
      </c>
      <c r="BK1641" s="8">
        <v>271.88</v>
      </c>
      <c r="BL1641" s="2" t="s">
        <v>7852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7853</v>
      </c>
      <c r="BV1641" s="2" t="s">
        <v>233</v>
      </c>
      <c r="BW1641" s="2" t="s">
        <v>233</v>
      </c>
      <c r="BX1641" s="2" t="s">
        <v>233</v>
      </c>
      <c r="BY1641" s="2" t="s">
        <v>280</v>
      </c>
      <c r="BZ1641" s="2" t="s">
        <v>245</v>
      </c>
      <c r="CA1641" s="2" t="s">
        <v>281</v>
      </c>
      <c r="CB1641" s="2" t="s">
        <v>3492</v>
      </c>
      <c r="CC1641" s="2" t="s">
        <v>246</v>
      </c>
      <c r="CD1641" s="2" t="s">
        <v>233</v>
      </c>
      <c r="CE1641" s="4">
        <v>139</v>
      </c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  <c r="HM1641" s="4"/>
      <c r="HN1641" s="4"/>
      <c r="HO1641" s="4"/>
      <c r="HP1641" s="4"/>
      <c r="HQ1641" s="4"/>
      <c r="HR1641" s="4"/>
    </row>
    <row r="1642">
      <c r="A1642" s="2" t="s">
        <v>7854</v>
      </c>
      <c r="B1642" s="2" t="s">
        <v>333</v>
      </c>
      <c r="C1642" s="2" t="s">
        <v>911</v>
      </c>
      <c r="D1642" s="2" t="s">
        <v>335</v>
      </c>
      <c r="E1642" s="2" t="s">
        <v>336</v>
      </c>
      <c r="F1642" s="2" t="s">
        <v>7855</v>
      </c>
      <c r="G1642" s="2" t="s">
        <v>7855</v>
      </c>
      <c r="H1642" s="2" t="s">
        <v>7855</v>
      </c>
      <c r="I1642" s="2" t="s">
        <v>4150</v>
      </c>
      <c r="J1642" s="2" t="s">
        <v>284</v>
      </c>
      <c r="K1642" s="2" t="s">
        <v>7856</v>
      </c>
      <c r="L1642" s="3">
        <v>15.4</v>
      </c>
      <c r="M1642" s="3">
        <v>16.17</v>
      </c>
      <c r="N1642" s="3">
        <v>34.99</v>
      </c>
      <c r="O1642" s="2" t="s">
        <v>245</v>
      </c>
      <c r="P1642" s="2" t="s">
        <v>272</v>
      </c>
      <c r="Q1642" s="2" t="s">
        <v>239</v>
      </c>
      <c r="R1642" s="2" t="s">
        <v>233</v>
      </c>
      <c r="S1642" s="2" t="s">
        <v>7857</v>
      </c>
      <c r="T1642" s="2" t="s">
        <v>395</v>
      </c>
      <c r="U1642" s="2" t="s">
        <v>475</v>
      </c>
      <c r="V1642" s="2" t="s">
        <v>3836</v>
      </c>
      <c r="W1642" s="2" t="s">
        <v>705</v>
      </c>
      <c r="X1642" s="2" t="s">
        <v>233</v>
      </c>
      <c r="Y1642" s="2" t="s">
        <v>2910</v>
      </c>
      <c r="Z1642" s="4">
        <v>257</v>
      </c>
      <c r="AA1642" s="4">
        <f>=ROUNDDOWN(85.6666666666667,0)</f>
      </c>
      <c r="AB1642" s="5">
        <v>3</v>
      </c>
      <c r="AC1642" s="2" t="s">
        <v>233</v>
      </c>
      <c r="AD1642" s="4"/>
      <c r="AE1642" s="4"/>
      <c r="AF1642" s="6">
        <v>66</v>
      </c>
      <c r="AG1642" s="6"/>
      <c r="AH1642" s="7">
        <v>1</v>
      </c>
      <c r="AI1642" s="4"/>
      <c r="AJ1642" s="4">
        <f>=ROUNDDOWN({0},0)</f>
      </c>
      <c r="AK1642" s="5"/>
      <c r="AL1642" s="2" t="s">
        <v>233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 t="s">
        <v>233</v>
      </c>
      <c r="BD1642" s="8" t="s">
        <v>233</v>
      </c>
      <c r="BE1642" s="4" t="s">
        <v>233</v>
      </c>
      <c r="BF1642" s="8" t="s">
        <v>233</v>
      </c>
      <c r="BG1642" s="7" t="s">
        <v>233</v>
      </c>
      <c r="BH1642" s="7" t="s">
        <v>233</v>
      </c>
      <c r="BI1642" s="7"/>
      <c r="BJ1642" s="4">
        <v>6</v>
      </c>
      <c r="BK1642" s="8">
        <v>102.44</v>
      </c>
      <c r="BL1642" s="2" t="s">
        <v>7858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7859</v>
      </c>
      <c r="BV1642" s="2" t="s">
        <v>233</v>
      </c>
      <c r="BW1642" s="2" t="s">
        <v>233</v>
      </c>
      <c r="BX1642" s="2" t="s">
        <v>233</v>
      </c>
      <c r="BY1642" s="2" t="s">
        <v>280</v>
      </c>
      <c r="BZ1642" s="2" t="s">
        <v>245</v>
      </c>
      <c r="CA1642" s="2" t="s">
        <v>7860</v>
      </c>
      <c r="CB1642" s="2" t="s">
        <v>7861</v>
      </c>
      <c r="CC1642" s="2" t="s">
        <v>246</v>
      </c>
      <c r="CD1642" s="2" t="s">
        <v>233</v>
      </c>
      <c r="CE1642" s="4">
        <v>257</v>
      </c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  <c r="HM1642" s="4"/>
      <c r="HN1642" s="4"/>
      <c r="HO1642" s="4"/>
      <c r="HP1642" s="4"/>
      <c r="HQ1642" s="4"/>
      <c r="HR1642" s="4"/>
    </row>
    <row r="1643">
      <c r="A1643" s="2" t="s">
        <v>7862</v>
      </c>
      <c r="B1643" s="2" t="s">
        <v>333</v>
      </c>
      <c r="C1643" s="2" t="s">
        <v>911</v>
      </c>
      <c r="D1643" s="2" t="s">
        <v>335</v>
      </c>
      <c r="E1643" s="2" t="s">
        <v>336</v>
      </c>
      <c r="F1643" s="2" t="s">
        <v>7855</v>
      </c>
      <c r="G1643" s="2" t="s">
        <v>7855</v>
      </c>
      <c r="H1643" s="2" t="s">
        <v>7855</v>
      </c>
      <c r="I1643" s="2" t="s">
        <v>4150</v>
      </c>
      <c r="J1643" s="2" t="s">
        <v>284</v>
      </c>
      <c r="K1643" s="2" t="s">
        <v>7863</v>
      </c>
      <c r="L1643" s="3">
        <v>15.4</v>
      </c>
      <c r="M1643" s="3">
        <v>16.17</v>
      </c>
      <c r="N1643" s="3">
        <v>34.99</v>
      </c>
      <c r="O1643" s="2" t="s">
        <v>245</v>
      </c>
      <c r="P1643" s="2" t="s">
        <v>272</v>
      </c>
      <c r="Q1643" s="2" t="s">
        <v>239</v>
      </c>
      <c r="R1643" s="2" t="s">
        <v>233</v>
      </c>
      <c r="S1643" s="2" t="s">
        <v>7864</v>
      </c>
      <c r="T1643" s="2" t="s">
        <v>395</v>
      </c>
      <c r="U1643" s="2" t="s">
        <v>475</v>
      </c>
      <c r="V1643" s="2" t="s">
        <v>3836</v>
      </c>
      <c r="W1643" s="2" t="s">
        <v>397</v>
      </c>
      <c r="X1643" s="2" t="s">
        <v>233</v>
      </c>
      <c r="Y1643" s="2" t="s">
        <v>7865</v>
      </c>
      <c r="Z1643" s="4">
        <v>127</v>
      </c>
      <c r="AA1643" s="4">
        <f>=ROUNDDOWN(21.1666666666667,0)</f>
      </c>
      <c r="AB1643" s="5">
        <v>6</v>
      </c>
      <c r="AC1643" s="2" t="s">
        <v>319</v>
      </c>
      <c r="AD1643" s="4">
        <v>100</v>
      </c>
      <c r="AE1643" s="4">
        <v>260</v>
      </c>
      <c r="AF1643" s="6">
        <v>66</v>
      </c>
      <c r="AG1643" s="6"/>
      <c r="AH1643" s="7">
        <v>1</v>
      </c>
      <c r="AI1643" s="4"/>
      <c r="AJ1643" s="4">
        <f>=ROUNDDOWN({0},0)</f>
      </c>
      <c r="AK1643" s="5"/>
      <c r="AL1643" s="2" t="s">
        <v>233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233</v>
      </c>
      <c r="BD1643" s="8" t="s">
        <v>233</v>
      </c>
      <c r="BE1643" s="4" t="s">
        <v>233</v>
      </c>
      <c r="BF1643" s="8" t="s">
        <v>233</v>
      </c>
      <c r="BG1643" s="7" t="s">
        <v>233</v>
      </c>
      <c r="BH1643" s="7" t="s">
        <v>233</v>
      </c>
      <c r="BI1643" s="7"/>
      <c r="BJ1643" s="4">
        <v>11</v>
      </c>
      <c r="BK1643" s="8">
        <v>197.36</v>
      </c>
      <c r="BL1643" s="2" t="s">
        <v>2604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7866</v>
      </c>
      <c r="BV1643" s="2" t="s">
        <v>233</v>
      </c>
      <c r="BW1643" s="2" t="s">
        <v>233</v>
      </c>
      <c r="BX1643" s="2" t="s">
        <v>233</v>
      </c>
      <c r="BY1643" s="2" t="s">
        <v>280</v>
      </c>
      <c r="BZ1643" s="2" t="s">
        <v>245</v>
      </c>
      <c r="CA1643" s="2" t="s">
        <v>7867</v>
      </c>
      <c r="CB1643" s="2" t="s">
        <v>7868</v>
      </c>
      <c r="CC1643" s="2" t="s">
        <v>246</v>
      </c>
      <c r="CD1643" s="2" t="s">
        <v>233</v>
      </c>
      <c r="CE1643" s="4">
        <v>67</v>
      </c>
      <c r="CF1643" s="4"/>
      <c r="CG1643" s="4"/>
      <c r="CH1643" s="4"/>
      <c r="CI1643" s="4"/>
      <c r="CJ1643" s="4"/>
      <c r="CK1643" s="4"/>
      <c r="CL1643" s="4">
        <v>60</v>
      </c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>
        <v>100</v>
      </c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>
        <v>60</v>
      </c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>
        <v>100</v>
      </c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  <c r="HM1643" s="4"/>
      <c r="HN1643" s="4"/>
      <c r="HO1643" s="4"/>
      <c r="HP1643" s="4"/>
      <c r="HQ1643" s="4"/>
      <c r="HR1643" s="4"/>
    </row>
    <row r="1644">
      <c r="A1644" s="2" t="s">
        <v>7869</v>
      </c>
      <c r="B1644" s="2" t="s">
        <v>1066</v>
      </c>
      <c r="C1644" s="2" t="s">
        <v>901</v>
      </c>
      <c r="D1644" s="2" t="s">
        <v>5853</v>
      </c>
      <c r="E1644" s="2" t="s">
        <v>2650</v>
      </c>
      <c r="F1644" s="2" t="s">
        <v>7870</v>
      </c>
      <c r="G1644" s="2" t="s">
        <v>7870</v>
      </c>
      <c r="H1644" s="2" t="s">
        <v>7870</v>
      </c>
      <c r="I1644" s="2" t="s">
        <v>7871</v>
      </c>
      <c r="J1644" s="2" t="s">
        <v>7872</v>
      </c>
      <c r="K1644" s="2" t="s">
        <v>984</v>
      </c>
      <c r="L1644" s="3">
        <v>710</v>
      </c>
      <c r="M1644" s="3">
        <v>745.5</v>
      </c>
      <c r="N1644" s="3">
        <v>1497</v>
      </c>
      <c r="O1644" s="2" t="s">
        <v>245</v>
      </c>
      <c r="P1644" s="2" t="s">
        <v>311</v>
      </c>
      <c r="Q1644" s="2" t="s">
        <v>239</v>
      </c>
      <c r="R1644" s="2" t="s">
        <v>233</v>
      </c>
      <c r="S1644" s="2" t="s">
        <v>233</v>
      </c>
      <c r="T1644" s="2" t="s">
        <v>233</v>
      </c>
      <c r="U1644" s="2" t="s">
        <v>475</v>
      </c>
      <c r="V1644" s="2" t="s">
        <v>893</v>
      </c>
      <c r="W1644" s="2" t="s">
        <v>397</v>
      </c>
      <c r="X1644" s="2" t="s">
        <v>233</v>
      </c>
      <c r="Y1644" s="2" t="s">
        <v>6881</v>
      </c>
      <c r="Z1644" s="4"/>
      <c r="AA1644" s="4">
        <f>=ROUNDDOWN({0},0)</f>
      </c>
      <c r="AB1644" s="5">
        <v>0.2</v>
      </c>
      <c r="AC1644" s="2" t="s">
        <v>233</v>
      </c>
      <c r="AD1644" s="4"/>
      <c r="AE1644" s="4"/>
      <c r="AF1644" s="6"/>
      <c r="AG1644" s="6"/>
      <c r="AH1644" s="7">
        <v>0</v>
      </c>
      <c r="AI1644" s="4"/>
      <c r="AJ1644" s="4">
        <f>=ROUNDDOWN({0},0)</f>
      </c>
      <c r="AK1644" s="5"/>
      <c r="AL1644" s="2" t="s">
        <v>233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233</v>
      </c>
      <c r="AW1644" s="8" t="s">
        <v>233</v>
      </c>
      <c r="AX1644" s="4" t="s">
        <v>233</v>
      </c>
      <c r="AY1644" s="8" t="s">
        <v>233</v>
      </c>
      <c r="AZ1644" s="7" t="s">
        <v>233</v>
      </c>
      <c r="BA1644" s="7" t="s">
        <v>233</v>
      </c>
      <c r="BB1644" s="7"/>
      <c r="BC1644" s="4" t="s">
        <v>233</v>
      </c>
      <c r="BD1644" s="8" t="s">
        <v>233</v>
      </c>
      <c r="BE1644" s="4" t="s">
        <v>233</v>
      </c>
      <c r="BF1644" s="8" t="s">
        <v>233</v>
      </c>
      <c r="BG1644" s="7" t="s">
        <v>233</v>
      </c>
      <c r="BH1644" s="7" t="s">
        <v>233</v>
      </c>
      <c r="BI1644" s="7"/>
      <c r="BJ1644" s="4"/>
      <c r="BK1644" s="8"/>
      <c r="BL1644" s="2" t="s">
        <v>744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7873</v>
      </c>
      <c r="BV1644" s="2" t="s">
        <v>233</v>
      </c>
      <c r="BW1644" s="2" t="s">
        <v>233</v>
      </c>
      <c r="BX1644" s="2" t="s">
        <v>233</v>
      </c>
      <c r="BY1644" s="2" t="s">
        <v>280</v>
      </c>
      <c r="BZ1644" s="2" t="s">
        <v>245</v>
      </c>
      <c r="CA1644" s="2" t="s">
        <v>2012</v>
      </c>
      <c r="CB1644" s="2" t="s">
        <v>233</v>
      </c>
      <c r="CC1644" s="2" t="s">
        <v>246</v>
      </c>
      <c r="CD1644" s="2" t="s">
        <v>233</v>
      </c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  <c r="HM1644" s="4"/>
      <c r="HN1644" s="4"/>
      <c r="HO1644" s="4"/>
      <c r="HP1644" s="4"/>
      <c r="HQ1644" s="4"/>
      <c r="HR1644" s="4"/>
    </row>
    <row r="1645">
      <c r="A1645" s="2" t="s">
        <v>7874</v>
      </c>
      <c r="B1645" s="2" t="s">
        <v>1066</v>
      </c>
      <c r="C1645" s="2" t="s">
        <v>901</v>
      </c>
      <c r="D1645" s="2" t="s">
        <v>5853</v>
      </c>
      <c r="E1645" s="2" t="s">
        <v>2650</v>
      </c>
      <c r="F1645" s="2" t="s">
        <v>7870</v>
      </c>
      <c r="G1645" s="2" t="s">
        <v>7870</v>
      </c>
      <c r="H1645" s="2" t="s">
        <v>7870</v>
      </c>
      <c r="I1645" s="2" t="s">
        <v>7875</v>
      </c>
      <c r="J1645" s="2" t="s">
        <v>7876</v>
      </c>
      <c r="K1645" s="2" t="s">
        <v>984</v>
      </c>
      <c r="L1645" s="3">
        <v>900</v>
      </c>
      <c r="M1645" s="3">
        <v>945</v>
      </c>
      <c r="N1645" s="3">
        <v>1896</v>
      </c>
      <c r="O1645" s="2" t="s">
        <v>245</v>
      </c>
      <c r="P1645" s="2" t="s">
        <v>1118</v>
      </c>
      <c r="Q1645" s="2" t="s">
        <v>239</v>
      </c>
      <c r="R1645" s="2" t="s">
        <v>233</v>
      </c>
      <c r="S1645" s="2" t="s">
        <v>233</v>
      </c>
      <c r="T1645" s="2" t="s">
        <v>233</v>
      </c>
      <c r="U1645" s="2" t="s">
        <v>342</v>
      </c>
      <c r="V1645" s="2" t="s">
        <v>893</v>
      </c>
      <c r="W1645" s="2" t="s">
        <v>397</v>
      </c>
      <c r="X1645" s="2" t="s">
        <v>233</v>
      </c>
      <c r="Y1645" s="2" t="s">
        <v>6881</v>
      </c>
      <c r="Z1645" s="4"/>
      <c r="AA1645" s="4">
        <f>=ROUNDDOWN({0},0)</f>
      </c>
      <c r="AB1645" s="5">
        <v>0.1</v>
      </c>
      <c r="AC1645" s="2" t="s">
        <v>233</v>
      </c>
      <c r="AD1645" s="4"/>
      <c r="AE1645" s="4"/>
      <c r="AF1645" s="6"/>
      <c r="AG1645" s="6"/>
      <c r="AH1645" s="7">
        <v>0</v>
      </c>
      <c r="AI1645" s="4"/>
      <c r="AJ1645" s="4">
        <f>=ROUNDDOWN({0},0)</f>
      </c>
      <c r="AK1645" s="5"/>
      <c r="AL1645" s="2" t="s">
        <v>233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233</v>
      </c>
      <c r="AW1645" s="8" t="s">
        <v>233</v>
      </c>
      <c r="AX1645" s="4" t="s">
        <v>233</v>
      </c>
      <c r="AY1645" s="8" t="s">
        <v>233</v>
      </c>
      <c r="AZ1645" s="7" t="s">
        <v>233</v>
      </c>
      <c r="BA1645" s="7" t="s">
        <v>233</v>
      </c>
      <c r="BB1645" s="7"/>
      <c r="BC1645" s="4" t="s">
        <v>233</v>
      </c>
      <c r="BD1645" s="8" t="s">
        <v>233</v>
      </c>
      <c r="BE1645" s="4" t="s">
        <v>233</v>
      </c>
      <c r="BF1645" s="8" t="s">
        <v>233</v>
      </c>
      <c r="BG1645" s="7" t="s">
        <v>233</v>
      </c>
      <c r="BH1645" s="7" t="s">
        <v>233</v>
      </c>
      <c r="BI1645" s="7"/>
      <c r="BJ1645" s="4"/>
      <c r="BK1645" s="8"/>
      <c r="BL1645" s="2" t="s">
        <v>233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7877</v>
      </c>
      <c r="BV1645" s="2" t="s">
        <v>233</v>
      </c>
      <c r="BW1645" s="2" t="s">
        <v>233</v>
      </c>
      <c r="BX1645" s="2" t="s">
        <v>233</v>
      </c>
      <c r="BY1645" s="2" t="s">
        <v>280</v>
      </c>
      <c r="BZ1645" s="2" t="s">
        <v>245</v>
      </c>
      <c r="CA1645" s="2" t="s">
        <v>2012</v>
      </c>
      <c r="CB1645" s="2" t="s">
        <v>233</v>
      </c>
      <c r="CC1645" s="2" t="s">
        <v>246</v>
      </c>
      <c r="CD1645" s="2" t="s">
        <v>233</v>
      </c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  <c r="HM1645" s="4"/>
      <c r="HN1645" s="4"/>
      <c r="HO1645" s="4"/>
      <c r="HP1645" s="4"/>
      <c r="HQ1645" s="4"/>
      <c r="HR1645" s="4"/>
    </row>
    <row r="1646">
      <c r="A1646" s="2" t="s">
        <v>7878</v>
      </c>
      <c r="B1646" s="2" t="s">
        <v>928</v>
      </c>
      <c r="C1646" s="2" t="s">
        <v>530</v>
      </c>
      <c r="D1646" s="2" t="s">
        <v>1101</v>
      </c>
      <c r="E1646" s="2" t="s">
        <v>1102</v>
      </c>
      <c r="F1646" s="2" t="s">
        <v>7879</v>
      </c>
      <c r="G1646" s="2" t="s">
        <v>7879</v>
      </c>
      <c r="H1646" s="2" t="s">
        <v>7879</v>
      </c>
      <c r="I1646" s="2" t="s">
        <v>7880</v>
      </c>
      <c r="J1646" s="2" t="s">
        <v>892</v>
      </c>
      <c r="K1646" s="2" t="s">
        <v>1105</v>
      </c>
      <c r="L1646" s="3">
        <v>71.42</v>
      </c>
      <c r="M1646" s="3">
        <v>75</v>
      </c>
      <c r="N1646" s="3">
        <v>149.99</v>
      </c>
      <c r="O1646" s="2" t="s">
        <v>245</v>
      </c>
      <c r="P1646" s="2" t="s">
        <v>238</v>
      </c>
      <c r="Q1646" s="2" t="s">
        <v>239</v>
      </c>
      <c r="R1646" s="2" t="s">
        <v>233</v>
      </c>
      <c r="S1646" s="2" t="s">
        <v>233</v>
      </c>
      <c r="T1646" s="2" t="s">
        <v>233</v>
      </c>
      <c r="U1646" s="2" t="s">
        <v>396</v>
      </c>
      <c r="V1646" s="2" t="s">
        <v>893</v>
      </c>
      <c r="W1646" s="2" t="s">
        <v>705</v>
      </c>
      <c r="X1646" s="2" t="s">
        <v>705</v>
      </c>
      <c r="Y1646" s="2" t="s">
        <v>795</v>
      </c>
      <c r="Z1646" s="4">
        <v>100</v>
      </c>
      <c r="AA1646" s="4">
        <f>=ROUNDDOWN({0},0)</f>
      </c>
      <c r="AB1646" s="5"/>
      <c r="AC1646" s="2" t="s">
        <v>233</v>
      </c>
      <c r="AD1646" s="4"/>
      <c r="AE1646" s="4"/>
      <c r="AF1646" s="6">
        <v>65</v>
      </c>
      <c r="AG1646" s="6"/>
      <c r="AH1646" s="7">
        <v>0</v>
      </c>
      <c r="AI1646" s="4"/>
      <c r="AJ1646" s="4">
        <f>=ROUNDDOWN({0},0)</f>
      </c>
      <c r="AK1646" s="5"/>
      <c r="AL1646" s="2" t="s">
        <v>233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/>
      <c r="BD1646" s="8"/>
      <c r="BE1646" s="4"/>
      <c r="BF1646" s="8"/>
      <c r="BG1646" s="7"/>
      <c r="BH1646" s="7"/>
      <c r="BI1646" s="7"/>
      <c r="BJ1646" s="4"/>
      <c r="BK1646" s="8"/>
      <c r="BL1646" s="2" t="s">
        <v>233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243</v>
      </c>
      <c r="BV1646" s="2" t="s">
        <v>233</v>
      </c>
      <c r="BW1646" s="2" t="s">
        <v>233</v>
      </c>
      <c r="BX1646" s="2" t="s">
        <v>243</v>
      </c>
      <c r="BY1646" s="2" t="s">
        <v>244</v>
      </c>
      <c r="BZ1646" s="2" t="s">
        <v>245</v>
      </c>
      <c r="CA1646" s="2" t="s">
        <v>233</v>
      </c>
      <c r="CB1646" s="2" t="s">
        <v>233</v>
      </c>
      <c r="CC1646" s="2" t="s">
        <v>246</v>
      </c>
      <c r="CD1646" s="2" t="s">
        <v>233</v>
      </c>
      <c r="CE1646" s="4"/>
      <c r="CF1646" s="4">
        <v>100</v>
      </c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  <c r="HM1646" s="4"/>
      <c r="HN1646" s="4"/>
      <c r="HO1646" s="4"/>
      <c r="HP1646" s="4"/>
      <c r="HQ1646" s="4"/>
      <c r="HR1646" s="4"/>
    </row>
    <row r="1647">
      <c r="A1647" s="2" t="s">
        <v>7881</v>
      </c>
      <c r="B1647" s="2" t="s">
        <v>1066</v>
      </c>
      <c r="C1647" s="2" t="s">
        <v>530</v>
      </c>
      <c r="D1647" s="2" t="s">
        <v>1067</v>
      </c>
      <c r="E1647" s="2" t="s">
        <v>1068</v>
      </c>
      <c r="F1647" s="2" t="s">
        <v>7882</v>
      </c>
      <c r="G1647" s="2" t="s">
        <v>7883</v>
      </c>
      <c r="H1647" s="2" t="s">
        <v>7884</v>
      </c>
      <c r="I1647" s="2" t="s">
        <v>2650</v>
      </c>
      <c r="J1647" s="2" t="s">
        <v>892</v>
      </c>
      <c r="K1647" s="2" t="s">
        <v>569</v>
      </c>
      <c r="L1647" s="3">
        <v>210.9</v>
      </c>
      <c r="M1647" s="3">
        <v>221.44</v>
      </c>
      <c r="N1647" s="3">
        <v>449</v>
      </c>
      <c r="O1647" s="2" t="s">
        <v>245</v>
      </c>
      <c r="P1647" s="2" t="s">
        <v>311</v>
      </c>
      <c r="Q1647" s="2" t="s">
        <v>239</v>
      </c>
      <c r="R1647" s="2" t="s">
        <v>233</v>
      </c>
      <c r="S1647" s="2" t="s">
        <v>233</v>
      </c>
      <c r="T1647" s="2" t="s">
        <v>233</v>
      </c>
      <c r="U1647" s="2" t="s">
        <v>396</v>
      </c>
      <c r="V1647" s="2" t="s">
        <v>241</v>
      </c>
      <c r="W1647" s="2" t="s">
        <v>397</v>
      </c>
      <c r="X1647" s="2" t="s">
        <v>451</v>
      </c>
      <c r="Y1647" s="2" t="s">
        <v>7885</v>
      </c>
      <c r="Z1647" s="4">
        <v>1</v>
      </c>
      <c r="AA1647" s="4">
        <f>=ROUNDDOWN(0.333333333333333,0)</f>
      </c>
      <c r="AB1647" s="5">
        <v>3</v>
      </c>
      <c r="AC1647" s="2" t="s">
        <v>233</v>
      </c>
      <c r="AD1647" s="4"/>
      <c r="AE1647" s="4"/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233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/>
      <c r="BD1647" s="8"/>
      <c r="BE1647" s="4"/>
      <c r="BF1647" s="8"/>
      <c r="BG1647" s="7"/>
      <c r="BH1647" s="7"/>
      <c r="BI1647" s="7"/>
      <c r="BJ1647" s="4">
        <v>11</v>
      </c>
      <c r="BK1647" s="8">
        <v>1598.31</v>
      </c>
      <c r="BL1647" s="2" t="s">
        <v>7886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7887</v>
      </c>
      <c r="BV1647" s="2" t="s">
        <v>233</v>
      </c>
      <c r="BW1647" s="2" t="s">
        <v>233</v>
      </c>
      <c r="BX1647" s="2" t="s">
        <v>233</v>
      </c>
      <c r="BY1647" s="2" t="s">
        <v>280</v>
      </c>
      <c r="BZ1647" s="2" t="s">
        <v>245</v>
      </c>
      <c r="CA1647" s="2" t="s">
        <v>7888</v>
      </c>
      <c r="CB1647" s="2" t="s">
        <v>7889</v>
      </c>
      <c r="CC1647" s="2" t="s">
        <v>246</v>
      </c>
      <c r="CD1647" s="2" t="s">
        <v>233</v>
      </c>
      <c r="CE1647" s="4"/>
      <c r="CF1647" s="4">
        <v>1</v>
      </c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  <c r="HM1647" s="4"/>
      <c r="HN1647" s="4"/>
      <c r="HO1647" s="4"/>
      <c r="HP1647" s="4"/>
      <c r="HQ1647" s="4"/>
      <c r="HR1647" s="4"/>
    </row>
    <row r="1648">
      <c r="A1648" s="2" t="s">
        <v>7890</v>
      </c>
      <c r="B1648" s="2" t="s">
        <v>1066</v>
      </c>
      <c r="C1648" s="2" t="s">
        <v>901</v>
      </c>
      <c r="D1648" s="2" t="s">
        <v>1919</v>
      </c>
      <c r="E1648" s="2" t="s">
        <v>1112</v>
      </c>
      <c r="F1648" s="2" t="s">
        <v>6788</v>
      </c>
      <c r="G1648" s="2" t="s">
        <v>6788</v>
      </c>
      <c r="H1648" s="2" t="s">
        <v>6788</v>
      </c>
      <c r="I1648" s="2" t="s">
        <v>7891</v>
      </c>
      <c r="J1648" s="2" t="s">
        <v>892</v>
      </c>
      <c r="K1648" s="2" t="s">
        <v>1537</v>
      </c>
      <c r="L1648" s="3">
        <v>165</v>
      </c>
      <c r="M1648" s="3">
        <v>173.25</v>
      </c>
      <c r="N1648" s="3">
        <v>349</v>
      </c>
      <c r="O1648" s="2" t="s">
        <v>245</v>
      </c>
      <c r="P1648" s="2" t="s">
        <v>1916</v>
      </c>
      <c r="Q1648" s="2" t="s">
        <v>239</v>
      </c>
      <c r="R1648" s="2" t="s">
        <v>233</v>
      </c>
      <c r="S1648" s="2" t="s">
        <v>233</v>
      </c>
      <c r="T1648" s="2" t="s">
        <v>233</v>
      </c>
      <c r="U1648" s="2" t="s">
        <v>396</v>
      </c>
      <c r="V1648" s="2" t="s">
        <v>893</v>
      </c>
      <c r="W1648" s="2" t="s">
        <v>894</v>
      </c>
      <c r="X1648" s="2" t="s">
        <v>397</v>
      </c>
      <c r="Y1648" s="2" t="s">
        <v>233</v>
      </c>
      <c r="Z1648" s="4"/>
      <c r="AA1648" s="4">
        <f>=ROUNDDOWN({0},0)</f>
      </c>
      <c r="AB1648" s="5"/>
      <c r="AC1648" s="2" t="s">
        <v>7892</v>
      </c>
      <c r="AD1648" s="4">
        <v>100</v>
      </c>
      <c r="AE1648" s="4">
        <v>100</v>
      </c>
      <c r="AF1648" s="6">
        <v>65</v>
      </c>
      <c r="AG1648" s="6"/>
      <c r="AH1648" s="7">
        <v>0</v>
      </c>
      <c r="AI1648" s="4"/>
      <c r="AJ1648" s="4">
        <f>=ROUNDDOWN({0},0)</f>
      </c>
      <c r="AK1648" s="5"/>
      <c r="AL1648" s="2" t="s">
        <v>233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/>
      <c r="BD1648" s="8"/>
      <c r="BE1648" s="4"/>
      <c r="BF1648" s="8"/>
      <c r="BG1648" s="7"/>
      <c r="BH1648" s="7"/>
      <c r="BI1648" s="7"/>
      <c r="BJ1648" s="4"/>
      <c r="BK1648" s="8"/>
      <c r="BL1648" s="2" t="s">
        <v>233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243</v>
      </c>
      <c r="BV1648" s="2" t="s">
        <v>233</v>
      </c>
      <c r="BW1648" s="2" t="s">
        <v>233</v>
      </c>
      <c r="BX1648" s="2" t="s">
        <v>243</v>
      </c>
      <c r="BY1648" s="2" t="s">
        <v>244</v>
      </c>
      <c r="BZ1648" s="2" t="s">
        <v>245</v>
      </c>
      <c r="CA1648" s="2" t="s">
        <v>233</v>
      </c>
      <c r="CB1648" s="2" t="s">
        <v>233</v>
      </c>
      <c r="CC1648" s="2" t="s">
        <v>246</v>
      </c>
      <c r="CD1648" s="2" t="s">
        <v>233</v>
      </c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>
        <v>100</v>
      </c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  <c r="HM1648" s="4"/>
      <c r="HN1648" s="4"/>
      <c r="HO1648" s="4"/>
      <c r="HP1648" s="4"/>
      <c r="HQ1648" s="4"/>
      <c r="HR1648" s="4"/>
    </row>
    <row r="1649">
      <c r="A1649" s="2" t="s">
        <v>7893</v>
      </c>
      <c r="B1649" s="2" t="s">
        <v>228</v>
      </c>
      <c r="C1649" s="2" t="s">
        <v>1050</v>
      </c>
      <c r="D1649" s="2" t="s">
        <v>230</v>
      </c>
      <c r="E1649" s="2" t="s">
        <v>231</v>
      </c>
      <c r="F1649" s="2" t="s">
        <v>7894</v>
      </c>
      <c r="G1649" s="2" t="s">
        <v>7894</v>
      </c>
      <c r="H1649" s="2" t="s">
        <v>7894</v>
      </c>
      <c r="I1649" s="2" t="s">
        <v>231</v>
      </c>
      <c r="J1649" s="2" t="s">
        <v>270</v>
      </c>
      <c r="K1649" s="2" t="s">
        <v>2358</v>
      </c>
      <c r="L1649" s="3">
        <v>10.75</v>
      </c>
      <c r="M1649" s="3">
        <v>11.29</v>
      </c>
      <c r="N1649" s="3">
        <v>24.99</v>
      </c>
      <c r="O1649" s="2" t="s">
        <v>245</v>
      </c>
      <c r="P1649" s="2" t="s">
        <v>996</v>
      </c>
      <c r="Q1649" s="2" t="s">
        <v>239</v>
      </c>
      <c r="R1649" s="2" t="s">
        <v>233</v>
      </c>
      <c r="S1649" s="2" t="s">
        <v>7895</v>
      </c>
      <c r="T1649" s="2" t="s">
        <v>647</v>
      </c>
      <c r="U1649" s="2" t="s">
        <v>233</v>
      </c>
      <c r="V1649" s="2" t="s">
        <v>241</v>
      </c>
      <c r="W1649" s="2" t="s">
        <v>275</v>
      </c>
      <c r="X1649" s="2" t="s">
        <v>233</v>
      </c>
      <c r="Y1649" s="2" t="s">
        <v>276</v>
      </c>
      <c r="Z1649" s="4">
        <v>55</v>
      </c>
      <c r="AA1649" s="4">
        <f>=ROUNDDOWN(3.92857142857143,0)</f>
      </c>
      <c r="AB1649" s="5">
        <v>14</v>
      </c>
      <c r="AC1649" s="2" t="s">
        <v>233</v>
      </c>
      <c r="AD1649" s="4"/>
      <c r="AE1649" s="4"/>
      <c r="AF1649" s="6">
        <v>64</v>
      </c>
      <c r="AG1649" s="6"/>
      <c r="AH1649" s="7">
        <v>1</v>
      </c>
      <c r="AI1649" s="4"/>
      <c r="AJ1649" s="4">
        <f>=ROUNDDOWN({0},0)</f>
      </c>
      <c r="AK1649" s="5"/>
      <c r="AL1649" s="2" t="s">
        <v>233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233</v>
      </c>
      <c r="BD1649" s="8" t="s">
        <v>233</v>
      </c>
      <c r="BE1649" s="4" t="s">
        <v>233</v>
      </c>
      <c r="BF1649" s="8" t="s">
        <v>233</v>
      </c>
      <c r="BG1649" s="7" t="s">
        <v>233</v>
      </c>
      <c r="BH1649" s="7" t="s">
        <v>233</v>
      </c>
      <c r="BI1649" s="7"/>
      <c r="BJ1649" s="4">
        <v>32</v>
      </c>
      <c r="BK1649" s="8">
        <v>407.89</v>
      </c>
      <c r="BL1649" s="2" t="s">
        <v>7896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7897</v>
      </c>
      <c r="BV1649" s="2" t="s">
        <v>233</v>
      </c>
      <c r="BW1649" s="2" t="s">
        <v>233</v>
      </c>
      <c r="BX1649" s="2" t="s">
        <v>233</v>
      </c>
      <c r="BY1649" s="2" t="s">
        <v>280</v>
      </c>
      <c r="BZ1649" s="2" t="s">
        <v>245</v>
      </c>
      <c r="CA1649" s="2" t="s">
        <v>281</v>
      </c>
      <c r="CB1649" s="2" t="s">
        <v>660</v>
      </c>
      <c r="CC1649" s="2" t="s">
        <v>246</v>
      </c>
      <c r="CD1649" s="2" t="s">
        <v>233</v>
      </c>
      <c r="CE1649" s="4">
        <v>55</v>
      </c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  <c r="HM1649" s="4"/>
      <c r="HN1649" s="4"/>
      <c r="HO1649" s="4"/>
      <c r="HP1649" s="4"/>
      <c r="HQ1649" s="4"/>
      <c r="HR1649" s="4"/>
    </row>
    <row r="1650">
      <c r="A1650" s="2" t="s">
        <v>7898</v>
      </c>
      <c r="B1650" s="2" t="s">
        <v>333</v>
      </c>
      <c r="C1650" s="2" t="s">
        <v>1050</v>
      </c>
      <c r="D1650" s="2" t="s">
        <v>335</v>
      </c>
      <c r="E1650" s="2" t="s">
        <v>336</v>
      </c>
      <c r="F1650" s="2" t="s">
        <v>7894</v>
      </c>
      <c r="G1650" s="2" t="s">
        <v>7894</v>
      </c>
      <c r="H1650" s="2" t="s">
        <v>7894</v>
      </c>
      <c r="I1650" s="2" t="s">
        <v>338</v>
      </c>
      <c r="J1650" s="2" t="s">
        <v>270</v>
      </c>
      <c r="K1650" s="2" t="s">
        <v>645</v>
      </c>
      <c r="L1650" s="3">
        <v>21.62</v>
      </c>
      <c r="M1650" s="3">
        <v>22.7</v>
      </c>
      <c r="N1650" s="3">
        <v>46.99</v>
      </c>
      <c r="O1650" s="2" t="s">
        <v>245</v>
      </c>
      <c r="P1650" s="2" t="s">
        <v>272</v>
      </c>
      <c r="Q1650" s="2" t="s">
        <v>239</v>
      </c>
      <c r="R1650" s="2" t="s">
        <v>233</v>
      </c>
      <c r="S1650" s="2" t="s">
        <v>7899</v>
      </c>
      <c r="T1650" s="2" t="s">
        <v>647</v>
      </c>
      <c r="U1650" s="2" t="s">
        <v>475</v>
      </c>
      <c r="V1650" s="2" t="s">
        <v>241</v>
      </c>
      <c r="W1650" s="2" t="s">
        <v>275</v>
      </c>
      <c r="X1650" s="2" t="s">
        <v>397</v>
      </c>
      <c r="Y1650" s="2" t="s">
        <v>7679</v>
      </c>
      <c r="Z1650" s="4">
        <v>3</v>
      </c>
      <c r="AA1650" s="4">
        <f>=ROUNDDOWN(0.428571428571429,0)</f>
      </c>
      <c r="AB1650" s="5">
        <v>7</v>
      </c>
      <c r="AC1650" s="2" t="s">
        <v>1341</v>
      </c>
      <c r="AD1650" s="4">
        <v>60</v>
      </c>
      <c r="AE1650" s="4">
        <v>60</v>
      </c>
      <c r="AF1650" s="6">
        <v>65</v>
      </c>
      <c r="AG1650" s="6"/>
      <c r="AH1650" s="7">
        <v>0.0323</v>
      </c>
      <c r="AI1650" s="4"/>
      <c r="AJ1650" s="4">
        <f>=ROUNDDOWN({0},0)</f>
      </c>
      <c r="AK1650" s="5"/>
      <c r="AL1650" s="2" t="s">
        <v>233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233</v>
      </c>
      <c r="AW1650" s="8" t="s">
        <v>233</v>
      </c>
      <c r="AX1650" s="4" t="s">
        <v>233</v>
      </c>
      <c r="AY1650" s="8" t="s">
        <v>233</v>
      </c>
      <c r="AZ1650" s="7" t="s">
        <v>233</v>
      </c>
      <c r="BA1650" s="7" t="s">
        <v>233</v>
      </c>
      <c r="BB1650" s="7"/>
      <c r="BC1650" s="4" t="s">
        <v>233</v>
      </c>
      <c r="BD1650" s="8" t="s">
        <v>233</v>
      </c>
      <c r="BE1650" s="4" t="s">
        <v>233</v>
      </c>
      <c r="BF1650" s="8" t="s">
        <v>233</v>
      </c>
      <c r="BG1650" s="7" t="s">
        <v>233</v>
      </c>
      <c r="BH1650" s="7" t="s">
        <v>233</v>
      </c>
      <c r="BI1650" s="7"/>
      <c r="BJ1650" s="4">
        <v>1</v>
      </c>
      <c r="BK1650" s="8">
        <v>24.52</v>
      </c>
      <c r="BL1650" s="2" t="s">
        <v>2793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7900</v>
      </c>
      <c r="BV1650" s="2" t="s">
        <v>233</v>
      </c>
      <c r="BW1650" s="2" t="s">
        <v>233</v>
      </c>
      <c r="BX1650" s="2" t="s">
        <v>243</v>
      </c>
      <c r="BY1650" s="2" t="s">
        <v>280</v>
      </c>
      <c r="BZ1650" s="2" t="s">
        <v>245</v>
      </c>
      <c r="CA1650" s="2" t="s">
        <v>2077</v>
      </c>
      <c r="CB1650" s="2" t="s">
        <v>1695</v>
      </c>
      <c r="CC1650" s="2" t="s">
        <v>246</v>
      </c>
      <c r="CD1650" s="2" t="s">
        <v>233</v>
      </c>
      <c r="CE1650" s="4">
        <v>3</v>
      </c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>
        <v>60</v>
      </c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  <c r="HM1650" s="4"/>
      <c r="HN1650" s="4"/>
      <c r="HO1650" s="4"/>
      <c r="HP1650" s="4"/>
      <c r="HQ1650" s="4"/>
      <c r="HR1650" s="4"/>
    </row>
    <row r="1651">
      <c r="A1651" s="2" t="s">
        <v>7901</v>
      </c>
      <c r="B1651" s="2" t="s">
        <v>333</v>
      </c>
      <c r="C1651" s="2" t="s">
        <v>1050</v>
      </c>
      <c r="D1651" s="2" t="s">
        <v>335</v>
      </c>
      <c r="E1651" s="2" t="s">
        <v>336</v>
      </c>
      <c r="F1651" s="2" t="s">
        <v>7894</v>
      </c>
      <c r="G1651" s="2" t="s">
        <v>7894</v>
      </c>
      <c r="H1651" s="2" t="s">
        <v>7894</v>
      </c>
      <c r="I1651" s="2" t="s">
        <v>338</v>
      </c>
      <c r="J1651" s="2" t="s">
        <v>284</v>
      </c>
      <c r="K1651" s="2" t="s">
        <v>645</v>
      </c>
      <c r="L1651" s="3">
        <v>23.04</v>
      </c>
      <c r="M1651" s="3">
        <v>24.19</v>
      </c>
      <c r="N1651" s="3">
        <v>47.99</v>
      </c>
      <c r="O1651" s="2" t="s">
        <v>245</v>
      </c>
      <c r="P1651" s="2" t="s">
        <v>272</v>
      </c>
      <c r="Q1651" s="2" t="s">
        <v>239</v>
      </c>
      <c r="R1651" s="2" t="s">
        <v>233</v>
      </c>
      <c r="S1651" s="2" t="s">
        <v>7899</v>
      </c>
      <c r="T1651" s="2" t="s">
        <v>647</v>
      </c>
      <c r="U1651" s="2" t="s">
        <v>475</v>
      </c>
      <c r="V1651" s="2" t="s">
        <v>241</v>
      </c>
      <c r="W1651" s="2" t="s">
        <v>275</v>
      </c>
      <c r="X1651" s="2" t="s">
        <v>397</v>
      </c>
      <c r="Y1651" s="2" t="s">
        <v>7679</v>
      </c>
      <c r="Z1651" s="4">
        <v>9</v>
      </c>
      <c r="AA1651" s="4">
        <f>=ROUNDDOWN(2.25,0)</f>
      </c>
      <c r="AB1651" s="5">
        <v>4</v>
      </c>
      <c r="AC1651" s="2" t="s">
        <v>1341</v>
      </c>
      <c r="AD1651" s="4">
        <v>40</v>
      </c>
      <c r="AE1651" s="4">
        <v>40</v>
      </c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233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233</v>
      </c>
      <c r="AW1651" s="8" t="s">
        <v>233</v>
      </c>
      <c r="AX1651" s="4" t="s">
        <v>233</v>
      </c>
      <c r="AY1651" s="8" t="s">
        <v>233</v>
      </c>
      <c r="AZ1651" s="7" t="s">
        <v>233</v>
      </c>
      <c r="BA1651" s="7" t="s">
        <v>233</v>
      </c>
      <c r="BB1651" s="7"/>
      <c r="BC1651" s="4" t="s">
        <v>233</v>
      </c>
      <c r="BD1651" s="8" t="s">
        <v>233</v>
      </c>
      <c r="BE1651" s="4" t="s">
        <v>233</v>
      </c>
      <c r="BF1651" s="8" t="s">
        <v>233</v>
      </c>
      <c r="BG1651" s="7" t="s">
        <v>233</v>
      </c>
      <c r="BH1651" s="7" t="s">
        <v>233</v>
      </c>
      <c r="BI1651" s="7"/>
      <c r="BJ1651" s="4">
        <v>7</v>
      </c>
      <c r="BK1651" s="8">
        <v>178.17</v>
      </c>
      <c r="BL1651" s="2" t="s">
        <v>3646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7902</v>
      </c>
      <c r="BV1651" s="2" t="s">
        <v>233</v>
      </c>
      <c r="BW1651" s="2" t="s">
        <v>233</v>
      </c>
      <c r="BX1651" s="2" t="s">
        <v>243</v>
      </c>
      <c r="BY1651" s="2" t="s">
        <v>280</v>
      </c>
      <c r="BZ1651" s="2" t="s">
        <v>245</v>
      </c>
      <c r="CA1651" s="2" t="s">
        <v>2077</v>
      </c>
      <c r="CB1651" s="2" t="s">
        <v>5691</v>
      </c>
      <c r="CC1651" s="2" t="s">
        <v>246</v>
      </c>
      <c r="CD1651" s="2" t="s">
        <v>233</v>
      </c>
      <c r="CE1651" s="4">
        <v>9</v>
      </c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>
        <v>40</v>
      </c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4"/>
      <c r="HH1651" s="4"/>
      <c r="HI1651" s="4"/>
      <c r="HJ1651" s="4"/>
      <c r="HK1651" s="4"/>
      <c r="HL1651" s="4"/>
      <c r="HM1651" s="4"/>
      <c r="HN1651" s="4"/>
      <c r="HO1651" s="4"/>
      <c r="HP1651" s="4"/>
      <c r="HQ1651" s="4"/>
      <c r="HR1651" s="4"/>
    </row>
    <row r="1652">
      <c r="A1652" s="2" t="s">
        <v>7903</v>
      </c>
      <c r="B1652" s="2" t="s">
        <v>333</v>
      </c>
      <c r="C1652" s="2" t="s">
        <v>1050</v>
      </c>
      <c r="D1652" s="2" t="s">
        <v>335</v>
      </c>
      <c r="E1652" s="2" t="s">
        <v>336</v>
      </c>
      <c r="F1652" s="2" t="s">
        <v>7894</v>
      </c>
      <c r="G1652" s="2" t="s">
        <v>7894</v>
      </c>
      <c r="H1652" s="2" t="s">
        <v>7894</v>
      </c>
      <c r="I1652" s="2" t="s">
        <v>338</v>
      </c>
      <c r="J1652" s="2" t="s">
        <v>290</v>
      </c>
      <c r="K1652" s="2" t="s">
        <v>645</v>
      </c>
      <c r="L1652" s="3">
        <v>25.3</v>
      </c>
      <c r="M1652" s="3">
        <v>26.56</v>
      </c>
      <c r="N1652" s="3">
        <v>54.99</v>
      </c>
      <c r="O1652" s="2" t="s">
        <v>245</v>
      </c>
      <c r="P1652" s="2" t="s">
        <v>272</v>
      </c>
      <c r="Q1652" s="2" t="s">
        <v>239</v>
      </c>
      <c r="R1652" s="2" t="s">
        <v>233</v>
      </c>
      <c r="S1652" s="2" t="s">
        <v>7899</v>
      </c>
      <c r="T1652" s="2" t="s">
        <v>647</v>
      </c>
      <c r="U1652" s="2" t="s">
        <v>342</v>
      </c>
      <c r="V1652" s="2" t="s">
        <v>241</v>
      </c>
      <c r="W1652" s="2" t="s">
        <v>275</v>
      </c>
      <c r="X1652" s="2" t="s">
        <v>397</v>
      </c>
      <c r="Y1652" s="2" t="s">
        <v>7679</v>
      </c>
      <c r="Z1652" s="4">
        <v>43</v>
      </c>
      <c r="AA1652" s="4">
        <f>=ROUNDDOWN(6.14285714285714,0)</f>
      </c>
      <c r="AB1652" s="5">
        <v>7</v>
      </c>
      <c r="AC1652" s="2" t="s">
        <v>1341</v>
      </c>
      <c r="AD1652" s="4">
        <v>60</v>
      </c>
      <c r="AE1652" s="4">
        <v>60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233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233</v>
      </c>
      <c r="AW1652" s="8" t="s">
        <v>233</v>
      </c>
      <c r="AX1652" s="4" t="s">
        <v>233</v>
      </c>
      <c r="AY1652" s="8" t="s">
        <v>233</v>
      </c>
      <c r="AZ1652" s="7" t="s">
        <v>233</v>
      </c>
      <c r="BA1652" s="7" t="s">
        <v>233</v>
      </c>
      <c r="BB1652" s="7"/>
      <c r="BC1652" s="4" t="s">
        <v>233</v>
      </c>
      <c r="BD1652" s="8" t="s">
        <v>233</v>
      </c>
      <c r="BE1652" s="4" t="s">
        <v>233</v>
      </c>
      <c r="BF1652" s="8" t="s">
        <v>233</v>
      </c>
      <c r="BG1652" s="7" t="s">
        <v>233</v>
      </c>
      <c r="BH1652" s="7" t="s">
        <v>233</v>
      </c>
      <c r="BI1652" s="7"/>
      <c r="BJ1652" s="4">
        <v>8</v>
      </c>
      <c r="BK1652" s="8">
        <v>224.42</v>
      </c>
      <c r="BL1652" s="2" t="s">
        <v>7904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7905</v>
      </c>
      <c r="BV1652" s="2" t="s">
        <v>233</v>
      </c>
      <c r="BW1652" s="2" t="s">
        <v>233</v>
      </c>
      <c r="BX1652" s="2" t="s">
        <v>243</v>
      </c>
      <c r="BY1652" s="2" t="s">
        <v>280</v>
      </c>
      <c r="BZ1652" s="2" t="s">
        <v>245</v>
      </c>
      <c r="CA1652" s="2" t="s">
        <v>2077</v>
      </c>
      <c r="CB1652" s="2" t="s">
        <v>6073</v>
      </c>
      <c r="CC1652" s="2" t="s">
        <v>246</v>
      </c>
      <c r="CD1652" s="2" t="s">
        <v>233</v>
      </c>
      <c r="CE1652" s="4">
        <v>43</v>
      </c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>
        <v>60</v>
      </c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  <c r="HM1652" s="4"/>
      <c r="HN1652" s="4"/>
      <c r="HO1652" s="4"/>
      <c r="HP1652" s="4"/>
      <c r="HQ1652" s="4"/>
      <c r="HR1652" s="4"/>
    </row>
    <row r="1653">
      <c r="A1653" s="2" t="s">
        <v>7906</v>
      </c>
      <c r="B1653" s="2" t="s">
        <v>333</v>
      </c>
      <c r="C1653" s="2" t="s">
        <v>1050</v>
      </c>
      <c r="D1653" s="2" t="s">
        <v>335</v>
      </c>
      <c r="E1653" s="2" t="s">
        <v>336</v>
      </c>
      <c r="F1653" s="2" t="s">
        <v>7894</v>
      </c>
      <c r="G1653" s="2" t="s">
        <v>7894</v>
      </c>
      <c r="H1653" s="2" t="s">
        <v>7894</v>
      </c>
      <c r="I1653" s="2" t="s">
        <v>338</v>
      </c>
      <c r="J1653" s="2" t="s">
        <v>348</v>
      </c>
      <c r="K1653" s="2" t="s">
        <v>645</v>
      </c>
      <c r="L1653" s="3">
        <v>28.2</v>
      </c>
      <c r="M1653" s="3">
        <v>29.61</v>
      </c>
      <c r="N1653" s="3">
        <v>59.99</v>
      </c>
      <c r="O1653" s="2" t="s">
        <v>245</v>
      </c>
      <c r="P1653" s="2" t="s">
        <v>741</v>
      </c>
      <c r="Q1653" s="2" t="s">
        <v>239</v>
      </c>
      <c r="R1653" s="2" t="s">
        <v>233</v>
      </c>
      <c r="S1653" s="2" t="s">
        <v>7899</v>
      </c>
      <c r="T1653" s="2" t="s">
        <v>647</v>
      </c>
      <c r="U1653" s="2" t="s">
        <v>342</v>
      </c>
      <c r="V1653" s="2" t="s">
        <v>241</v>
      </c>
      <c r="W1653" s="2" t="s">
        <v>275</v>
      </c>
      <c r="X1653" s="2" t="s">
        <v>397</v>
      </c>
      <c r="Y1653" s="2" t="s">
        <v>7679</v>
      </c>
      <c r="Z1653" s="4"/>
      <c r="AA1653" s="4">
        <f>=ROUNDDOWN({0},0)</f>
      </c>
      <c r="AB1653" s="5">
        <v>21</v>
      </c>
      <c r="AC1653" s="2" t="s">
        <v>1341</v>
      </c>
      <c r="AD1653" s="4">
        <v>180</v>
      </c>
      <c r="AE1653" s="4">
        <v>180</v>
      </c>
      <c r="AF1653" s="6">
        <v>65</v>
      </c>
      <c r="AG1653" s="6"/>
      <c r="AH1653" s="7">
        <v>0</v>
      </c>
      <c r="AI1653" s="4"/>
      <c r="AJ1653" s="4">
        <f>=ROUNDDOWN({0},0)</f>
      </c>
      <c r="AK1653" s="5"/>
      <c r="AL1653" s="2" t="s">
        <v>233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233</v>
      </c>
      <c r="AW1653" s="8" t="s">
        <v>233</v>
      </c>
      <c r="AX1653" s="4" t="s">
        <v>233</v>
      </c>
      <c r="AY1653" s="8" t="s">
        <v>233</v>
      </c>
      <c r="AZ1653" s="7" t="s">
        <v>233</v>
      </c>
      <c r="BA1653" s="7" t="s">
        <v>233</v>
      </c>
      <c r="BB1653" s="7"/>
      <c r="BC1653" s="4" t="s">
        <v>233</v>
      </c>
      <c r="BD1653" s="8" t="s">
        <v>233</v>
      </c>
      <c r="BE1653" s="4" t="s">
        <v>233</v>
      </c>
      <c r="BF1653" s="8" t="s">
        <v>233</v>
      </c>
      <c r="BG1653" s="7" t="s">
        <v>233</v>
      </c>
      <c r="BH1653" s="7" t="s">
        <v>233</v>
      </c>
      <c r="BI1653" s="7"/>
      <c r="BJ1653" s="4"/>
      <c r="BK1653" s="8"/>
      <c r="BL1653" s="2" t="s">
        <v>864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7907</v>
      </c>
      <c r="BV1653" s="2" t="s">
        <v>233</v>
      </c>
      <c r="BW1653" s="2" t="s">
        <v>233</v>
      </c>
      <c r="BX1653" s="2" t="s">
        <v>243</v>
      </c>
      <c r="BY1653" s="2" t="s">
        <v>280</v>
      </c>
      <c r="BZ1653" s="2" t="s">
        <v>245</v>
      </c>
      <c r="CA1653" s="2" t="s">
        <v>2075</v>
      </c>
      <c r="CB1653" s="2" t="s">
        <v>1870</v>
      </c>
      <c r="CC1653" s="2" t="s">
        <v>246</v>
      </c>
      <c r="CD1653" s="2" t="s">
        <v>233</v>
      </c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>
        <v>180</v>
      </c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4"/>
      <c r="HH1653" s="4"/>
      <c r="HI1653" s="4"/>
      <c r="HJ1653" s="4"/>
      <c r="HK1653" s="4"/>
      <c r="HL1653" s="4"/>
      <c r="HM1653" s="4"/>
      <c r="HN1653" s="4"/>
      <c r="HO1653" s="4"/>
      <c r="HP1653" s="4"/>
      <c r="HQ1653" s="4"/>
      <c r="HR1653" s="4"/>
    </row>
    <row r="1654">
      <c r="A1654" s="2" t="s">
        <v>7908</v>
      </c>
      <c r="B1654" s="2" t="s">
        <v>333</v>
      </c>
      <c r="C1654" s="2" t="s">
        <v>1050</v>
      </c>
      <c r="D1654" s="2" t="s">
        <v>335</v>
      </c>
      <c r="E1654" s="2" t="s">
        <v>336</v>
      </c>
      <c r="F1654" s="2" t="s">
        <v>7894</v>
      </c>
      <c r="G1654" s="2" t="s">
        <v>7894</v>
      </c>
      <c r="H1654" s="2" t="s">
        <v>7894</v>
      </c>
      <c r="I1654" s="2" t="s">
        <v>338</v>
      </c>
      <c r="J1654" s="2" t="s">
        <v>546</v>
      </c>
      <c r="K1654" s="2" t="s">
        <v>645</v>
      </c>
      <c r="L1654" s="3">
        <v>31.85</v>
      </c>
      <c r="M1654" s="3">
        <v>33.44</v>
      </c>
      <c r="N1654" s="3">
        <v>64.99</v>
      </c>
      <c r="O1654" s="2" t="s">
        <v>245</v>
      </c>
      <c r="P1654" s="2" t="s">
        <v>272</v>
      </c>
      <c r="Q1654" s="2" t="s">
        <v>239</v>
      </c>
      <c r="R1654" s="2" t="s">
        <v>233</v>
      </c>
      <c r="S1654" s="2" t="s">
        <v>7899</v>
      </c>
      <c r="T1654" s="2" t="s">
        <v>647</v>
      </c>
      <c r="U1654" s="2" t="s">
        <v>342</v>
      </c>
      <c r="V1654" s="2" t="s">
        <v>241</v>
      </c>
      <c r="W1654" s="2" t="s">
        <v>275</v>
      </c>
      <c r="X1654" s="2" t="s">
        <v>397</v>
      </c>
      <c r="Y1654" s="2" t="s">
        <v>7679</v>
      </c>
      <c r="Z1654" s="4"/>
      <c r="AA1654" s="4">
        <f>=ROUNDDOWN({0},0)</f>
      </c>
      <c r="AB1654" s="5">
        <v>5</v>
      </c>
      <c r="AC1654" s="2" t="s">
        <v>1341</v>
      </c>
      <c r="AD1654" s="4">
        <v>40</v>
      </c>
      <c r="AE1654" s="4">
        <v>40</v>
      </c>
      <c r="AF1654" s="6">
        <v>65</v>
      </c>
      <c r="AG1654" s="6"/>
      <c r="AH1654" s="7">
        <v>0</v>
      </c>
      <c r="AI1654" s="4"/>
      <c r="AJ1654" s="4">
        <f>=ROUNDDOWN({0},0)</f>
      </c>
      <c r="AK1654" s="5"/>
      <c r="AL1654" s="2" t="s">
        <v>233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233</v>
      </c>
      <c r="AW1654" s="8" t="s">
        <v>233</v>
      </c>
      <c r="AX1654" s="4" t="s">
        <v>233</v>
      </c>
      <c r="AY1654" s="8" t="s">
        <v>233</v>
      </c>
      <c r="AZ1654" s="7" t="s">
        <v>233</v>
      </c>
      <c r="BA1654" s="7" t="s">
        <v>233</v>
      </c>
      <c r="BB1654" s="7"/>
      <c r="BC1654" s="4" t="s">
        <v>233</v>
      </c>
      <c r="BD1654" s="8" t="s">
        <v>233</v>
      </c>
      <c r="BE1654" s="4" t="s">
        <v>233</v>
      </c>
      <c r="BF1654" s="8" t="s">
        <v>233</v>
      </c>
      <c r="BG1654" s="7" t="s">
        <v>233</v>
      </c>
      <c r="BH1654" s="7" t="s">
        <v>233</v>
      </c>
      <c r="BI1654" s="7"/>
      <c r="BJ1654" s="4"/>
      <c r="BK1654" s="8"/>
      <c r="BL1654" s="2" t="s">
        <v>7909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7910</v>
      </c>
      <c r="BV1654" s="2" t="s">
        <v>233</v>
      </c>
      <c r="BW1654" s="2" t="s">
        <v>233</v>
      </c>
      <c r="BX1654" s="2" t="s">
        <v>243</v>
      </c>
      <c r="BY1654" s="2" t="s">
        <v>280</v>
      </c>
      <c r="BZ1654" s="2" t="s">
        <v>245</v>
      </c>
      <c r="CA1654" s="2" t="s">
        <v>2075</v>
      </c>
      <c r="CB1654" s="2" t="s">
        <v>4613</v>
      </c>
      <c r="CC1654" s="2" t="s">
        <v>246</v>
      </c>
      <c r="CD1654" s="2" t="s">
        <v>233</v>
      </c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>
        <v>40</v>
      </c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4"/>
      <c r="HH1654" s="4"/>
      <c r="HI1654" s="4"/>
      <c r="HJ1654" s="4"/>
      <c r="HK1654" s="4"/>
      <c r="HL1654" s="4"/>
      <c r="HM1654" s="4"/>
      <c r="HN1654" s="4"/>
      <c r="HO1654" s="4"/>
      <c r="HP1654" s="4"/>
      <c r="HQ1654" s="4"/>
      <c r="HR1654" s="4"/>
    </row>
    <row r="1655">
      <c r="A1655" s="2" t="s">
        <v>7911</v>
      </c>
      <c r="B1655" s="2" t="s">
        <v>333</v>
      </c>
      <c r="C1655" s="2" t="s">
        <v>1050</v>
      </c>
      <c r="D1655" s="2" t="s">
        <v>335</v>
      </c>
      <c r="E1655" s="2" t="s">
        <v>336</v>
      </c>
      <c r="F1655" s="2" t="s">
        <v>7894</v>
      </c>
      <c r="G1655" s="2" t="s">
        <v>7894</v>
      </c>
      <c r="H1655" s="2" t="s">
        <v>7894</v>
      </c>
      <c r="I1655" s="2" t="s">
        <v>338</v>
      </c>
      <c r="J1655" s="2" t="s">
        <v>270</v>
      </c>
      <c r="K1655" s="2" t="s">
        <v>271</v>
      </c>
      <c r="L1655" s="3">
        <v>21.62</v>
      </c>
      <c r="M1655" s="3">
        <v>22.7</v>
      </c>
      <c r="N1655" s="3">
        <v>46.99</v>
      </c>
      <c r="O1655" s="2" t="s">
        <v>245</v>
      </c>
      <c r="P1655" s="2" t="s">
        <v>272</v>
      </c>
      <c r="Q1655" s="2" t="s">
        <v>239</v>
      </c>
      <c r="R1655" s="2" t="s">
        <v>233</v>
      </c>
      <c r="S1655" s="2" t="s">
        <v>7912</v>
      </c>
      <c r="T1655" s="2" t="s">
        <v>647</v>
      </c>
      <c r="U1655" s="2" t="s">
        <v>475</v>
      </c>
      <c r="V1655" s="2" t="s">
        <v>241</v>
      </c>
      <c r="W1655" s="2" t="s">
        <v>275</v>
      </c>
      <c r="X1655" s="2" t="s">
        <v>397</v>
      </c>
      <c r="Y1655" s="2" t="s">
        <v>276</v>
      </c>
      <c r="Z1655" s="4">
        <v>38</v>
      </c>
      <c r="AA1655" s="4">
        <f>=ROUNDDOWN(2.375,0)</f>
      </c>
      <c r="AB1655" s="5">
        <v>16</v>
      </c>
      <c r="AC1655" s="2" t="s">
        <v>1341</v>
      </c>
      <c r="AD1655" s="4">
        <v>120</v>
      </c>
      <c r="AE1655" s="4">
        <v>120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233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233</v>
      </c>
      <c r="AW1655" s="8" t="s">
        <v>233</v>
      </c>
      <c r="AX1655" s="4" t="s">
        <v>233</v>
      </c>
      <c r="AY1655" s="8" t="s">
        <v>233</v>
      </c>
      <c r="AZ1655" s="7" t="s">
        <v>233</v>
      </c>
      <c r="BA1655" s="7" t="s">
        <v>233</v>
      </c>
      <c r="BB1655" s="7"/>
      <c r="BC1655" s="4" t="s">
        <v>233</v>
      </c>
      <c r="BD1655" s="8" t="s">
        <v>233</v>
      </c>
      <c r="BE1655" s="4" t="s">
        <v>233</v>
      </c>
      <c r="BF1655" s="8" t="s">
        <v>233</v>
      </c>
      <c r="BG1655" s="7" t="s">
        <v>233</v>
      </c>
      <c r="BH1655" s="7" t="s">
        <v>233</v>
      </c>
      <c r="BI1655" s="7"/>
      <c r="BJ1655" s="4">
        <v>6</v>
      </c>
      <c r="BK1655" s="8">
        <v>142.64</v>
      </c>
      <c r="BL1655" s="2" t="s">
        <v>4329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7913</v>
      </c>
      <c r="BV1655" s="2" t="s">
        <v>233</v>
      </c>
      <c r="BW1655" s="2" t="s">
        <v>233</v>
      </c>
      <c r="BX1655" s="2" t="s">
        <v>243</v>
      </c>
      <c r="BY1655" s="2" t="s">
        <v>280</v>
      </c>
      <c r="BZ1655" s="2" t="s">
        <v>245</v>
      </c>
      <c r="CA1655" s="2" t="s">
        <v>281</v>
      </c>
      <c r="CB1655" s="2" t="s">
        <v>7914</v>
      </c>
      <c r="CC1655" s="2" t="s">
        <v>246</v>
      </c>
      <c r="CD1655" s="2" t="s">
        <v>233</v>
      </c>
      <c r="CE1655" s="4">
        <v>38</v>
      </c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>
        <v>120</v>
      </c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  <c r="HF1655" s="4"/>
      <c r="HG1655" s="4"/>
      <c r="HH1655" s="4"/>
      <c r="HI1655" s="4"/>
      <c r="HJ1655" s="4"/>
      <c r="HK1655" s="4"/>
      <c r="HL1655" s="4"/>
      <c r="HM1655" s="4"/>
      <c r="HN1655" s="4"/>
      <c r="HO1655" s="4"/>
      <c r="HP1655" s="4"/>
      <c r="HQ1655" s="4"/>
      <c r="HR1655" s="4"/>
    </row>
    <row r="1656">
      <c r="A1656" s="2" t="s">
        <v>7915</v>
      </c>
      <c r="B1656" s="2" t="s">
        <v>333</v>
      </c>
      <c r="C1656" s="2" t="s">
        <v>1050</v>
      </c>
      <c r="D1656" s="2" t="s">
        <v>335</v>
      </c>
      <c r="E1656" s="2" t="s">
        <v>336</v>
      </c>
      <c r="F1656" s="2" t="s">
        <v>7894</v>
      </c>
      <c r="G1656" s="2" t="s">
        <v>7894</v>
      </c>
      <c r="H1656" s="2" t="s">
        <v>7894</v>
      </c>
      <c r="I1656" s="2" t="s">
        <v>338</v>
      </c>
      <c r="J1656" s="2" t="s">
        <v>284</v>
      </c>
      <c r="K1656" s="2" t="s">
        <v>271</v>
      </c>
      <c r="L1656" s="3">
        <v>23.04</v>
      </c>
      <c r="M1656" s="3">
        <v>24.19</v>
      </c>
      <c r="N1656" s="3">
        <v>47.99</v>
      </c>
      <c r="O1656" s="2" t="s">
        <v>245</v>
      </c>
      <c r="P1656" s="2" t="s">
        <v>272</v>
      </c>
      <c r="Q1656" s="2" t="s">
        <v>239</v>
      </c>
      <c r="R1656" s="2" t="s">
        <v>233</v>
      </c>
      <c r="S1656" s="2" t="s">
        <v>7912</v>
      </c>
      <c r="T1656" s="2" t="s">
        <v>647</v>
      </c>
      <c r="U1656" s="2" t="s">
        <v>475</v>
      </c>
      <c r="V1656" s="2" t="s">
        <v>241</v>
      </c>
      <c r="W1656" s="2" t="s">
        <v>275</v>
      </c>
      <c r="X1656" s="2" t="s">
        <v>397</v>
      </c>
      <c r="Y1656" s="2" t="s">
        <v>276</v>
      </c>
      <c r="Z1656" s="4"/>
      <c r="AA1656" s="4">
        <f>=ROUNDDOWN({0},0)</f>
      </c>
      <c r="AB1656" s="5">
        <v>18</v>
      </c>
      <c r="AC1656" s="2" t="s">
        <v>1341</v>
      </c>
      <c r="AD1656" s="4">
        <v>150</v>
      </c>
      <c r="AE1656" s="4">
        <v>150</v>
      </c>
      <c r="AF1656" s="6">
        <v>65</v>
      </c>
      <c r="AG1656" s="6"/>
      <c r="AH1656" s="7">
        <v>0</v>
      </c>
      <c r="AI1656" s="4"/>
      <c r="AJ1656" s="4">
        <f>=ROUNDDOWN({0},0)</f>
      </c>
      <c r="AK1656" s="5"/>
      <c r="AL1656" s="2" t="s">
        <v>233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233</v>
      </c>
      <c r="AW1656" s="8" t="s">
        <v>233</v>
      </c>
      <c r="AX1656" s="4" t="s">
        <v>233</v>
      </c>
      <c r="AY1656" s="8" t="s">
        <v>233</v>
      </c>
      <c r="AZ1656" s="7" t="s">
        <v>233</v>
      </c>
      <c r="BA1656" s="7" t="s">
        <v>233</v>
      </c>
      <c r="BB1656" s="7"/>
      <c r="BC1656" s="4" t="s">
        <v>233</v>
      </c>
      <c r="BD1656" s="8" t="s">
        <v>233</v>
      </c>
      <c r="BE1656" s="4" t="s">
        <v>233</v>
      </c>
      <c r="BF1656" s="8" t="s">
        <v>233</v>
      </c>
      <c r="BG1656" s="7" t="s">
        <v>233</v>
      </c>
      <c r="BH1656" s="7" t="s">
        <v>233</v>
      </c>
      <c r="BI1656" s="7"/>
      <c r="BJ1656" s="4"/>
      <c r="BK1656" s="8"/>
      <c r="BL1656" s="2" t="s">
        <v>233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7916</v>
      </c>
      <c r="BV1656" s="2" t="s">
        <v>233</v>
      </c>
      <c r="BW1656" s="2" t="s">
        <v>233</v>
      </c>
      <c r="BX1656" s="2" t="s">
        <v>243</v>
      </c>
      <c r="BY1656" s="2" t="s">
        <v>280</v>
      </c>
      <c r="BZ1656" s="2" t="s">
        <v>245</v>
      </c>
      <c r="CA1656" s="2" t="s">
        <v>281</v>
      </c>
      <c r="CB1656" s="2" t="s">
        <v>7917</v>
      </c>
      <c r="CC1656" s="2" t="s">
        <v>246</v>
      </c>
      <c r="CD1656" s="2" t="s">
        <v>233</v>
      </c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>
        <v>150</v>
      </c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  <c r="HM1656" s="4"/>
      <c r="HN1656" s="4"/>
      <c r="HO1656" s="4"/>
      <c r="HP1656" s="4"/>
      <c r="HQ1656" s="4"/>
      <c r="HR1656" s="4"/>
    </row>
    <row r="1657">
      <c r="A1657" s="2" t="s">
        <v>7918</v>
      </c>
      <c r="B1657" s="2" t="s">
        <v>333</v>
      </c>
      <c r="C1657" s="2" t="s">
        <v>1050</v>
      </c>
      <c r="D1657" s="2" t="s">
        <v>335</v>
      </c>
      <c r="E1657" s="2" t="s">
        <v>336</v>
      </c>
      <c r="F1657" s="2" t="s">
        <v>7894</v>
      </c>
      <c r="G1657" s="2" t="s">
        <v>7894</v>
      </c>
      <c r="H1657" s="2" t="s">
        <v>7894</v>
      </c>
      <c r="I1657" s="2" t="s">
        <v>338</v>
      </c>
      <c r="J1657" s="2" t="s">
        <v>290</v>
      </c>
      <c r="K1657" s="2" t="s">
        <v>271</v>
      </c>
      <c r="L1657" s="3">
        <v>25.3</v>
      </c>
      <c r="M1657" s="3">
        <v>26.56</v>
      </c>
      <c r="N1657" s="3">
        <v>54.99</v>
      </c>
      <c r="O1657" s="2" t="s">
        <v>245</v>
      </c>
      <c r="P1657" s="2" t="s">
        <v>741</v>
      </c>
      <c r="Q1657" s="2" t="s">
        <v>239</v>
      </c>
      <c r="R1657" s="2" t="s">
        <v>233</v>
      </c>
      <c r="S1657" s="2" t="s">
        <v>7912</v>
      </c>
      <c r="T1657" s="2" t="s">
        <v>647</v>
      </c>
      <c r="U1657" s="2" t="s">
        <v>342</v>
      </c>
      <c r="V1657" s="2" t="s">
        <v>241</v>
      </c>
      <c r="W1657" s="2" t="s">
        <v>275</v>
      </c>
      <c r="X1657" s="2" t="s">
        <v>397</v>
      </c>
      <c r="Y1657" s="2" t="s">
        <v>276</v>
      </c>
      <c r="Z1657" s="4">
        <v>2</v>
      </c>
      <c r="AA1657" s="4">
        <f>=ROUNDDOWN(0.1,0)</f>
      </c>
      <c r="AB1657" s="5">
        <v>20</v>
      </c>
      <c r="AC1657" s="2" t="s">
        <v>1341</v>
      </c>
      <c r="AD1657" s="4">
        <v>160</v>
      </c>
      <c r="AE1657" s="4">
        <v>160</v>
      </c>
      <c r="AF1657" s="6">
        <v>65</v>
      </c>
      <c r="AG1657" s="6"/>
      <c r="AH1657" s="7">
        <v>0</v>
      </c>
      <c r="AI1657" s="4"/>
      <c r="AJ1657" s="4">
        <f>=ROUNDDOWN({0},0)</f>
      </c>
      <c r="AK1657" s="5"/>
      <c r="AL1657" s="2" t="s">
        <v>233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233</v>
      </c>
      <c r="AW1657" s="8" t="s">
        <v>233</v>
      </c>
      <c r="AX1657" s="4" t="s">
        <v>233</v>
      </c>
      <c r="AY1657" s="8" t="s">
        <v>233</v>
      </c>
      <c r="AZ1657" s="7" t="s">
        <v>233</v>
      </c>
      <c r="BA1657" s="7" t="s">
        <v>233</v>
      </c>
      <c r="BB1657" s="7"/>
      <c r="BC1657" s="4" t="s">
        <v>233</v>
      </c>
      <c r="BD1657" s="8" t="s">
        <v>233</v>
      </c>
      <c r="BE1657" s="4" t="s">
        <v>233</v>
      </c>
      <c r="BF1657" s="8" t="s">
        <v>233</v>
      </c>
      <c r="BG1657" s="7" t="s">
        <v>233</v>
      </c>
      <c r="BH1657" s="7" t="s">
        <v>233</v>
      </c>
      <c r="BI1657" s="7"/>
      <c r="BJ1657" s="4"/>
      <c r="BK1657" s="8"/>
      <c r="BL1657" s="2" t="s">
        <v>233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7919</v>
      </c>
      <c r="BV1657" s="2" t="s">
        <v>233</v>
      </c>
      <c r="BW1657" s="2" t="s">
        <v>233</v>
      </c>
      <c r="BX1657" s="2" t="s">
        <v>243</v>
      </c>
      <c r="BY1657" s="2" t="s">
        <v>280</v>
      </c>
      <c r="BZ1657" s="2" t="s">
        <v>245</v>
      </c>
      <c r="CA1657" s="2" t="s">
        <v>281</v>
      </c>
      <c r="CB1657" s="2" t="s">
        <v>7920</v>
      </c>
      <c r="CC1657" s="2" t="s">
        <v>246</v>
      </c>
      <c r="CD1657" s="2" t="s">
        <v>233</v>
      </c>
      <c r="CE1657" s="4">
        <v>2</v>
      </c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>
        <v>160</v>
      </c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  <c r="HM1657" s="4"/>
      <c r="HN1657" s="4"/>
      <c r="HO1657" s="4"/>
      <c r="HP1657" s="4"/>
      <c r="HQ1657" s="4"/>
      <c r="HR1657" s="4"/>
    </row>
    <row r="1658">
      <c r="A1658" s="2" t="s">
        <v>7921</v>
      </c>
      <c r="B1658" s="2" t="s">
        <v>333</v>
      </c>
      <c r="C1658" s="2" t="s">
        <v>1050</v>
      </c>
      <c r="D1658" s="2" t="s">
        <v>335</v>
      </c>
      <c r="E1658" s="2" t="s">
        <v>336</v>
      </c>
      <c r="F1658" s="2" t="s">
        <v>7894</v>
      </c>
      <c r="G1658" s="2" t="s">
        <v>7894</v>
      </c>
      <c r="H1658" s="2" t="s">
        <v>7894</v>
      </c>
      <c r="I1658" s="2" t="s">
        <v>338</v>
      </c>
      <c r="J1658" s="2" t="s">
        <v>328</v>
      </c>
      <c r="K1658" s="2" t="s">
        <v>271</v>
      </c>
      <c r="L1658" s="3">
        <v>31.2</v>
      </c>
      <c r="M1658" s="3">
        <v>32.76</v>
      </c>
      <c r="N1658" s="3">
        <v>64.99</v>
      </c>
      <c r="O1658" s="2" t="s">
        <v>245</v>
      </c>
      <c r="P1658" s="2" t="s">
        <v>272</v>
      </c>
      <c r="Q1658" s="2" t="s">
        <v>239</v>
      </c>
      <c r="R1658" s="2" t="s">
        <v>233</v>
      </c>
      <c r="S1658" s="2" t="s">
        <v>7912</v>
      </c>
      <c r="T1658" s="2" t="s">
        <v>647</v>
      </c>
      <c r="U1658" s="2" t="s">
        <v>342</v>
      </c>
      <c r="V1658" s="2" t="s">
        <v>241</v>
      </c>
      <c r="W1658" s="2" t="s">
        <v>275</v>
      </c>
      <c r="X1658" s="2" t="s">
        <v>397</v>
      </c>
      <c r="Y1658" s="2" t="s">
        <v>276</v>
      </c>
      <c r="Z1658" s="4">
        <v>3</v>
      </c>
      <c r="AA1658" s="4">
        <f>=ROUNDDOWN(0.15,0)</f>
      </c>
      <c r="AB1658" s="5">
        <v>20</v>
      </c>
      <c r="AC1658" s="2" t="s">
        <v>1341</v>
      </c>
      <c r="AD1658" s="4">
        <v>150</v>
      </c>
      <c r="AE1658" s="4">
        <v>150</v>
      </c>
      <c r="AF1658" s="6">
        <v>65</v>
      </c>
      <c r="AG1658" s="6"/>
      <c r="AH1658" s="7">
        <v>0</v>
      </c>
      <c r="AI1658" s="4"/>
      <c r="AJ1658" s="4">
        <f>=ROUNDDOWN({0},0)</f>
      </c>
      <c r="AK1658" s="5"/>
      <c r="AL1658" s="2" t="s">
        <v>233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233</v>
      </c>
      <c r="AW1658" s="8" t="s">
        <v>233</v>
      </c>
      <c r="AX1658" s="4" t="s">
        <v>233</v>
      </c>
      <c r="AY1658" s="8" t="s">
        <v>233</v>
      </c>
      <c r="AZ1658" s="7" t="s">
        <v>233</v>
      </c>
      <c r="BA1658" s="7" t="s">
        <v>233</v>
      </c>
      <c r="BB1658" s="7"/>
      <c r="BC1658" s="4" t="s">
        <v>233</v>
      </c>
      <c r="BD1658" s="8" t="s">
        <v>233</v>
      </c>
      <c r="BE1658" s="4" t="s">
        <v>233</v>
      </c>
      <c r="BF1658" s="8" t="s">
        <v>233</v>
      </c>
      <c r="BG1658" s="7" t="s">
        <v>233</v>
      </c>
      <c r="BH1658" s="7" t="s">
        <v>233</v>
      </c>
      <c r="BI1658" s="7"/>
      <c r="BJ1658" s="4"/>
      <c r="BK1658" s="8"/>
      <c r="BL1658" s="2" t="s">
        <v>7922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7923</v>
      </c>
      <c r="BV1658" s="2" t="s">
        <v>233</v>
      </c>
      <c r="BW1658" s="2" t="s">
        <v>233</v>
      </c>
      <c r="BX1658" s="2" t="s">
        <v>243</v>
      </c>
      <c r="BY1658" s="2" t="s">
        <v>280</v>
      </c>
      <c r="BZ1658" s="2" t="s">
        <v>245</v>
      </c>
      <c r="CA1658" s="2" t="s">
        <v>281</v>
      </c>
      <c r="CB1658" s="2" t="s">
        <v>7920</v>
      </c>
      <c r="CC1658" s="2" t="s">
        <v>246</v>
      </c>
      <c r="CD1658" s="2" t="s">
        <v>233</v>
      </c>
      <c r="CE1658" s="4">
        <v>3</v>
      </c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>
        <v>150</v>
      </c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  <c r="HM1658" s="4"/>
      <c r="HN1658" s="4"/>
      <c r="HO1658" s="4"/>
      <c r="HP1658" s="4"/>
      <c r="HQ1658" s="4"/>
      <c r="HR1658" s="4"/>
    </row>
    <row r="1659">
      <c r="A1659" s="2" t="s">
        <v>7924</v>
      </c>
      <c r="B1659" s="2" t="s">
        <v>333</v>
      </c>
      <c r="C1659" s="2" t="s">
        <v>1050</v>
      </c>
      <c r="D1659" s="2" t="s">
        <v>335</v>
      </c>
      <c r="E1659" s="2" t="s">
        <v>336</v>
      </c>
      <c r="F1659" s="2" t="s">
        <v>7894</v>
      </c>
      <c r="G1659" s="2" t="s">
        <v>7894</v>
      </c>
      <c r="H1659" s="2" t="s">
        <v>7894</v>
      </c>
      <c r="I1659" s="2" t="s">
        <v>338</v>
      </c>
      <c r="J1659" s="2" t="s">
        <v>270</v>
      </c>
      <c r="K1659" s="2" t="s">
        <v>7925</v>
      </c>
      <c r="L1659" s="3">
        <v>24</v>
      </c>
      <c r="M1659" s="3">
        <v>25.2</v>
      </c>
      <c r="N1659" s="3">
        <v>49.99</v>
      </c>
      <c r="O1659" s="2" t="s">
        <v>237</v>
      </c>
      <c r="P1659" s="2" t="s">
        <v>311</v>
      </c>
      <c r="Q1659" s="2" t="s">
        <v>239</v>
      </c>
      <c r="R1659" s="2" t="s">
        <v>233</v>
      </c>
      <c r="S1659" s="2" t="s">
        <v>7926</v>
      </c>
      <c r="T1659" s="2" t="s">
        <v>647</v>
      </c>
      <c r="U1659" s="2" t="s">
        <v>475</v>
      </c>
      <c r="V1659" s="2" t="s">
        <v>1658</v>
      </c>
      <c r="W1659" s="2" t="s">
        <v>275</v>
      </c>
      <c r="X1659" s="2" t="s">
        <v>397</v>
      </c>
      <c r="Y1659" s="2" t="s">
        <v>276</v>
      </c>
      <c r="Z1659" s="4">
        <v>103</v>
      </c>
      <c r="AA1659" s="4">
        <f>=ROUNDDOWN(30.2941176470588,0)</f>
      </c>
      <c r="AB1659" s="5">
        <v>3.4</v>
      </c>
      <c r="AC1659" s="2" t="s">
        <v>233</v>
      </c>
      <c r="AD1659" s="4"/>
      <c r="AE1659" s="4"/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233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233</v>
      </c>
      <c r="AW1659" s="8" t="s">
        <v>233</v>
      </c>
      <c r="AX1659" s="4" t="s">
        <v>233</v>
      </c>
      <c r="AY1659" s="8" t="s">
        <v>233</v>
      </c>
      <c r="AZ1659" s="7" t="s">
        <v>233</v>
      </c>
      <c r="BA1659" s="7" t="s">
        <v>233</v>
      </c>
      <c r="BB1659" s="7"/>
      <c r="BC1659" s="4" t="s">
        <v>233</v>
      </c>
      <c r="BD1659" s="8" t="s">
        <v>233</v>
      </c>
      <c r="BE1659" s="4" t="s">
        <v>233</v>
      </c>
      <c r="BF1659" s="8" t="s">
        <v>233</v>
      </c>
      <c r="BG1659" s="7" t="s">
        <v>233</v>
      </c>
      <c r="BH1659" s="7" t="s">
        <v>233</v>
      </c>
      <c r="BI1659" s="7"/>
      <c r="BJ1659" s="4">
        <v>4</v>
      </c>
      <c r="BK1659" s="8">
        <v>104.59</v>
      </c>
      <c r="BL1659" s="2" t="s">
        <v>7927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7928</v>
      </c>
      <c r="BV1659" s="2" t="s">
        <v>233</v>
      </c>
      <c r="BW1659" s="2" t="s">
        <v>233</v>
      </c>
      <c r="BX1659" s="2" t="s">
        <v>595</v>
      </c>
      <c r="BY1659" s="2" t="s">
        <v>280</v>
      </c>
      <c r="BZ1659" s="2" t="s">
        <v>245</v>
      </c>
      <c r="CA1659" s="2" t="s">
        <v>287</v>
      </c>
      <c r="CB1659" s="2" t="s">
        <v>4562</v>
      </c>
      <c r="CC1659" s="2" t="s">
        <v>246</v>
      </c>
      <c r="CD1659" s="2" t="s">
        <v>233</v>
      </c>
      <c r="CE1659" s="4">
        <v>103</v>
      </c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  <c r="HM1659" s="4"/>
      <c r="HN1659" s="4"/>
      <c r="HO1659" s="4"/>
      <c r="HP1659" s="4"/>
      <c r="HQ1659" s="4"/>
      <c r="HR1659" s="4"/>
    </row>
    <row r="1660">
      <c r="A1660" s="2" t="s">
        <v>7929</v>
      </c>
      <c r="B1660" s="2" t="s">
        <v>333</v>
      </c>
      <c r="C1660" s="2" t="s">
        <v>1050</v>
      </c>
      <c r="D1660" s="2" t="s">
        <v>335</v>
      </c>
      <c r="E1660" s="2" t="s">
        <v>336</v>
      </c>
      <c r="F1660" s="2" t="s">
        <v>7894</v>
      </c>
      <c r="G1660" s="2" t="s">
        <v>7894</v>
      </c>
      <c r="H1660" s="2" t="s">
        <v>7894</v>
      </c>
      <c r="I1660" s="2" t="s">
        <v>338</v>
      </c>
      <c r="J1660" s="2" t="s">
        <v>328</v>
      </c>
      <c r="K1660" s="2" t="s">
        <v>7925</v>
      </c>
      <c r="L1660" s="3">
        <v>34.5</v>
      </c>
      <c r="M1660" s="3">
        <v>36.22</v>
      </c>
      <c r="N1660" s="3">
        <v>74.99</v>
      </c>
      <c r="O1660" s="2" t="s">
        <v>245</v>
      </c>
      <c r="P1660" s="2" t="s">
        <v>311</v>
      </c>
      <c r="Q1660" s="2" t="s">
        <v>239</v>
      </c>
      <c r="R1660" s="2" t="s">
        <v>233</v>
      </c>
      <c r="S1660" s="2" t="s">
        <v>7926</v>
      </c>
      <c r="T1660" s="2" t="s">
        <v>647</v>
      </c>
      <c r="U1660" s="2" t="s">
        <v>342</v>
      </c>
      <c r="V1660" s="2" t="s">
        <v>1658</v>
      </c>
      <c r="W1660" s="2" t="s">
        <v>275</v>
      </c>
      <c r="X1660" s="2" t="s">
        <v>397</v>
      </c>
      <c r="Y1660" s="2" t="s">
        <v>276</v>
      </c>
      <c r="Z1660" s="4">
        <v>131</v>
      </c>
      <c r="AA1660" s="4">
        <f>=ROUNDDOWN(20.1538461538462,0)</f>
      </c>
      <c r="AB1660" s="5">
        <v>6.5</v>
      </c>
      <c r="AC1660" s="2" t="s">
        <v>233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233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233</v>
      </c>
      <c r="AW1660" s="8" t="s">
        <v>233</v>
      </c>
      <c r="AX1660" s="4" t="s">
        <v>233</v>
      </c>
      <c r="AY1660" s="8" t="s">
        <v>233</v>
      </c>
      <c r="AZ1660" s="7" t="s">
        <v>233</v>
      </c>
      <c r="BA1660" s="7" t="s">
        <v>233</v>
      </c>
      <c r="BB1660" s="7"/>
      <c r="BC1660" s="4" t="s">
        <v>233</v>
      </c>
      <c r="BD1660" s="8" t="s">
        <v>233</v>
      </c>
      <c r="BE1660" s="4" t="s">
        <v>233</v>
      </c>
      <c r="BF1660" s="8" t="s">
        <v>233</v>
      </c>
      <c r="BG1660" s="7" t="s">
        <v>233</v>
      </c>
      <c r="BH1660" s="7" t="s">
        <v>233</v>
      </c>
      <c r="BI1660" s="7"/>
      <c r="BJ1660" s="4">
        <v>9</v>
      </c>
      <c r="BK1660" s="8">
        <v>331.09</v>
      </c>
      <c r="BL1660" s="2" t="s">
        <v>7930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7931</v>
      </c>
      <c r="BV1660" s="2" t="s">
        <v>233</v>
      </c>
      <c r="BW1660" s="2" t="s">
        <v>233</v>
      </c>
      <c r="BX1660" s="2" t="s">
        <v>595</v>
      </c>
      <c r="BY1660" s="2" t="s">
        <v>280</v>
      </c>
      <c r="BZ1660" s="2" t="s">
        <v>245</v>
      </c>
      <c r="CA1660" s="2" t="s">
        <v>287</v>
      </c>
      <c r="CB1660" s="2" t="s">
        <v>7932</v>
      </c>
      <c r="CC1660" s="2" t="s">
        <v>246</v>
      </c>
      <c r="CD1660" s="2" t="s">
        <v>233</v>
      </c>
      <c r="CE1660" s="4">
        <v>131</v>
      </c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  <c r="HM1660" s="4"/>
      <c r="HN1660" s="4"/>
      <c r="HO1660" s="4"/>
      <c r="HP1660" s="4"/>
      <c r="HQ1660" s="4"/>
      <c r="HR1660" s="4"/>
    </row>
    <row r="1661">
      <c r="A1661" s="2" t="s">
        <v>7933</v>
      </c>
      <c r="B1661" s="2" t="s">
        <v>333</v>
      </c>
      <c r="C1661" s="2" t="s">
        <v>1050</v>
      </c>
      <c r="D1661" s="2" t="s">
        <v>335</v>
      </c>
      <c r="E1661" s="2" t="s">
        <v>336</v>
      </c>
      <c r="F1661" s="2" t="s">
        <v>7894</v>
      </c>
      <c r="G1661" s="2" t="s">
        <v>7894</v>
      </c>
      <c r="H1661" s="2" t="s">
        <v>7894</v>
      </c>
      <c r="I1661" s="2" t="s">
        <v>338</v>
      </c>
      <c r="J1661" s="2" t="s">
        <v>270</v>
      </c>
      <c r="K1661" s="2" t="s">
        <v>552</v>
      </c>
      <c r="L1661" s="3">
        <v>21.62</v>
      </c>
      <c r="M1661" s="3">
        <v>22.7</v>
      </c>
      <c r="N1661" s="3">
        <v>46.99</v>
      </c>
      <c r="O1661" s="2" t="s">
        <v>245</v>
      </c>
      <c r="P1661" s="2" t="s">
        <v>272</v>
      </c>
      <c r="Q1661" s="2" t="s">
        <v>239</v>
      </c>
      <c r="R1661" s="2" t="s">
        <v>233</v>
      </c>
      <c r="S1661" s="2" t="s">
        <v>7934</v>
      </c>
      <c r="T1661" s="2" t="s">
        <v>647</v>
      </c>
      <c r="U1661" s="2" t="s">
        <v>475</v>
      </c>
      <c r="V1661" s="2" t="s">
        <v>241</v>
      </c>
      <c r="W1661" s="2" t="s">
        <v>275</v>
      </c>
      <c r="X1661" s="2" t="s">
        <v>397</v>
      </c>
      <c r="Y1661" s="2" t="s">
        <v>6086</v>
      </c>
      <c r="Z1661" s="4"/>
      <c r="AA1661" s="4">
        <f>=ROUNDDOWN({0},0)</f>
      </c>
      <c r="AB1661" s="5">
        <v>8</v>
      </c>
      <c r="AC1661" s="2" t="s">
        <v>1341</v>
      </c>
      <c r="AD1661" s="4">
        <v>70</v>
      </c>
      <c r="AE1661" s="4">
        <v>70</v>
      </c>
      <c r="AF1661" s="6">
        <v>65</v>
      </c>
      <c r="AG1661" s="6"/>
      <c r="AH1661" s="7">
        <v>0</v>
      </c>
      <c r="AI1661" s="4"/>
      <c r="AJ1661" s="4">
        <f>=ROUNDDOWN({0},0)</f>
      </c>
      <c r="AK1661" s="5"/>
      <c r="AL1661" s="2" t="s">
        <v>233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233</v>
      </c>
      <c r="AW1661" s="8" t="s">
        <v>233</v>
      </c>
      <c r="AX1661" s="4" t="s">
        <v>233</v>
      </c>
      <c r="AY1661" s="8" t="s">
        <v>233</v>
      </c>
      <c r="AZ1661" s="7" t="s">
        <v>233</v>
      </c>
      <c r="BA1661" s="7" t="s">
        <v>233</v>
      </c>
      <c r="BB1661" s="7"/>
      <c r="BC1661" s="4" t="s">
        <v>233</v>
      </c>
      <c r="BD1661" s="8" t="s">
        <v>233</v>
      </c>
      <c r="BE1661" s="4" t="s">
        <v>233</v>
      </c>
      <c r="BF1661" s="8" t="s">
        <v>233</v>
      </c>
      <c r="BG1661" s="7" t="s">
        <v>233</v>
      </c>
      <c r="BH1661" s="7" t="s">
        <v>233</v>
      </c>
      <c r="BI1661" s="7"/>
      <c r="BJ1661" s="4"/>
      <c r="BK1661" s="8"/>
      <c r="BL1661" s="2" t="s">
        <v>233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7935</v>
      </c>
      <c r="BV1661" s="2" t="s">
        <v>233</v>
      </c>
      <c r="BW1661" s="2" t="s">
        <v>233</v>
      </c>
      <c r="BX1661" s="2" t="s">
        <v>243</v>
      </c>
      <c r="BY1661" s="2" t="s">
        <v>280</v>
      </c>
      <c r="BZ1661" s="2" t="s">
        <v>245</v>
      </c>
      <c r="CA1661" s="2" t="s">
        <v>2112</v>
      </c>
      <c r="CB1661" s="2" t="s">
        <v>1001</v>
      </c>
      <c r="CC1661" s="2" t="s">
        <v>246</v>
      </c>
      <c r="CD1661" s="2" t="s">
        <v>233</v>
      </c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>
        <v>70</v>
      </c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  <c r="HM1661" s="4"/>
      <c r="HN1661" s="4"/>
      <c r="HO1661" s="4"/>
      <c r="HP1661" s="4"/>
      <c r="HQ1661" s="4"/>
      <c r="HR1661" s="4"/>
    </row>
    <row r="1662">
      <c r="A1662" s="2" t="s">
        <v>7936</v>
      </c>
      <c r="B1662" s="2" t="s">
        <v>333</v>
      </c>
      <c r="C1662" s="2" t="s">
        <v>1050</v>
      </c>
      <c r="D1662" s="2" t="s">
        <v>335</v>
      </c>
      <c r="E1662" s="2" t="s">
        <v>336</v>
      </c>
      <c r="F1662" s="2" t="s">
        <v>7894</v>
      </c>
      <c r="G1662" s="2" t="s">
        <v>7894</v>
      </c>
      <c r="H1662" s="2" t="s">
        <v>7894</v>
      </c>
      <c r="I1662" s="2" t="s">
        <v>338</v>
      </c>
      <c r="J1662" s="2" t="s">
        <v>284</v>
      </c>
      <c r="K1662" s="2" t="s">
        <v>552</v>
      </c>
      <c r="L1662" s="3">
        <v>23.04</v>
      </c>
      <c r="M1662" s="3">
        <v>24.19</v>
      </c>
      <c r="N1662" s="3">
        <v>47.99</v>
      </c>
      <c r="O1662" s="2" t="s">
        <v>245</v>
      </c>
      <c r="P1662" s="2" t="s">
        <v>272</v>
      </c>
      <c r="Q1662" s="2" t="s">
        <v>239</v>
      </c>
      <c r="R1662" s="2" t="s">
        <v>233</v>
      </c>
      <c r="S1662" s="2" t="s">
        <v>7934</v>
      </c>
      <c r="T1662" s="2" t="s">
        <v>647</v>
      </c>
      <c r="U1662" s="2" t="s">
        <v>475</v>
      </c>
      <c r="V1662" s="2" t="s">
        <v>241</v>
      </c>
      <c r="W1662" s="2" t="s">
        <v>275</v>
      </c>
      <c r="X1662" s="2" t="s">
        <v>397</v>
      </c>
      <c r="Y1662" s="2" t="s">
        <v>6086</v>
      </c>
      <c r="Z1662" s="4"/>
      <c r="AA1662" s="4">
        <f>=ROUNDDOWN({0},0)</f>
      </c>
      <c r="AB1662" s="5">
        <v>7</v>
      </c>
      <c r="AC1662" s="2" t="s">
        <v>1341</v>
      </c>
      <c r="AD1662" s="4">
        <v>80</v>
      </c>
      <c r="AE1662" s="4">
        <v>80</v>
      </c>
      <c r="AF1662" s="6">
        <v>65</v>
      </c>
      <c r="AG1662" s="6"/>
      <c r="AH1662" s="7">
        <v>0</v>
      </c>
      <c r="AI1662" s="4"/>
      <c r="AJ1662" s="4">
        <f>=ROUNDDOWN({0},0)</f>
      </c>
      <c r="AK1662" s="5"/>
      <c r="AL1662" s="2" t="s">
        <v>233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233</v>
      </c>
      <c r="AW1662" s="8" t="s">
        <v>233</v>
      </c>
      <c r="AX1662" s="4" t="s">
        <v>233</v>
      </c>
      <c r="AY1662" s="8" t="s">
        <v>233</v>
      </c>
      <c r="AZ1662" s="7" t="s">
        <v>233</v>
      </c>
      <c r="BA1662" s="7" t="s">
        <v>233</v>
      </c>
      <c r="BB1662" s="7"/>
      <c r="BC1662" s="4" t="s">
        <v>233</v>
      </c>
      <c r="BD1662" s="8" t="s">
        <v>233</v>
      </c>
      <c r="BE1662" s="4" t="s">
        <v>233</v>
      </c>
      <c r="BF1662" s="8" t="s">
        <v>233</v>
      </c>
      <c r="BG1662" s="7" t="s">
        <v>233</v>
      </c>
      <c r="BH1662" s="7" t="s">
        <v>233</v>
      </c>
      <c r="BI1662" s="7"/>
      <c r="BJ1662" s="4"/>
      <c r="BK1662" s="8"/>
      <c r="BL1662" s="2" t="s">
        <v>233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7937</v>
      </c>
      <c r="BV1662" s="2" t="s">
        <v>233</v>
      </c>
      <c r="BW1662" s="2" t="s">
        <v>233</v>
      </c>
      <c r="BX1662" s="2" t="s">
        <v>243</v>
      </c>
      <c r="BY1662" s="2" t="s">
        <v>280</v>
      </c>
      <c r="BZ1662" s="2" t="s">
        <v>245</v>
      </c>
      <c r="CA1662" s="2" t="s">
        <v>2112</v>
      </c>
      <c r="CB1662" s="2" t="s">
        <v>3479</v>
      </c>
      <c r="CC1662" s="2" t="s">
        <v>246</v>
      </c>
      <c r="CD1662" s="2" t="s">
        <v>233</v>
      </c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>
        <v>80</v>
      </c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  <c r="HM1662" s="4"/>
      <c r="HN1662" s="4"/>
      <c r="HO1662" s="4"/>
      <c r="HP1662" s="4"/>
      <c r="HQ1662" s="4"/>
      <c r="HR1662" s="4"/>
    </row>
    <row r="1663">
      <c r="A1663" s="2" t="s">
        <v>7938</v>
      </c>
      <c r="B1663" s="2" t="s">
        <v>333</v>
      </c>
      <c r="C1663" s="2" t="s">
        <v>1050</v>
      </c>
      <c r="D1663" s="2" t="s">
        <v>335</v>
      </c>
      <c r="E1663" s="2" t="s">
        <v>336</v>
      </c>
      <c r="F1663" s="2" t="s">
        <v>7894</v>
      </c>
      <c r="G1663" s="2" t="s">
        <v>7894</v>
      </c>
      <c r="H1663" s="2" t="s">
        <v>7894</v>
      </c>
      <c r="I1663" s="2" t="s">
        <v>338</v>
      </c>
      <c r="J1663" s="2" t="s">
        <v>290</v>
      </c>
      <c r="K1663" s="2" t="s">
        <v>552</v>
      </c>
      <c r="L1663" s="3">
        <v>25.3</v>
      </c>
      <c r="M1663" s="3">
        <v>26.57</v>
      </c>
      <c r="N1663" s="3">
        <v>54.99</v>
      </c>
      <c r="O1663" s="2" t="s">
        <v>245</v>
      </c>
      <c r="P1663" s="2" t="s">
        <v>272</v>
      </c>
      <c r="Q1663" s="2" t="s">
        <v>239</v>
      </c>
      <c r="R1663" s="2" t="s">
        <v>233</v>
      </c>
      <c r="S1663" s="2" t="s">
        <v>7934</v>
      </c>
      <c r="T1663" s="2" t="s">
        <v>647</v>
      </c>
      <c r="U1663" s="2" t="s">
        <v>342</v>
      </c>
      <c r="V1663" s="2" t="s">
        <v>241</v>
      </c>
      <c r="W1663" s="2" t="s">
        <v>275</v>
      </c>
      <c r="X1663" s="2" t="s">
        <v>397</v>
      </c>
      <c r="Y1663" s="2" t="s">
        <v>6086</v>
      </c>
      <c r="Z1663" s="4"/>
      <c r="AA1663" s="4">
        <f>=ROUNDDOWN({0},0)</f>
      </c>
      <c r="AB1663" s="5">
        <v>11</v>
      </c>
      <c r="AC1663" s="2" t="s">
        <v>1341</v>
      </c>
      <c r="AD1663" s="4">
        <v>100</v>
      </c>
      <c r="AE1663" s="4">
        <v>100</v>
      </c>
      <c r="AF1663" s="6">
        <v>65</v>
      </c>
      <c r="AG1663" s="6"/>
      <c r="AH1663" s="7">
        <v>0</v>
      </c>
      <c r="AI1663" s="4"/>
      <c r="AJ1663" s="4">
        <f>=ROUNDDOWN({0},0)</f>
      </c>
      <c r="AK1663" s="5"/>
      <c r="AL1663" s="2" t="s">
        <v>233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233</v>
      </c>
      <c r="AW1663" s="8" t="s">
        <v>233</v>
      </c>
      <c r="AX1663" s="4" t="s">
        <v>233</v>
      </c>
      <c r="AY1663" s="8" t="s">
        <v>233</v>
      </c>
      <c r="AZ1663" s="7" t="s">
        <v>233</v>
      </c>
      <c r="BA1663" s="7" t="s">
        <v>233</v>
      </c>
      <c r="BB1663" s="7"/>
      <c r="BC1663" s="4" t="s">
        <v>233</v>
      </c>
      <c r="BD1663" s="8" t="s">
        <v>233</v>
      </c>
      <c r="BE1663" s="4" t="s">
        <v>233</v>
      </c>
      <c r="BF1663" s="8" t="s">
        <v>233</v>
      </c>
      <c r="BG1663" s="7" t="s">
        <v>233</v>
      </c>
      <c r="BH1663" s="7" t="s">
        <v>233</v>
      </c>
      <c r="BI1663" s="7"/>
      <c r="BJ1663" s="4"/>
      <c r="BK1663" s="8"/>
      <c r="BL1663" s="2" t="s">
        <v>233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7939</v>
      </c>
      <c r="BV1663" s="2" t="s">
        <v>233</v>
      </c>
      <c r="BW1663" s="2" t="s">
        <v>233</v>
      </c>
      <c r="BX1663" s="2" t="s">
        <v>243</v>
      </c>
      <c r="BY1663" s="2" t="s">
        <v>280</v>
      </c>
      <c r="BZ1663" s="2" t="s">
        <v>245</v>
      </c>
      <c r="CA1663" s="2" t="s">
        <v>2112</v>
      </c>
      <c r="CB1663" s="2" t="s">
        <v>4851</v>
      </c>
      <c r="CC1663" s="2" t="s">
        <v>246</v>
      </c>
      <c r="CD1663" s="2" t="s">
        <v>233</v>
      </c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>
        <v>100</v>
      </c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  <c r="HM1663" s="4"/>
      <c r="HN1663" s="4"/>
      <c r="HO1663" s="4"/>
      <c r="HP1663" s="4"/>
      <c r="HQ1663" s="4"/>
      <c r="HR1663" s="4"/>
    </row>
    <row r="1664">
      <c r="A1664" s="2" t="s">
        <v>7940</v>
      </c>
      <c r="B1664" s="2" t="s">
        <v>333</v>
      </c>
      <c r="C1664" s="2" t="s">
        <v>1050</v>
      </c>
      <c r="D1664" s="2" t="s">
        <v>335</v>
      </c>
      <c r="E1664" s="2" t="s">
        <v>336</v>
      </c>
      <c r="F1664" s="2" t="s">
        <v>7894</v>
      </c>
      <c r="G1664" s="2" t="s">
        <v>7894</v>
      </c>
      <c r="H1664" s="2" t="s">
        <v>7894</v>
      </c>
      <c r="I1664" s="2" t="s">
        <v>338</v>
      </c>
      <c r="J1664" s="2" t="s">
        <v>348</v>
      </c>
      <c r="K1664" s="2" t="s">
        <v>552</v>
      </c>
      <c r="L1664" s="3">
        <v>28.2</v>
      </c>
      <c r="M1664" s="3">
        <v>29.61</v>
      </c>
      <c r="N1664" s="3">
        <v>59.99</v>
      </c>
      <c r="O1664" s="2" t="s">
        <v>245</v>
      </c>
      <c r="P1664" s="2" t="s">
        <v>272</v>
      </c>
      <c r="Q1664" s="2" t="s">
        <v>239</v>
      </c>
      <c r="R1664" s="2" t="s">
        <v>233</v>
      </c>
      <c r="S1664" s="2" t="s">
        <v>7934</v>
      </c>
      <c r="T1664" s="2" t="s">
        <v>647</v>
      </c>
      <c r="U1664" s="2" t="s">
        <v>342</v>
      </c>
      <c r="V1664" s="2" t="s">
        <v>241</v>
      </c>
      <c r="W1664" s="2" t="s">
        <v>275</v>
      </c>
      <c r="X1664" s="2" t="s">
        <v>397</v>
      </c>
      <c r="Y1664" s="2" t="s">
        <v>6086</v>
      </c>
      <c r="Z1664" s="4">
        <v>3</v>
      </c>
      <c r="AA1664" s="4">
        <f>=ROUNDDOWN(0.142857142857143,0)</f>
      </c>
      <c r="AB1664" s="5">
        <v>21</v>
      </c>
      <c r="AC1664" s="2" t="s">
        <v>1341</v>
      </c>
      <c r="AD1664" s="4">
        <v>180</v>
      </c>
      <c r="AE1664" s="4">
        <v>180</v>
      </c>
      <c r="AF1664" s="6">
        <v>65</v>
      </c>
      <c r="AG1664" s="6"/>
      <c r="AH1664" s="7">
        <v>0</v>
      </c>
      <c r="AI1664" s="4"/>
      <c r="AJ1664" s="4">
        <f>=ROUNDDOWN({0},0)</f>
      </c>
      <c r="AK1664" s="5"/>
      <c r="AL1664" s="2" t="s">
        <v>233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233</v>
      </c>
      <c r="AW1664" s="8" t="s">
        <v>233</v>
      </c>
      <c r="AX1664" s="4" t="s">
        <v>233</v>
      </c>
      <c r="AY1664" s="8" t="s">
        <v>233</v>
      </c>
      <c r="AZ1664" s="7" t="s">
        <v>233</v>
      </c>
      <c r="BA1664" s="7" t="s">
        <v>233</v>
      </c>
      <c r="BB1664" s="7"/>
      <c r="BC1664" s="4" t="s">
        <v>233</v>
      </c>
      <c r="BD1664" s="8" t="s">
        <v>233</v>
      </c>
      <c r="BE1664" s="4" t="s">
        <v>233</v>
      </c>
      <c r="BF1664" s="8" t="s">
        <v>233</v>
      </c>
      <c r="BG1664" s="7" t="s">
        <v>233</v>
      </c>
      <c r="BH1664" s="7" t="s">
        <v>233</v>
      </c>
      <c r="BI1664" s="7"/>
      <c r="BJ1664" s="4"/>
      <c r="BK1664" s="8"/>
      <c r="BL1664" s="2" t="s">
        <v>233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7941</v>
      </c>
      <c r="BV1664" s="2" t="s">
        <v>233</v>
      </c>
      <c r="BW1664" s="2" t="s">
        <v>233</v>
      </c>
      <c r="BX1664" s="2" t="s">
        <v>243</v>
      </c>
      <c r="BY1664" s="2" t="s">
        <v>280</v>
      </c>
      <c r="BZ1664" s="2" t="s">
        <v>245</v>
      </c>
      <c r="CA1664" s="2" t="s">
        <v>2112</v>
      </c>
      <c r="CB1664" s="2" t="s">
        <v>2799</v>
      </c>
      <c r="CC1664" s="2" t="s">
        <v>246</v>
      </c>
      <c r="CD1664" s="2" t="s">
        <v>233</v>
      </c>
      <c r="CE1664" s="4">
        <v>3</v>
      </c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>
        <v>180</v>
      </c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  <c r="HM1664" s="4"/>
      <c r="HN1664" s="4"/>
      <c r="HO1664" s="4"/>
      <c r="HP1664" s="4"/>
      <c r="HQ1664" s="4"/>
      <c r="HR1664" s="4"/>
    </row>
    <row r="1665">
      <c r="A1665" s="2" t="s">
        <v>7942</v>
      </c>
      <c r="B1665" s="2" t="s">
        <v>333</v>
      </c>
      <c r="C1665" s="2" t="s">
        <v>1050</v>
      </c>
      <c r="D1665" s="2" t="s">
        <v>335</v>
      </c>
      <c r="E1665" s="2" t="s">
        <v>336</v>
      </c>
      <c r="F1665" s="2" t="s">
        <v>7894</v>
      </c>
      <c r="G1665" s="2" t="s">
        <v>7894</v>
      </c>
      <c r="H1665" s="2" t="s">
        <v>7894</v>
      </c>
      <c r="I1665" s="2" t="s">
        <v>338</v>
      </c>
      <c r="J1665" s="2" t="s">
        <v>328</v>
      </c>
      <c r="K1665" s="2" t="s">
        <v>552</v>
      </c>
      <c r="L1665" s="3">
        <v>31.2</v>
      </c>
      <c r="M1665" s="3">
        <v>32.76</v>
      </c>
      <c r="N1665" s="3">
        <v>64.99</v>
      </c>
      <c r="O1665" s="2" t="s">
        <v>245</v>
      </c>
      <c r="P1665" s="2" t="s">
        <v>272</v>
      </c>
      <c r="Q1665" s="2" t="s">
        <v>239</v>
      </c>
      <c r="R1665" s="2" t="s">
        <v>233</v>
      </c>
      <c r="S1665" s="2" t="s">
        <v>7934</v>
      </c>
      <c r="T1665" s="2" t="s">
        <v>647</v>
      </c>
      <c r="U1665" s="2" t="s">
        <v>342</v>
      </c>
      <c r="V1665" s="2" t="s">
        <v>241</v>
      </c>
      <c r="W1665" s="2" t="s">
        <v>275</v>
      </c>
      <c r="X1665" s="2" t="s">
        <v>397</v>
      </c>
      <c r="Y1665" s="2" t="s">
        <v>6086</v>
      </c>
      <c r="Z1665" s="4">
        <v>3</v>
      </c>
      <c r="AA1665" s="4">
        <f>=ROUNDDOWN(0.3,0)</f>
      </c>
      <c r="AB1665" s="5">
        <v>10</v>
      </c>
      <c r="AC1665" s="2" t="s">
        <v>1341</v>
      </c>
      <c r="AD1665" s="4">
        <v>90</v>
      </c>
      <c r="AE1665" s="4">
        <v>90</v>
      </c>
      <c r="AF1665" s="6">
        <v>65</v>
      </c>
      <c r="AG1665" s="6"/>
      <c r="AH1665" s="7">
        <v>0.5484</v>
      </c>
      <c r="AI1665" s="4"/>
      <c r="AJ1665" s="4">
        <f>=ROUNDDOWN({0},0)</f>
      </c>
      <c r="AK1665" s="5"/>
      <c r="AL1665" s="2" t="s">
        <v>233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233</v>
      </c>
      <c r="AW1665" s="8" t="s">
        <v>233</v>
      </c>
      <c r="AX1665" s="4" t="s">
        <v>233</v>
      </c>
      <c r="AY1665" s="8" t="s">
        <v>233</v>
      </c>
      <c r="AZ1665" s="7" t="s">
        <v>233</v>
      </c>
      <c r="BA1665" s="7" t="s">
        <v>233</v>
      </c>
      <c r="BB1665" s="7"/>
      <c r="BC1665" s="4" t="s">
        <v>233</v>
      </c>
      <c r="BD1665" s="8" t="s">
        <v>233</v>
      </c>
      <c r="BE1665" s="4" t="s">
        <v>233</v>
      </c>
      <c r="BF1665" s="8" t="s">
        <v>233</v>
      </c>
      <c r="BG1665" s="7" t="s">
        <v>233</v>
      </c>
      <c r="BH1665" s="7" t="s">
        <v>233</v>
      </c>
      <c r="BI1665" s="7"/>
      <c r="BJ1665" s="4">
        <v>20</v>
      </c>
      <c r="BK1665" s="8">
        <v>696.13</v>
      </c>
      <c r="BL1665" s="2" t="s">
        <v>3290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7943</v>
      </c>
      <c r="BV1665" s="2" t="s">
        <v>233</v>
      </c>
      <c r="BW1665" s="2" t="s">
        <v>233</v>
      </c>
      <c r="BX1665" s="2" t="s">
        <v>243</v>
      </c>
      <c r="BY1665" s="2" t="s">
        <v>280</v>
      </c>
      <c r="BZ1665" s="2" t="s">
        <v>245</v>
      </c>
      <c r="CA1665" s="2" t="s">
        <v>2112</v>
      </c>
      <c r="CB1665" s="2" t="s">
        <v>3861</v>
      </c>
      <c r="CC1665" s="2" t="s">
        <v>246</v>
      </c>
      <c r="CD1665" s="2" t="s">
        <v>233</v>
      </c>
      <c r="CE1665" s="4">
        <v>3</v>
      </c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>
        <v>90</v>
      </c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  <c r="HM1665" s="4"/>
      <c r="HN1665" s="4"/>
      <c r="HO1665" s="4"/>
      <c r="HP1665" s="4"/>
      <c r="HQ1665" s="4"/>
      <c r="HR1665" s="4"/>
    </row>
    <row r="1666">
      <c r="A1666" s="2" t="s">
        <v>7944</v>
      </c>
      <c r="B1666" s="2" t="s">
        <v>333</v>
      </c>
      <c r="C1666" s="2" t="s">
        <v>1050</v>
      </c>
      <c r="D1666" s="2" t="s">
        <v>335</v>
      </c>
      <c r="E1666" s="2" t="s">
        <v>336</v>
      </c>
      <c r="F1666" s="2" t="s">
        <v>7894</v>
      </c>
      <c r="G1666" s="2" t="s">
        <v>7894</v>
      </c>
      <c r="H1666" s="2" t="s">
        <v>7894</v>
      </c>
      <c r="I1666" s="2" t="s">
        <v>338</v>
      </c>
      <c r="J1666" s="2" t="s">
        <v>546</v>
      </c>
      <c r="K1666" s="2" t="s">
        <v>552</v>
      </c>
      <c r="L1666" s="3">
        <v>31.85</v>
      </c>
      <c r="M1666" s="3">
        <v>33.44</v>
      </c>
      <c r="N1666" s="3">
        <v>64.99</v>
      </c>
      <c r="O1666" s="2" t="s">
        <v>245</v>
      </c>
      <c r="P1666" s="2" t="s">
        <v>272</v>
      </c>
      <c r="Q1666" s="2" t="s">
        <v>239</v>
      </c>
      <c r="R1666" s="2" t="s">
        <v>233</v>
      </c>
      <c r="S1666" s="2" t="s">
        <v>7934</v>
      </c>
      <c r="T1666" s="2" t="s">
        <v>647</v>
      </c>
      <c r="U1666" s="2" t="s">
        <v>342</v>
      </c>
      <c r="V1666" s="2" t="s">
        <v>241</v>
      </c>
      <c r="W1666" s="2" t="s">
        <v>275</v>
      </c>
      <c r="X1666" s="2" t="s">
        <v>397</v>
      </c>
      <c r="Y1666" s="2" t="s">
        <v>6086</v>
      </c>
      <c r="Z1666" s="4">
        <v>3</v>
      </c>
      <c r="AA1666" s="4">
        <f>=ROUNDDOWN(0.6,0)</f>
      </c>
      <c r="AB1666" s="5">
        <v>5</v>
      </c>
      <c r="AC1666" s="2" t="s">
        <v>1341</v>
      </c>
      <c r="AD1666" s="4">
        <v>40</v>
      </c>
      <c r="AE1666" s="4">
        <v>40</v>
      </c>
      <c r="AF1666" s="6">
        <v>65</v>
      </c>
      <c r="AG1666" s="6"/>
      <c r="AH1666" s="7">
        <v>0.3226</v>
      </c>
      <c r="AI1666" s="4"/>
      <c r="AJ1666" s="4">
        <f>=ROUNDDOWN({0},0)</f>
      </c>
      <c r="AK1666" s="5"/>
      <c r="AL1666" s="2" t="s">
        <v>233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233</v>
      </c>
      <c r="AW1666" s="8" t="s">
        <v>233</v>
      </c>
      <c r="AX1666" s="4" t="s">
        <v>233</v>
      </c>
      <c r="AY1666" s="8" t="s">
        <v>233</v>
      </c>
      <c r="AZ1666" s="7" t="s">
        <v>233</v>
      </c>
      <c r="BA1666" s="7" t="s">
        <v>233</v>
      </c>
      <c r="BB1666" s="7"/>
      <c r="BC1666" s="4" t="s">
        <v>233</v>
      </c>
      <c r="BD1666" s="8" t="s">
        <v>233</v>
      </c>
      <c r="BE1666" s="4" t="s">
        <v>233</v>
      </c>
      <c r="BF1666" s="8" t="s">
        <v>233</v>
      </c>
      <c r="BG1666" s="7" t="s">
        <v>233</v>
      </c>
      <c r="BH1666" s="7" t="s">
        <v>233</v>
      </c>
      <c r="BI1666" s="7"/>
      <c r="BJ1666" s="4">
        <v>9</v>
      </c>
      <c r="BK1666" s="8">
        <v>324.9</v>
      </c>
      <c r="BL1666" s="2" t="s">
        <v>649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7945</v>
      </c>
      <c r="BV1666" s="2" t="s">
        <v>233</v>
      </c>
      <c r="BW1666" s="2" t="s">
        <v>233</v>
      </c>
      <c r="BX1666" s="2" t="s">
        <v>243</v>
      </c>
      <c r="BY1666" s="2" t="s">
        <v>280</v>
      </c>
      <c r="BZ1666" s="2" t="s">
        <v>245</v>
      </c>
      <c r="CA1666" s="2" t="s">
        <v>2112</v>
      </c>
      <c r="CB1666" s="2" t="s">
        <v>6301</v>
      </c>
      <c r="CC1666" s="2" t="s">
        <v>246</v>
      </c>
      <c r="CD1666" s="2" t="s">
        <v>233</v>
      </c>
      <c r="CE1666" s="4">
        <v>3</v>
      </c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>
        <v>40</v>
      </c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  <c r="HM1666" s="4"/>
      <c r="HN1666" s="4"/>
      <c r="HO1666" s="4"/>
      <c r="HP1666" s="4"/>
      <c r="HQ1666" s="4"/>
      <c r="HR1666" s="4"/>
    </row>
    <row r="1667">
      <c r="A1667" s="2" t="s">
        <v>7946</v>
      </c>
      <c r="B1667" s="2" t="s">
        <v>333</v>
      </c>
      <c r="C1667" s="2" t="s">
        <v>1050</v>
      </c>
      <c r="D1667" s="2" t="s">
        <v>335</v>
      </c>
      <c r="E1667" s="2" t="s">
        <v>336</v>
      </c>
      <c r="F1667" s="2" t="s">
        <v>7894</v>
      </c>
      <c r="G1667" s="2" t="s">
        <v>7894</v>
      </c>
      <c r="H1667" s="2" t="s">
        <v>7894</v>
      </c>
      <c r="I1667" s="2" t="s">
        <v>338</v>
      </c>
      <c r="J1667" s="2" t="s">
        <v>270</v>
      </c>
      <c r="K1667" s="2" t="s">
        <v>984</v>
      </c>
      <c r="L1667" s="3">
        <v>21.62</v>
      </c>
      <c r="M1667" s="3">
        <v>22.7</v>
      </c>
      <c r="N1667" s="3">
        <v>46.99</v>
      </c>
      <c r="O1667" s="2" t="s">
        <v>245</v>
      </c>
      <c r="P1667" s="2" t="s">
        <v>272</v>
      </c>
      <c r="Q1667" s="2" t="s">
        <v>239</v>
      </c>
      <c r="R1667" s="2" t="s">
        <v>233</v>
      </c>
      <c r="S1667" s="2" t="s">
        <v>7947</v>
      </c>
      <c r="T1667" s="2" t="s">
        <v>647</v>
      </c>
      <c r="U1667" s="2" t="s">
        <v>475</v>
      </c>
      <c r="V1667" s="2" t="s">
        <v>241</v>
      </c>
      <c r="W1667" s="2" t="s">
        <v>275</v>
      </c>
      <c r="X1667" s="2" t="s">
        <v>397</v>
      </c>
      <c r="Y1667" s="2" t="s">
        <v>276</v>
      </c>
      <c r="Z1667" s="4">
        <v>45</v>
      </c>
      <c r="AA1667" s="4">
        <f>=ROUNDDOWN(7.5,0)</f>
      </c>
      <c r="AB1667" s="5">
        <v>6</v>
      </c>
      <c r="AC1667" s="2" t="s">
        <v>1341</v>
      </c>
      <c r="AD1667" s="4">
        <v>30</v>
      </c>
      <c r="AE1667" s="4">
        <v>30</v>
      </c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233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233</v>
      </c>
      <c r="AW1667" s="8" t="s">
        <v>233</v>
      </c>
      <c r="AX1667" s="4" t="s">
        <v>233</v>
      </c>
      <c r="AY1667" s="8" t="s">
        <v>233</v>
      </c>
      <c r="AZ1667" s="7" t="s">
        <v>233</v>
      </c>
      <c r="BA1667" s="7" t="s">
        <v>233</v>
      </c>
      <c r="BB1667" s="7"/>
      <c r="BC1667" s="4" t="s">
        <v>233</v>
      </c>
      <c r="BD1667" s="8" t="s">
        <v>233</v>
      </c>
      <c r="BE1667" s="4" t="s">
        <v>233</v>
      </c>
      <c r="BF1667" s="8" t="s">
        <v>233</v>
      </c>
      <c r="BG1667" s="7" t="s">
        <v>233</v>
      </c>
      <c r="BH1667" s="7" t="s">
        <v>233</v>
      </c>
      <c r="BI1667" s="7"/>
      <c r="BJ1667" s="4">
        <v>2</v>
      </c>
      <c r="BK1667" s="8">
        <v>47.65</v>
      </c>
      <c r="BL1667" s="2" t="s">
        <v>2232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7948</v>
      </c>
      <c r="BV1667" s="2" t="s">
        <v>233</v>
      </c>
      <c r="BW1667" s="2" t="s">
        <v>233</v>
      </c>
      <c r="BX1667" s="2" t="s">
        <v>243</v>
      </c>
      <c r="BY1667" s="2" t="s">
        <v>280</v>
      </c>
      <c r="BZ1667" s="2" t="s">
        <v>245</v>
      </c>
      <c r="CA1667" s="2" t="s">
        <v>281</v>
      </c>
      <c r="CB1667" s="2" t="s">
        <v>670</v>
      </c>
      <c r="CC1667" s="2" t="s">
        <v>246</v>
      </c>
      <c r="CD1667" s="2" t="s">
        <v>233</v>
      </c>
      <c r="CE1667" s="4">
        <v>45</v>
      </c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>
        <v>30</v>
      </c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  <c r="HG1667" s="4"/>
      <c r="HH1667" s="4"/>
      <c r="HI1667" s="4"/>
      <c r="HJ1667" s="4"/>
      <c r="HK1667" s="4"/>
      <c r="HL1667" s="4"/>
      <c r="HM1667" s="4"/>
      <c r="HN1667" s="4"/>
      <c r="HO1667" s="4"/>
      <c r="HP1667" s="4"/>
      <c r="HQ1667" s="4"/>
      <c r="HR1667" s="4"/>
    </row>
    <row r="1668">
      <c r="A1668" s="2" t="s">
        <v>7949</v>
      </c>
      <c r="B1668" s="2" t="s">
        <v>333</v>
      </c>
      <c r="C1668" s="2" t="s">
        <v>1050</v>
      </c>
      <c r="D1668" s="2" t="s">
        <v>335</v>
      </c>
      <c r="E1668" s="2" t="s">
        <v>336</v>
      </c>
      <c r="F1668" s="2" t="s">
        <v>7894</v>
      </c>
      <c r="G1668" s="2" t="s">
        <v>7894</v>
      </c>
      <c r="H1668" s="2" t="s">
        <v>7894</v>
      </c>
      <c r="I1668" s="2" t="s">
        <v>338</v>
      </c>
      <c r="J1668" s="2" t="s">
        <v>284</v>
      </c>
      <c r="K1668" s="2" t="s">
        <v>984</v>
      </c>
      <c r="L1668" s="3">
        <v>23.04</v>
      </c>
      <c r="M1668" s="3">
        <v>24.19</v>
      </c>
      <c r="N1668" s="3">
        <v>47.99</v>
      </c>
      <c r="O1668" s="2" t="s">
        <v>245</v>
      </c>
      <c r="P1668" s="2" t="s">
        <v>272</v>
      </c>
      <c r="Q1668" s="2" t="s">
        <v>239</v>
      </c>
      <c r="R1668" s="2" t="s">
        <v>233</v>
      </c>
      <c r="S1668" s="2" t="s">
        <v>7947</v>
      </c>
      <c r="T1668" s="2" t="s">
        <v>647</v>
      </c>
      <c r="U1668" s="2" t="s">
        <v>475</v>
      </c>
      <c r="V1668" s="2" t="s">
        <v>241</v>
      </c>
      <c r="W1668" s="2" t="s">
        <v>275</v>
      </c>
      <c r="X1668" s="2" t="s">
        <v>397</v>
      </c>
      <c r="Y1668" s="2" t="s">
        <v>276</v>
      </c>
      <c r="Z1668" s="4">
        <v>366</v>
      </c>
      <c r="AA1668" s="4">
        <f>=ROUNDDOWN(52.2857142857143,0)</f>
      </c>
      <c r="AB1668" s="5">
        <v>7</v>
      </c>
      <c r="AC1668" s="2" t="s">
        <v>233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233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 t="s">
        <v>233</v>
      </c>
      <c r="AW1668" s="8" t="s">
        <v>233</v>
      </c>
      <c r="AX1668" s="4" t="s">
        <v>233</v>
      </c>
      <c r="AY1668" s="8" t="s">
        <v>233</v>
      </c>
      <c r="AZ1668" s="7" t="s">
        <v>233</v>
      </c>
      <c r="BA1668" s="7" t="s">
        <v>233</v>
      </c>
      <c r="BB1668" s="7"/>
      <c r="BC1668" s="4" t="s">
        <v>233</v>
      </c>
      <c r="BD1668" s="8" t="s">
        <v>233</v>
      </c>
      <c r="BE1668" s="4" t="s">
        <v>233</v>
      </c>
      <c r="BF1668" s="8" t="s">
        <v>233</v>
      </c>
      <c r="BG1668" s="7" t="s">
        <v>233</v>
      </c>
      <c r="BH1668" s="7" t="s">
        <v>233</v>
      </c>
      <c r="BI1668" s="7"/>
      <c r="BJ1668" s="4">
        <v>2</v>
      </c>
      <c r="BK1668" s="8">
        <v>50.8</v>
      </c>
      <c r="BL1668" s="2" t="s">
        <v>6276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7950</v>
      </c>
      <c r="BV1668" s="2" t="s">
        <v>233</v>
      </c>
      <c r="BW1668" s="2" t="s">
        <v>233</v>
      </c>
      <c r="BX1668" s="2" t="s">
        <v>243</v>
      </c>
      <c r="BY1668" s="2" t="s">
        <v>280</v>
      </c>
      <c r="BZ1668" s="2" t="s">
        <v>245</v>
      </c>
      <c r="CA1668" s="2" t="s">
        <v>281</v>
      </c>
      <c r="CB1668" s="2" t="s">
        <v>7951</v>
      </c>
      <c r="CC1668" s="2" t="s">
        <v>246</v>
      </c>
      <c r="CD1668" s="2" t="s">
        <v>233</v>
      </c>
      <c r="CE1668" s="4">
        <v>366</v>
      </c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/>
      <c r="HJ1668" s="4"/>
      <c r="HK1668" s="4"/>
      <c r="HL1668" s="4"/>
      <c r="HM1668" s="4"/>
      <c r="HN1668" s="4"/>
      <c r="HO1668" s="4"/>
      <c r="HP1668" s="4"/>
      <c r="HQ1668" s="4"/>
      <c r="HR1668" s="4"/>
    </row>
    <row r="1669">
      <c r="A1669" s="2" t="s">
        <v>7952</v>
      </c>
      <c r="B1669" s="2" t="s">
        <v>333</v>
      </c>
      <c r="C1669" s="2" t="s">
        <v>1050</v>
      </c>
      <c r="D1669" s="2" t="s">
        <v>335</v>
      </c>
      <c r="E1669" s="2" t="s">
        <v>336</v>
      </c>
      <c r="F1669" s="2" t="s">
        <v>7894</v>
      </c>
      <c r="G1669" s="2" t="s">
        <v>7894</v>
      </c>
      <c r="H1669" s="2" t="s">
        <v>7894</v>
      </c>
      <c r="I1669" s="2" t="s">
        <v>338</v>
      </c>
      <c r="J1669" s="2" t="s">
        <v>290</v>
      </c>
      <c r="K1669" s="2" t="s">
        <v>984</v>
      </c>
      <c r="L1669" s="3">
        <v>25.3</v>
      </c>
      <c r="M1669" s="3">
        <v>26.56</v>
      </c>
      <c r="N1669" s="3">
        <v>54.99</v>
      </c>
      <c r="O1669" s="2" t="s">
        <v>245</v>
      </c>
      <c r="P1669" s="2" t="s">
        <v>272</v>
      </c>
      <c r="Q1669" s="2" t="s">
        <v>239</v>
      </c>
      <c r="R1669" s="2" t="s">
        <v>233</v>
      </c>
      <c r="S1669" s="2" t="s">
        <v>7947</v>
      </c>
      <c r="T1669" s="2" t="s">
        <v>647</v>
      </c>
      <c r="U1669" s="2" t="s">
        <v>342</v>
      </c>
      <c r="V1669" s="2" t="s">
        <v>241</v>
      </c>
      <c r="W1669" s="2" t="s">
        <v>275</v>
      </c>
      <c r="X1669" s="2" t="s">
        <v>397</v>
      </c>
      <c r="Y1669" s="2" t="s">
        <v>276</v>
      </c>
      <c r="Z1669" s="4"/>
      <c r="AA1669" s="4">
        <f>=ROUNDDOWN({0},0)</f>
      </c>
      <c r="AB1669" s="5">
        <v>6</v>
      </c>
      <c r="AC1669" s="2" t="s">
        <v>1341</v>
      </c>
      <c r="AD1669" s="4">
        <v>60</v>
      </c>
      <c r="AE1669" s="4">
        <v>60</v>
      </c>
      <c r="AF1669" s="6">
        <v>65</v>
      </c>
      <c r="AG1669" s="6"/>
      <c r="AH1669" s="7">
        <v>0</v>
      </c>
      <c r="AI1669" s="4"/>
      <c r="AJ1669" s="4">
        <f>=ROUNDDOWN({0},0)</f>
      </c>
      <c r="AK1669" s="5"/>
      <c r="AL1669" s="2" t="s">
        <v>233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233</v>
      </c>
      <c r="AW1669" s="8" t="s">
        <v>233</v>
      </c>
      <c r="AX1669" s="4" t="s">
        <v>233</v>
      </c>
      <c r="AY1669" s="8" t="s">
        <v>233</v>
      </c>
      <c r="AZ1669" s="7" t="s">
        <v>233</v>
      </c>
      <c r="BA1669" s="7" t="s">
        <v>233</v>
      </c>
      <c r="BB1669" s="7"/>
      <c r="BC1669" s="4" t="s">
        <v>233</v>
      </c>
      <c r="BD1669" s="8" t="s">
        <v>233</v>
      </c>
      <c r="BE1669" s="4" t="s">
        <v>233</v>
      </c>
      <c r="BF1669" s="8" t="s">
        <v>233</v>
      </c>
      <c r="BG1669" s="7" t="s">
        <v>233</v>
      </c>
      <c r="BH1669" s="7" t="s">
        <v>233</v>
      </c>
      <c r="BI1669" s="7"/>
      <c r="BJ1669" s="4"/>
      <c r="BK1669" s="8"/>
      <c r="BL1669" s="2" t="s">
        <v>4761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7953</v>
      </c>
      <c r="BV1669" s="2" t="s">
        <v>233</v>
      </c>
      <c r="BW1669" s="2" t="s">
        <v>233</v>
      </c>
      <c r="BX1669" s="2" t="s">
        <v>243</v>
      </c>
      <c r="BY1669" s="2" t="s">
        <v>280</v>
      </c>
      <c r="BZ1669" s="2" t="s">
        <v>245</v>
      </c>
      <c r="CA1669" s="2" t="s">
        <v>281</v>
      </c>
      <c r="CB1669" s="2" t="s">
        <v>7954</v>
      </c>
      <c r="CC1669" s="2" t="s">
        <v>246</v>
      </c>
      <c r="CD1669" s="2" t="s">
        <v>233</v>
      </c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>
        <v>60</v>
      </c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  <c r="HM1669" s="4"/>
      <c r="HN1669" s="4"/>
      <c r="HO1669" s="4"/>
      <c r="HP1669" s="4"/>
      <c r="HQ1669" s="4"/>
      <c r="HR1669" s="4"/>
    </row>
    <row r="1670">
      <c r="A1670" s="2" t="s">
        <v>7955</v>
      </c>
      <c r="B1670" s="2" t="s">
        <v>333</v>
      </c>
      <c r="C1670" s="2" t="s">
        <v>1050</v>
      </c>
      <c r="D1670" s="2" t="s">
        <v>335</v>
      </c>
      <c r="E1670" s="2" t="s">
        <v>336</v>
      </c>
      <c r="F1670" s="2" t="s">
        <v>7894</v>
      </c>
      <c r="G1670" s="2" t="s">
        <v>7894</v>
      </c>
      <c r="H1670" s="2" t="s">
        <v>7894</v>
      </c>
      <c r="I1670" s="2" t="s">
        <v>338</v>
      </c>
      <c r="J1670" s="2" t="s">
        <v>348</v>
      </c>
      <c r="K1670" s="2" t="s">
        <v>984</v>
      </c>
      <c r="L1670" s="3">
        <v>28.2</v>
      </c>
      <c r="M1670" s="3">
        <v>29.61</v>
      </c>
      <c r="N1670" s="3">
        <v>59.99</v>
      </c>
      <c r="O1670" s="2" t="s">
        <v>245</v>
      </c>
      <c r="P1670" s="2" t="s">
        <v>763</v>
      </c>
      <c r="Q1670" s="2" t="s">
        <v>239</v>
      </c>
      <c r="R1670" s="2" t="s">
        <v>233</v>
      </c>
      <c r="S1670" s="2" t="s">
        <v>7947</v>
      </c>
      <c r="T1670" s="2" t="s">
        <v>647</v>
      </c>
      <c r="U1670" s="2" t="s">
        <v>342</v>
      </c>
      <c r="V1670" s="2" t="s">
        <v>241</v>
      </c>
      <c r="W1670" s="2" t="s">
        <v>275</v>
      </c>
      <c r="X1670" s="2" t="s">
        <v>397</v>
      </c>
      <c r="Y1670" s="2" t="s">
        <v>276</v>
      </c>
      <c r="Z1670" s="4"/>
      <c r="AA1670" s="4">
        <f>=ROUNDDOWN({0},0)</f>
      </c>
      <c r="AB1670" s="5">
        <v>29</v>
      </c>
      <c r="AC1670" s="2" t="s">
        <v>1341</v>
      </c>
      <c r="AD1670" s="4">
        <v>250</v>
      </c>
      <c r="AE1670" s="4">
        <v>250</v>
      </c>
      <c r="AF1670" s="6">
        <v>65</v>
      </c>
      <c r="AG1670" s="6"/>
      <c r="AH1670" s="7">
        <v>0</v>
      </c>
      <c r="AI1670" s="4"/>
      <c r="AJ1670" s="4">
        <f>=ROUNDDOWN({0},0)</f>
      </c>
      <c r="AK1670" s="5"/>
      <c r="AL1670" s="2" t="s">
        <v>233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 t="s">
        <v>233</v>
      </c>
      <c r="AW1670" s="8" t="s">
        <v>233</v>
      </c>
      <c r="AX1670" s="4" t="s">
        <v>233</v>
      </c>
      <c r="AY1670" s="8" t="s">
        <v>233</v>
      </c>
      <c r="AZ1670" s="7" t="s">
        <v>233</v>
      </c>
      <c r="BA1670" s="7" t="s">
        <v>233</v>
      </c>
      <c r="BB1670" s="7"/>
      <c r="BC1670" s="4" t="s">
        <v>233</v>
      </c>
      <c r="BD1670" s="8" t="s">
        <v>233</v>
      </c>
      <c r="BE1670" s="4" t="s">
        <v>233</v>
      </c>
      <c r="BF1670" s="8" t="s">
        <v>233</v>
      </c>
      <c r="BG1670" s="7" t="s">
        <v>233</v>
      </c>
      <c r="BH1670" s="7" t="s">
        <v>233</v>
      </c>
      <c r="BI1670" s="7"/>
      <c r="BJ1670" s="4"/>
      <c r="BK1670" s="8"/>
      <c r="BL1670" s="2" t="s">
        <v>7956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7957</v>
      </c>
      <c r="BV1670" s="2" t="s">
        <v>233</v>
      </c>
      <c r="BW1670" s="2" t="s">
        <v>233</v>
      </c>
      <c r="BX1670" s="2" t="s">
        <v>243</v>
      </c>
      <c r="BY1670" s="2" t="s">
        <v>280</v>
      </c>
      <c r="BZ1670" s="2" t="s">
        <v>245</v>
      </c>
      <c r="CA1670" s="2" t="s">
        <v>281</v>
      </c>
      <c r="CB1670" s="2" t="s">
        <v>1848</v>
      </c>
      <c r="CC1670" s="2" t="s">
        <v>246</v>
      </c>
      <c r="CD1670" s="2" t="s">
        <v>233</v>
      </c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>
        <v>250</v>
      </c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  <c r="HM1670" s="4"/>
      <c r="HN1670" s="4"/>
      <c r="HO1670" s="4"/>
      <c r="HP1670" s="4"/>
      <c r="HQ1670" s="4"/>
      <c r="HR1670" s="4"/>
    </row>
    <row r="1671">
      <c r="A1671" s="2" t="s">
        <v>7958</v>
      </c>
      <c r="B1671" s="2" t="s">
        <v>333</v>
      </c>
      <c r="C1671" s="2" t="s">
        <v>1050</v>
      </c>
      <c r="D1671" s="2" t="s">
        <v>335</v>
      </c>
      <c r="E1671" s="2" t="s">
        <v>336</v>
      </c>
      <c r="F1671" s="2" t="s">
        <v>7894</v>
      </c>
      <c r="G1671" s="2" t="s">
        <v>7894</v>
      </c>
      <c r="H1671" s="2" t="s">
        <v>7894</v>
      </c>
      <c r="I1671" s="2" t="s">
        <v>338</v>
      </c>
      <c r="J1671" s="2" t="s">
        <v>328</v>
      </c>
      <c r="K1671" s="2" t="s">
        <v>984</v>
      </c>
      <c r="L1671" s="3">
        <v>31.2</v>
      </c>
      <c r="M1671" s="3">
        <v>32.76</v>
      </c>
      <c r="N1671" s="3">
        <v>64.99</v>
      </c>
      <c r="O1671" s="2" t="s">
        <v>245</v>
      </c>
      <c r="P1671" s="2" t="s">
        <v>741</v>
      </c>
      <c r="Q1671" s="2" t="s">
        <v>239</v>
      </c>
      <c r="R1671" s="2" t="s">
        <v>233</v>
      </c>
      <c r="S1671" s="2" t="s">
        <v>7947</v>
      </c>
      <c r="T1671" s="2" t="s">
        <v>647</v>
      </c>
      <c r="U1671" s="2" t="s">
        <v>342</v>
      </c>
      <c r="V1671" s="2" t="s">
        <v>241</v>
      </c>
      <c r="W1671" s="2" t="s">
        <v>275</v>
      </c>
      <c r="X1671" s="2" t="s">
        <v>397</v>
      </c>
      <c r="Y1671" s="2" t="s">
        <v>276</v>
      </c>
      <c r="Z1671" s="4"/>
      <c r="AA1671" s="4">
        <f>=ROUNDDOWN({0},0)</f>
      </c>
      <c r="AB1671" s="5">
        <v>20</v>
      </c>
      <c r="AC1671" s="2" t="s">
        <v>1341</v>
      </c>
      <c r="AD1671" s="4">
        <v>160</v>
      </c>
      <c r="AE1671" s="4">
        <v>160</v>
      </c>
      <c r="AF1671" s="6">
        <v>65</v>
      </c>
      <c r="AG1671" s="6"/>
      <c r="AH1671" s="7">
        <v>0</v>
      </c>
      <c r="AI1671" s="4"/>
      <c r="AJ1671" s="4">
        <f>=ROUNDDOWN({0},0)</f>
      </c>
      <c r="AK1671" s="5"/>
      <c r="AL1671" s="2" t="s">
        <v>233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 t="s">
        <v>233</v>
      </c>
      <c r="AW1671" s="8" t="s">
        <v>233</v>
      </c>
      <c r="AX1671" s="4" t="s">
        <v>233</v>
      </c>
      <c r="AY1671" s="8" t="s">
        <v>233</v>
      </c>
      <c r="AZ1671" s="7" t="s">
        <v>233</v>
      </c>
      <c r="BA1671" s="7" t="s">
        <v>233</v>
      </c>
      <c r="BB1671" s="7"/>
      <c r="BC1671" s="4" t="s">
        <v>233</v>
      </c>
      <c r="BD1671" s="8" t="s">
        <v>233</v>
      </c>
      <c r="BE1671" s="4" t="s">
        <v>233</v>
      </c>
      <c r="BF1671" s="8" t="s">
        <v>233</v>
      </c>
      <c r="BG1671" s="7" t="s">
        <v>233</v>
      </c>
      <c r="BH1671" s="7" t="s">
        <v>233</v>
      </c>
      <c r="BI1671" s="7"/>
      <c r="BJ1671" s="4"/>
      <c r="BK1671" s="8"/>
      <c r="BL1671" s="2" t="s">
        <v>7959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7960</v>
      </c>
      <c r="BV1671" s="2" t="s">
        <v>233</v>
      </c>
      <c r="BW1671" s="2" t="s">
        <v>233</v>
      </c>
      <c r="BX1671" s="2" t="s">
        <v>243</v>
      </c>
      <c r="BY1671" s="2" t="s">
        <v>280</v>
      </c>
      <c r="BZ1671" s="2" t="s">
        <v>245</v>
      </c>
      <c r="CA1671" s="2" t="s">
        <v>281</v>
      </c>
      <c r="CB1671" s="2" t="s">
        <v>696</v>
      </c>
      <c r="CC1671" s="2" t="s">
        <v>246</v>
      </c>
      <c r="CD1671" s="2" t="s">
        <v>233</v>
      </c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>
        <v>160</v>
      </c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  <c r="HM1671" s="4"/>
      <c r="HN1671" s="4"/>
      <c r="HO1671" s="4"/>
      <c r="HP1671" s="4"/>
      <c r="HQ1671" s="4"/>
      <c r="HR1671" s="4"/>
    </row>
    <row r="1672">
      <c r="A1672" s="2" t="s">
        <v>7961</v>
      </c>
      <c r="B1672" s="2" t="s">
        <v>333</v>
      </c>
      <c r="C1672" s="2" t="s">
        <v>1050</v>
      </c>
      <c r="D1672" s="2" t="s">
        <v>335</v>
      </c>
      <c r="E1672" s="2" t="s">
        <v>336</v>
      </c>
      <c r="F1672" s="2" t="s">
        <v>7894</v>
      </c>
      <c r="G1672" s="2" t="s">
        <v>7894</v>
      </c>
      <c r="H1672" s="2" t="s">
        <v>7894</v>
      </c>
      <c r="I1672" s="2" t="s">
        <v>338</v>
      </c>
      <c r="J1672" s="2" t="s">
        <v>546</v>
      </c>
      <c r="K1672" s="2" t="s">
        <v>984</v>
      </c>
      <c r="L1672" s="3">
        <v>31.85</v>
      </c>
      <c r="M1672" s="3">
        <v>33.44</v>
      </c>
      <c r="N1672" s="3">
        <v>64.99</v>
      </c>
      <c r="O1672" s="2" t="s">
        <v>245</v>
      </c>
      <c r="P1672" s="2" t="s">
        <v>272</v>
      </c>
      <c r="Q1672" s="2" t="s">
        <v>239</v>
      </c>
      <c r="R1672" s="2" t="s">
        <v>233</v>
      </c>
      <c r="S1672" s="2" t="s">
        <v>7947</v>
      </c>
      <c r="T1672" s="2" t="s">
        <v>647</v>
      </c>
      <c r="U1672" s="2" t="s">
        <v>342</v>
      </c>
      <c r="V1672" s="2" t="s">
        <v>241</v>
      </c>
      <c r="W1672" s="2" t="s">
        <v>275</v>
      </c>
      <c r="X1672" s="2" t="s">
        <v>397</v>
      </c>
      <c r="Y1672" s="2" t="s">
        <v>276</v>
      </c>
      <c r="Z1672" s="4"/>
      <c r="AA1672" s="4">
        <f>=ROUNDDOWN({0},0)</f>
      </c>
      <c r="AB1672" s="5">
        <v>13</v>
      </c>
      <c r="AC1672" s="2" t="s">
        <v>1341</v>
      </c>
      <c r="AD1672" s="4">
        <v>100</v>
      </c>
      <c r="AE1672" s="4">
        <v>100</v>
      </c>
      <c r="AF1672" s="6">
        <v>65</v>
      </c>
      <c r="AG1672" s="6"/>
      <c r="AH1672" s="7">
        <v>0</v>
      </c>
      <c r="AI1672" s="4"/>
      <c r="AJ1672" s="4">
        <f>=ROUNDDOWN({0},0)</f>
      </c>
      <c r="AK1672" s="5"/>
      <c r="AL1672" s="2" t="s">
        <v>233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233</v>
      </c>
      <c r="AW1672" s="8" t="s">
        <v>233</v>
      </c>
      <c r="AX1672" s="4" t="s">
        <v>233</v>
      </c>
      <c r="AY1672" s="8" t="s">
        <v>233</v>
      </c>
      <c r="AZ1672" s="7" t="s">
        <v>233</v>
      </c>
      <c r="BA1672" s="7" t="s">
        <v>233</v>
      </c>
      <c r="BB1672" s="7"/>
      <c r="BC1672" s="4" t="s">
        <v>233</v>
      </c>
      <c r="BD1672" s="8" t="s">
        <v>233</v>
      </c>
      <c r="BE1672" s="4" t="s">
        <v>233</v>
      </c>
      <c r="BF1672" s="8" t="s">
        <v>233</v>
      </c>
      <c r="BG1672" s="7" t="s">
        <v>233</v>
      </c>
      <c r="BH1672" s="7" t="s">
        <v>233</v>
      </c>
      <c r="BI1672" s="7"/>
      <c r="BJ1672" s="4"/>
      <c r="BK1672" s="8"/>
      <c r="BL1672" s="2" t="s">
        <v>7962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7963</v>
      </c>
      <c r="BV1672" s="2" t="s">
        <v>233</v>
      </c>
      <c r="BW1672" s="2" t="s">
        <v>233</v>
      </c>
      <c r="BX1672" s="2" t="s">
        <v>243</v>
      </c>
      <c r="BY1672" s="2" t="s">
        <v>280</v>
      </c>
      <c r="BZ1672" s="2" t="s">
        <v>245</v>
      </c>
      <c r="CA1672" s="2" t="s">
        <v>281</v>
      </c>
      <c r="CB1672" s="2" t="s">
        <v>7964</v>
      </c>
      <c r="CC1672" s="2" t="s">
        <v>246</v>
      </c>
      <c r="CD1672" s="2" t="s">
        <v>233</v>
      </c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>
        <v>100</v>
      </c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  <c r="HM1672" s="4"/>
      <c r="HN1672" s="4"/>
      <c r="HO1672" s="4"/>
      <c r="HP1672" s="4"/>
      <c r="HQ1672" s="4"/>
      <c r="HR1672" s="4"/>
    </row>
    <row r="1673">
      <c r="A1673" s="2" t="s">
        <v>7965</v>
      </c>
      <c r="B1673" s="2" t="s">
        <v>333</v>
      </c>
      <c r="C1673" s="2" t="s">
        <v>1050</v>
      </c>
      <c r="D1673" s="2" t="s">
        <v>335</v>
      </c>
      <c r="E1673" s="2" t="s">
        <v>336</v>
      </c>
      <c r="F1673" s="2" t="s">
        <v>7894</v>
      </c>
      <c r="G1673" s="2" t="s">
        <v>7894</v>
      </c>
      <c r="H1673" s="2" t="s">
        <v>7894</v>
      </c>
      <c r="I1673" s="2" t="s">
        <v>338</v>
      </c>
      <c r="J1673" s="2" t="s">
        <v>328</v>
      </c>
      <c r="K1673" s="2" t="s">
        <v>7966</v>
      </c>
      <c r="L1673" s="3">
        <v>34.5</v>
      </c>
      <c r="M1673" s="3">
        <v>36.22</v>
      </c>
      <c r="N1673" s="3">
        <v>74.99</v>
      </c>
      <c r="O1673" s="2" t="s">
        <v>245</v>
      </c>
      <c r="P1673" s="2" t="s">
        <v>311</v>
      </c>
      <c r="Q1673" s="2" t="s">
        <v>239</v>
      </c>
      <c r="R1673" s="2" t="s">
        <v>233</v>
      </c>
      <c r="S1673" s="2" t="s">
        <v>7967</v>
      </c>
      <c r="T1673" s="2" t="s">
        <v>647</v>
      </c>
      <c r="U1673" s="2" t="s">
        <v>342</v>
      </c>
      <c r="V1673" s="2" t="s">
        <v>1658</v>
      </c>
      <c r="W1673" s="2" t="s">
        <v>275</v>
      </c>
      <c r="X1673" s="2" t="s">
        <v>397</v>
      </c>
      <c r="Y1673" s="2" t="s">
        <v>276</v>
      </c>
      <c r="Z1673" s="4">
        <v>4</v>
      </c>
      <c r="AA1673" s="4">
        <f>=ROUNDDOWN(0.784313725490196,0)</f>
      </c>
      <c r="AB1673" s="5">
        <v>5.1</v>
      </c>
      <c r="AC1673" s="2" t="s">
        <v>233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233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 t="s">
        <v>233</v>
      </c>
      <c r="BD1673" s="8" t="s">
        <v>233</v>
      </c>
      <c r="BE1673" s="4" t="s">
        <v>233</v>
      </c>
      <c r="BF1673" s="8" t="s">
        <v>233</v>
      </c>
      <c r="BG1673" s="7" t="s">
        <v>233</v>
      </c>
      <c r="BH1673" s="7" t="s">
        <v>233</v>
      </c>
      <c r="BI1673" s="7"/>
      <c r="BJ1673" s="4">
        <v>6</v>
      </c>
      <c r="BK1673" s="8">
        <v>225.1</v>
      </c>
      <c r="BL1673" s="2" t="s">
        <v>7968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7969</v>
      </c>
      <c r="BV1673" s="2" t="s">
        <v>233</v>
      </c>
      <c r="BW1673" s="2" t="s">
        <v>233</v>
      </c>
      <c r="BX1673" s="2" t="s">
        <v>595</v>
      </c>
      <c r="BY1673" s="2" t="s">
        <v>280</v>
      </c>
      <c r="BZ1673" s="2" t="s">
        <v>245</v>
      </c>
      <c r="CA1673" s="2" t="s">
        <v>287</v>
      </c>
      <c r="CB1673" s="2" t="s">
        <v>7970</v>
      </c>
      <c r="CC1673" s="2" t="s">
        <v>246</v>
      </c>
      <c r="CD1673" s="2" t="s">
        <v>233</v>
      </c>
      <c r="CE1673" s="4">
        <v>4</v>
      </c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  <c r="HM1673" s="4"/>
      <c r="HN1673" s="4"/>
      <c r="HO1673" s="4"/>
      <c r="HP1673" s="4"/>
      <c r="HQ1673" s="4"/>
      <c r="HR1673" s="4"/>
    </row>
    <row r="1674">
      <c r="A1674" s="2" t="s">
        <v>7971</v>
      </c>
      <c r="B1674" s="2" t="s">
        <v>333</v>
      </c>
      <c r="C1674" s="2" t="s">
        <v>1050</v>
      </c>
      <c r="D1674" s="2" t="s">
        <v>335</v>
      </c>
      <c r="E1674" s="2" t="s">
        <v>336</v>
      </c>
      <c r="F1674" s="2" t="s">
        <v>7894</v>
      </c>
      <c r="G1674" s="2" t="s">
        <v>7894</v>
      </c>
      <c r="H1674" s="2" t="s">
        <v>7894</v>
      </c>
      <c r="I1674" s="2" t="s">
        <v>338</v>
      </c>
      <c r="J1674" s="2" t="s">
        <v>270</v>
      </c>
      <c r="K1674" s="2" t="s">
        <v>449</v>
      </c>
      <c r="L1674" s="3">
        <v>21.62</v>
      </c>
      <c r="M1674" s="3">
        <v>22.7</v>
      </c>
      <c r="N1674" s="3">
        <v>46.99</v>
      </c>
      <c r="O1674" s="2" t="s">
        <v>245</v>
      </c>
      <c r="P1674" s="2" t="s">
        <v>272</v>
      </c>
      <c r="Q1674" s="2" t="s">
        <v>239</v>
      </c>
      <c r="R1674" s="2" t="s">
        <v>233</v>
      </c>
      <c r="S1674" s="2" t="s">
        <v>7972</v>
      </c>
      <c r="T1674" s="2" t="s">
        <v>647</v>
      </c>
      <c r="U1674" s="2" t="s">
        <v>475</v>
      </c>
      <c r="V1674" s="2" t="s">
        <v>241</v>
      </c>
      <c r="W1674" s="2" t="s">
        <v>275</v>
      </c>
      <c r="X1674" s="2" t="s">
        <v>397</v>
      </c>
      <c r="Y1674" s="2" t="s">
        <v>276</v>
      </c>
      <c r="Z1674" s="4">
        <v>52</v>
      </c>
      <c r="AA1674" s="4">
        <f>=ROUNDDOWN(5.2,0)</f>
      </c>
      <c r="AB1674" s="5">
        <v>10</v>
      </c>
      <c r="AC1674" s="2" t="s">
        <v>1341</v>
      </c>
      <c r="AD1674" s="4">
        <v>70</v>
      </c>
      <c r="AE1674" s="4">
        <v>70</v>
      </c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233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233</v>
      </c>
      <c r="AW1674" s="8" t="s">
        <v>233</v>
      </c>
      <c r="AX1674" s="4" t="s">
        <v>233</v>
      </c>
      <c r="AY1674" s="8" t="s">
        <v>233</v>
      </c>
      <c r="AZ1674" s="7" t="s">
        <v>233</v>
      </c>
      <c r="BA1674" s="7" t="s">
        <v>233</v>
      </c>
      <c r="BB1674" s="7"/>
      <c r="BC1674" s="4" t="s">
        <v>233</v>
      </c>
      <c r="BD1674" s="8" t="s">
        <v>233</v>
      </c>
      <c r="BE1674" s="4" t="s">
        <v>233</v>
      </c>
      <c r="BF1674" s="8" t="s">
        <v>233</v>
      </c>
      <c r="BG1674" s="7" t="s">
        <v>233</v>
      </c>
      <c r="BH1674" s="7" t="s">
        <v>233</v>
      </c>
      <c r="BI1674" s="7"/>
      <c r="BJ1674" s="4">
        <v>7</v>
      </c>
      <c r="BK1674" s="8">
        <v>167.01</v>
      </c>
      <c r="BL1674" s="2" t="s">
        <v>3928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7973</v>
      </c>
      <c r="BV1674" s="2" t="s">
        <v>233</v>
      </c>
      <c r="BW1674" s="2" t="s">
        <v>233</v>
      </c>
      <c r="BX1674" s="2" t="s">
        <v>243</v>
      </c>
      <c r="BY1674" s="2" t="s">
        <v>280</v>
      </c>
      <c r="BZ1674" s="2" t="s">
        <v>245</v>
      </c>
      <c r="CA1674" s="2" t="s">
        <v>281</v>
      </c>
      <c r="CB1674" s="2" t="s">
        <v>7974</v>
      </c>
      <c r="CC1674" s="2" t="s">
        <v>246</v>
      </c>
      <c r="CD1674" s="2" t="s">
        <v>233</v>
      </c>
      <c r="CE1674" s="4">
        <v>52</v>
      </c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>
        <v>70</v>
      </c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  <c r="HM1674" s="4"/>
      <c r="HN1674" s="4"/>
      <c r="HO1674" s="4"/>
      <c r="HP1674" s="4"/>
      <c r="HQ1674" s="4"/>
      <c r="HR1674" s="4"/>
    </row>
    <row r="1675">
      <c r="A1675" s="2" t="s">
        <v>7975</v>
      </c>
      <c r="B1675" s="2" t="s">
        <v>333</v>
      </c>
      <c r="C1675" s="2" t="s">
        <v>1050</v>
      </c>
      <c r="D1675" s="2" t="s">
        <v>335</v>
      </c>
      <c r="E1675" s="2" t="s">
        <v>336</v>
      </c>
      <c r="F1675" s="2" t="s">
        <v>7894</v>
      </c>
      <c r="G1675" s="2" t="s">
        <v>7894</v>
      </c>
      <c r="H1675" s="2" t="s">
        <v>7894</v>
      </c>
      <c r="I1675" s="2" t="s">
        <v>338</v>
      </c>
      <c r="J1675" s="2" t="s">
        <v>290</v>
      </c>
      <c r="K1675" s="2" t="s">
        <v>449</v>
      </c>
      <c r="L1675" s="3">
        <v>25.3</v>
      </c>
      <c r="M1675" s="3">
        <v>26.56</v>
      </c>
      <c r="N1675" s="3">
        <v>54.99</v>
      </c>
      <c r="O1675" s="2" t="s">
        <v>245</v>
      </c>
      <c r="P1675" s="2" t="s">
        <v>272</v>
      </c>
      <c r="Q1675" s="2" t="s">
        <v>239</v>
      </c>
      <c r="R1675" s="2" t="s">
        <v>233</v>
      </c>
      <c r="S1675" s="2" t="s">
        <v>7972</v>
      </c>
      <c r="T1675" s="2" t="s">
        <v>647</v>
      </c>
      <c r="U1675" s="2" t="s">
        <v>342</v>
      </c>
      <c r="V1675" s="2" t="s">
        <v>241</v>
      </c>
      <c r="W1675" s="2" t="s">
        <v>275</v>
      </c>
      <c r="X1675" s="2" t="s">
        <v>397</v>
      </c>
      <c r="Y1675" s="2" t="s">
        <v>276</v>
      </c>
      <c r="Z1675" s="4">
        <v>4</v>
      </c>
      <c r="AA1675" s="4">
        <f>=ROUNDDOWN(0.444444444444444,0)</f>
      </c>
      <c r="AB1675" s="5">
        <v>9</v>
      </c>
      <c r="AC1675" s="2" t="s">
        <v>1341</v>
      </c>
      <c r="AD1675" s="4">
        <v>90</v>
      </c>
      <c r="AE1675" s="4">
        <v>90</v>
      </c>
      <c r="AF1675" s="6">
        <v>65</v>
      </c>
      <c r="AG1675" s="6"/>
      <c r="AH1675" s="7">
        <v>0.9677</v>
      </c>
      <c r="AI1675" s="4"/>
      <c r="AJ1675" s="4">
        <f>=ROUNDDOWN({0},0)</f>
      </c>
      <c r="AK1675" s="5"/>
      <c r="AL1675" s="2" t="s">
        <v>233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233</v>
      </c>
      <c r="AW1675" s="8" t="s">
        <v>233</v>
      </c>
      <c r="AX1675" s="4" t="s">
        <v>233</v>
      </c>
      <c r="AY1675" s="8" t="s">
        <v>233</v>
      </c>
      <c r="AZ1675" s="7" t="s">
        <v>233</v>
      </c>
      <c r="BA1675" s="7" t="s">
        <v>233</v>
      </c>
      <c r="BB1675" s="7"/>
      <c r="BC1675" s="4" t="s">
        <v>233</v>
      </c>
      <c r="BD1675" s="8" t="s">
        <v>233</v>
      </c>
      <c r="BE1675" s="4" t="s">
        <v>233</v>
      </c>
      <c r="BF1675" s="8" t="s">
        <v>233</v>
      </c>
      <c r="BG1675" s="7" t="s">
        <v>233</v>
      </c>
      <c r="BH1675" s="7" t="s">
        <v>233</v>
      </c>
      <c r="BI1675" s="7"/>
      <c r="BJ1675" s="4">
        <v>10</v>
      </c>
      <c r="BK1675" s="8">
        <v>277.72</v>
      </c>
      <c r="BL1675" s="2" t="s">
        <v>7976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7977</v>
      </c>
      <c r="BV1675" s="2" t="s">
        <v>233</v>
      </c>
      <c r="BW1675" s="2" t="s">
        <v>233</v>
      </c>
      <c r="BX1675" s="2" t="s">
        <v>243</v>
      </c>
      <c r="BY1675" s="2" t="s">
        <v>280</v>
      </c>
      <c r="BZ1675" s="2" t="s">
        <v>245</v>
      </c>
      <c r="CA1675" s="2" t="s">
        <v>281</v>
      </c>
      <c r="CB1675" s="2" t="s">
        <v>528</v>
      </c>
      <c r="CC1675" s="2" t="s">
        <v>246</v>
      </c>
      <c r="CD1675" s="2" t="s">
        <v>233</v>
      </c>
      <c r="CE1675" s="4">
        <v>4</v>
      </c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>
        <v>90</v>
      </c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  <c r="HM1675" s="4"/>
      <c r="HN1675" s="4"/>
      <c r="HO1675" s="4"/>
      <c r="HP1675" s="4"/>
      <c r="HQ1675" s="4"/>
      <c r="HR1675" s="4"/>
    </row>
    <row r="1676">
      <c r="A1676" s="2" t="s">
        <v>7978</v>
      </c>
      <c r="B1676" s="2" t="s">
        <v>333</v>
      </c>
      <c r="C1676" s="2" t="s">
        <v>1050</v>
      </c>
      <c r="D1676" s="2" t="s">
        <v>335</v>
      </c>
      <c r="E1676" s="2" t="s">
        <v>336</v>
      </c>
      <c r="F1676" s="2" t="s">
        <v>7894</v>
      </c>
      <c r="G1676" s="2" t="s">
        <v>7894</v>
      </c>
      <c r="H1676" s="2" t="s">
        <v>7894</v>
      </c>
      <c r="I1676" s="2" t="s">
        <v>338</v>
      </c>
      <c r="J1676" s="2" t="s">
        <v>348</v>
      </c>
      <c r="K1676" s="2" t="s">
        <v>449</v>
      </c>
      <c r="L1676" s="3">
        <v>28.2</v>
      </c>
      <c r="M1676" s="3">
        <v>29.61</v>
      </c>
      <c r="N1676" s="3">
        <v>59.99</v>
      </c>
      <c r="O1676" s="2" t="s">
        <v>245</v>
      </c>
      <c r="P1676" s="2" t="s">
        <v>741</v>
      </c>
      <c r="Q1676" s="2" t="s">
        <v>239</v>
      </c>
      <c r="R1676" s="2" t="s">
        <v>233</v>
      </c>
      <c r="S1676" s="2" t="s">
        <v>7972</v>
      </c>
      <c r="T1676" s="2" t="s">
        <v>647</v>
      </c>
      <c r="U1676" s="2" t="s">
        <v>342</v>
      </c>
      <c r="V1676" s="2" t="s">
        <v>241</v>
      </c>
      <c r="W1676" s="2" t="s">
        <v>275</v>
      </c>
      <c r="X1676" s="2" t="s">
        <v>397</v>
      </c>
      <c r="Y1676" s="2" t="s">
        <v>276</v>
      </c>
      <c r="Z1676" s="4"/>
      <c r="AA1676" s="4">
        <f>=ROUNDDOWN({0},0)</f>
      </c>
      <c r="AB1676" s="5">
        <v>26</v>
      </c>
      <c r="AC1676" s="2" t="s">
        <v>1341</v>
      </c>
      <c r="AD1676" s="4">
        <v>220</v>
      </c>
      <c r="AE1676" s="4">
        <v>220</v>
      </c>
      <c r="AF1676" s="6">
        <v>65</v>
      </c>
      <c r="AG1676" s="6"/>
      <c r="AH1676" s="7">
        <v>0</v>
      </c>
      <c r="AI1676" s="4"/>
      <c r="AJ1676" s="4">
        <f>=ROUNDDOWN({0},0)</f>
      </c>
      <c r="AK1676" s="5"/>
      <c r="AL1676" s="2" t="s">
        <v>233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233</v>
      </c>
      <c r="AW1676" s="8" t="s">
        <v>233</v>
      </c>
      <c r="AX1676" s="4" t="s">
        <v>233</v>
      </c>
      <c r="AY1676" s="8" t="s">
        <v>233</v>
      </c>
      <c r="AZ1676" s="7" t="s">
        <v>233</v>
      </c>
      <c r="BA1676" s="7" t="s">
        <v>233</v>
      </c>
      <c r="BB1676" s="7"/>
      <c r="BC1676" s="4" t="s">
        <v>233</v>
      </c>
      <c r="BD1676" s="8" t="s">
        <v>233</v>
      </c>
      <c r="BE1676" s="4" t="s">
        <v>233</v>
      </c>
      <c r="BF1676" s="8" t="s">
        <v>233</v>
      </c>
      <c r="BG1676" s="7" t="s">
        <v>233</v>
      </c>
      <c r="BH1676" s="7" t="s">
        <v>233</v>
      </c>
      <c r="BI1676" s="7"/>
      <c r="BJ1676" s="4"/>
      <c r="BK1676" s="8"/>
      <c r="BL1676" s="2" t="s">
        <v>6299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7979</v>
      </c>
      <c r="BV1676" s="2" t="s">
        <v>233</v>
      </c>
      <c r="BW1676" s="2" t="s">
        <v>233</v>
      </c>
      <c r="BX1676" s="2" t="s">
        <v>243</v>
      </c>
      <c r="BY1676" s="2" t="s">
        <v>280</v>
      </c>
      <c r="BZ1676" s="2" t="s">
        <v>245</v>
      </c>
      <c r="CA1676" s="2" t="s">
        <v>281</v>
      </c>
      <c r="CB1676" s="2" t="s">
        <v>633</v>
      </c>
      <c r="CC1676" s="2" t="s">
        <v>246</v>
      </c>
      <c r="CD1676" s="2" t="s">
        <v>233</v>
      </c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>
        <v>220</v>
      </c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  <c r="HG1676" s="4"/>
      <c r="HH1676" s="4"/>
      <c r="HI1676" s="4"/>
      <c r="HJ1676" s="4"/>
      <c r="HK1676" s="4"/>
      <c r="HL1676" s="4"/>
      <c r="HM1676" s="4"/>
      <c r="HN1676" s="4"/>
      <c r="HO1676" s="4"/>
      <c r="HP1676" s="4"/>
      <c r="HQ1676" s="4"/>
      <c r="HR1676" s="4"/>
    </row>
    <row r="1677">
      <c r="A1677" s="2" t="s">
        <v>7980</v>
      </c>
      <c r="B1677" s="2" t="s">
        <v>333</v>
      </c>
      <c r="C1677" s="2" t="s">
        <v>1050</v>
      </c>
      <c r="D1677" s="2" t="s">
        <v>335</v>
      </c>
      <c r="E1677" s="2" t="s">
        <v>336</v>
      </c>
      <c r="F1677" s="2" t="s">
        <v>7894</v>
      </c>
      <c r="G1677" s="2" t="s">
        <v>7894</v>
      </c>
      <c r="H1677" s="2" t="s">
        <v>7894</v>
      </c>
      <c r="I1677" s="2" t="s">
        <v>338</v>
      </c>
      <c r="J1677" s="2" t="s">
        <v>328</v>
      </c>
      <c r="K1677" s="2" t="s">
        <v>449</v>
      </c>
      <c r="L1677" s="3">
        <v>31.2</v>
      </c>
      <c r="M1677" s="3">
        <v>32.76</v>
      </c>
      <c r="N1677" s="3">
        <v>64.99</v>
      </c>
      <c r="O1677" s="2" t="s">
        <v>245</v>
      </c>
      <c r="P1677" s="2" t="s">
        <v>272</v>
      </c>
      <c r="Q1677" s="2" t="s">
        <v>239</v>
      </c>
      <c r="R1677" s="2" t="s">
        <v>233</v>
      </c>
      <c r="S1677" s="2" t="s">
        <v>7972</v>
      </c>
      <c r="T1677" s="2" t="s">
        <v>647</v>
      </c>
      <c r="U1677" s="2" t="s">
        <v>342</v>
      </c>
      <c r="V1677" s="2" t="s">
        <v>241</v>
      </c>
      <c r="W1677" s="2" t="s">
        <v>275</v>
      </c>
      <c r="X1677" s="2" t="s">
        <v>397</v>
      </c>
      <c r="Y1677" s="2" t="s">
        <v>276</v>
      </c>
      <c r="Z1677" s="4">
        <v>2</v>
      </c>
      <c r="AA1677" s="4">
        <f>=ROUNDDOWN(0.153846153846154,0)</f>
      </c>
      <c r="AB1677" s="5">
        <v>13</v>
      </c>
      <c r="AC1677" s="2" t="s">
        <v>1341</v>
      </c>
      <c r="AD1677" s="4">
        <v>110</v>
      </c>
      <c r="AE1677" s="4">
        <v>110</v>
      </c>
      <c r="AF1677" s="6">
        <v>65</v>
      </c>
      <c r="AG1677" s="6"/>
      <c r="AH1677" s="7">
        <v>0</v>
      </c>
      <c r="AI1677" s="4"/>
      <c r="AJ1677" s="4">
        <f>=ROUNDDOWN({0},0)</f>
      </c>
      <c r="AK1677" s="5"/>
      <c r="AL1677" s="2" t="s">
        <v>233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233</v>
      </c>
      <c r="AW1677" s="8" t="s">
        <v>233</v>
      </c>
      <c r="AX1677" s="4" t="s">
        <v>233</v>
      </c>
      <c r="AY1677" s="8" t="s">
        <v>233</v>
      </c>
      <c r="AZ1677" s="7" t="s">
        <v>233</v>
      </c>
      <c r="BA1677" s="7" t="s">
        <v>233</v>
      </c>
      <c r="BB1677" s="7"/>
      <c r="BC1677" s="4" t="s">
        <v>233</v>
      </c>
      <c r="BD1677" s="8" t="s">
        <v>233</v>
      </c>
      <c r="BE1677" s="4" t="s">
        <v>233</v>
      </c>
      <c r="BF1677" s="8" t="s">
        <v>233</v>
      </c>
      <c r="BG1677" s="7" t="s">
        <v>233</v>
      </c>
      <c r="BH1677" s="7" t="s">
        <v>233</v>
      </c>
      <c r="BI1677" s="7"/>
      <c r="BJ1677" s="4"/>
      <c r="BK1677" s="8"/>
      <c r="BL1677" s="2" t="s">
        <v>7981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7982</v>
      </c>
      <c r="BV1677" s="2" t="s">
        <v>233</v>
      </c>
      <c r="BW1677" s="2" t="s">
        <v>233</v>
      </c>
      <c r="BX1677" s="2" t="s">
        <v>243</v>
      </c>
      <c r="BY1677" s="2" t="s">
        <v>280</v>
      </c>
      <c r="BZ1677" s="2" t="s">
        <v>245</v>
      </c>
      <c r="CA1677" s="2" t="s">
        <v>281</v>
      </c>
      <c r="CB1677" s="2" t="s">
        <v>7983</v>
      </c>
      <c r="CC1677" s="2" t="s">
        <v>246</v>
      </c>
      <c r="CD1677" s="2" t="s">
        <v>233</v>
      </c>
      <c r="CE1677" s="4">
        <v>2</v>
      </c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>
        <v>110</v>
      </c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  <c r="HG1677" s="4"/>
      <c r="HH1677" s="4"/>
      <c r="HI1677" s="4"/>
      <c r="HJ1677" s="4"/>
      <c r="HK1677" s="4"/>
      <c r="HL1677" s="4"/>
      <c r="HM1677" s="4"/>
      <c r="HN1677" s="4"/>
      <c r="HO1677" s="4"/>
      <c r="HP1677" s="4"/>
      <c r="HQ1677" s="4"/>
      <c r="HR1677" s="4"/>
    </row>
    <row r="1678">
      <c r="A1678" s="2" t="s">
        <v>7984</v>
      </c>
      <c r="B1678" s="2" t="s">
        <v>228</v>
      </c>
      <c r="C1678" s="2" t="s">
        <v>1050</v>
      </c>
      <c r="D1678" s="2" t="s">
        <v>230</v>
      </c>
      <c r="E1678" s="2" t="s">
        <v>231</v>
      </c>
      <c r="F1678" s="2" t="s">
        <v>7894</v>
      </c>
      <c r="G1678" s="2" t="s">
        <v>7894</v>
      </c>
      <c r="H1678" s="2" t="s">
        <v>7894</v>
      </c>
      <c r="I1678" s="2" t="s">
        <v>231</v>
      </c>
      <c r="J1678" s="2" t="s">
        <v>270</v>
      </c>
      <c r="K1678" s="2" t="s">
        <v>255</v>
      </c>
      <c r="L1678" s="3">
        <v>10.75</v>
      </c>
      <c r="M1678" s="3">
        <v>11.29</v>
      </c>
      <c r="N1678" s="3">
        <v>24.99</v>
      </c>
      <c r="O1678" s="2" t="s">
        <v>245</v>
      </c>
      <c r="P1678" s="2" t="s">
        <v>996</v>
      </c>
      <c r="Q1678" s="2" t="s">
        <v>239</v>
      </c>
      <c r="R1678" s="2" t="s">
        <v>233</v>
      </c>
      <c r="S1678" s="2" t="s">
        <v>7985</v>
      </c>
      <c r="T1678" s="2" t="s">
        <v>647</v>
      </c>
      <c r="U1678" s="2" t="s">
        <v>396</v>
      </c>
      <c r="V1678" s="2" t="s">
        <v>241</v>
      </c>
      <c r="W1678" s="2" t="s">
        <v>275</v>
      </c>
      <c r="X1678" s="2" t="s">
        <v>233</v>
      </c>
      <c r="Y1678" s="2" t="s">
        <v>7986</v>
      </c>
      <c r="Z1678" s="4">
        <v>75</v>
      </c>
      <c r="AA1678" s="4">
        <f>=ROUNDDOWN(9.375,0)</f>
      </c>
      <c r="AB1678" s="5">
        <v>8</v>
      </c>
      <c r="AC1678" s="2" t="s">
        <v>233</v>
      </c>
      <c r="AD1678" s="4"/>
      <c r="AE1678" s="4"/>
      <c r="AF1678" s="6">
        <v>64</v>
      </c>
      <c r="AG1678" s="6"/>
      <c r="AH1678" s="7">
        <v>1</v>
      </c>
      <c r="AI1678" s="4"/>
      <c r="AJ1678" s="4">
        <f>=ROUNDDOWN({0},0)</f>
      </c>
      <c r="AK1678" s="5"/>
      <c r="AL1678" s="2" t="s">
        <v>233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233</v>
      </c>
      <c r="AW1678" s="8" t="s">
        <v>233</v>
      </c>
      <c r="AX1678" s="4" t="s">
        <v>233</v>
      </c>
      <c r="AY1678" s="8" t="s">
        <v>233</v>
      </c>
      <c r="AZ1678" s="7" t="s">
        <v>233</v>
      </c>
      <c r="BA1678" s="7" t="s">
        <v>233</v>
      </c>
      <c r="BB1678" s="7" t="s">
        <v>233</v>
      </c>
      <c r="BC1678" s="4" t="s">
        <v>233</v>
      </c>
      <c r="BD1678" s="8" t="s">
        <v>233</v>
      </c>
      <c r="BE1678" s="4" t="s">
        <v>233</v>
      </c>
      <c r="BF1678" s="8" t="s">
        <v>233</v>
      </c>
      <c r="BG1678" s="7" t="s">
        <v>233</v>
      </c>
      <c r="BH1678" s="7" t="s">
        <v>233</v>
      </c>
      <c r="BI1678" s="7"/>
      <c r="BJ1678" s="4">
        <v>35</v>
      </c>
      <c r="BK1678" s="8">
        <v>409.62</v>
      </c>
      <c r="BL1678" s="2" t="s">
        <v>7987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7988</v>
      </c>
      <c r="BV1678" s="2" t="s">
        <v>233</v>
      </c>
      <c r="BW1678" s="2" t="s">
        <v>233</v>
      </c>
      <c r="BX1678" s="2" t="s">
        <v>233</v>
      </c>
      <c r="BY1678" s="2" t="s">
        <v>280</v>
      </c>
      <c r="BZ1678" s="2" t="s">
        <v>245</v>
      </c>
      <c r="CA1678" s="2" t="s">
        <v>4612</v>
      </c>
      <c r="CB1678" s="2" t="s">
        <v>4626</v>
      </c>
      <c r="CC1678" s="2" t="s">
        <v>246</v>
      </c>
      <c r="CD1678" s="2" t="s">
        <v>233</v>
      </c>
      <c r="CE1678" s="4">
        <v>75</v>
      </c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  <c r="HG1678" s="4"/>
      <c r="HH1678" s="4"/>
      <c r="HI1678" s="4"/>
      <c r="HJ1678" s="4"/>
      <c r="HK1678" s="4"/>
      <c r="HL1678" s="4"/>
      <c r="HM1678" s="4"/>
      <c r="HN1678" s="4"/>
      <c r="HO1678" s="4"/>
      <c r="HP1678" s="4"/>
      <c r="HQ1678" s="4"/>
      <c r="HR1678" s="4"/>
    </row>
    <row r="1679">
      <c r="A1679" s="2" t="s">
        <v>7989</v>
      </c>
      <c r="B1679" s="2" t="s">
        <v>333</v>
      </c>
      <c r="C1679" s="2" t="s">
        <v>1050</v>
      </c>
      <c r="D1679" s="2" t="s">
        <v>335</v>
      </c>
      <c r="E1679" s="2" t="s">
        <v>336</v>
      </c>
      <c r="F1679" s="2" t="s">
        <v>7894</v>
      </c>
      <c r="G1679" s="2" t="s">
        <v>7894</v>
      </c>
      <c r="H1679" s="2" t="s">
        <v>7894</v>
      </c>
      <c r="I1679" s="2" t="s">
        <v>338</v>
      </c>
      <c r="J1679" s="2" t="s">
        <v>270</v>
      </c>
      <c r="K1679" s="2" t="s">
        <v>255</v>
      </c>
      <c r="L1679" s="3">
        <v>21.62</v>
      </c>
      <c r="M1679" s="3">
        <v>22.7</v>
      </c>
      <c r="N1679" s="3">
        <v>46.99</v>
      </c>
      <c r="O1679" s="2" t="s">
        <v>245</v>
      </c>
      <c r="P1679" s="2" t="s">
        <v>272</v>
      </c>
      <c r="Q1679" s="2" t="s">
        <v>239</v>
      </c>
      <c r="R1679" s="2" t="s">
        <v>233</v>
      </c>
      <c r="S1679" s="2" t="s">
        <v>7990</v>
      </c>
      <c r="T1679" s="2" t="s">
        <v>647</v>
      </c>
      <c r="U1679" s="2" t="s">
        <v>475</v>
      </c>
      <c r="V1679" s="2" t="s">
        <v>241</v>
      </c>
      <c r="W1679" s="2" t="s">
        <v>275</v>
      </c>
      <c r="X1679" s="2" t="s">
        <v>397</v>
      </c>
      <c r="Y1679" s="2" t="s">
        <v>276</v>
      </c>
      <c r="Z1679" s="4">
        <v>132</v>
      </c>
      <c r="AA1679" s="4">
        <f>=ROUNDDOWN(5.73913043478261,0)</f>
      </c>
      <c r="AB1679" s="5">
        <v>23</v>
      </c>
      <c r="AC1679" s="2" t="s">
        <v>1341</v>
      </c>
      <c r="AD1679" s="4">
        <v>130</v>
      </c>
      <c r="AE1679" s="4">
        <v>130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233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233</v>
      </c>
      <c r="AW1679" s="8" t="s">
        <v>233</v>
      </c>
      <c r="AX1679" s="4" t="s">
        <v>233</v>
      </c>
      <c r="AY1679" s="8" t="s">
        <v>233</v>
      </c>
      <c r="AZ1679" s="7" t="s">
        <v>233</v>
      </c>
      <c r="BA1679" s="7" t="s">
        <v>233</v>
      </c>
      <c r="BB1679" s="7" t="s">
        <v>233</v>
      </c>
      <c r="BC1679" s="4" t="s">
        <v>233</v>
      </c>
      <c r="BD1679" s="8" t="s">
        <v>233</v>
      </c>
      <c r="BE1679" s="4" t="s">
        <v>233</v>
      </c>
      <c r="BF1679" s="8" t="s">
        <v>233</v>
      </c>
      <c r="BG1679" s="7" t="s">
        <v>233</v>
      </c>
      <c r="BH1679" s="7" t="s">
        <v>233</v>
      </c>
      <c r="BI1679" s="7"/>
      <c r="BJ1679" s="4">
        <v>17</v>
      </c>
      <c r="BK1679" s="8">
        <v>402.38</v>
      </c>
      <c r="BL1679" s="2" t="s">
        <v>6299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7991</v>
      </c>
      <c r="BV1679" s="2" t="s">
        <v>233</v>
      </c>
      <c r="BW1679" s="2" t="s">
        <v>233</v>
      </c>
      <c r="BX1679" s="2" t="s">
        <v>243</v>
      </c>
      <c r="BY1679" s="2" t="s">
        <v>280</v>
      </c>
      <c r="BZ1679" s="2" t="s">
        <v>245</v>
      </c>
      <c r="CA1679" s="2" t="s">
        <v>281</v>
      </c>
      <c r="CB1679" s="2" t="s">
        <v>7992</v>
      </c>
      <c r="CC1679" s="2" t="s">
        <v>246</v>
      </c>
      <c r="CD1679" s="2" t="s">
        <v>233</v>
      </c>
      <c r="CE1679" s="4">
        <v>132</v>
      </c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>
        <v>130</v>
      </c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  <c r="HG1679" s="4"/>
      <c r="HH1679" s="4"/>
      <c r="HI1679" s="4"/>
      <c r="HJ1679" s="4"/>
      <c r="HK1679" s="4"/>
      <c r="HL1679" s="4"/>
      <c r="HM1679" s="4"/>
      <c r="HN1679" s="4"/>
      <c r="HO1679" s="4"/>
      <c r="HP1679" s="4"/>
      <c r="HQ1679" s="4"/>
      <c r="HR1679" s="4"/>
    </row>
    <row r="1680">
      <c r="A1680" s="2" t="s">
        <v>7993</v>
      </c>
      <c r="B1680" s="2" t="s">
        <v>333</v>
      </c>
      <c r="C1680" s="2" t="s">
        <v>1050</v>
      </c>
      <c r="D1680" s="2" t="s">
        <v>335</v>
      </c>
      <c r="E1680" s="2" t="s">
        <v>336</v>
      </c>
      <c r="F1680" s="2" t="s">
        <v>7894</v>
      </c>
      <c r="G1680" s="2" t="s">
        <v>7894</v>
      </c>
      <c r="H1680" s="2" t="s">
        <v>7894</v>
      </c>
      <c r="I1680" s="2" t="s">
        <v>338</v>
      </c>
      <c r="J1680" s="2" t="s">
        <v>348</v>
      </c>
      <c r="K1680" s="2" t="s">
        <v>255</v>
      </c>
      <c r="L1680" s="3">
        <v>28.2</v>
      </c>
      <c r="M1680" s="3">
        <v>29.61</v>
      </c>
      <c r="N1680" s="3">
        <v>59.99</v>
      </c>
      <c r="O1680" s="2" t="s">
        <v>245</v>
      </c>
      <c r="P1680" s="2" t="s">
        <v>2943</v>
      </c>
      <c r="Q1680" s="2" t="s">
        <v>239</v>
      </c>
      <c r="R1680" s="2" t="s">
        <v>233</v>
      </c>
      <c r="S1680" s="2" t="s">
        <v>7990</v>
      </c>
      <c r="T1680" s="2" t="s">
        <v>647</v>
      </c>
      <c r="U1680" s="2" t="s">
        <v>342</v>
      </c>
      <c r="V1680" s="2" t="s">
        <v>241</v>
      </c>
      <c r="W1680" s="2" t="s">
        <v>275</v>
      </c>
      <c r="X1680" s="2" t="s">
        <v>397</v>
      </c>
      <c r="Y1680" s="2" t="s">
        <v>276</v>
      </c>
      <c r="Z1680" s="4">
        <v>3</v>
      </c>
      <c r="AA1680" s="4">
        <f>=ROUNDDOWN(0.0535714285714286,0)</f>
      </c>
      <c r="AB1680" s="5">
        <v>56</v>
      </c>
      <c r="AC1680" s="2" t="s">
        <v>1341</v>
      </c>
      <c r="AD1680" s="4">
        <v>460</v>
      </c>
      <c r="AE1680" s="4">
        <v>460</v>
      </c>
      <c r="AF1680" s="6">
        <v>65</v>
      </c>
      <c r="AG1680" s="6"/>
      <c r="AH1680" s="7">
        <v>0</v>
      </c>
      <c r="AI1680" s="4"/>
      <c r="AJ1680" s="4">
        <f>=ROUNDDOWN({0},0)</f>
      </c>
      <c r="AK1680" s="5"/>
      <c r="AL1680" s="2" t="s">
        <v>233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233</v>
      </c>
      <c r="AW1680" s="8" t="s">
        <v>233</v>
      </c>
      <c r="AX1680" s="4" t="s">
        <v>233</v>
      </c>
      <c r="AY1680" s="8" t="s">
        <v>233</v>
      </c>
      <c r="AZ1680" s="7" t="s">
        <v>233</v>
      </c>
      <c r="BA1680" s="7" t="s">
        <v>233</v>
      </c>
      <c r="BB1680" s="7"/>
      <c r="BC1680" s="4" t="s">
        <v>233</v>
      </c>
      <c r="BD1680" s="8" t="s">
        <v>233</v>
      </c>
      <c r="BE1680" s="4" t="s">
        <v>233</v>
      </c>
      <c r="BF1680" s="8" t="s">
        <v>233</v>
      </c>
      <c r="BG1680" s="7" t="s">
        <v>233</v>
      </c>
      <c r="BH1680" s="7" t="s">
        <v>233</v>
      </c>
      <c r="BI1680" s="7"/>
      <c r="BJ1680" s="4"/>
      <c r="BK1680" s="8"/>
      <c r="BL1680" s="2" t="s">
        <v>7994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7995</v>
      </c>
      <c r="BV1680" s="2" t="s">
        <v>233</v>
      </c>
      <c r="BW1680" s="2" t="s">
        <v>233</v>
      </c>
      <c r="BX1680" s="2" t="s">
        <v>243</v>
      </c>
      <c r="BY1680" s="2" t="s">
        <v>280</v>
      </c>
      <c r="BZ1680" s="2" t="s">
        <v>245</v>
      </c>
      <c r="CA1680" s="2" t="s">
        <v>281</v>
      </c>
      <c r="CB1680" s="2" t="s">
        <v>696</v>
      </c>
      <c r="CC1680" s="2" t="s">
        <v>246</v>
      </c>
      <c r="CD1680" s="2" t="s">
        <v>233</v>
      </c>
      <c r="CE1680" s="4">
        <v>3</v>
      </c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>
        <v>460</v>
      </c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  <c r="HG1680" s="4"/>
      <c r="HH1680" s="4"/>
      <c r="HI1680" s="4"/>
      <c r="HJ1680" s="4"/>
      <c r="HK1680" s="4"/>
      <c r="HL1680" s="4"/>
      <c r="HM1680" s="4"/>
      <c r="HN1680" s="4"/>
      <c r="HO1680" s="4"/>
      <c r="HP1680" s="4"/>
      <c r="HQ1680" s="4"/>
      <c r="HR1680" s="4"/>
    </row>
    <row r="1681">
      <c r="A1681" s="2" t="s">
        <v>7996</v>
      </c>
      <c r="B1681" s="2" t="s">
        <v>333</v>
      </c>
      <c r="C1681" s="2" t="s">
        <v>1050</v>
      </c>
      <c r="D1681" s="2" t="s">
        <v>335</v>
      </c>
      <c r="E1681" s="2" t="s">
        <v>336</v>
      </c>
      <c r="F1681" s="2" t="s">
        <v>7894</v>
      </c>
      <c r="G1681" s="2" t="s">
        <v>7894</v>
      </c>
      <c r="H1681" s="2" t="s">
        <v>7894</v>
      </c>
      <c r="I1681" s="2" t="s">
        <v>338</v>
      </c>
      <c r="J1681" s="2" t="s">
        <v>546</v>
      </c>
      <c r="K1681" s="2" t="s">
        <v>255</v>
      </c>
      <c r="L1681" s="3">
        <v>31.85</v>
      </c>
      <c r="M1681" s="3">
        <v>33.44</v>
      </c>
      <c r="N1681" s="3">
        <v>64.99</v>
      </c>
      <c r="O1681" s="2" t="s">
        <v>245</v>
      </c>
      <c r="P1681" s="2" t="s">
        <v>741</v>
      </c>
      <c r="Q1681" s="2" t="s">
        <v>239</v>
      </c>
      <c r="R1681" s="2" t="s">
        <v>233</v>
      </c>
      <c r="S1681" s="2" t="s">
        <v>7990</v>
      </c>
      <c r="T1681" s="2" t="s">
        <v>647</v>
      </c>
      <c r="U1681" s="2" t="s">
        <v>342</v>
      </c>
      <c r="V1681" s="2" t="s">
        <v>241</v>
      </c>
      <c r="W1681" s="2" t="s">
        <v>275</v>
      </c>
      <c r="X1681" s="2" t="s">
        <v>397</v>
      </c>
      <c r="Y1681" s="2" t="s">
        <v>276</v>
      </c>
      <c r="Z1681" s="4">
        <v>3</v>
      </c>
      <c r="AA1681" s="4">
        <f>=ROUNDDOWN(0.15,0)</f>
      </c>
      <c r="AB1681" s="5">
        <v>20</v>
      </c>
      <c r="AC1681" s="2" t="s">
        <v>1341</v>
      </c>
      <c r="AD1681" s="4">
        <v>150</v>
      </c>
      <c r="AE1681" s="4">
        <v>150</v>
      </c>
      <c r="AF1681" s="6">
        <v>65</v>
      </c>
      <c r="AG1681" s="6"/>
      <c r="AH1681" s="7">
        <v>0.3871</v>
      </c>
      <c r="AI1681" s="4"/>
      <c r="AJ1681" s="4">
        <f>=ROUNDDOWN({0},0)</f>
      </c>
      <c r="AK1681" s="5"/>
      <c r="AL1681" s="2" t="s">
        <v>233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233</v>
      </c>
      <c r="AW1681" s="8" t="s">
        <v>233</v>
      </c>
      <c r="AX1681" s="4" t="s">
        <v>233</v>
      </c>
      <c r="AY1681" s="8" t="s">
        <v>233</v>
      </c>
      <c r="AZ1681" s="7" t="s">
        <v>233</v>
      </c>
      <c r="BA1681" s="7" t="s">
        <v>233</v>
      </c>
      <c r="BB1681" s="7"/>
      <c r="BC1681" s="4" t="s">
        <v>233</v>
      </c>
      <c r="BD1681" s="8" t="s">
        <v>233</v>
      </c>
      <c r="BE1681" s="4" t="s">
        <v>233</v>
      </c>
      <c r="BF1681" s="8" t="s">
        <v>233</v>
      </c>
      <c r="BG1681" s="7" t="s">
        <v>233</v>
      </c>
      <c r="BH1681" s="7" t="s">
        <v>233</v>
      </c>
      <c r="BI1681" s="7"/>
      <c r="BJ1681" s="4">
        <v>1</v>
      </c>
      <c r="BK1681" s="8">
        <v>31.75</v>
      </c>
      <c r="BL1681" s="2" t="s">
        <v>7997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7998</v>
      </c>
      <c r="BV1681" s="2" t="s">
        <v>233</v>
      </c>
      <c r="BW1681" s="2" t="s">
        <v>233</v>
      </c>
      <c r="BX1681" s="2" t="s">
        <v>243</v>
      </c>
      <c r="BY1681" s="2" t="s">
        <v>280</v>
      </c>
      <c r="BZ1681" s="2" t="s">
        <v>245</v>
      </c>
      <c r="CA1681" s="2" t="s">
        <v>281</v>
      </c>
      <c r="CB1681" s="2" t="s">
        <v>7999</v>
      </c>
      <c r="CC1681" s="2" t="s">
        <v>246</v>
      </c>
      <c r="CD1681" s="2" t="s">
        <v>233</v>
      </c>
      <c r="CE1681" s="4">
        <v>3</v>
      </c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>
        <v>150</v>
      </c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  <c r="HG1681" s="4"/>
      <c r="HH1681" s="4"/>
      <c r="HI1681" s="4"/>
      <c r="HJ1681" s="4"/>
      <c r="HK1681" s="4"/>
      <c r="HL1681" s="4"/>
      <c r="HM1681" s="4"/>
      <c r="HN1681" s="4"/>
      <c r="HO1681" s="4"/>
      <c r="HP1681" s="4"/>
      <c r="HQ1681" s="4"/>
      <c r="HR1681" s="4"/>
    </row>
    <row r="1682">
      <c r="A1682" s="2" t="s">
        <v>8000</v>
      </c>
      <c r="B1682" s="2" t="s">
        <v>333</v>
      </c>
      <c r="C1682" s="2" t="s">
        <v>1050</v>
      </c>
      <c r="D1682" s="2" t="s">
        <v>335</v>
      </c>
      <c r="E1682" s="2" t="s">
        <v>336</v>
      </c>
      <c r="F1682" s="2" t="s">
        <v>7894</v>
      </c>
      <c r="G1682" s="2" t="s">
        <v>7894</v>
      </c>
      <c r="H1682" s="2" t="s">
        <v>7894</v>
      </c>
      <c r="I1682" s="2" t="s">
        <v>338</v>
      </c>
      <c r="J1682" s="2" t="s">
        <v>270</v>
      </c>
      <c r="K1682" s="2" t="s">
        <v>8001</v>
      </c>
      <c r="L1682" s="3">
        <v>24</v>
      </c>
      <c r="M1682" s="3">
        <v>25.2</v>
      </c>
      <c r="N1682" s="3">
        <v>49.99</v>
      </c>
      <c r="O1682" s="2" t="s">
        <v>237</v>
      </c>
      <c r="P1682" s="2" t="s">
        <v>311</v>
      </c>
      <c r="Q1682" s="2" t="s">
        <v>239</v>
      </c>
      <c r="R1682" s="2" t="s">
        <v>233</v>
      </c>
      <c r="S1682" s="2" t="s">
        <v>8002</v>
      </c>
      <c r="T1682" s="2" t="s">
        <v>647</v>
      </c>
      <c r="U1682" s="2" t="s">
        <v>475</v>
      </c>
      <c r="V1682" s="2" t="s">
        <v>1658</v>
      </c>
      <c r="W1682" s="2" t="s">
        <v>275</v>
      </c>
      <c r="X1682" s="2" t="s">
        <v>397</v>
      </c>
      <c r="Y1682" s="2" t="s">
        <v>276</v>
      </c>
      <c r="Z1682" s="4">
        <v>127</v>
      </c>
      <c r="AA1682" s="4">
        <f>=ROUNDDOWN(158.75,0)</f>
      </c>
      <c r="AB1682" s="5">
        <v>0.8</v>
      </c>
      <c r="AC1682" s="2" t="s">
        <v>233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233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233</v>
      </c>
      <c r="BD1682" s="8" t="s">
        <v>233</v>
      </c>
      <c r="BE1682" s="4" t="s">
        <v>233</v>
      </c>
      <c r="BF1682" s="8" t="s">
        <v>233</v>
      </c>
      <c r="BG1682" s="7" t="s">
        <v>233</v>
      </c>
      <c r="BH1682" s="7" t="s">
        <v>233</v>
      </c>
      <c r="BI1682" s="7"/>
      <c r="BJ1682" s="4"/>
      <c r="BK1682" s="8"/>
      <c r="BL1682" s="2" t="s">
        <v>8003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8004</v>
      </c>
      <c r="BV1682" s="2" t="s">
        <v>233</v>
      </c>
      <c r="BW1682" s="2" t="s">
        <v>233</v>
      </c>
      <c r="BX1682" s="2" t="s">
        <v>595</v>
      </c>
      <c r="BY1682" s="2" t="s">
        <v>280</v>
      </c>
      <c r="BZ1682" s="2" t="s">
        <v>245</v>
      </c>
      <c r="CA1682" s="2" t="s">
        <v>287</v>
      </c>
      <c r="CB1682" s="2" t="s">
        <v>8005</v>
      </c>
      <c r="CC1682" s="2" t="s">
        <v>246</v>
      </c>
      <c r="CD1682" s="2" t="s">
        <v>233</v>
      </c>
      <c r="CE1682" s="4">
        <v>127</v>
      </c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  <c r="HG1682" s="4"/>
      <c r="HH1682" s="4"/>
      <c r="HI1682" s="4"/>
      <c r="HJ1682" s="4"/>
      <c r="HK1682" s="4"/>
      <c r="HL1682" s="4"/>
      <c r="HM1682" s="4"/>
      <c r="HN1682" s="4"/>
      <c r="HO1682" s="4"/>
      <c r="HP1682" s="4"/>
      <c r="HQ1682" s="4"/>
      <c r="HR1682" s="4"/>
    </row>
    <row r="1683">
      <c r="A1683" s="2" t="s">
        <v>8006</v>
      </c>
      <c r="B1683" s="2" t="s">
        <v>333</v>
      </c>
      <c r="C1683" s="2" t="s">
        <v>1050</v>
      </c>
      <c r="D1683" s="2" t="s">
        <v>335</v>
      </c>
      <c r="E1683" s="2" t="s">
        <v>336</v>
      </c>
      <c r="F1683" s="2" t="s">
        <v>7894</v>
      </c>
      <c r="G1683" s="2" t="s">
        <v>7894</v>
      </c>
      <c r="H1683" s="2" t="s">
        <v>7894</v>
      </c>
      <c r="I1683" s="2" t="s">
        <v>338</v>
      </c>
      <c r="J1683" s="2" t="s">
        <v>270</v>
      </c>
      <c r="K1683" s="2" t="s">
        <v>4360</v>
      </c>
      <c r="L1683" s="3">
        <v>24</v>
      </c>
      <c r="M1683" s="3">
        <v>25.2</v>
      </c>
      <c r="N1683" s="3">
        <v>49.99</v>
      </c>
      <c r="O1683" s="2" t="s">
        <v>245</v>
      </c>
      <c r="P1683" s="2" t="s">
        <v>272</v>
      </c>
      <c r="Q1683" s="2" t="s">
        <v>239</v>
      </c>
      <c r="R1683" s="2" t="s">
        <v>233</v>
      </c>
      <c r="S1683" s="2" t="s">
        <v>8007</v>
      </c>
      <c r="T1683" s="2" t="s">
        <v>647</v>
      </c>
      <c r="U1683" s="2" t="s">
        <v>475</v>
      </c>
      <c r="V1683" s="2" t="s">
        <v>1085</v>
      </c>
      <c r="W1683" s="2" t="s">
        <v>275</v>
      </c>
      <c r="X1683" s="2" t="s">
        <v>397</v>
      </c>
      <c r="Y1683" s="2" t="s">
        <v>2795</v>
      </c>
      <c r="Z1683" s="4">
        <v>59</v>
      </c>
      <c r="AA1683" s="4">
        <f>=ROUNDDOWN(11.8,0)</f>
      </c>
      <c r="AB1683" s="5"/>
      <c r="AC1683" s="2" t="s">
        <v>1341</v>
      </c>
      <c r="AD1683" s="4">
        <v>20</v>
      </c>
      <c r="AE1683" s="4">
        <v>20</v>
      </c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233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233</v>
      </c>
      <c r="AW1683" s="8" t="s">
        <v>233</v>
      </c>
      <c r="AX1683" s="4" t="s">
        <v>233</v>
      </c>
      <c r="AY1683" s="8" t="s">
        <v>233</v>
      </c>
      <c r="AZ1683" s="7" t="s">
        <v>233</v>
      </c>
      <c r="BA1683" s="7" t="s">
        <v>233</v>
      </c>
      <c r="BB1683" s="7"/>
      <c r="BC1683" s="4" t="s">
        <v>233</v>
      </c>
      <c r="BD1683" s="8" t="s">
        <v>233</v>
      </c>
      <c r="BE1683" s="4" t="s">
        <v>233</v>
      </c>
      <c r="BF1683" s="8" t="s">
        <v>233</v>
      </c>
      <c r="BG1683" s="7" t="s">
        <v>233</v>
      </c>
      <c r="BH1683" s="7" t="s">
        <v>233</v>
      </c>
      <c r="BI1683" s="7"/>
      <c r="BJ1683" s="4">
        <v>2</v>
      </c>
      <c r="BK1683" s="8">
        <v>76.45</v>
      </c>
      <c r="BL1683" s="2" t="s">
        <v>8008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8009</v>
      </c>
      <c r="BV1683" s="2" t="s">
        <v>233</v>
      </c>
      <c r="BW1683" s="2" t="s">
        <v>233</v>
      </c>
      <c r="BX1683" s="2" t="s">
        <v>243</v>
      </c>
      <c r="BY1683" s="2" t="s">
        <v>280</v>
      </c>
      <c r="BZ1683" s="2" t="s">
        <v>245</v>
      </c>
      <c r="CA1683" s="2" t="s">
        <v>2112</v>
      </c>
      <c r="CB1683" s="2" t="s">
        <v>233</v>
      </c>
      <c r="CC1683" s="2" t="s">
        <v>246</v>
      </c>
      <c r="CD1683" s="2" t="s">
        <v>233</v>
      </c>
      <c r="CE1683" s="4">
        <v>59</v>
      </c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>
        <v>20</v>
      </c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  <c r="HG1683" s="4"/>
      <c r="HH1683" s="4"/>
      <c r="HI1683" s="4"/>
      <c r="HJ1683" s="4"/>
      <c r="HK1683" s="4"/>
      <c r="HL1683" s="4"/>
      <c r="HM1683" s="4"/>
      <c r="HN1683" s="4"/>
      <c r="HO1683" s="4"/>
      <c r="HP1683" s="4"/>
      <c r="HQ1683" s="4"/>
      <c r="HR1683" s="4"/>
    </row>
    <row r="1684">
      <c r="A1684" s="2" t="s">
        <v>8010</v>
      </c>
      <c r="B1684" s="2" t="s">
        <v>333</v>
      </c>
      <c r="C1684" s="2" t="s">
        <v>1050</v>
      </c>
      <c r="D1684" s="2" t="s">
        <v>335</v>
      </c>
      <c r="E1684" s="2" t="s">
        <v>336</v>
      </c>
      <c r="F1684" s="2" t="s">
        <v>7894</v>
      </c>
      <c r="G1684" s="2" t="s">
        <v>7894</v>
      </c>
      <c r="H1684" s="2" t="s">
        <v>7894</v>
      </c>
      <c r="I1684" s="2" t="s">
        <v>338</v>
      </c>
      <c r="J1684" s="2" t="s">
        <v>290</v>
      </c>
      <c r="K1684" s="2" t="s">
        <v>4360</v>
      </c>
      <c r="L1684" s="3">
        <v>28.2</v>
      </c>
      <c r="M1684" s="3">
        <v>29.61</v>
      </c>
      <c r="N1684" s="3">
        <v>59.99</v>
      </c>
      <c r="O1684" s="2" t="s">
        <v>245</v>
      </c>
      <c r="P1684" s="2" t="s">
        <v>272</v>
      </c>
      <c r="Q1684" s="2" t="s">
        <v>239</v>
      </c>
      <c r="R1684" s="2" t="s">
        <v>233</v>
      </c>
      <c r="S1684" s="2" t="s">
        <v>8007</v>
      </c>
      <c r="T1684" s="2" t="s">
        <v>647</v>
      </c>
      <c r="U1684" s="2" t="s">
        <v>342</v>
      </c>
      <c r="V1684" s="2" t="s">
        <v>1085</v>
      </c>
      <c r="W1684" s="2" t="s">
        <v>275</v>
      </c>
      <c r="X1684" s="2" t="s">
        <v>397</v>
      </c>
      <c r="Y1684" s="2" t="s">
        <v>2795</v>
      </c>
      <c r="Z1684" s="4">
        <v>60</v>
      </c>
      <c r="AA1684" s="4">
        <f>=ROUNDDOWN(8.57142857142857,0)</f>
      </c>
      <c r="AB1684" s="5">
        <v>7</v>
      </c>
      <c r="AC1684" s="2" t="s">
        <v>1341</v>
      </c>
      <c r="AD1684" s="4">
        <v>50</v>
      </c>
      <c r="AE1684" s="4">
        <v>50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233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233</v>
      </c>
      <c r="AW1684" s="8" t="s">
        <v>233</v>
      </c>
      <c r="AX1684" s="4" t="s">
        <v>233</v>
      </c>
      <c r="AY1684" s="8" t="s">
        <v>233</v>
      </c>
      <c r="AZ1684" s="7" t="s">
        <v>233</v>
      </c>
      <c r="BA1684" s="7" t="s">
        <v>233</v>
      </c>
      <c r="BB1684" s="7"/>
      <c r="BC1684" s="4" t="s">
        <v>233</v>
      </c>
      <c r="BD1684" s="8" t="s">
        <v>233</v>
      </c>
      <c r="BE1684" s="4" t="s">
        <v>233</v>
      </c>
      <c r="BF1684" s="8" t="s">
        <v>233</v>
      </c>
      <c r="BG1684" s="7" t="s">
        <v>233</v>
      </c>
      <c r="BH1684" s="7" t="s">
        <v>233</v>
      </c>
      <c r="BI1684" s="7"/>
      <c r="BJ1684" s="4">
        <v>5</v>
      </c>
      <c r="BK1684" s="8">
        <v>154.73</v>
      </c>
      <c r="BL1684" s="2" t="s">
        <v>8011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8012</v>
      </c>
      <c r="BV1684" s="2" t="s">
        <v>233</v>
      </c>
      <c r="BW1684" s="2" t="s">
        <v>233</v>
      </c>
      <c r="BX1684" s="2" t="s">
        <v>243</v>
      </c>
      <c r="BY1684" s="2" t="s">
        <v>280</v>
      </c>
      <c r="BZ1684" s="2" t="s">
        <v>245</v>
      </c>
      <c r="CA1684" s="2" t="s">
        <v>2112</v>
      </c>
      <c r="CB1684" s="2" t="s">
        <v>1950</v>
      </c>
      <c r="CC1684" s="2" t="s">
        <v>246</v>
      </c>
      <c r="CD1684" s="2" t="s">
        <v>233</v>
      </c>
      <c r="CE1684" s="4">
        <v>60</v>
      </c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>
        <v>50</v>
      </c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  <c r="HF1684" s="4"/>
      <c r="HG1684" s="4"/>
      <c r="HH1684" s="4"/>
      <c r="HI1684" s="4"/>
      <c r="HJ1684" s="4"/>
      <c r="HK1684" s="4"/>
      <c r="HL1684" s="4"/>
      <c r="HM1684" s="4"/>
      <c r="HN1684" s="4"/>
      <c r="HO1684" s="4"/>
      <c r="HP1684" s="4"/>
      <c r="HQ1684" s="4"/>
      <c r="HR1684" s="4"/>
    </row>
    <row r="1685">
      <c r="A1685" s="2" t="s">
        <v>8013</v>
      </c>
      <c r="B1685" s="2" t="s">
        <v>333</v>
      </c>
      <c r="C1685" s="2" t="s">
        <v>1050</v>
      </c>
      <c r="D1685" s="2" t="s">
        <v>335</v>
      </c>
      <c r="E1685" s="2" t="s">
        <v>336</v>
      </c>
      <c r="F1685" s="2" t="s">
        <v>7894</v>
      </c>
      <c r="G1685" s="2" t="s">
        <v>7894</v>
      </c>
      <c r="H1685" s="2" t="s">
        <v>7894</v>
      </c>
      <c r="I1685" s="2" t="s">
        <v>338</v>
      </c>
      <c r="J1685" s="2" t="s">
        <v>348</v>
      </c>
      <c r="K1685" s="2" t="s">
        <v>4360</v>
      </c>
      <c r="L1685" s="3">
        <v>31.85</v>
      </c>
      <c r="M1685" s="3">
        <v>33.44</v>
      </c>
      <c r="N1685" s="3">
        <v>64.99</v>
      </c>
      <c r="O1685" s="2" t="s">
        <v>245</v>
      </c>
      <c r="P1685" s="2" t="s">
        <v>272</v>
      </c>
      <c r="Q1685" s="2" t="s">
        <v>239</v>
      </c>
      <c r="R1685" s="2" t="s">
        <v>233</v>
      </c>
      <c r="S1685" s="2" t="s">
        <v>8007</v>
      </c>
      <c r="T1685" s="2" t="s">
        <v>647</v>
      </c>
      <c r="U1685" s="2" t="s">
        <v>342</v>
      </c>
      <c r="V1685" s="2" t="s">
        <v>1085</v>
      </c>
      <c r="W1685" s="2" t="s">
        <v>275</v>
      </c>
      <c r="X1685" s="2" t="s">
        <v>397</v>
      </c>
      <c r="Y1685" s="2" t="s">
        <v>2795</v>
      </c>
      <c r="Z1685" s="4">
        <v>20</v>
      </c>
      <c r="AA1685" s="4">
        <f>=ROUNDDOWN(1.11111111111111,0)</f>
      </c>
      <c r="AB1685" s="5">
        <v>18</v>
      </c>
      <c r="AC1685" s="2" t="s">
        <v>1341</v>
      </c>
      <c r="AD1685" s="4">
        <v>160</v>
      </c>
      <c r="AE1685" s="4">
        <v>160</v>
      </c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233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233</v>
      </c>
      <c r="AW1685" s="8" t="s">
        <v>233</v>
      </c>
      <c r="AX1685" s="4" t="s">
        <v>233</v>
      </c>
      <c r="AY1685" s="8" t="s">
        <v>233</v>
      </c>
      <c r="AZ1685" s="7" t="s">
        <v>233</v>
      </c>
      <c r="BA1685" s="7" t="s">
        <v>233</v>
      </c>
      <c r="BB1685" s="7"/>
      <c r="BC1685" s="4" t="s">
        <v>233</v>
      </c>
      <c r="BD1685" s="8" t="s">
        <v>233</v>
      </c>
      <c r="BE1685" s="4" t="s">
        <v>233</v>
      </c>
      <c r="BF1685" s="8" t="s">
        <v>233</v>
      </c>
      <c r="BG1685" s="7" t="s">
        <v>233</v>
      </c>
      <c r="BH1685" s="7" t="s">
        <v>233</v>
      </c>
      <c r="BI1685" s="7"/>
      <c r="BJ1685" s="4">
        <v>25</v>
      </c>
      <c r="BK1685" s="8">
        <v>834.5</v>
      </c>
      <c r="BL1685" s="2" t="s">
        <v>8014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8015</v>
      </c>
      <c r="BV1685" s="2" t="s">
        <v>233</v>
      </c>
      <c r="BW1685" s="2" t="s">
        <v>233</v>
      </c>
      <c r="BX1685" s="2" t="s">
        <v>243</v>
      </c>
      <c r="BY1685" s="2" t="s">
        <v>280</v>
      </c>
      <c r="BZ1685" s="2" t="s">
        <v>245</v>
      </c>
      <c r="CA1685" s="2" t="s">
        <v>2112</v>
      </c>
      <c r="CB1685" s="2" t="s">
        <v>3042</v>
      </c>
      <c r="CC1685" s="2" t="s">
        <v>246</v>
      </c>
      <c r="CD1685" s="2" t="s">
        <v>233</v>
      </c>
      <c r="CE1685" s="4">
        <v>20</v>
      </c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>
        <v>160</v>
      </c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  <c r="HF1685" s="4"/>
      <c r="HG1685" s="4"/>
      <c r="HH1685" s="4"/>
      <c r="HI1685" s="4"/>
      <c r="HJ1685" s="4"/>
      <c r="HK1685" s="4"/>
      <c r="HL1685" s="4"/>
      <c r="HM1685" s="4"/>
      <c r="HN1685" s="4"/>
      <c r="HO1685" s="4"/>
      <c r="HP1685" s="4"/>
      <c r="HQ1685" s="4"/>
      <c r="HR1685" s="4"/>
    </row>
    <row r="1686">
      <c r="A1686" s="2" t="s">
        <v>8016</v>
      </c>
      <c r="B1686" s="2" t="s">
        <v>333</v>
      </c>
      <c r="C1686" s="2" t="s">
        <v>1050</v>
      </c>
      <c r="D1686" s="2" t="s">
        <v>335</v>
      </c>
      <c r="E1686" s="2" t="s">
        <v>336</v>
      </c>
      <c r="F1686" s="2" t="s">
        <v>7894</v>
      </c>
      <c r="G1686" s="2" t="s">
        <v>7894</v>
      </c>
      <c r="H1686" s="2" t="s">
        <v>7894</v>
      </c>
      <c r="I1686" s="2" t="s">
        <v>338</v>
      </c>
      <c r="J1686" s="2" t="s">
        <v>328</v>
      </c>
      <c r="K1686" s="2" t="s">
        <v>4360</v>
      </c>
      <c r="L1686" s="3">
        <v>34.5</v>
      </c>
      <c r="M1686" s="3">
        <v>36.23</v>
      </c>
      <c r="N1686" s="3">
        <v>74.99</v>
      </c>
      <c r="O1686" s="2" t="s">
        <v>245</v>
      </c>
      <c r="P1686" s="2" t="s">
        <v>272</v>
      </c>
      <c r="Q1686" s="2" t="s">
        <v>239</v>
      </c>
      <c r="R1686" s="2" t="s">
        <v>233</v>
      </c>
      <c r="S1686" s="2" t="s">
        <v>8007</v>
      </c>
      <c r="T1686" s="2" t="s">
        <v>647</v>
      </c>
      <c r="U1686" s="2" t="s">
        <v>342</v>
      </c>
      <c r="V1686" s="2" t="s">
        <v>1085</v>
      </c>
      <c r="W1686" s="2" t="s">
        <v>275</v>
      </c>
      <c r="X1686" s="2" t="s">
        <v>397</v>
      </c>
      <c r="Y1686" s="2" t="s">
        <v>2795</v>
      </c>
      <c r="Z1686" s="4">
        <v>82</v>
      </c>
      <c r="AA1686" s="4">
        <f>=ROUNDDOWN(8.2,0)</f>
      </c>
      <c r="AB1686" s="5">
        <v>10</v>
      </c>
      <c r="AC1686" s="2" t="s">
        <v>1341</v>
      </c>
      <c r="AD1686" s="4">
        <v>50</v>
      </c>
      <c r="AE1686" s="4">
        <v>50</v>
      </c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233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233</v>
      </c>
      <c r="AW1686" s="8" t="s">
        <v>233</v>
      </c>
      <c r="AX1686" s="4" t="s">
        <v>233</v>
      </c>
      <c r="AY1686" s="8" t="s">
        <v>233</v>
      </c>
      <c r="AZ1686" s="7" t="s">
        <v>233</v>
      </c>
      <c r="BA1686" s="7" t="s">
        <v>233</v>
      </c>
      <c r="BB1686" s="7"/>
      <c r="BC1686" s="4" t="s">
        <v>233</v>
      </c>
      <c r="BD1686" s="8" t="s">
        <v>233</v>
      </c>
      <c r="BE1686" s="4" t="s">
        <v>233</v>
      </c>
      <c r="BF1686" s="8" t="s">
        <v>233</v>
      </c>
      <c r="BG1686" s="7" t="s">
        <v>233</v>
      </c>
      <c r="BH1686" s="7" t="s">
        <v>233</v>
      </c>
      <c r="BI1686" s="7"/>
      <c r="BJ1686" s="4">
        <v>2</v>
      </c>
      <c r="BK1686" s="8">
        <v>71.87</v>
      </c>
      <c r="BL1686" s="2" t="s">
        <v>662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8017</v>
      </c>
      <c r="BV1686" s="2" t="s">
        <v>233</v>
      </c>
      <c r="BW1686" s="2" t="s">
        <v>233</v>
      </c>
      <c r="BX1686" s="2" t="s">
        <v>243</v>
      </c>
      <c r="BY1686" s="2" t="s">
        <v>280</v>
      </c>
      <c r="BZ1686" s="2" t="s">
        <v>245</v>
      </c>
      <c r="CA1686" s="2" t="s">
        <v>2112</v>
      </c>
      <c r="CB1686" s="2" t="s">
        <v>1882</v>
      </c>
      <c r="CC1686" s="2" t="s">
        <v>246</v>
      </c>
      <c r="CD1686" s="2" t="s">
        <v>233</v>
      </c>
      <c r="CE1686" s="4">
        <v>82</v>
      </c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>
        <v>50</v>
      </c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  <c r="HF1686" s="4"/>
      <c r="HG1686" s="4"/>
      <c r="HH1686" s="4"/>
      <c r="HI1686" s="4"/>
      <c r="HJ1686" s="4"/>
      <c r="HK1686" s="4"/>
      <c r="HL1686" s="4"/>
      <c r="HM1686" s="4"/>
      <c r="HN1686" s="4"/>
      <c r="HO1686" s="4"/>
      <c r="HP1686" s="4"/>
      <c r="HQ1686" s="4"/>
      <c r="HR1686" s="4"/>
    </row>
    <row r="1687">
      <c r="A1687" s="2" t="s">
        <v>8018</v>
      </c>
      <c r="B1687" s="2" t="s">
        <v>228</v>
      </c>
      <c r="C1687" s="2" t="s">
        <v>1050</v>
      </c>
      <c r="D1687" s="2" t="s">
        <v>230</v>
      </c>
      <c r="E1687" s="2" t="s">
        <v>231</v>
      </c>
      <c r="F1687" s="2" t="s">
        <v>7894</v>
      </c>
      <c r="G1687" s="2" t="s">
        <v>7894</v>
      </c>
      <c r="H1687" s="2" t="s">
        <v>7894</v>
      </c>
      <c r="I1687" s="2" t="s">
        <v>231</v>
      </c>
      <c r="J1687" s="2" t="s">
        <v>270</v>
      </c>
      <c r="K1687" s="2" t="s">
        <v>4068</v>
      </c>
      <c r="L1687" s="3">
        <v>10.75</v>
      </c>
      <c r="M1687" s="3">
        <v>11.29</v>
      </c>
      <c r="N1687" s="3">
        <v>24.99</v>
      </c>
      <c r="O1687" s="2" t="s">
        <v>237</v>
      </c>
      <c r="P1687" s="2" t="s">
        <v>996</v>
      </c>
      <c r="Q1687" s="2" t="s">
        <v>239</v>
      </c>
      <c r="R1687" s="2" t="s">
        <v>233</v>
      </c>
      <c r="S1687" s="2" t="s">
        <v>8019</v>
      </c>
      <c r="T1687" s="2" t="s">
        <v>647</v>
      </c>
      <c r="U1687" s="2" t="s">
        <v>233</v>
      </c>
      <c r="V1687" s="2" t="s">
        <v>1340</v>
      </c>
      <c r="W1687" s="2" t="s">
        <v>275</v>
      </c>
      <c r="X1687" s="2" t="s">
        <v>978</v>
      </c>
      <c r="Y1687" s="2" t="s">
        <v>1150</v>
      </c>
      <c r="Z1687" s="4">
        <v>3</v>
      </c>
      <c r="AA1687" s="4">
        <f>=ROUNDDOWN(0.27027027027027,0)</f>
      </c>
      <c r="AB1687" s="5">
        <v>11.1</v>
      </c>
      <c r="AC1687" s="2" t="s">
        <v>233</v>
      </c>
      <c r="AD1687" s="4"/>
      <c r="AE1687" s="4"/>
      <c r="AF1687" s="6">
        <v>64</v>
      </c>
      <c r="AG1687" s="6"/>
      <c r="AH1687" s="7">
        <v>1</v>
      </c>
      <c r="AI1687" s="4"/>
      <c r="AJ1687" s="4">
        <f>=ROUNDDOWN({0},0)</f>
      </c>
      <c r="AK1687" s="5"/>
      <c r="AL1687" s="2" t="s">
        <v>233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233</v>
      </c>
      <c r="AW1687" s="8" t="s">
        <v>233</v>
      </c>
      <c r="AX1687" s="4" t="s">
        <v>233</v>
      </c>
      <c r="AY1687" s="8" t="s">
        <v>233</v>
      </c>
      <c r="AZ1687" s="7" t="s">
        <v>233</v>
      </c>
      <c r="BA1687" s="7" t="s">
        <v>233</v>
      </c>
      <c r="BB1687" s="7" t="s">
        <v>233</v>
      </c>
      <c r="BC1687" s="4" t="s">
        <v>233</v>
      </c>
      <c r="BD1687" s="8" t="s">
        <v>233</v>
      </c>
      <c r="BE1687" s="4" t="s">
        <v>233</v>
      </c>
      <c r="BF1687" s="8" t="s">
        <v>233</v>
      </c>
      <c r="BG1687" s="7" t="s">
        <v>233</v>
      </c>
      <c r="BH1687" s="7" t="s">
        <v>233</v>
      </c>
      <c r="BI1687" s="7"/>
      <c r="BJ1687" s="4">
        <v>48</v>
      </c>
      <c r="BK1687" s="8">
        <v>531.24</v>
      </c>
      <c r="BL1687" s="2" t="s">
        <v>8020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8021</v>
      </c>
      <c r="BV1687" s="2" t="s">
        <v>233</v>
      </c>
      <c r="BW1687" s="2" t="s">
        <v>233</v>
      </c>
      <c r="BX1687" s="2" t="s">
        <v>233</v>
      </c>
      <c r="BY1687" s="2" t="s">
        <v>280</v>
      </c>
      <c r="BZ1687" s="2" t="s">
        <v>245</v>
      </c>
      <c r="CA1687" s="2" t="s">
        <v>1639</v>
      </c>
      <c r="CB1687" s="2" t="s">
        <v>5222</v>
      </c>
      <c r="CC1687" s="2" t="s">
        <v>246</v>
      </c>
      <c r="CD1687" s="2" t="s">
        <v>233</v>
      </c>
      <c r="CE1687" s="4">
        <v>3</v>
      </c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  <c r="HF1687" s="4"/>
      <c r="HG1687" s="4"/>
      <c r="HH1687" s="4"/>
      <c r="HI1687" s="4"/>
      <c r="HJ1687" s="4"/>
      <c r="HK1687" s="4"/>
      <c r="HL1687" s="4"/>
      <c r="HM1687" s="4"/>
      <c r="HN1687" s="4"/>
      <c r="HO1687" s="4"/>
      <c r="HP1687" s="4"/>
      <c r="HQ1687" s="4"/>
      <c r="HR1687" s="4"/>
    </row>
    <row r="1688">
      <c r="A1688" s="2" t="s">
        <v>8022</v>
      </c>
      <c r="B1688" s="2" t="s">
        <v>333</v>
      </c>
      <c r="C1688" s="2" t="s">
        <v>1050</v>
      </c>
      <c r="D1688" s="2" t="s">
        <v>335</v>
      </c>
      <c r="E1688" s="2" t="s">
        <v>336</v>
      </c>
      <c r="F1688" s="2" t="s">
        <v>7894</v>
      </c>
      <c r="G1688" s="2" t="s">
        <v>7894</v>
      </c>
      <c r="H1688" s="2" t="s">
        <v>7894</v>
      </c>
      <c r="I1688" s="2" t="s">
        <v>338</v>
      </c>
      <c r="J1688" s="2" t="s">
        <v>270</v>
      </c>
      <c r="K1688" s="2" t="s">
        <v>4068</v>
      </c>
      <c r="L1688" s="3">
        <v>24</v>
      </c>
      <c r="M1688" s="3">
        <v>25.2</v>
      </c>
      <c r="N1688" s="3">
        <v>49.99</v>
      </c>
      <c r="O1688" s="2" t="s">
        <v>245</v>
      </c>
      <c r="P1688" s="2" t="s">
        <v>272</v>
      </c>
      <c r="Q1688" s="2" t="s">
        <v>239</v>
      </c>
      <c r="R1688" s="2" t="s">
        <v>233</v>
      </c>
      <c r="S1688" s="2" t="s">
        <v>8023</v>
      </c>
      <c r="T1688" s="2" t="s">
        <v>647</v>
      </c>
      <c r="U1688" s="2" t="s">
        <v>475</v>
      </c>
      <c r="V1688" s="2" t="s">
        <v>1340</v>
      </c>
      <c r="W1688" s="2" t="s">
        <v>275</v>
      </c>
      <c r="X1688" s="2" t="s">
        <v>397</v>
      </c>
      <c r="Y1688" s="2" t="s">
        <v>276</v>
      </c>
      <c r="Z1688" s="4">
        <v>3</v>
      </c>
      <c r="AA1688" s="4">
        <f>=ROUNDDOWN(0.3,0)</f>
      </c>
      <c r="AB1688" s="5">
        <v>10</v>
      </c>
      <c r="AC1688" s="2" t="s">
        <v>1341</v>
      </c>
      <c r="AD1688" s="4">
        <v>80</v>
      </c>
      <c r="AE1688" s="4">
        <v>80</v>
      </c>
      <c r="AF1688" s="6">
        <v>65</v>
      </c>
      <c r="AG1688" s="6"/>
      <c r="AH1688" s="7">
        <v>0</v>
      </c>
      <c r="AI1688" s="4"/>
      <c r="AJ1688" s="4">
        <f>=ROUNDDOWN({0},0)</f>
      </c>
      <c r="AK1688" s="5"/>
      <c r="AL1688" s="2" t="s">
        <v>233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233</v>
      </c>
      <c r="AW1688" s="8" t="s">
        <v>233</v>
      </c>
      <c r="AX1688" s="4" t="s">
        <v>233</v>
      </c>
      <c r="AY1688" s="8" t="s">
        <v>233</v>
      </c>
      <c r="AZ1688" s="7" t="s">
        <v>233</v>
      </c>
      <c r="BA1688" s="7" t="s">
        <v>233</v>
      </c>
      <c r="BB1688" s="7" t="s">
        <v>233</v>
      </c>
      <c r="BC1688" s="4" t="s">
        <v>233</v>
      </c>
      <c r="BD1688" s="8" t="s">
        <v>233</v>
      </c>
      <c r="BE1688" s="4" t="s">
        <v>233</v>
      </c>
      <c r="BF1688" s="8" t="s">
        <v>233</v>
      </c>
      <c r="BG1688" s="7" t="s">
        <v>233</v>
      </c>
      <c r="BH1688" s="7" t="s">
        <v>233</v>
      </c>
      <c r="BI1688" s="7"/>
      <c r="BJ1688" s="4"/>
      <c r="BK1688" s="8"/>
      <c r="BL1688" s="2" t="s">
        <v>492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8024</v>
      </c>
      <c r="BV1688" s="2" t="s">
        <v>233</v>
      </c>
      <c r="BW1688" s="2" t="s">
        <v>233</v>
      </c>
      <c r="BX1688" s="2" t="s">
        <v>243</v>
      </c>
      <c r="BY1688" s="2" t="s">
        <v>280</v>
      </c>
      <c r="BZ1688" s="2" t="s">
        <v>245</v>
      </c>
      <c r="CA1688" s="2" t="s">
        <v>4498</v>
      </c>
      <c r="CB1688" s="2" t="s">
        <v>8025</v>
      </c>
      <c r="CC1688" s="2" t="s">
        <v>246</v>
      </c>
      <c r="CD1688" s="2" t="s">
        <v>233</v>
      </c>
      <c r="CE1688" s="4">
        <v>3</v>
      </c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>
        <v>80</v>
      </c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  <c r="HF1688" s="4"/>
      <c r="HG1688" s="4"/>
      <c r="HH1688" s="4"/>
      <c r="HI1688" s="4"/>
      <c r="HJ1688" s="4"/>
      <c r="HK1688" s="4"/>
      <c r="HL1688" s="4"/>
      <c r="HM1688" s="4"/>
      <c r="HN1688" s="4"/>
      <c r="HO1688" s="4"/>
      <c r="HP1688" s="4"/>
      <c r="HQ1688" s="4"/>
      <c r="HR1688" s="4"/>
    </row>
    <row r="1689">
      <c r="A1689" s="2" t="s">
        <v>8026</v>
      </c>
      <c r="B1689" s="2" t="s">
        <v>333</v>
      </c>
      <c r="C1689" s="2" t="s">
        <v>1050</v>
      </c>
      <c r="D1689" s="2" t="s">
        <v>335</v>
      </c>
      <c r="E1689" s="2" t="s">
        <v>336</v>
      </c>
      <c r="F1689" s="2" t="s">
        <v>7894</v>
      </c>
      <c r="G1689" s="2" t="s">
        <v>7894</v>
      </c>
      <c r="H1689" s="2" t="s">
        <v>7894</v>
      </c>
      <c r="I1689" s="2" t="s">
        <v>338</v>
      </c>
      <c r="J1689" s="2" t="s">
        <v>290</v>
      </c>
      <c r="K1689" s="2" t="s">
        <v>4068</v>
      </c>
      <c r="L1689" s="3">
        <v>28.2</v>
      </c>
      <c r="M1689" s="3">
        <v>29.61</v>
      </c>
      <c r="N1689" s="3">
        <v>59.99</v>
      </c>
      <c r="O1689" s="2" t="s">
        <v>245</v>
      </c>
      <c r="P1689" s="2" t="s">
        <v>272</v>
      </c>
      <c r="Q1689" s="2" t="s">
        <v>239</v>
      </c>
      <c r="R1689" s="2" t="s">
        <v>233</v>
      </c>
      <c r="S1689" s="2" t="s">
        <v>8023</v>
      </c>
      <c r="T1689" s="2" t="s">
        <v>647</v>
      </c>
      <c r="U1689" s="2" t="s">
        <v>342</v>
      </c>
      <c r="V1689" s="2" t="s">
        <v>1340</v>
      </c>
      <c r="W1689" s="2" t="s">
        <v>275</v>
      </c>
      <c r="X1689" s="2" t="s">
        <v>397</v>
      </c>
      <c r="Y1689" s="2" t="s">
        <v>276</v>
      </c>
      <c r="Z1689" s="4">
        <v>1</v>
      </c>
      <c r="AA1689" s="4">
        <f>=ROUNDDOWN(0.111111111111111,0)</f>
      </c>
      <c r="AB1689" s="5">
        <v>9</v>
      </c>
      <c r="AC1689" s="2" t="s">
        <v>1341</v>
      </c>
      <c r="AD1689" s="4">
        <v>80</v>
      </c>
      <c r="AE1689" s="4">
        <v>80</v>
      </c>
      <c r="AF1689" s="6">
        <v>65</v>
      </c>
      <c r="AG1689" s="6"/>
      <c r="AH1689" s="7">
        <v>0</v>
      </c>
      <c r="AI1689" s="4"/>
      <c r="AJ1689" s="4">
        <f>=ROUNDDOWN({0},0)</f>
      </c>
      <c r="AK1689" s="5"/>
      <c r="AL1689" s="2" t="s">
        <v>233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233</v>
      </c>
      <c r="AW1689" s="8" t="s">
        <v>233</v>
      </c>
      <c r="AX1689" s="4" t="s">
        <v>233</v>
      </c>
      <c r="AY1689" s="8" t="s">
        <v>233</v>
      </c>
      <c r="AZ1689" s="7" t="s">
        <v>233</v>
      </c>
      <c r="BA1689" s="7" t="s">
        <v>233</v>
      </c>
      <c r="BB1689" s="7"/>
      <c r="BC1689" s="4" t="s">
        <v>233</v>
      </c>
      <c r="BD1689" s="8" t="s">
        <v>233</v>
      </c>
      <c r="BE1689" s="4" t="s">
        <v>233</v>
      </c>
      <c r="BF1689" s="8" t="s">
        <v>233</v>
      </c>
      <c r="BG1689" s="7" t="s">
        <v>233</v>
      </c>
      <c r="BH1689" s="7" t="s">
        <v>233</v>
      </c>
      <c r="BI1689" s="7"/>
      <c r="BJ1689" s="4"/>
      <c r="BK1689" s="8"/>
      <c r="BL1689" s="2" t="s">
        <v>649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8027</v>
      </c>
      <c r="BV1689" s="2" t="s">
        <v>233</v>
      </c>
      <c r="BW1689" s="2" t="s">
        <v>233</v>
      </c>
      <c r="BX1689" s="2" t="s">
        <v>243</v>
      </c>
      <c r="BY1689" s="2" t="s">
        <v>280</v>
      </c>
      <c r="BZ1689" s="2" t="s">
        <v>245</v>
      </c>
      <c r="CA1689" s="2" t="s">
        <v>4498</v>
      </c>
      <c r="CB1689" s="2" t="s">
        <v>4548</v>
      </c>
      <c r="CC1689" s="2" t="s">
        <v>246</v>
      </c>
      <c r="CD1689" s="2" t="s">
        <v>233</v>
      </c>
      <c r="CE1689" s="4">
        <v>1</v>
      </c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>
        <v>80</v>
      </c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  <c r="HF1689" s="4"/>
      <c r="HG1689" s="4"/>
      <c r="HH1689" s="4"/>
      <c r="HI1689" s="4"/>
      <c r="HJ1689" s="4"/>
      <c r="HK1689" s="4"/>
      <c r="HL1689" s="4"/>
      <c r="HM1689" s="4"/>
      <c r="HN1689" s="4"/>
      <c r="HO1689" s="4"/>
      <c r="HP1689" s="4"/>
      <c r="HQ1689" s="4"/>
      <c r="HR1689" s="4"/>
    </row>
    <row r="1690">
      <c r="A1690" s="2" t="s">
        <v>8028</v>
      </c>
      <c r="B1690" s="2" t="s">
        <v>333</v>
      </c>
      <c r="C1690" s="2" t="s">
        <v>1050</v>
      </c>
      <c r="D1690" s="2" t="s">
        <v>335</v>
      </c>
      <c r="E1690" s="2" t="s">
        <v>336</v>
      </c>
      <c r="F1690" s="2" t="s">
        <v>7894</v>
      </c>
      <c r="G1690" s="2" t="s">
        <v>7894</v>
      </c>
      <c r="H1690" s="2" t="s">
        <v>7894</v>
      </c>
      <c r="I1690" s="2" t="s">
        <v>338</v>
      </c>
      <c r="J1690" s="2" t="s">
        <v>328</v>
      </c>
      <c r="K1690" s="2" t="s">
        <v>4068</v>
      </c>
      <c r="L1690" s="3">
        <v>34.5</v>
      </c>
      <c r="M1690" s="3">
        <v>36.22</v>
      </c>
      <c r="N1690" s="3">
        <v>74.99</v>
      </c>
      <c r="O1690" s="2" t="s">
        <v>245</v>
      </c>
      <c r="P1690" s="2" t="s">
        <v>741</v>
      </c>
      <c r="Q1690" s="2" t="s">
        <v>239</v>
      </c>
      <c r="R1690" s="2" t="s">
        <v>233</v>
      </c>
      <c r="S1690" s="2" t="s">
        <v>8023</v>
      </c>
      <c r="T1690" s="2" t="s">
        <v>647</v>
      </c>
      <c r="U1690" s="2" t="s">
        <v>342</v>
      </c>
      <c r="V1690" s="2" t="s">
        <v>1340</v>
      </c>
      <c r="W1690" s="2" t="s">
        <v>275</v>
      </c>
      <c r="X1690" s="2" t="s">
        <v>397</v>
      </c>
      <c r="Y1690" s="2" t="s">
        <v>276</v>
      </c>
      <c r="Z1690" s="4"/>
      <c r="AA1690" s="4">
        <f>=ROUNDDOWN({0},0)</f>
      </c>
      <c r="AB1690" s="5">
        <v>24</v>
      </c>
      <c r="AC1690" s="2" t="s">
        <v>1341</v>
      </c>
      <c r="AD1690" s="4">
        <v>180</v>
      </c>
      <c r="AE1690" s="4">
        <v>180</v>
      </c>
      <c r="AF1690" s="6">
        <v>65</v>
      </c>
      <c r="AG1690" s="6"/>
      <c r="AH1690" s="7">
        <v>0</v>
      </c>
      <c r="AI1690" s="4"/>
      <c r="AJ1690" s="4">
        <f>=ROUNDDOWN({0},0)</f>
      </c>
      <c r="AK1690" s="5"/>
      <c r="AL1690" s="2" t="s">
        <v>233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233</v>
      </c>
      <c r="AW1690" s="8" t="s">
        <v>233</v>
      </c>
      <c r="AX1690" s="4" t="s">
        <v>233</v>
      </c>
      <c r="AY1690" s="8" t="s">
        <v>233</v>
      </c>
      <c r="AZ1690" s="7" t="s">
        <v>233</v>
      </c>
      <c r="BA1690" s="7" t="s">
        <v>233</v>
      </c>
      <c r="BB1690" s="7"/>
      <c r="BC1690" s="4" t="s">
        <v>233</v>
      </c>
      <c r="BD1690" s="8" t="s">
        <v>233</v>
      </c>
      <c r="BE1690" s="4" t="s">
        <v>233</v>
      </c>
      <c r="BF1690" s="8" t="s">
        <v>233</v>
      </c>
      <c r="BG1690" s="7" t="s">
        <v>233</v>
      </c>
      <c r="BH1690" s="7" t="s">
        <v>233</v>
      </c>
      <c r="BI1690" s="7"/>
      <c r="BJ1690" s="4"/>
      <c r="BK1690" s="8"/>
      <c r="BL1690" s="2" t="s">
        <v>8029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8030</v>
      </c>
      <c r="BV1690" s="2" t="s">
        <v>233</v>
      </c>
      <c r="BW1690" s="2" t="s">
        <v>233</v>
      </c>
      <c r="BX1690" s="2" t="s">
        <v>243</v>
      </c>
      <c r="BY1690" s="2" t="s">
        <v>280</v>
      </c>
      <c r="BZ1690" s="2" t="s">
        <v>245</v>
      </c>
      <c r="CA1690" s="2" t="s">
        <v>4498</v>
      </c>
      <c r="CB1690" s="2" t="s">
        <v>6288</v>
      </c>
      <c r="CC1690" s="2" t="s">
        <v>246</v>
      </c>
      <c r="CD1690" s="2" t="s">
        <v>233</v>
      </c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>
        <v>180</v>
      </c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  <c r="HF1690" s="4"/>
      <c r="HG1690" s="4"/>
      <c r="HH1690" s="4"/>
      <c r="HI1690" s="4"/>
      <c r="HJ1690" s="4"/>
      <c r="HK1690" s="4"/>
      <c r="HL1690" s="4"/>
      <c r="HM1690" s="4"/>
      <c r="HN1690" s="4"/>
      <c r="HO1690" s="4"/>
      <c r="HP1690" s="4"/>
      <c r="HQ1690" s="4"/>
      <c r="HR1690" s="4"/>
    </row>
    <row r="1691">
      <c r="A1691" s="2" t="s">
        <v>8031</v>
      </c>
      <c r="B1691" s="2" t="s">
        <v>333</v>
      </c>
      <c r="C1691" s="2" t="s">
        <v>1050</v>
      </c>
      <c r="D1691" s="2" t="s">
        <v>335</v>
      </c>
      <c r="E1691" s="2" t="s">
        <v>336</v>
      </c>
      <c r="F1691" s="2" t="s">
        <v>7894</v>
      </c>
      <c r="G1691" s="2" t="s">
        <v>7894</v>
      </c>
      <c r="H1691" s="2" t="s">
        <v>7894</v>
      </c>
      <c r="I1691" s="2" t="s">
        <v>338</v>
      </c>
      <c r="J1691" s="2" t="s">
        <v>270</v>
      </c>
      <c r="K1691" s="2" t="s">
        <v>8032</v>
      </c>
      <c r="L1691" s="3">
        <v>24</v>
      </c>
      <c r="M1691" s="3">
        <v>25.2</v>
      </c>
      <c r="N1691" s="3">
        <v>49.99</v>
      </c>
      <c r="O1691" s="2" t="s">
        <v>245</v>
      </c>
      <c r="P1691" s="2" t="s">
        <v>272</v>
      </c>
      <c r="Q1691" s="2" t="s">
        <v>239</v>
      </c>
      <c r="R1691" s="2" t="s">
        <v>233</v>
      </c>
      <c r="S1691" s="2" t="s">
        <v>8033</v>
      </c>
      <c r="T1691" s="2" t="s">
        <v>647</v>
      </c>
      <c r="U1691" s="2" t="s">
        <v>475</v>
      </c>
      <c r="V1691" s="2" t="s">
        <v>3951</v>
      </c>
      <c r="W1691" s="2" t="s">
        <v>275</v>
      </c>
      <c r="X1691" s="2" t="s">
        <v>397</v>
      </c>
      <c r="Y1691" s="2" t="s">
        <v>2795</v>
      </c>
      <c r="Z1691" s="4">
        <v>6</v>
      </c>
      <c r="AA1691" s="4">
        <f>=ROUNDDOWN(0.6,0)</f>
      </c>
      <c r="AB1691" s="5">
        <v>10</v>
      </c>
      <c r="AC1691" s="2" t="s">
        <v>1341</v>
      </c>
      <c r="AD1691" s="4">
        <v>90</v>
      </c>
      <c r="AE1691" s="4">
        <v>90</v>
      </c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233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233</v>
      </c>
      <c r="AW1691" s="8" t="s">
        <v>233</v>
      </c>
      <c r="AX1691" s="4" t="s">
        <v>233</v>
      </c>
      <c r="AY1691" s="8" t="s">
        <v>233</v>
      </c>
      <c r="AZ1691" s="7" t="s">
        <v>233</v>
      </c>
      <c r="BA1691" s="7" t="s">
        <v>233</v>
      </c>
      <c r="BB1691" s="7"/>
      <c r="BC1691" s="4" t="s">
        <v>233</v>
      </c>
      <c r="BD1691" s="8" t="s">
        <v>233</v>
      </c>
      <c r="BE1691" s="4" t="s">
        <v>233</v>
      </c>
      <c r="BF1691" s="8" t="s">
        <v>233</v>
      </c>
      <c r="BG1691" s="7" t="s">
        <v>233</v>
      </c>
      <c r="BH1691" s="7" t="s">
        <v>233</v>
      </c>
      <c r="BI1691" s="7"/>
      <c r="BJ1691" s="4"/>
      <c r="BK1691" s="8"/>
      <c r="BL1691" s="2" t="s">
        <v>233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8034</v>
      </c>
      <c r="BV1691" s="2" t="s">
        <v>233</v>
      </c>
      <c r="BW1691" s="2" t="s">
        <v>233</v>
      </c>
      <c r="BX1691" s="2" t="s">
        <v>243</v>
      </c>
      <c r="BY1691" s="2" t="s">
        <v>280</v>
      </c>
      <c r="BZ1691" s="2" t="s">
        <v>245</v>
      </c>
      <c r="CA1691" s="2" t="s">
        <v>2112</v>
      </c>
      <c r="CB1691" s="2" t="s">
        <v>3479</v>
      </c>
      <c r="CC1691" s="2" t="s">
        <v>246</v>
      </c>
      <c r="CD1691" s="2" t="s">
        <v>233</v>
      </c>
      <c r="CE1691" s="4">
        <v>6</v>
      </c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>
        <v>90</v>
      </c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  <c r="HF1691" s="4"/>
      <c r="HG1691" s="4"/>
      <c r="HH1691" s="4"/>
      <c r="HI1691" s="4"/>
      <c r="HJ1691" s="4"/>
      <c r="HK1691" s="4"/>
      <c r="HL1691" s="4"/>
      <c r="HM1691" s="4"/>
      <c r="HN1691" s="4"/>
      <c r="HO1691" s="4"/>
      <c r="HP1691" s="4"/>
      <c r="HQ1691" s="4"/>
      <c r="HR1691" s="4"/>
    </row>
    <row r="1692">
      <c r="A1692" s="2" t="s">
        <v>8035</v>
      </c>
      <c r="B1692" s="2" t="s">
        <v>333</v>
      </c>
      <c r="C1692" s="2" t="s">
        <v>1050</v>
      </c>
      <c r="D1692" s="2" t="s">
        <v>335</v>
      </c>
      <c r="E1692" s="2" t="s">
        <v>336</v>
      </c>
      <c r="F1692" s="2" t="s">
        <v>7894</v>
      </c>
      <c r="G1692" s="2" t="s">
        <v>7894</v>
      </c>
      <c r="H1692" s="2" t="s">
        <v>7894</v>
      </c>
      <c r="I1692" s="2" t="s">
        <v>338</v>
      </c>
      <c r="J1692" s="2" t="s">
        <v>290</v>
      </c>
      <c r="K1692" s="2" t="s">
        <v>8032</v>
      </c>
      <c r="L1692" s="3">
        <v>28.2</v>
      </c>
      <c r="M1692" s="3">
        <v>29.61</v>
      </c>
      <c r="N1692" s="3">
        <v>59.99</v>
      </c>
      <c r="O1692" s="2" t="s">
        <v>245</v>
      </c>
      <c r="P1692" s="2" t="s">
        <v>272</v>
      </c>
      <c r="Q1692" s="2" t="s">
        <v>239</v>
      </c>
      <c r="R1692" s="2" t="s">
        <v>233</v>
      </c>
      <c r="S1692" s="2" t="s">
        <v>8033</v>
      </c>
      <c r="T1692" s="2" t="s">
        <v>647</v>
      </c>
      <c r="U1692" s="2" t="s">
        <v>342</v>
      </c>
      <c r="V1692" s="2" t="s">
        <v>3951</v>
      </c>
      <c r="W1692" s="2" t="s">
        <v>275</v>
      </c>
      <c r="X1692" s="2" t="s">
        <v>397</v>
      </c>
      <c r="Y1692" s="2" t="s">
        <v>2795</v>
      </c>
      <c r="Z1692" s="4">
        <v>45</v>
      </c>
      <c r="AA1692" s="4">
        <f>=ROUNDDOWN({0},0)</f>
      </c>
      <c r="AB1692" s="5">
        <v>9</v>
      </c>
      <c r="AC1692" s="2" t="s">
        <v>1341</v>
      </c>
      <c r="AD1692" s="4">
        <v>90</v>
      </c>
      <c r="AE1692" s="4">
        <v>90</v>
      </c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233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233</v>
      </c>
      <c r="AW1692" s="8" t="s">
        <v>233</v>
      </c>
      <c r="AX1692" s="4" t="s">
        <v>233</v>
      </c>
      <c r="AY1692" s="8" t="s">
        <v>233</v>
      </c>
      <c r="AZ1692" s="7" t="s">
        <v>233</v>
      </c>
      <c r="BA1692" s="7" t="s">
        <v>233</v>
      </c>
      <c r="BB1692" s="7"/>
      <c r="BC1692" s="4" t="s">
        <v>233</v>
      </c>
      <c r="BD1692" s="8" t="s">
        <v>233</v>
      </c>
      <c r="BE1692" s="4" t="s">
        <v>233</v>
      </c>
      <c r="BF1692" s="8" t="s">
        <v>233</v>
      </c>
      <c r="BG1692" s="7" t="s">
        <v>233</v>
      </c>
      <c r="BH1692" s="7" t="s">
        <v>233</v>
      </c>
      <c r="BI1692" s="7"/>
      <c r="BJ1692" s="4">
        <v>3</v>
      </c>
      <c r="BK1692" s="8">
        <v>84.83</v>
      </c>
      <c r="BL1692" s="2" t="s">
        <v>8036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8037</v>
      </c>
      <c r="BV1692" s="2" t="s">
        <v>233</v>
      </c>
      <c r="BW1692" s="2" t="s">
        <v>233</v>
      </c>
      <c r="BX1692" s="2" t="s">
        <v>243</v>
      </c>
      <c r="BY1692" s="2" t="s">
        <v>280</v>
      </c>
      <c r="BZ1692" s="2" t="s">
        <v>245</v>
      </c>
      <c r="CA1692" s="2" t="s">
        <v>2112</v>
      </c>
      <c r="CB1692" s="2" t="s">
        <v>8038</v>
      </c>
      <c r="CC1692" s="2" t="s">
        <v>246</v>
      </c>
      <c r="CD1692" s="2" t="s">
        <v>233</v>
      </c>
      <c r="CE1692" s="4">
        <v>45</v>
      </c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>
        <v>90</v>
      </c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  <c r="HF1692" s="4"/>
      <c r="HG1692" s="4"/>
      <c r="HH1692" s="4"/>
      <c r="HI1692" s="4"/>
      <c r="HJ1692" s="4"/>
      <c r="HK1692" s="4"/>
      <c r="HL1692" s="4"/>
      <c r="HM1692" s="4"/>
      <c r="HN1692" s="4"/>
      <c r="HO1692" s="4"/>
      <c r="HP1692" s="4"/>
      <c r="HQ1692" s="4"/>
      <c r="HR1692" s="4"/>
    </row>
    <row r="1693">
      <c r="A1693" s="2" t="s">
        <v>8039</v>
      </c>
      <c r="B1693" s="2" t="s">
        <v>333</v>
      </c>
      <c r="C1693" s="2" t="s">
        <v>1050</v>
      </c>
      <c r="D1693" s="2" t="s">
        <v>335</v>
      </c>
      <c r="E1693" s="2" t="s">
        <v>336</v>
      </c>
      <c r="F1693" s="2" t="s">
        <v>7894</v>
      </c>
      <c r="G1693" s="2" t="s">
        <v>7894</v>
      </c>
      <c r="H1693" s="2" t="s">
        <v>7894</v>
      </c>
      <c r="I1693" s="2" t="s">
        <v>338</v>
      </c>
      <c r="J1693" s="2" t="s">
        <v>328</v>
      </c>
      <c r="K1693" s="2" t="s">
        <v>8032</v>
      </c>
      <c r="L1693" s="3">
        <v>34.5</v>
      </c>
      <c r="M1693" s="3">
        <v>36.23</v>
      </c>
      <c r="N1693" s="3">
        <v>74.99</v>
      </c>
      <c r="O1693" s="2" t="s">
        <v>245</v>
      </c>
      <c r="P1693" s="2" t="s">
        <v>272</v>
      </c>
      <c r="Q1693" s="2" t="s">
        <v>239</v>
      </c>
      <c r="R1693" s="2" t="s">
        <v>233</v>
      </c>
      <c r="S1693" s="2" t="s">
        <v>8033</v>
      </c>
      <c r="T1693" s="2" t="s">
        <v>647</v>
      </c>
      <c r="U1693" s="2" t="s">
        <v>342</v>
      </c>
      <c r="V1693" s="2" t="s">
        <v>3951</v>
      </c>
      <c r="W1693" s="2" t="s">
        <v>275</v>
      </c>
      <c r="X1693" s="2" t="s">
        <v>397</v>
      </c>
      <c r="Y1693" s="2" t="s">
        <v>2795</v>
      </c>
      <c r="Z1693" s="4">
        <v>52</v>
      </c>
      <c r="AA1693" s="4">
        <f>=ROUNDDOWN(3.46666666666667,0)</f>
      </c>
      <c r="AB1693" s="5"/>
      <c r="AC1693" s="2" t="s">
        <v>1341</v>
      </c>
      <c r="AD1693" s="4">
        <v>140</v>
      </c>
      <c r="AE1693" s="4">
        <v>140</v>
      </c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233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233</v>
      </c>
      <c r="AW1693" s="8" t="s">
        <v>233</v>
      </c>
      <c r="AX1693" s="4" t="s">
        <v>233</v>
      </c>
      <c r="AY1693" s="8" t="s">
        <v>233</v>
      </c>
      <c r="AZ1693" s="7" t="s">
        <v>233</v>
      </c>
      <c r="BA1693" s="7" t="s">
        <v>233</v>
      </c>
      <c r="BB1693" s="7"/>
      <c r="BC1693" s="4" t="s">
        <v>233</v>
      </c>
      <c r="BD1693" s="8" t="s">
        <v>233</v>
      </c>
      <c r="BE1693" s="4" t="s">
        <v>233</v>
      </c>
      <c r="BF1693" s="8" t="s">
        <v>233</v>
      </c>
      <c r="BG1693" s="7" t="s">
        <v>233</v>
      </c>
      <c r="BH1693" s="7" t="s">
        <v>233</v>
      </c>
      <c r="BI1693" s="7"/>
      <c r="BJ1693" s="4"/>
      <c r="BK1693" s="8"/>
      <c r="BL1693" s="2" t="s">
        <v>233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8040</v>
      </c>
      <c r="BV1693" s="2" t="s">
        <v>233</v>
      </c>
      <c r="BW1693" s="2" t="s">
        <v>233</v>
      </c>
      <c r="BX1693" s="2" t="s">
        <v>243</v>
      </c>
      <c r="BY1693" s="2" t="s">
        <v>280</v>
      </c>
      <c r="BZ1693" s="2" t="s">
        <v>245</v>
      </c>
      <c r="CA1693" s="2" t="s">
        <v>2112</v>
      </c>
      <c r="CB1693" s="2" t="s">
        <v>4929</v>
      </c>
      <c r="CC1693" s="2" t="s">
        <v>246</v>
      </c>
      <c r="CD1693" s="2" t="s">
        <v>233</v>
      </c>
      <c r="CE1693" s="4">
        <v>52</v>
      </c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>
        <v>140</v>
      </c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  <c r="HF1693" s="4"/>
      <c r="HG1693" s="4"/>
      <c r="HH1693" s="4"/>
      <c r="HI1693" s="4"/>
      <c r="HJ1693" s="4"/>
      <c r="HK1693" s="4"/>
      <c r="HL1693" s="4"/>
      <c r="HM1693" s="4"/>
      <c r="HN1693" s="4"/>
      <c r="HO1693" s="4"/>
      <c r="HP1693" s="4"/>
      <c r="HQ1693" s="4"/>
      <c r="HR1693" s="4"/>
    </row>
    <row r="1694">
      <c r="A1694" s="2" t="s">
        <v>8041</v>
      </c>
      <c r="B1694" s="2" t="s">
        <v>333</v>
      </c>
      <c r="C1694" s="2" t="s">
        <v>1050</v>
      </c>
      <c r="D1694" s="2" t="s">
        <v>335</v>
      </c>
      <c r="E1694" s="2" t="s">
        <v>336</v>
      </c>
      <c r="F1694" s="2" t="s">
        <v>7894</v>
      </c>
      <c r="G1694" s="2" t="s">
        <v>7894</v>
      </c>
      <c r="H1694" s="2" t="s">
        <v>7894</v>
      </c>
      <c r="I1694" s="2" t="s">
        <v>338</v>
      </c>
      <c r="J1694" s="2" t="s">
        <v>270</v>
      </c>
      <c r="K1694" s="2" t="s">
        <v>569</v>
      </c>
      <c r="L1694" s="3">
        <v>21.62</v>
      </c>
      <c r="M1694" s="3">
        <v>22.7</v>
      </c>
      <c r="N1694" s="3">
        <v>46.99</v>
      </c>
      <c r="O1694" s="2" t="s">
        <v>245</v>
      </c>
      <c r="P1694" s="2" t="s">
        <v>272</v>
      </c>
      <c r="Q1694" s="2" t="s">
        <v>239</v>
      </c>
      <c r="R1694" s="2" t="s">
        <v>233</v>
      </c>
      <c r="S1694" s="2" t="s">
        <v>8042</v>
      </c>
      <c r="T1694" s="2" t="s">
        <v>647</v>
      </c>
      <c r="U1694" s="2" t="s">
        <v>475</v>
      </c>
      <c r="V1694" s="2" t="s">
        <v>241</v>
      </c>
      <c r="W1694" s="2" t="s">
        <v>275</v>
      </c>
      <c r="X1694" s="2" t="s">
        <v>397</v>
      </c>
      <c r="Y1694" s="2" t="s">
        <v>276</v>
      </c>
      <c r="Z1694" s="4"/>
      <c r="AA1694" s="4">
        <f>=ROUNDDOWN({0},0)</f>
      </c>
      <c r="AB1694" s="5">
        <v>17</v>
      </c>
      <c r="AC1694" s="2" t="s">
        <v>1341</v>
      </c>
      <c r="AD1694" s="4">
        <v>130</v>
      </c>
      <c r="AE1694" s="4">
        <v>130</v>
      </c>
      <c r="AF1694" s="6">
        <v>65</v>
      </c>
      <c r="AG1694" s="6"/>
      <c r="AH1694" s="7">
        <v>0</v>
      </c>
      <c r="AI1694" s="4"/>
      <c r="AJ1694" s="4">
        <f>=ROUNDDOWN({0},0)</f>
      </c>
      <c r="AK1694" s="5"/>
      <c r="AL1694" s="2" t="s">
        <v>233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233</v>
      </c>
      <c r="AW1694" s="8" t="s">
        <v>233</v>
      </c>
      <c r="AX1694" s="4" t="s">
        <v>233</v>
      </c>
      <c r="AY1694" s="8" t="s">
        <v>233</v>
      </c>
      <c r="AZ1694" s="7" t="s">
        <v>233</v>
      </c>
      <c r="BA1694" s="7" t="s">
        <v>233</v>
      </c>
      <c r="BB1694" s="7"/>
      <c r="BC1694" s="4" t="s">
        <v>233</v>
      </c>
      <c r="BD1694" s="8" t="s">
        <v>233</v>
      </c>
      <c r="BE1694" s="4" t="s">
        <v>233</v>
      </c>
      <c r="BF1694" s="8" t="s">
        <v>233</v>
      </c>
      <c r="BG1694" s="7" t="s">
        <v>233</v>
      </c>
      <c r="BH1694" s="7" t="s">
        <v>233</v>
      </c>
      <c r="BI1694" s="7"/>
      <c r="BJ1694" s="4"/>
      <c r="BK1694" s="8"/>
      <c r="BL1694" s="2" t="s">
        <v>8043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8044</v>
      </c>
      <c r="BV1694" s="2" t="s">
        <v>233</v>
      </c>
      <c r="BW1694" s="2" t="s">
        <v>233</v>
      </c>
      <c r="BX1694" s="2" t="s">
        <v>243</v>
      </c>
      <c r="BY1694" s="2" t="s">
        <v>280</v>
      </c>
      <c r="BZ1694" s="2" t="s">
        <v>245</v>
      </c>
      <c r="CA1694" s="2" t="s">
        <v>281</v>
      </c>
      <c r="CB1694" s="2" t="s">
        <v>7983</v>
      </c>
      <c r="CC1694" s="2" t="s">
        <v>246</v>
      </c>
      <c r="CD1694" s="2" t="s">
        <v>233</v>
      </c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>
        <v>130</v>
      </c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  <c r="HF1694" s="4"/>
      <c r="HG1694" s="4"/>
      <c r="HH1694" s="4"/>
      <c r="HI1694" s="4"/>
      <c r="HJ1694" s="4"/>
      <c r="HK1694" s="4"/>
      <c r="HL1694" s="4"/>
      <c r="HM1694" s="4"/>
      <c r="HN1694" s="4"/>
      <c r="HO1694" s="4"/>
      <c r="HP1694" s="4"/>
      <c r="HQ1694" s="4"/>
      <c r="HR1694" s="4"/>
    </row>
    <row r="1695">
      <c r="A1695" s="2" t="s">
        <v>8045</v>
      </c>
      <c r="B1695" s="2" t="s">
        <v>333</v>
      </c>
      <c r="C1695" s="2" t="s">
        <v>1050</v>
      </c>
      <c r="D1695" s="2" t="s">
        <v>335</v>
      </c>
      <c r="E1695" s="2" t="s">
        <v>336</v>
      </c>
      <c r="F1695" s="2" t="s">
        <v>7894</v>
      </c>
      <c r="G1695" s="2" t="s">
        <v>7894</v>
      </c>
      <c r="H1695" s="2" t="s">
        <v>7894</v>
      </c>
      <c r="I1695" s="2" t="s">
        <v>338</v>
      </c>
      <c r="J1695" s="2" t="s">
        <v>284</v>
      </c>
      <c r="K1695" s="2" t="s">
        <v>569</v>
      </c>
      <c r="L1695" s="3">
        <v>23.04</v>
      </c>
      <c r="M1695" s="3">
        <v>24.19</v>
      </c>
      <c r="N1695" s="3">
        <v>47.99</v>
      </c>
      <c r="O1695" s="2" t="s">
        <v>245</v>
      </c>
      <c r="P1695" s="2" t="s">
        <v>272</v>
      </c>
      <c r="Q1695" s="2" t="s">
        <v>239</v>
      </c>
      <c r="R1695" s="2" t="s">
        <v>233</v>
      </c>
      <c r="S1695" s="2" t="s">
        <v>8042</v>
      </c>
      <c r="T1695" s="2" t="s">
        <v>647</v>
      </c>
      <c r="U1695" s="2" t="s">
        <v>475</v>
      </c>
      <c r="V1695" s="2" t="s">
        <v>241</v>
      </c>
      <c r="W1695" s="2" t="s">
        <v>275</v>
      </c>
      <c r="X1695" s="2" t="s">
        <v>397</v>
      </c>
      <c r="Y1695" s="2" t="s">
        <v>276</v>
      </c>
      <c r="Z1695" s="4">
        <v>25</v>
      </c>
      <c r="AA1695" s="4">
        <f>=ROUNDDOWN(3.57142857142857,0)</f>
      </c>
      <c r="AB1695" s="5">
        <v>7</v>
      </c>
      <c r="AC1695" s="2" t="s">
        <v>1341</v>
      </c>
      <c r="AD1695" s="4">
        <v>70</v>
      </c>
      <c r="AE1695" s="4">
        <v>70</v>
      </c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233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233</v>
      </c>
      <c r="AW1695" s="8" t="s">
        <v>233</v>
      </c>
      <c r="AX1695" s="4" t="s">
        <v>233</v>
      </c>
      <c r="AY1695" s="8" t="s">
        <v>233</v>
      </c>
      <c r="AZ1695" s="7" t="s">
        <v>233</v>
      </c>
      <c r="BA1695" s="7" t="s">
        <v>233</v>
      </c>
      <c r="BB1695" s="7"/>
      <c r="BC1695" s="4" t="s">
        <v>233</v>
      </c>
      <c r="BD1695" s="8" t="s">
        <v>233</v>
      </c>
      <c r="BE1695" s="4" t="s">
        <v>233</v>
      </c>
      <c r="BF1695" s="8" t="s">
        <v>233</v>
      </c>
      <c r="BG1695" s="7" t="s">
        <v>233</v>
      </c>
      <c r="BH1695" s="7" t="s">
        <v>233</v>
      </c>
      <c r="BI1695" s="7"/>
      <c r="BJ1695" s="4">
        <v>8</v>
      </c>
      <c r="BK1695" s="8">
        <v>201.29</v>
      </c>
      <c r="BL1695" s="2" t="s">
        <v>8046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8047</v>
      </c>
      <c r="BV1695" s="2" t="s">
        <v>233</v>
      </c>
      <c r="BW1695" s="2" t="s">
        <v>233</v>
      </c>
      <c r="BX1695" s="2" t="s">
        <v>243</v>
      </c>
      <c r="BY1695" s="2" t="s">
        <v>280</v>
      </c>
      <c r="BZ1695" s="2" t="s">
        <v>245</v>
      </c>
      <c r="CA1695" s="2" t="s">
        <v>281</v>
      </c>
      <c r="CB1695" s="2" t="s">
        <v>8048</v>
      </c>
      <c r="CC1695" s="2" t="s">
        <v>246</v>
      </c>
      <c r="CD1695" s="2" t="s">
        <v>233</v>
      </c>
      <c r="CE1695" s="4">
        <v>25</v>
      </c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>
        <v>70</v>
      </c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  <c r="HF1695" s="4"/>
      <c r="HG1695" s="4"/>
      <c r="HH1695" s="4"/>
      <c r="HI1695" s="4"/>
      <c r="HJ1695" s="4"/>
      <c r="HK1695" s="4"/>
      <c r="HL1695" s="4"/>
      <c r="HM1695" s="4"/>
      <c r="HN1695" s="4"/>
      <c r="HO1695" s="4"/>
      <c r="HP1695" s="4"/>
      <c r="HQ1695" s="4"/>
      <c r="HR1695" s="4"/>
    </row>
    <row r="1696">
      <c r="A1696" s="2" t="s">
        <v>8049</v>
      </c>
      <c r="B1696" s="2" t="s">
        <v>333</v>
      </c>
      <c r="C1696" s="2" t="s">
        <v>1050</v>
      </c>
      <c r="D1696" s="2" t="s">
        <v>335</v>
      </c>
      <c r="E1696" s="2" t="s">
        <v>336</v>
      </c>
      <c r="F1696" s="2" t="s">
        <v>7894</v>
      </c>
      <c r="G1696" s="2" t="s">
        <v>7894</v>
      </c>
      <c r="H1696" s="2" t="s">
        <v>7894</v>
      </c>
      <c r="I1696" s="2" t="s">
        <v>338</v>
      </c>
      <c r="J1696" s="2" t="s">
        <v>290</v>
      </c>
      <c r="K1696" s="2" t="s">
        <v>569</v>
      </c>
      <c r="L1696" s="3">
        <v>25.3</v>
      </c>
      <c r="M1696" s="3">
        <v>26.56</v>
      </c>
      <c r="N1696" s="3">
        <v>54.99</v>
      </c>
      <c r="O1696" s="2" t="s">
        <v>245</v>
      </c>
      <c r="P1696" s="2" t="s">
        <v>272</v>
      </c>
      <c r="Q1696" s="2" t="s">
        <v>239</v>
      </c>
      <c r="R1696" s="2" t="s">
        <v>233</v>
      </c>
      <c r="S1696" s="2" t="s">
        <v>8042</v>
      </c>
      <c r="T1696" s="2" t="s">
        <v>647</v>
      </c>
      <c r="U1696" s="2" t="s">
        <v>342</v>
      </c>
      <c r="V1696" s="2" t="s">
        <v>241</v>
      </c>
      <c r="W1696" s="2" t="s">
        <v>275</v>
      </c>
      <c r="X1696" s="2" t="s">
        <v>397</v>
      </c>
      <c r="Y1696" s="2" t="s">
        <v>276</v>
      </c>
      <c r="Z1696" s="4">
        <v>5</v>
      </c>
      <c r="AA1696" s="4">
        <f>=ROUNDDOWN(0.416666666666667,0)</f>
      </c>
      <c r="AB1696" s="5">
        <v>12</v>
      </c>
      <c r="AC1696" s="2" t="s">
        <v>1341</v>
      </c>
      <c r="AD1696" s="4">
        <v>110</v>
      </c>
      <c r="AE1696" s="4">
        <v>110</v>
      </c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233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233</v>
      </c>
      <c r="AW1696" s="8" t="s">
        <v>233</v>
      </c>
      <c r="AX1696" s="4" t="s">
        <v>233</v>
      </c>
      <c r="AY1696" s="8" t="s">
        <v>233</v>
      </c>
      <c r="AZ1696" s="7" t="s">
        <v>233</v>
      </c>
      <c r="BA1696" s="7" t="s">
        <v>233</v>
      </c>
      <c r="BB1696" s="7"/>
      <c r="BC1696" s="4" t="s">
        <v>233</v>
      </c>
      <c r="BD1696" s="8" t="s">
        <v>233</v>
      </c>
      <c r="BE1696" s="4" t="s">
        <v>233</v>
      </c>
      <c r="BF1696" s="8" t="s">
        <v>233</v>
      </c>
      <c r="BG1696" s="7" t="s">
        <v>233</v>
      </c>
      <c r="BH1696" s="7" t="s">
        <v>233</v>
      </c>
      <c r="BI1696" s="7"/>
      <c r="BJ1696" s="4">
        <v>11</v>
      </c>
      <c r="BK1696" s="8">
        <v>310.03</v>
      </c>
      <c r="BL1696" s="2" t="s">
        <v>8050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8051</v>
      </c>
      <c r="BV1696" s="2" t="s">
        <v>233</v>
      </c>
      <c r="BW1696" s="2" t="s">
        <v>233</v>
      </c>
      <c r="BX1696" s="2" t="s">
        <v>243</v>
      </c>
      <c r="BY1696" s="2" t="s">
        <v>280</v>
      </c>
      <c r="BZ1696" s="2" t="s">
        <v>245</v>
      </c>
      <c r="CA1696" s="2" t="s">
        <v>281</v>
      </c>
      <c r="CB1696" s="2" t="s">
        <v>670</v>
      </c>
      <c r="CC1696" s="2" t="s">
        <v>246</v>
      </c>
      <c r="CD1696" s="2" t="s">
        <v>233</v>
      </c>
      <c r="CE1696" s="4">
        <v>5</v>
      </c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>
        <v>110</v>
      </c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  <c r="HF1696" s="4"/>
      <c r="HG1696" s="4"/>
      <c r="HH1696" s="4"/>
      <c r="HI1696" s="4"/>
      <c r="HJ1696" s="4"/>
      <c r="HK1696" s="4"/>
      <c r="HL1696" s="4"/>
      <c r="HM1696" s="4"/>
      <c r="HN1696" s="4"/>
      <c r="HO1696" s="4"/>
      <c r="HP1696" s="4"/>
      <c r="HQ1696" s="4"/>
      <c r="HR1696" s="4"/>
    </row>
    <row r="1697">
      <c r="A1697" s="2" t="s">
        <v>8052</v>
      </c>
      <c r="B1697" s="2" t="s">
        <v>333</v>
      </c>
      <c r="C1697" s="2" t="s">
        <v>1050</v>
      </c>
      <c r="D1697" s="2" t="s">
        <v>335</v>
      </c>
      <c r="E1697" s="2" t="s">
        <v>336</v>
      </c>
      <c r="F1697" s="2" t="s">
        <v>7894</v>
      </c>
      <c r="G1697" s="2" t="s">
        <v>7894</v>
      </c>
      <c r="H1697" s="2" t="s">
        <v>7894</v>
      </c>
      <c r="I1697" s="2" t="s">
        <v>338</v>
      </c>
      <c r="J1697" s="2" t="s">
        <v>348</v>
      </c>
      <c r="K1697" s="2" t="s">
        <v>569</v>
      </c>
      <c r="L1697" s="3">
        <v>28.2</v>
      </c>
      <c r="M1697" s="3">
        <v>29.61</v>
      </c>
      <c r="N1697" s="3">
        <v>59.99</v>
      </c>
      <c r="O1697" s="2" t="s">
        <v>245</v>
      </c>
      <c r="P1697" s="2" t="s">
        <v>763</v>
      </c>
      <c r="Q1697" s="2" t="s">
        <v>239</v>
      </c>
      <c r="R1697" s="2" t="s">
        <v>233</v>
      </c>
      <c r="S1697" s="2" t="s">
        <v>8042</v>
      </c>
      <c r="T1697" s="2" t="s">
        <v>647</v>
      </c>
      <c r="U1697" s="2" t="s">
        <v>342</v>
      </c>
      <c r="V1697" s="2" t="s">
        <v>241</v>
      </c>
      <c r="W1697" s="2" t="s">
        <v>275</v>
      </c>
      <c r="X1697" s="2" t="s">
        <v>397</v>
      </c>
      <c r="Y1697" s="2" t="s">
        <v>276</v>
      </c>
      <c r="Z1697" s="4"/>
      <c r="AA1697" s="4">
        <f>=ROUNDDOWN({0},0)</f>
      </c>
      <c r="AB1697" s="5">
        <v>32</v>
      </c>
      <c r="AC1697" s="2" t="s">
        <v>1341</v>
      </c>
      <c r="AD1697" s="4">
        <v>270</v>
      </c>
      <c r="AE1697" s="4">
        <v>270</v>
      </c>
      <c r="AF1697" s="6">
        <v>65</v>
      </c>
      <c r="AG1697" s="6"/>
      <c r="AH1697" s="7">
        <v>0</v>
      </c>
      <c r="AI1697" s="4"/>
      <c r="AJ1697" s="4">
        <f>=ROUNDDOWN({0},0)</f>
      </c>
      <c r="AK1697" s="5"/>
      <c r="AL1697" s="2" t="s">
        <v>233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233</v>
      </c>
      <c r="AW1697" s="8" t="s">
        <v>233</v>
      </c>
      <c r="AX1697" s="4" t="s">
        <v>233</v>
      </c>
      <c r="AY1697" s="8" t="s">
        <v>233</v>
      </c>
      <c r="AZ1697" s="7" t="s">
        <v>233</v>
      </c>
      <c r="BA1697" s="7" t="s">
        <v>233</v>
      </c>
      <c r="BB1697" s="7"/>
      <c r="BC1697" s="4" t="s">
        <v>233</v>
      </c>
      <c r="BD1697" s="8" t="s">
        <v>233</v>
      </c>
      <c r="BE1697" s="4" t="s">
        <v>233</v>
      </c>
      <c r="BF1697" s="8" t="s">
        <v>233</v>
      </c>
      <c r="BG1697" s="7" t="s">
        <v>233</v>
      </c>
      <c r="BH1697" s="7" t="s">
        <v>233</v>
      </c>
      <c r="BI1697" s="7"/>
      <c r="BJ1697" s="4"/>
      <c r="BK1697" s="8"/>
      <c r="BL1697" s="2" t="s">
        <v>8053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8054</v>
      </c>
      <c r="BV1697" s="2" t="s">
        <v>233</v>
      </c>
      <c r="BW1697" s="2" t="s">
        <v>233</v>
      </c>
      <c r="BX1697" s="2" t="s">
        <v>243</v>
      </c>
      <c r="BY1697" s="2" t="s">
        <v>280</v>
      </c>
      <c r="BZ1697" s="2" t="s">
        <v>245</v>
      </c>
      <c r="CA1697" s="2" t="s">
        <v>281</v>
      </c>
      <c r="CB1697" s="2" t="s">
        <v>670</v>
      </c>
      <c r="CC1697" s="2" t="s">
        <v>246</v>
      </c>
      <c r="CD1697" s="2" t="s">
        <v>233</v>
      </c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>
        <v>270</v>
      </c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  <c r="HF1697" s="4"/>
      <c r="HG1697" s="4"/>
      <c r="HH1697" s="4"/>
      <c r="HI1697" s="4"/>
      <c r="HJ1697" s="4"/>
      <c r="HK1697" s="4"/>
      <c r="HL1697" s="4"/>
      <c r="HM1697" s="4"/>
      <c r="HN1697" s="4"/>
      <c r="HO1697" s="4"/>
      <c r="HP1697" s="4"/>
      <c r="HQ1697" s="4"/>
      <c r="HR1697" s="4"/>
    </row>
    <row r="1698">
      <c r="A1698" s="2" t="s">
        <v>8055</v>
      </c>
      <c r="B1698" s="2" t="s">
        <v>228</v>
      </c>
      <c r="C1698" s="2" t="s">
        <v>1050</v>
      </c>
      <c r="D1698" s="2" t="s">
        <v>230</v>
      </c>
      <c r="E1698" s="2" t="s">
        <v>231</v>
      </c>
      <c r="F1698" s="2" t="s">
        <v>7894</v>
      </c>
      <c r="G1698" s="2" t="s">
        <v>7894</v>
      </c>
      <c r="H1698" s="2" t="s">
        <v>7894</v>
      </c>
      <c r="I1698" s="2" t="s">
        <v>231</v>
      </c>
      <c r="J1698" s="2" t="s">
        <v>328</v>
      </c>
      <c r="K1698" s="2" t="s">
        <v>569</v>
      </c>
      <c r="L1698" s="3">
        <v>16.17</v>
      </c>
      <c r="M1698" s="3">
        <v>16.98</v>
      </c>
      <c r="N1698" s="3">
        <v>32.99</v>
      </c>
      <c r="O1698" s="2" t="s">
        <v>237</v>
      </c>
      <c r="P1698" s="2" t="s">
        <v>996</v>
      </c>
      <c r="Q1698" s="2" t="s">
        <v>239</v>
      </c>
      <c r="R1698" s="2" t="s">
        <v>233</v>
      </c>
      <c r="S1698" s="2" t="s">
        <v>8056</v>
      </c>
      <c r="T1698" s="2" t="s">
        <v>647</v>
      </c>
      <c r="U1698" s="2" t="s">
        <v>233</v>
      </c>
      <c r="V1698" s="2" t="s">
        <v>241</v>
      </c>
      <c r="W1698" s="2" t="s">
        <v>275</v>
      </c>
      <c r="X1698" s="2" t="s">
        <v>233</v>
      </c>
      <c r="Y1698" s="2" t="s">
        <v>276</v>
      </c>
      <c r="Z1698" s="4"/>
      <c r="AA1698" s="4">
        <f>=ROUNDDOWN({0},0)</f>
      </c>
      <c r="AB1698" s="5">
        <v>22</v>
      </c>
      <c r="AC1698" s="2" t="s">
        <v>233</v>
      </c>
      <c r="AD1698" s="4"/>
      <c r="AE1698" s="4"/>
      <c r="AF1698" s="6">
        <v>64</v>
      </c>
      <c r="AG1698" s="6"/>
      <c r="AH1698" s="7">
        <v>0</v>
      </c>
      <c r="AI1698" s="4"/>
      <c r="AJ1698" s="4">
        <f>=ROUNDDOWN({0},0)</f>
      </c>
      <c r="AK1698" s="5"/>
      <c r="AL1698" s="2" t="s">
        <v>233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233</v>
      </c>
      <c r="AW1698" s="8" t="s">
        <v>233</v>
      </c>
      <c r="AX1698" s="4" t="s">
        <v>233</v>
      </c>
      <c r="AY1698" s="8" t="s">
        <v>233</v>
      </c>
      <c r="AZ1698" s="7" t="s">
        <v>233</v>
      </c>
      <c r="BA1698" s="7" t="s">
        <v>233</v>
      </c>
      <c r="BB1698" s="7"/>
      <c r="BC1698" s="4" t="s">
        <v>233</v>
      </c>
      <c r="BD1698" s="8" t="s">
        <v>233</v>
      </c>
      <c r="BE1698" s="4" t="s">
        <v>233</v>
      </c>
      <c r="BF1698" s="8" t="s">
        <v>233</v>
      </c>
      <c r="BG1698" s="7" t="s">
        <v>233</v>
      </c>
      <c r="BH1698" s="7" t="s">
        <v>233</v>
      </c>
      <c r="BI1698" s="7"/>
      <c r="BJ1698" s="4"/>
      <c r="BK1698" s="8"/>
      <c r="BL1698" s="2" t="s">
        <v>4165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8057</v>
      </c>
      <c r="BV1698" s="2" t="s">
        <v>233</v>
      </c>
      <c r="BW1698" s="2" t="s">
        <v>233</v>
      </c>
      <c r="BX1698" s="2" t="s">
        <v>233</v>
      </c>
      <c r="BY1698" s="2" t="s">
        <v>280</v>
      </c>
      <c r="BZ1698" s="2" t="s">
        <v>245</v>
      </c>
      <c r="CA1698" s="2" t="s">
        <v>281</v>
      </c>
      <c r="CB1698" s="2" t="s">
        <v>528</v>
      </c>
      <c r="CC1698" s="2" t="s">
        <v>246</v>
      </c>
      <c r="CD1698" s="2" t="s">
        <v>233</v>
      </c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  <c r="HF1698" s="4"/>
      <c r="HG1698" s="4"/>
      <c r="HH1698" s="4"/>
      <c r="HI1698" s="4"/>
      <c r="HJ1698" s="4"/>
      <c r="HK1698" s="4"/>
      <c r="HL1698" s="4"/>
      <c r="HM1698" s="4"/>
      <c r="HN1698" s="4"/>
      <c r="HO1698" s="4"/>
      <c r="HP1698" s="4"/>
      <c r="HQ1698" s="4"/>
      <c r="HR1698" s="4"/>
    </row>
    <row r="1699">
      <c r="A1699" s="2" t="s">
        <v>8058</v>
      </c>
      <c r="B1699" s="2" t="s">
        <v>333</v>
      </c>
      <c r="C1699" s="2" t="s">
        <v>1050</v>
      </c>
      <c r="D1699" s="2" t="s">
        <v>335</v>
      </c>
      <c r="E1699" s="2" t="s">
        <v>336</v>
      </c>
      <c r="F1699" s="2" t="s">
        <v>7894</v>
      </c>
      <c r="G1699" s="2" t="s">
        <v>7894</v>
      </c>
      <c r="H1699" s="2" t="s">
        <v>7894</v>
      </c>
      <c r="I1699" s="2" t="s">
        <v>338</v>
      </c>
      <c r="J1699" s="2" t="s">
        <v>546</v>
      </c>
      <c r="K1699" s="2" t="s">
        <v>569</v>
      </c>
      <c r="L1699" s="3">
        <v>31.85</v>
      </c>
      <c r="M1699" s="3">
        <v>33.44</v>
      </c>
      <c r="N1699" s="3">
        <v>64.99</v>
      </c>
      <c r="O1699" s="2" t="s">
        <v>245</v>
      </c>
      <c r="P1699" s="2" t="s">
        <v>272</v>
      </c>
      <c r="Q1699" s="2" t="s">
        <v>239</v>
      </c>
      <c r="R1699" s="2" t="s">
        <v>233</v>
      </c>
      <c r="S1699" s="2" t="s">
        <v>8042</v>
      </c>
      <c r="T1699" s="2" t="s">
        <v>647</v>
      </c>
      <c r="U1699" s="2" t="s">
        <v>342</v>
      </c>
      <c r="V1699" s="2" t="s">
        <v>241</v>
      </c>
      <c r="W1699" s="2" t="s">
        <v>275</v>
      </c>
      <c r="X1699" s="2" t="s">
        <v>397</v>
      </c>
      <c r="Y1699" s="2" t="s">
        <v>276</v>
      </c>
      <c r="Z1699" s="4"/>
      <c r="AA1699" s="4">
        <f>=ROUNDDOWN({0},0)</f>
      </c>
      <c r="AB1699" s="5">
        <v>11</v>
      </c>
      <c r="AC1699" s="2" t="s">
        <v>1341</v>
      </c>
      <c r="AD1699" s="4">
        <v>90</v>
      </c>
      <c r="AE1699" s="4">
        <v>90</v>
      </c>
      <c r="AF1699" s="6">
        <v>65</v>
      </c>
      <c r="AG1699" s="6"/>
      <c r="AH1699" s="7">
        <v>0</v>
      </c>
      <c r="AI1699" s="4"/>
      <c r="AJ1699" s="4">
        <f>=ROUNDDOWN({0},0)</f>
      </c>
      <c r="AK1699" s="5"/>
      <c r="AL1699" s="2" t="s">
        <v>233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233</v>
      </c>
      <c r="AW1699" s="8" t="s">
        <v>233</v>
      </c>
      <c r="AX1699" s="4" t="s">
        <v>233</v>
      </c>
      <c r="AY1699" s="8" t="s">
        <v>233</v>
      </c>
      <c r="AZ1699" s="7" t="s">
        <v>233</v>
      </c>
      <c r="BA1699" s="7" t="s">
        <v>233</v>
      </c>
      <c r="BB1699" s="7"/>
      <c r="BC1699" s="4" t="s">
        <v>233</v>
      </c>
      <c r="BD1699" s="8" t="s">
        <v>233</v>
      </c>
      <c r="BE1699" s="4" t="s">
        <v>233</v>
      </c>
      <c r="BF1699" s="8" t="s">
        <v>233</v>
      </c>
      <c r="BG1699" s="7" t="s">
        <v>233</v>
      </c>
      <c r="BH1699" s="7" t="s">
        <v>233</v>
      </c>
      <c r="BI1699" s="7"/>
      <c r="BJ1699" s="4"/>
      <c r="BK1699" s="8"/>
      <c r="BL1699" s="2" t="s">
        <v>2741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8059</v>
      </c>
      <c r="BV1699" s="2" t="s">
        <v>233</v>
      </c>
      <c r="BW1699" s="2" t="s">
        <v>233</v>
      </c>
      <c r="BX1699" s="2" t="s">
        <v>243</v>
      </c>
      <c r="BY1699" s="2" t="s">
        <v>280</v>
      </c>
      <c r="BZ1699" s="2" t="s">
        <v>245</v>
      </c>
      <c r="CA1699" s="2" t="s">
        <v>281</v>
      </c>
      <c r="CB1699" s="2" t="s">
        <v>8060</v>
      </c>
      <c r="CC1699" s="2" t="s">
        <v>246</v>
      </c>
      <c r="CD1699" s="2" t="s">
        <v>233</v>
      </c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>
        <v>90</v>
      </c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  <c r="HF1699" s="4"/>
      <c r="HG1699" s="4"/>
      <c r="HH1699" s="4"/>
      <c r="HI1699" s="4"/>
      <c r="HJ1699" s="4"/>
      <c r="HK1699" s="4"/>
      <c r="HL1699" s="4"/>
      <c r="HM1699" s="4"/>
      <c r="HN1699" s="4"/>
      <c r="HO1699" s="4"/>
      <c r="HP1699" s="4"/>
      <c r="HQ1699" s="4"/>
      <c r="HR1699" s="4"/>
    </row>
    <row r="1700">
      <c r="A1700" s="2" t="s">
        <v>8061</v>
      </c>
      <c r="B1700" s="2" t="s">
        <v>333</v>
      </c>
      <c r="C1700" s="2" t="s">
        <v>1050</v>
      </c>
      <c r="D1700" s="2" t="s">
        <v>335</v>
      </c>
      <c r="E1700" s="2" t="s">
        <v>336</v>
      </c>
      <c r="F1700" s="2" t="s">
        <v>7894</v>
      </c>
      <c r="G1700" s="2" t="s">
        <v>7894</v>
      </c>
      <c r="H1700" s="2" t="s">
        <v>7894</v>
      </c>
      <c r="I1700" s="2" t="s">
        <v>338</v>
      </c>
      <c r="J1700" s="2" t="s">
        <v>270</v>
      </c>
      <c r="K1700" s="2" t="s">
        <v>582</v>
      </c>
      <c r="L1700" s="3">
        <v>21.62</v>
      </c>
      <c r="M1700" s="3">
        <v>22.7</v>
      </c>
      <c r="N1700" s="3">
        <v>46.99</v>
      </c>
      <c r="O1700" s="2" t="s">
        <v>245</v>
      </c>
      <c r="P1700" s="2" t="s">
        <v>272</v>
      </c>
      <c r="Q1700" s="2" t="s">
        <v>239</v>
      </c>
      <c r="R1700" s="2" t="s">
        <v>233</v>
      </c>
      <c r="S1700" s="2" t="s">
        <v>8062</v>
      </c>
      <c r="T1700" s="2" t="s">
        <v>647</v>
      </c>
      <c r="U1700" s="2" t="s">
        <v>475</v>
      </c>
      <c r="V1700" s="2" t="s">
        <v>241</v>
      </c>
      <c r="W1700" s="2" t="s">
        <v>275</v>
      </c>
      <c r="X1700" s="2" t="s">
        <v>397</v>
      </c>
      <c r="Y1700" s="2" t="s">
        <v>276</v>
      </c>
      <c r="Z1700" s="4"/>
      <c r="AA1700" s="4">
        <f>=ROUNDDOWN({0},0)</f>
      </c>
      <c r="AB1700" s="5">
        <v>7</v>
      </c>
      <c r="AC1700" s="2" t="s">
        <v>1341</v>
      </c>
      <c r="AD1700" s="4">
        <v>60</v>
      </c>
      <c r="AE1700" s="4">
        <v>60</v>
      </c>
      <c r="AF1700" s="6">
        <v>65</v>
      </c>
      <c r="AG1700" s="6"/>
      <c r="AH1700" s="7">
        <v>0</v>
      </c>
      <c r="AI1700" s="4"/>
      <c r="AJ1700" s="4">
        <f>=ROUNDDOWN({0},0)</f>
      </c>
      <c r="AK1700" s="5"/>
      <c r="AL1700" s="2" t="s">
        <v>233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233</v>
      </c>
      <c r="AW1700" s="8" t="s">
        <v>233</v>
      </c>
      <c r="AX1700" s="4" t="s">
        <v>233</v>
      </c>
      <c r="AY1700" s="8" t="s">
        <v>233</v>
      </c>
      <c r="AZ1700" s="7" t="s">
        <v>233</v>
      </c>
      <c r="BA1700" s="7" t="s">
        <v>233</v>
      </c>
      <c r="BB1700" s="7"/>
      <c r="BC1700" s="4" t="s">
        <v>233</v>
      </c>
      <c r="BD1700" s="8" t="s">
        <v>233</v>
      </c>
      <c r="BE1700" s="4" t="s">
        <v>233</v>
      </c>
      <c r="BF1700" s="8" t="s">
        <v>233</v>
      </c>
      <c r="BG1700" s="7" t="s">
        <v>233</v>
      </c>
      <c r="BH1700" s="7" t="s">
        <v>233</v>
      </c>
      <c r="BI1700" s="7"/>
      <c r="BJ1700" s="4"/>
      <c r="BK1700" s="8"/>
      <c r="BL1700" s="2" t="s">
        <v>8063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8064</v>
      </c>
      <c r="BV1700" s="2" t="s">
        <v>233</v>
      </c>
      <c r="BW1700" s="2" t="s">
        <v>233</v>
      </c>
      <c r="BX1700" s="2" t="s">
        <v>243</v>
      </c>
      <c r="BY1700" s="2" t="s">
        <v>280</v>
      </c>
      <c r="BZ1700" s="2" t="s">
        <v>245</v>
      </c>
      <c r="CA1700" s="2" t="s">
        <v>281</v>
      </c>
      <c r="CB1700" s="2" t="s">
        <v>8065</v>
      </c>
      <c r="CC1700" s="2" t="s">
        <v>246</v>
      </c>
      <c r="CD1700" s="2" t="s">
        <v>233</v>
      </c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>
        <v>60</v>
      </c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  <c r="HF1700" s="4"/>
      <c r="HG1700" s="4"/>
      <c r="HH1700" s="4"/>
      <c r="HI1700" s="4"/>
      <c r="HJ1700" s="4"/>
      <c r="HK1700" s="4"/>
      <c r="HL1700" s="4"/>
      <c r="HM1700" s="4"/>
      <c r="HN1700" s="4"/>
      <c r="HO1700" s="4"/>
      <c r="HP1700" s="4"/>
      <c r="HQ1700" s="4"/>
      <c r="HR1700" s="4"/>
    </row>
    <row r="1701">
      <c r="A1701" s="2" t="s">
        <v>8066</v>
      </c>
      <c r="B1701" s="2" t="s">
        <v>333</v>
      </c>
      <c r="C1701" s="2" t="s">
        <v>1050</v>
      </c>
      <c r="D1701" s="2" t="s">
        <v>335</v>
      </c>
      <c r="E1701" s="2" t="s">
        <v>336</v>
      </c>
      <c r="F1701" s="2" t="s">
        <v>7894</v>
      </c>
      <c r="G1701" s="2" t="s">
        <v>7894</v>
      </c>
      <c r="H1701" s="2" t="s">
        <v>7894</v>
      </c>
      <c r="I1701" s="2" t="s">
        <v>338</v>
      </c>
      <c r="J1701" s="2" t="s">
        <v>284</v>
      </c>
      <c r="K1701" s="2" t="s">
        <v>582</v>
      </c>
      <c r="L1701" s="3">
        <v>23.04</v>
      </c>
      <c r="M1701" s="3">
        <v>24.19</v>
      </c>
      <c r="N1701" s="3">
        <v>47.99</v>
      </c>
      <c r="O1701" s="2" t="s">
        <v>245</v>
      </c>
      <c r="P1701" s="2" t="s">
        <v>272</v>
      </c>
      <c r="Q1701" s="2" t="s">
        <v>239</v>
      </c>
      <c r="R1701" s="2" t="s">
        <v>233</v>
      </c>
      <c r="S1701" s="2" t="s">
        <v>8062</v>
      </c>
      <c r="T1701" s="2" t="s">
        <v>647</v>
      </c>
      <c r="U1701" s="2" t="s">
        <v>475</v>
      </c>
      <c r="V1701" s="2" t="s">
        <v>241</v>
      </c>
      <c r="W1701" s="2" t="s">
        <v>275</v>
      </c>
      <c r="X1701" s="2" t="s">
        <v>397</v>
      </c>
      <c r="Y1701" s="2" t="s">
        <v>276</v>
      </c>
      <c r="Z1701" s="4">
        <v>2</v>
      </c>
      <c r="AA1701" s="4">
        <f>=ROUNDDOWN(0.25,0)</f>
      </c>
      <c r="AB1701" s="5">
        <v>8</v>
      </c>
      <c r="AC1701" s="2" t="s">
        <v>1341</v>
      </c>
      <c r="AD1701" s="4">
        <v>80</v>
      </c>
      <c r="AE1701" s="4">
        <v>80</v>
      </c>
      <c r="AF1701" s="6">
        <v>65</v>
      </c>
      <c r="AG1701" s="6"/>
      <c r="AH1701" s="7">
        <v>0</v>
      </c>
      <c r="AI1701" s="4"/>
      <c r="AJ1701" s="4">
        <f>=ROUNDDOWN({0},0)</f>
      </c>
      <c r="AK1701" s="5"/>
      <c r="AL1701" s="2" t="s">
        <v>233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233</v>
      </c>
      <c r="AW1701" s="8" t="s">
        <v>233</v>
      </c>
      <c r="AX1701" s="4" t="s">
        <v>233</v>
      </c>
      <c r="AY1701" s="8" t="s">
        <v>233</v>
      </c>
      <c r="AZ1701" s="7" t="s">
        <v>233</v>
      </c>
      <c r="BA1701" s="7" t="s">
        <v>233</v>
      </c>
      <c r="BB1701" s="7"/>
      <c r="BC1701" s="4" t="s">
        <v>233</v>
      </c>
      <c r="BD1701" s="8" t="s">
        <v>233</v>
      </c>
      <c r="BE1701" s="4" t="s">
        <v>233</v>
      </c>
      <c r="BF1701" s="8" t="s">
        <v>233</v>
      </c>
      <c r="BG1701" s="7" t="s">
        <v>233</v>
      </c>
      <c r="BH1701" s="7" t="s">
        <v>233</v>
      </c>
      <c r="BI1701" s="7"/>
      <c r="BJ1701" s="4"/>
      <c r="BK1701" s="8"/>
      <c r="BL1701" s="2" t="s">
        <v>8067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8068</v>
      </c>
      <c r="BV1701" s="2" t="s">
        <v>233</v>
      </c>
      <c r="BW1701" s="2" t="s">
        <v>233</v>
      </c>
      <c r="BX1701" s="2" t="s">
        <v>243</v>
      </c>
      <c r="BY1701" s="2" t="s">
        <v>280</v>
      </c>
      <c r="BZ1701" s="2" t="s">
        <v>245</v>
      </c>
      <c r="CA1701" s="2" t="s">
        <v>281</v>
      </c>
      <c r="CB1701" s="2" t="s">
        <v>7273</v>
      </c>
      <c r="CC1701" s="2" t="s">
        <v>246</v>
      </c>
      <c r="CD1701" s="2" t="s">
        <v>233</v>
      </c>
      <c r="CE1701" s="4">
        <v>2</v>
      </c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>
        <v>80</v>
      </c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  <c r="HF1701" s="4"/>
      <c r="HG1701" s="4"/>
      <c r="HH1701" s="4"/>
      <c r="HI1701" s="4"/>
      <c r="HJ1701" s="4"/>
      <c r="HK1701" s="4"/>
      <c r="HL1701" s="4"/>
      <c r="HM1701" s="4"/>
      <c r="HN1701" s="4"/>
      <c r="HO1701" s="4"/>
      <c r="HP1701" s="4"/>
      <c r="HQ1701" s="4"/>
      <c r="HR1701" s="4"/>
    </row>
    <row r="1702">
      <c r="A1702" s="2" t="s">
        <v>8069</v>
      </c>
      <c r="B1702" s="2" t="s">
        <v>333</v>
      </c>
      <c r="C1702" s="2" t="s">
        <v>1050</v>
      </c>
      <c r="D1702" s="2" t="s">
        <v>335</v>
      </c>
      <c r="E1702" s="2" t="s">
        <v>336</v>
      </c>
      <c r="F1702" s="2" t="s">
        <v>7894</v>
      </c>
      <c r="G1702" s="2" t="s">
        <v>7894</v>
      </c>
      <c r="H1702" s="2" t="s">
        <v>7894</v>
      </c>
      <c r="I1702" s="2" t="s">
        <v>338</v>
      </c>
      <c r="J1702" s="2" t="s">
        <v>348</v>
      </c>
      <c r="K1702" s="2" t="s">
        <v>582</v>
      </c>
      <c r="L1702" s="3">
        <v>28.2</v>
      </c>
      <c r="M1702" s="3">
        <v>29.61</v>
      </c>
      <c r="N1702" s="3">
        <v>59.99</v>
      </c>
      <c r="O1702" s="2" t="s">
        <v>245</v>
      </c>
      <c r="P1702" s="2" t="s">
        <v>763</v>
      </c>
      <c r="Q1702" s="2" t="s">
        <v>239</v>
      </c>
      <c r="R1702" s="2" t="s">
        <v>233</v>
      </c>
      <c r="S1702" s="2" t="s">
        <v>8062</v>
      </c>
      <c r="T1702" s="2" t="s">
        <v>647</v>
      </c>
      <c r="U1702" s="2" t="s">
        <v>342</v>
      </c>
      <c r="V1702" s="2" t="s">
        <v>241</v>
      </c>
      <c r="W1702" s="2" t="s">
        <v>275</v>
      </c>
      <c r="X1702" s="2" t="s">
        <v>397</v>
      </c>
      <c r="Y1702" s="2" t="s">
        <v>276</v>
      </c>
      <c r="Z1702" s="4">
        <v>3</v>
      </c>
      <c r="AA1702" s="4">
        <f>=ROUNDDOWN(0.115384615384615,0)</f>
      </c>
      <c r="AB1702" s="5">
        <v>26</v>
      </c>
      <c r="AC1702" s="2" t="s">
        <v>1341</v>
      </c>
      <c r="AD1702" s="4">
        <v>230</v>
      </c>
      <c r="AE1702" s="4">
        <v>230</v>
      </c>
      <c r="AF1702" s="6">
        <v>65</v>
      </c>
      <c r="AG1702" s="6"/>
      <c r="AH1702" s="7">
        <v>0</v>
      </c>
      <c r="AI1702" s="4"/>
      <c r="AJ1702" s="4">
        <f>=ROUNDDOWN({0},0)</f>
      </c>
      <c r="AK1702" s="5"/>
      <c r="AL1702" s="2" t="s">
        <v>233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233</v>
      </c>
      <c r="AW1702" s="8" t="s">
        <v>233</v>
      </c>
      <c r="AX1702" s="4" t="s">
        <v>233</v>
      </c>
      <c r="AY1702" s="8" t="s">
        <v>233</v>
      </c>
      <c r="AZ1702" s="7" t="s">
        <v>233</v>
      </c>
      <c r="BA1702" s="7" t="s">
        <v>233</v>
      </c>
      <c r="BB1702" s="7"/>
      <c r="BC1702" s="4" t="s">
        <v>233</v>
      </c>
      <c r="BD1702" s="8" t="s">
        <v>233</v>
      </c>
      <c r="BE1702" s="4" t="s">
        <v>233</v>
      </c>
      <c r="BF1702" s="8" t="s">
        <v>233</v>
      </c>
      <c r="BG1702" s="7" t="s">
        <v>233</v>
      </c>
      <c r="BH1702" s="7" t="s">
        <v>233</v>
      </c>
      <c r="BI1702" s="7"/>
      <c r="BJ1702" s="4"/>
      <c r="BK1702" s="8"/>
      <c r="BL1702" s="2" t="s">
        <v>8070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8071</v>
      </c>
      <c r="BV1702" s="2" t="s">
        <v>233</v>
      </c>
      <c r="BW1702" s="2" t="s">
        <v>233</v>
      </c>
      <c r="BX1702" s="2" t="s">
        <v>243</v>
      </c>
      <c r="BY1702" s="2" t="s">
        <v>280</v>
      </c>
      <c r="BZ1702" s="2" t="s">
        <v>245</v>
      </c>
      <c r="CA1702" s="2" t="s">
        <v>281</v>
      </c>
      <c r="CB1702" s="2" t="s">
        <v>7449</v>
      </c>
      <c r="CC1702" s="2" t="s">
        <v>246</v>
      </c>
      <c r="CD1702" s="2" t="s">
        <v>233</v>
      </c>
      <c r="CE1702" s="4">
        <v>3</v>
      </c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>
        <v>230</v>
      </c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  <c r="HF1702" s="4"/>
      <c r="HG1702" s="4"/>
      <c r="HH1702" s="4"/>
      <c r="HI1702" s="4"/>
      <c r="HJ1702" s="4"/>
      <c r="HK1702" s="4"/>
      <c r="HL1702" s="4"/>
      <c r="HM1702" s="4"/>
      <c r="HN1702" s="4"/>
      <c r="HO1702" s="4"/>
      <c r="HP1702" s="4"/>
      <c r="HQ1702" s="4"/>
      <c r="HR1702" s="4"/>
    </row>
    <row r="1703">
      <c r="A1703" s="2" t="s">
        <v>8072</v>
      </c>
      <c r="B1703" s="2" t="s">
        <v>333</v>
      </c>
      <c r="C1703" s="2" t="s">
        <v>1050</v>
      </c>
      <c r="D1703" s="2" t="s">
        <v>335</v>
      </c>
      <c r="E1703" s="2" t="s">
        <v>336</v>
      </c>
      <c r="F1703" s="2" t="s">
        <v>7894</v>
      </c>
      <c r="G1703" s="2" t="s">
        <v>7894</v>
      </c>
      <c r="H1703" s="2" t="s">
        <v>7894</v>
      </c>
      <c r="I1703" s="2" t="s">
        <v>338</v>
      </c>
      <c r="J1703" s="2" t="s">
        <v>546</v>
      </c>
      <c r="K1703" s="2" t="s">
        <v>582</v>
      </c>
      <c r="L1703" s="3">
        <v>31.85</v>
      </c>
      <c r="M1703" s="3">
        <v>33.44</v>
      </c>
      <c r="N1703" s="3">
        <v>64.99</v>
      </c>
      <c r="O1703" s="2" t="s">
        <v>245</v>
      </c>
      <c r="P1703" s="2" t="s">
        <v>272</v>
      </c>
      <c r="Q1703" s="2" t="s">
        <v>239</v>
      </c>
      <c r="R1703" s="2" t="s">
        <v>233</v>
      </c>
      <c r="S1703" s="2" t="s">
        <v>8062</v>
      </c>
      <c r="T1703" s="2" t="s">
        <v>647</v>
      </c>
      <c r="U1703" s="2" t="s">
        <v>342</v>
      </c>
      <c r="V1703" s="2" t="s">
        <v>241</v>
      </c>
      <c r="W1703" s="2" t="s">
        <v>275</v>
      </c>
      <c r="X1703" s="2" t="s">
        <v>397</v>
      </c>
      <c r="Y1703" s="2" t="s">
        <v>276</v>
      </c>
      <c r="Z1703" s="4"/>
      <c r="AA1703" s="4">
        <f>=ROUNDDOWN({0},0)</f>
      </c>
      <c r="AB1703" s="5">
        <v>9</v>
      </c>
      <c r="AC1703" s="2" t="s">
        <v>1341</v>
      </c>
      <c r="AD1703" s="4">
        <v>70</v>
      </c>
      <c r="AE1703" s="4">
        <v>70</v>
      </c>
      <c r="AF1703" s="6">
        <v>65</v>
      </c>
      <c r="AG1703" s="6"/>
      <c r="AH1703" s="7">
        <v>0</v>
      </c>
      <c r="AI1703" s="4"/>
      <c r="AJ1703" s="4">
        <f>=ROUNDDOWN({0},0)</f>
      </c>
      <c r="AK1703" s="5"/>
      <c r="AL1703" s="2" t="s">
        <v>233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233</v>
      </c>
      <c r="AW1703" s="8" t="s">
        <v>233</v>
      </c>
      <c r="AX1703" s="4" t="s">
        <v>233</v>
      </c>
      <c r="AY1703" s="8" t="s">
        <v>233</v>
      </c>
      <c r="AZ1703" s="7" t="s">
        <v>233</v>
      </c>
      <c r="BA1703" s="7" t="s">
        <v>233</v>
      </c>
      <c r="BB1703" s="7"/>
      <c r="BC1703" s="4" t="s">
        <v>233</v>
      </c>
      <c r="BD1703" s="8" t="s">
        <v>233</v>
      </c>
      <c r="BE1703" s="4" t="s">
        <v>233</v>
      </c>
      <c r="BF1703" s="8" t="s">
        <v>233</v>
      </c>
      <c r="BG1703" s="7" t="s">
        <v>233</v>
      </c>
      <c r="BH1703" s="7" t="s">
        <v>233</v>
      </c>
      <c r="BI1703" s="7"/>
      <c r="BJ1703" s="4"/>
      <c r="BK1703" s="8"/>
      <c r="BL1703" s="2" t="s">
        <v>1292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8073</v>
      </c>
      <c r="BV1703" s="2" t="s">
        <v>233</v>
      </c>
      <c r="BW1703" s="2" t="s">
        <v>233</v>
      </c>
      <c r="BX1703" s="2" t="s">
        <v>243</v>
      </c>
      <c r="BY1703" s="2" t="s">
        <v>280</v>
      </c>
      <c r="BZ1703" s="2" t="s">
        <v>245</v>
      </c>
      <c r="CA1703" s="2" t="s">
        <v>281</v>
      </c>
      <c r="CB1703" s="2" t="s">
        <v>4407</v>
      </c>
      <c r="CC1703" s="2" t="s">
        <v>246</v>
      </c>
      <c r="CD1703" s="2" t="s">
        <v>233</v>
      </c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>
        <v>70</v>
      </c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4"/>
      <c r="HE1703" s="4"/>
      <c r="HF1703" s="4"/>
      <c r="HG1703" s="4"/>
      <c r="HH1703" s="4"/>
      <c r="HI1703" s="4"/>
      <c r="HJ1703" s="4"/>
      <c r="HK1703" s="4"/>
      <c r="HL1703" s="4"/>
      <c r="HM1703" s="4"/>
      <c r="HN1703" s="4"/>
      <c r="HO1703" s="4"/>
      <c r="HP1703" s="4"/>
      <c r="HQ1703" s="4"/>
      <c r="HR1703" s="4"/>
    </row>
    <row r="1704">
      <c r="A1704" s="2" t="s">
        <v>8074</v>
      </c>
      <c r="B1704" s="2" t="s">
        <v>333</v>
      </c>
      <c r="C1704" s="2" t="s">
        <v>1050</v>
      </c>
      <c r="D1704" s="2" t="s">
        <v>335</v>
      </c>
      <c r="E1704" s="2" t="s">
        <v>336</v>
      </c>
      <c r="F1704" s="2" t="s">
        <v>7894</v>
      </c>
      <c r="G1704" s="2" t="s">
        <v>7894</v>
      </c>
      <c r="H1704" s="2" t="s">
        <v>7894</v>
      </c>
      <c r="I1704" s="2" t="s">
        <v>338</v>
      </c>
      <c r="J1704" s="2" t="s">
        <v>270</v>
      </c>
      <c r="K1704" s="2" t="s">
        <v>3284</v>
      </c>
      <c r="L1704" s="3">
        <v>21.62</v>
      </c>
      <c r="M1704" s="3">
        <v>22.7</v>
      </c>
      <c r="N1704" s="3">
        <v>46.99</v>
      </c>
      <c r="O1704" s="2" t="s">
        <v>245</v>
      </c>
      <c r="P1704" s="2" t="s">
        <v>763</v>
      </c>
      <c r="Q1704" s="2" t="s">
        <v>239</v>
      </c>
      <c r="R1704" s="2" t="s">
        <v>233</v>
      </c>
      <c r="S1704" s="2" t="s">
        <v>8075</v>
      </c>
      <c r="T1704" s="2" t="s">
        <v>647</v>
      </c>
      <c r="U1704" s="2" t="s">
        <v>475</v>
      </c>
      <c r="V1704" s="2" t="s">
        <v>241</v>
      </c>
      <c r="W1704" s="2" t="s">
        <v>275</v>
      </c>
      <c r="X1704" s="2" t="s">
        <v>397</v>
      </c>
      <c r="Y1704" s="2" t="s">
        <v>276</v>
      </c>
      <c r="Z1704" s="4"/>
      <c r="AA1704" s="4">
        <f>=ROUNDDOWN({0},0)</f>
      </c>
      <c r="AB1704" s="5">
        <v>43</v>
      </c>
      <c r="AC1704" s="2" t="s">
        <v>1341</v>
      </c>
      <c r="AD1704" s="4">
        <v>290</v>
      </c>
      <c r="AE1704" s="4">
        <v>290</v>
      </c>
      <c r="AF1704" s="6">
        <v>65</v>
      </c>
      <c r="AG1704" s="6"/>
      <c r="AH1704" s="7">
        <v>0</v>
      </c>
      <c r="AI1704" s="4"/>
      <c r="AJ1704" s="4">
        <f>=ROUNDDOWN({0},0)</f>
      </c>
      <c r="AK1704" s="5"/>
      <c r="AL1704" s="2" t="s">
        <v>233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 t="s">
        <v>233</v>
      </c>
      <c r="AW1704" s="8" t="s">
        <v>233</v>
      </c>
      <c r="AX1704" s="4" t="s">
        <v>233</v>
      </c>
      <c r="AY1704" s="8" t="s">
        <v>233</v>
      </c>
      <c r="AZ1704" s="7" t="s">
        <v>233</v>
      </c>
      <c r="BA1704" s="7" t="s">
        <v>233</v>
      </c>
      <c r="BB1704" s="7"/>
      <c r="BC1704" s="4" t="s">
        <v>233</v>
      </c>
      <c r="BD1704" s="8" t="s">
        <v>233</v>
      </c>
      <c r="BE1704" s="4" t="s">
        <v>233</v>
      </c>
      <c r="BF1704" s="8" t="s">
        <v>233</v>
      </c>
      <c r="BG1704" s="7" t="s">
        <v>233</v>
      </c>
      <c r="BH1704" s="7" t="s">
        <v>233</v>
      </c>
      <c r="BI1704" s="7"/>
      <c r="BJ1704" s="4"/>
      <c r="BK1704" s="8"/>
      <c r="BL1704" s="2" t="s">
        <v>8076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8077</v>
      </c>
      <c r="BV1704" s="2" t="s">
        <v>233</v>
      </c>
      <c r="BW1704" s="2" t="s">
        <v>233</v>
      </c>
      <c r="BX1704" s="2" t="s">
        <v>243</v>
      </c>
      <c r="BY1704" s="2" t="s">
        <v>280</v>
      </c>
      <c r="BZ1704" s="2" t="s">
        <v>245</v>
      </c>
      <c r="CA1704" s="2" t="s">
        <v>281</v>
      </c>
      <c r="CB1704" s="2" t="s">
        <v>4255</v>
      </c>
      <c r="CC1704" s="2" t="s">
        <v>246</v>
      </c>
      <c r="CD1704" s="2" t="s">
        <v>233</v>
      </c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>
        <v>290</v>
      </c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  <c r="HF1704" s="4"/>
      <c r="HG1704" s="4"/>
      <c r="HH1704" s="4"/>
      <c r="HI1704" s="4"/>
      <c r="HJ1704" s="4"/>
      <c r="HK1704" s="4"/>
      <c r="HL1704" s="4"/>
      <c r="HM1704" s="4"/>
      <c r="HN1704" s="4"/>
      <c r="HO1704" s="4"/>
      <c r="HP1704" s="4"/>
      <c r="HQ1704" s="4"/>
      <c r="HR1704" s="4"/>
    </row>
    <row r="1705">
      <c r="A1705" s="2" t="s">
        <v>8078</v>
      </c>
      <c r="B1705" s="2" t="s">
        <v>333</v>
      </c>
      <c r="C1705" s="2" t="s">
        <v>1050</v>
      </c>
      <c r="D1705" s="2" t="s">
        <v>335</v>
      </c>
      <c r="E1705" s="2" t="s">
        <v>336</v>
      </c>
      <c r="F1705" s="2" t="s">
        <v>7894</v>
      </c>
      <c r="G1705" s="2" t="s">
        <v>7894</v>
      </c>
      <c r="H1705" s="2" t="s">
        <v>7894</v>
      </c>
      <c r="I1705" s="2" t="s">
        <v>338</v>
      </c>
      <c r="J1705" s="2" t="s">
        <v>284</v>
      </c>
      <c r="K1705" s="2" t="s">
        <v>3284</v>
      </c>
      <c r="L1705" s="3">
        <v>23.04</v>
      </c>
      <c r="M1705" s="3">
        <v>24.19</v>
      </c>
      <c r="N1705" s="3">
        <v>47.99</v>
      </c>
      <c r="O1705" s="2" t="s">
        <v>245</v>
      </c>
      <c r="P1705" s="2" t="s">
        <v>272</v>
      </c>
      <c r="Q1705" s="2" t="s">
        <v>239</v>
      </c>
      <c r="R1705" s="2" t="s">
        <v>233</v>
      </c>
      <c r="S1705" s="2" t="s">
        <v>8075</v>
      </c>
      <c r="T1705" s="2" t="s">
        <v>647</v>
      </c>
      <c r="U1705" s="2" t="s">
        <v>475</v>
      </c>
      <c r="V1705" s="2" t="s">
        <v>241</v>
      </c>
      <c r="W1705" s="2" t="s">
        <v>275</v>
      </c>
      <c r="X1705" s="2" t="s">
        <v>397</v>
      </c>
      <c r="Y1705" s="2" t="s">
        <v>276</v>
      </c>
      <c r="Z1705" s="4">
        <v>3</v>
      </c>
      <c r="AA1705" s="4">
        <f>=ROUNDDOWN(0.157894736842105,0)</f>
      </c>
      <c r="AB1705" s="5">
        <v>19</v>
      </c>
      <c r="AC1705" s="2" t="s">
        <v>1341</v>
      </c>
      <c r="AD1705" s="4">
        <v>160</v>
      </c>
      <c r="AE1705" s="4">
        <v>160</v>
      </c>
      <c r="AF1705" s="6">
        <v>65</v>
      </c>
      <c r="AG1705" s="6"/>
      <c r="AH1705" s="7">
        <v>0</v>
      </c>
      <c r="AI1705" s="4"/>
      <c r="AJ1705" s="4">
        <f>=ROUNDDOWN({0},0)</f>
      </c>
      <c r="AK1705" s="5"/>
      <c r="AL1705" s="2" t="s">
        <v>233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233</v>
      </c>
      <c r="AW1705" s="8" t="s">
        <v>233</v>
      </c>
      <c r="AX1705" s="4" t="s">
        <v>233</v>
      </c>
      <c r="AY1705" s="8" t="s">
        <v>233</v>
      </c>
      <c r="AZ1705" s="7" t="s">
        <v>233</v>
      </c>
      <c r="BA1705" s="7" t="s">
        <v>233</v>
      </c>
      <c r="BB1705" s="7"/>
      <c r="BC1705" s="4" t="s">
        <v>233</v>
      </c>
      <c r="BD1705" s="8" t="s">
        <v>233</v>
      </c>
      <c r="BE1705" s="4" t="s">
        <v>233</v>
      </c>
      <c r="BF1705" s="8" t="s">
        <v>233</v>
      </c>
      <c r="BG1705" s="7" t="s">
        <v>233</v>
      </c>
      <c r="BH1705" s="7" t="s">
        <v>233</v>
      </c>
      <c r="BI1705" s="7"/>
      <c r="BJ1705" s="4"/>
      <c r="BK1705" s="8"/>
      <c r="BL1705" s="2" t="s">
        <v>233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8079</v>
      </c>
      <c r="BV1705" s="2" t="s">
        <v>233</v>
      </c>
      <c r="BW1705" s="2" t="s">
        <v>233</v>
      </c>
      <c r="BX1705" s="2" t="s">
        <v>243</v>
      </c>
      <c r="BY1705" s="2" t="s">
        <v>280</v>
      </c>
      <c r="BZ1705" s="2" t="s">
        <v>245</v>
      </c>
      <c r="CA1705" s="2" t="s">
        <v>281</v>
      </c>
      <c r="CB1705" s="2" t="s">
        <v>7289</v>
      </c>
      <c r="CC1705" s="2" t="s">
        <v>246</v>
      </c>
      <c r="CD1705" s="2" t="s">
        <v>233</v>
      </c>
      <c r="CE1705" s="4">
        <v>3</v>
      </c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>
        <v>160</v>
      </c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  <c r="HF1705" s="4"/>
      <c r="HG1705" s="4"/>
      <c r="HH1705" s="4"/>
      <c r="HI1705" s="4"/>
      <c r="HJ1705" s="4"/>
      <c r="HK1705" s="4"/>
      <c r="HL1705" s="4"/>
      <c r="HM1705" s="4"/>
      <c r="HN1705" s="4"/>
      <c r="HO1705" s="4"/>
      <c r="HP1705" s="4"/>
      <c r="HQ1705" s="4"/>
      <c r="HR1705" s="4"/>
    </row>
    <row r="1706">
      <c r="A1706" s="2" t="s">
        <v>8080</v>
      </c>
      <c r="B1706" s="2" t="s">
        <v>333</v>
      </c>
      <c r="C1706" s="2" t="s">
        <v>1050</v>
      </c>
      <c r="D1706" s="2" t="s">
        <v>335</v>
      </c>
      <c r="E1706" s="2" t="s">
        <v>336</v>
      </c>
      <c r="F1706" s="2" t="s">
        <v>7894</v>
      </c>
      <c r="G1706" s="2" t="s">
        <v>7894</v>
      </c>
      <c r="H1706" s="2" t="s">
        <v>7894</v>
      </c>
      <c r="I1706" s="2" t="s">
        <v>338</v>
      </c>
      <c r="J1706" s="2" t="s">
        <v>290</v>
      </c>
      <c r="K1706" s="2" t="s">
        <v>3284</v>
      </c>
      <c r="L1706" s="3">
        <v>25.3</v>
      </c>
      <c r="M1706" s="3">
        <v>26.56</v>
      </c>
      <c r="N1706" s="3">
        <v>54.99</v>
      </c>
      <c r="O1706" s="2" t="s">
        <v>245</v>
      </c>
      <c r="P1706" s="2" t="s">
        <v>1366</v>
      </c>
      <c r="Q1706" s="2" t="s">
        <v>239</v>
      </c>
      <c r="R1706" s="2" t="s">
        <v>233</v>
      </c>
      <c r="S1706" s="2" t="s">
        <v>8075</v>
      </c>
      <c r="T1706" s="2" t="s">
        <v>647</v>
      </c>
      <c r="U1706" s="2" t="s">
        <v>342</v>
      </c>
      <c r="V1706" s="2" t="s">
        <v>241</v>
      </c>
      <c r="W1706" s="2" t="s">
        <v>275</v>
      </c>
      <c r="X1706" s="2" t="s">
        <v>397</v>
      </c>
      <c r="Y1706" s="2" t="s">
        <v>276</v>
      </c>
      <c r="Z1706" s="4"/>
      <c r="AA1706" s="4">
        <f>=ROUNDDOWN({0},0)</f>
      </c>
      <c r="AB1706" s="5">
        <v>40</v>
      </c>
      <c r="AC1706" s="2" t="s">
        <v>1341</v>
      </c>
      <c r="AD1706" s="4">
        <v>300</v>
      </c>
      <c r="AE1706" s="4">
        <v>300</v>
      </c>
      <c r="AF1706" s="6">
        <v>65</v>
      </c>
      <c r="AG1706" s="6"/>
      <c r="AH1706" s="7">
        <v>0</v>
      </c>
      <c r="AI1706" s="4"/>
      <c r="AJ1706" s="4">
        <f>=ROUNDDOWN({0},0)</f>
      </c>
      <c r="AK1706" s="5"/>
      <c r="AL1706" s="2" t="s">
        <v>233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233</v>
      </c>
      <c r="AW1706" s="8" t="s">
        <v>233</v>
      </c>
      <c r="AX1706" s="4" t="s">
        <v>233</v>
      </c>
      <c r="AY1706" s="8" t="s">
        <v>233</v>
      </c>
      <c r="AZ1706" s="7" t="s">
        <v>233</v>
      </c>
      <c r="BA1706" s="7" t="s">
        <v>233</v>
      </c>
      <c r="BB1706" s="7"/>
      <c r="BC1706" s="4" t="s">
        <v>233</v>
      </c>
      <c r="BD1706" s="8" t="s">
        <v>233</v>
      </c>
      <c r="BE1706" s="4" t="s">
        <v>233</v>
      </c>
      <c r="BF1706" s="8" t="s">
        <v>233</v>
      </c>
      <c r="BG1706" s="7" t="s">
        <v>233</v>
      </c>
      <c r="BH1706" s="7" t="s">
        <v>233</v>
      </c>
      <c r="BI1706" s="7"/>
      <c r="BJ1706" s="4"/>
      <c r="BK1706" s="8"/>
      <c r="BL1706" s="2" t="s">
        <v>7909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8081</v>
      </c>
      <c r="BV1706" s="2" t="s">
        <v>233</v>
      </c>
      <c r="BW1706" s="2" t="s">
        <v>233</v>
      </c>
      <c r="BX1706" s="2" t="s">
        <v>243</v>
      </c>
      <c r="BY1706" s="2" t="s">
        <v>280</v>
      </c>
      <c r="BZ1706" s="2" t="s">
        <v>245</v>
      </c>
      <c r="CA1706" s="2" t="s">
        <v>281</v>
      </c>
      <c r="CB1706" s="2" t="s">
        <v>8082</v>
      </c>
      <c r="CC1706" s="2" t="s">
        <v>246</v>
      </c>
      <c r="CD1706" s="2" t="s">
        <v>233</v>
      </c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>
        <v>300</v>
      </c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  <c r="HF1706" s="4"/>
      <c r="HG1706" s="4"/>
      <c r="HH1706" s="4"/>
      <c r="HI1706" s="4"/>
      <c r="HJ1706" s="4"/>
      <c r="HK1706" s="4"/>
      <c r="HL1706" s="4"/>
      <c r="HM1706" s="4"/>
      <c r="HN1706" s="4"/>
      <c r="HO1706" s="4"/>
      <c r="HP1706" s="4"/>
      <c r="HQ1706" s="4"/>
      <c r="HR1706" s="4"/>
    </row>
    <row r="1707">
      <c r="A1707" s="2" t="s">
        <v>8083</v>
      </c>
      <c r="B1707" s="2" t="s">
        <v>333</v>
      </c>
      <c r="C1707" s="2" t="s">
        <v>1050</v>
      </c>
      <c r="D1707" s="2" t="s">
        <v>335</v>
      </c>
      <c r="E1707" s="2" t="s">
        <v>336</v>
      </c>
      <c r="F1707" s="2" t="s">
        <v>7894</v>
      </c>
      <c r="G1707" s="2" t="s">
        <v>7894</v>
      </c>
      <c r="H1707" s="2" t="s">
        <v>7894</v>
      </c>
      <c r="I1707" s="2" t="s">
        <v>338</v>
      </c>
      <c r="J1707" s="2" t="s">
        <v>328</v>
      </c>
      <c r="K1707" s="2" t="s">
        <v>3284</v>
      </c>
      <c r="L1707" s="3">
        <v>31.2</v>
      </c>
      <c r="M1707" s="3">
        <v>32.76</v>
      </c>
      <c r="N1707" s="3">
        <v>64.99</v>
      </c>
      <c r="O1707" s="2" t="s">
        <v>245</v>
      </c>
      <c r="P1707" s="2" t="s">
        <v>1366</v>
      </c>
      <c r="Q1707" s="2" t="s">
        <v>239</v>
      </c>
      <c r="R1707" s="2" t="s">
        <v>233</v>
      </c>
      <c r="S1707" s="2" t="s">
        <v>8075</v>
      </c>
      <c r="T1707" s="2" t="s">
        <v>647</v>
      </c>
      <c r="U1707" s="2" t="s">
        <v>342</v>
      </c>
      <c r="V1707" s="2" t="s">
        <v>241</v>
      </c>
      <c r="W1707" s="2" t="s">
        <v>275</v>
      </c>
      <c r="X1707" s="2" t="s">
        <v>397</v>
      </c>
      <c r="Y1707" s="2" t="s">
        <v>276</v>
      </c>
      <c r="Z1707" s="4"/>
      <c r="AA1707" s="4">
        <f>=ROUNDDOWN({0},0)</f>
      </c>
      <c r="AB1707" s="5">
        <v>40</v>
      </c>
      <c r="AC1707" s="2" t="s">
        <v>1341</v>
      </c>
      <c r="AD1707" s="4">
        <v>270</v>
      </c>
      <c r="AE1707" s="4">
        <v>270</v>
      </c>
      <c r="AF1707" s="6">
        <v>65</v>
      </c>
      <c r="AG1707" s="6"/>
      <c r="AH1707" s="7">
        <v>0</v>
      </c>
      <c r="AI1707" s="4"/>
      <c r="AJ1707" s="4">
        <f>=ROUNDDOWN({0},0)</f>
      </c>
      <c r="AK1707" s="5"/>
      <c r="AL1707" s="2" t="s">
        <v>233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233</v>
      </c>
      <c r="AW1707" s="8" t="s">
        <v>233</v>
      </c>
      <c r="AX1707" s="4" t="s">
        <v>233</v>
      </c>
      <c r="AY1707" s="8" t="s">
        <v>233</v>
      </c>
      <c r="AZ1707" s="7" t="s">
        <v>233</v>
      </c>
      <c r="BA1707" s="7" t="s">
        <v>233</v>
      </c>
      <c r="BB1707" s="7"/>
      <c r="BC1707" s="4" t="s">
        <v>233</v>
      </c>
      <c r="BD1707" s="8" t="s">
        <v>233</v>
      </c>
      <c r="BE1707" s="4" t="s">
        <v>233</v>
      </c>
      <c r="BF1707" s="8" t="s">
        <v>233</v>
      </c>
      <c r="BG1707" s="7" t="s">
        <v>233</v>
      </c>
      <c r="BH1707" s="7" t="s">
        <v>233</v>
      </c>
      <c r="BI1707" s="7"/>
      <c r="BJ1707" s="4"/>
      <c r="BK1707" s="8"/>
      <c r="BL1707" s="2" t="s">
        <v>8084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8085</v>
      </c>
      <c r="BV1707" s="2" t="s">
        <v>233</v>
      </c>
      <c r="BW1707" s="2" t="s">
        <v>233</v>
      </c>
      <c r="BX1707" s="2" t="s">
        <v>243</v>
      </c>
      <c r="BY1707" s="2" t="s">
        <v>280</v>
      </c>
      <c r="BZ1707" s="2" t="s">
        <v>245</v>
      </c>
      <c r="CA1707" s="2" t="s">
        <v>281</v>
      </c>
      <c r="CB1707" s="2" t="s">
        <v>2307</v>
      </c>
      <c r="CC1707" s="2" t="s">
        <v>246</v>
      </c>
      <c r="CD1707" s="2" t="s">
        <v>233</v>
      </c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>
        <v>270</v>
      </c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  <c r="HF1707" s="4"/>
      <c r="HG1707" s="4"/>
      <c r="HH1707" s="4"/>
      <c r="HI1707" s="4"/>
      <c r="HJ1707" s="4"/>
      <c r="HK1707" s="4"/>
      <c r="HL1707" s="4"/>
      <c r="HM1707" s="4"/>
      <c r="HN1707" s="4"/>
      <c r="HO1707" s="4"/>
      <c r="HP1707" s="4"/>
      <c r="HQ1707" s="4"/>
      <c r="HR1707" s="4"/>
    </row>
    <row r="1708">
      <c r="A1708" s="2" t="s">
        <v>8086</v>
      </c>
      <c r="B1708" s="2" t="s">
        <v>333</v>
      </c>
      <c r="C1708" s="2" t="s">
        <v>1050</v>
      </c>
      <c r="D1708" s="2" t="s">
        <v>335</v>
      </c>
      <c r="E1708" s="2" t="s">
        <v>336</v>
      </c>
      <c r="F1708" s="2" t="s">
        <v>7894</v>
      </c>
      <c r="G1708" s="2" t="s">
        <v>7894</v>
      </c>
      <c r="H1708" s="2" t="s">
        <v>7894</v>
      </c>
      <c r="I1708" s="2" t="s">
        <v>338</v>
      </c>
      <c r="J1708" s="2" t="s">
        <v>546</v>
      </c>
      <c r="K1708" s="2" t="s">
        <v>3284</v>
      </c>
      <c r="L1708" s="3">
        <v>31.85</v>
      </c>
      <c r="M1708" s="3">
        <v>33.44</v>
      </c>
      <c r="N1708" s="3">
        <v>64.99</v>
      </c>
      <c r="O1708" s="2" t="s">
        <v>245</v>
      </c>
      <c r="P1708" s="2" t="s">
        <v>272</v>
      </c>
      <c r="Q1708" s="2" t="s">
        <v>239</v>
      </c>
      <c r="R1708" s="2" t="s">
        <v>233</v>
      </c>
      <c r="S1708" s="2" t="s">
        <v>8075</v>
      </c>
      <c r="T1708" s="2" t="s">
        <v>647</v>
      </c>
      <c r="U1708" s="2" t="s">
        <v>342</v>
      </c>
      <c r="V1708" s="2" t="s">
        <v>241</v>
      </c>
      <c r="W1708" s="2" t="s">
        <v>275</v>
      </c>
      <c r="X1708" s="2" t="s">
        <v>397</v>
      </c>
      <c r="Y1708" s="2" t="s">
        <v>276</v>
      </c>
      <c r="Z1708" s="4">
        <v>10</v>
      </c>
      <c r="AA1708" s="4">
        <f>=ROUNDDOWN(1.42857142857143,0)</f>
      </c>
      <c r="AB1708" s="5">
        <v>7</v>
      </c>
      <c r="AC1708" s="2" t="s">
        <v>1341</v>
      </c>
      <c r="AD1708" s="4">
        <v>60</v>
      </c>
      <c r="AE1708" s="4">
        <v>60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233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233</v>
      </c>
      <c r="AW1708" s="8" t="s">
        <v>233</v>
      </c>
      <c r="AX1708" s="4" t="s">
        <v>233</v>
      </c>
      <c r="AY1708" s="8" t="s">
        <v>233</v>
      </c>
      <c r="AZ1708" s="7" t="s">
        <v>233</v>
      </c>
      <c r="BA1708" s="7" t="s">
        <v>233</v>
      </c>
      <c r="BB1708" s="7"/>
      <c r="BC1708" s="4" t="s">
        <v>233</v>
      </c>
      <c r="BD1708" s="8" t="s">
        <v>233</v>
      </c>
      <c r="BE1708" s="4" t="s">
        <v>233</v>
      </c>
      <c r="BF1708" s="8" t="s">
        <v>233</v>
      </c>
      <c r="BG1708" s="7" t="s">
        <v>233</v>
      </c>
      <c r="BH1708" s="7" t="s">
        <v>233</v>
      </c>
      <c r="BI1708" s="7"/>
      <c r="BJ1708" s="4">
        <v>3</v>
      </c>
      <c r="BK1708" s="8">
        <v>103.32</v>
      </c>
      <c r="BL1708" s="2" t="s">
        <v>8087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8088</v>
      </c>
      <c r="BV1708" s="2" t="s">
        <v>233</v>
      </c>
      <c r="BW1708" s="2" t="s">
        <v>233</v>
      </c>
      <c r="BX1708" s="2" t="s">
        <v>243</v>
      </c>
      <c r="BY1708" s="2" t="s">
        <v>280</v>
      </c>
      <c r="BZ1708" s="2" t="s">
        <v>245</v>
      </c>
      <c r="CA1708" s="2" t="s">
        <v>281</v>
      </c>
      <c r="CB1708" s="2" t="s">
        <v>8089</v>
      </c>
      <c r="CC1708" s="2" t="s">
        <v>246</v>
      </c>
      <c r="CD1708" s="2" t="s">
        <v>233</v>
      </c>
      <c r="CE1708" s="4">
        <v>10</v>
      </c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>
        <v>60</v>
      </c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  <c r="HF1708" s="4"/>
      <c r="HG1708" s="4"/>
      <c r="HH1708" s="4"/>
      <c r="HI1708" s="4"/>
      <c r="HJ1708" s="4"/>
      <c r="HK1708" s="4"/>
      <c r="HL1708" s="4"/>
      <c r="HM1708" s="4"/>
      <c r="HN1708" s="4"/>
      <c r="HO1708" s="4"/>
      <c r="HP1708" s="4"/>
      <c r="HQ1708" s="4"/>
      <c r="HR1708" s="4"/>
    </row>
    <row r="1709">
      <c r="A1709" s="2" t="s">
        <v>8090</v>
      </c>
      <c r="B1709" s="2" t="s">
        <v>333</v>
      </c>
      <c r="C1709" s="2" t="s">
        <v>1050</v>
      </c>
      <c r="D1709" s="2" t="s">
        <v>335</v>
      </c>
      <c r="E1709" s="2" t="s">
        <v>336</v>
      </c>
      <c r="F1709" s="2" t="s">
        <v>7894</v>
      </c>
      <c r="G1709" s="2" t="s">
        <v>7894</v>
      </c>
      <c r="H1709" s="2" t="s">
        <v>7894</v>
      </c>
      <c r="I1709" s="2" t="s">
        <v>338</v>
      </c>
      <c r="J1709" s="2" t="s">
        <v>270</v>
      </c>
      <c r="K1709" s="2" t="s">
        <v>257</v>
      </c>
      <c r="L1709" s="3">
        <v>21.62</v>
      </c>
      <c r="M1709" s="3">
        <v>22.7</v>
      </c>
      <c r="N1709" s="3">
        <v>46.99</v>
      </c>
      <c r="O1709" s="2" t="s">
        <v>245</v>
      </c>
      <c r="P1709" s="2" t="s">
        <v>272</v>
      </c>
      <c r="Q1709" s="2" t="s">
        <v>239</v>
      </c>
      <c r="R1709" s="2" t="s">
        <v>233</v>
      </c>
      <c r="S1709" s="2" t="s">
        <v>8091</v>
      </c>
      <c r="T1709" s="2" t="s">
        <v>647</v>
      </c>
      <c r="U1709" s="2" t="s">
        <v>475</v>
      </c>
      <c r="V1709" s="2" t="s">
        <v>241</v>
      </c>
      <c r="W1709" s="2" t="s">
        <v>275</v>
      </c>
      <c r="X1709" s="2" t="s">
        <v>397</v>
      </c>
      <c r="Y1709" s="2" t="s">
        <v>7679</v>
      </c>
      <c r="Z1709" s="4">
        <v>88</v>
      </c>
      <c r="AA1709" s="4">
        <f>=ROUNDDOWN(5.5,0)</f>
      </c>
      <c r="AB1709" s="5">
        <v>16</v>
      </c>
      <c r="AC1709" s="2" t="s">
        <v>1341</v>
      </c>
      <c r="AD1709" s="4">
        <v>80</v>
      </c>
      <c r="AE1709" s="4">
        <v>80</v>
      </c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233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233</v>
      </c>
      <c r="AW1709" s="8" t="s">
        <v>233</v>
      </c>
      <c r="AX1709" s="4" t="s">
        <v>233</v>
      </c>
      <c r="AY1709" s="8" t="s">
        <v>233</v>
      </c>
      <c r="AZ1709" s="7" t="s">
        <v>233</v>
      </c>
      <c r="BA1709" s="7" t="s">
        <v>233</v>
      </c>
      <c r="BB1709" s="7"/>
      <c r="BC1709" s="4" t="s">
        <v>233</v>
      </c>
      <c r="BD1709" s="8" t="s">
        <v>233</v>
      </c>
      <c r="BE1709" s="4" t="s">
        <v>233</v>
      </c>
      <c r="BF1709" s="8" t="s">
        <v>233</v>
      </c>
      <c r="BG1709" s="7" t="s">
        <v>233</v>
      </c>
      <c r="BH1709" s="7" t="s">
        <v>233</v>
      </c>
      <c r="BI1709" s="7"/>
      <c r="BJ1709" s="4">
        <v>33</v>
      </c>
      <c r="BK1709" s="8">
        <v>786.4</v>
      </c>
      <c r="BL1709" s="2" t="s">
        <v>8092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8093</v>
      </c>
      <c r="BV1709" s="2" t="s">
        <v>233</v>
      </c>
      <c r="BW1709" s="2" t="s">
        <v>233</v>
      </c>
      <c r="BX1709" s="2" t="s">
        <v>243</v>
      </c>
      <c r="BY1709" s="2" t="s">
        <v>280</v>
      </c>
      <c r="BZ1709" s="2" t="s">
        <v>245</v>
      </c>
      <c r="CA1709" s="2" t="s">
        <v>2077</v>
      </c>
      <c r="CB1709" s="2" t="s">
        <v>8094</v>
      </c>
      <c r="CC1709" s="2" t="s">
        <v>246</v>
      </c>
      <c r="CD1709" s="2" t="s">
        <v>233</v>
      </c>
      <c r="CE1709" s="4">
        <v>88</v>
      </c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>
        <v>80</v>
      </c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  <c r="HF1709" s="4"/>
      <c r="HG1709" s="4"/>
      <c r="HH1709" s="4"/>
      <c r="HI1709" s="4"/>
      <c r="HJ1709" s="4"/>
      <c r="HK1709" s="4"/>
      <c r="HL1709" s="4"/>
      <c r="HM1709" s="4"/>
      <c r="HN1709" s="4"/>
      <c r="HO1709" s="4"/>
      <c r="HP1709" s="4"/>
      <c r="HQ1709" s="4"/>
      <c r="HR1709" s="4"/>
    </row>
    <row r="1710">
      <c r="A1710" s="2" t="s">
        <v>8095</v>
      </c>
      <c r="B1710" s="2" t="s">
        <v>333</v>
      </c>
      <c r="C1710" s="2" t="s">
        <v>1050</v>
      </c>
      <c r="D1710" s="2" t="s">
        <v>335</v>
      </c>
      <c r="E1710" s="2" t="s">
        <v>336</v>
      </c>
      <c r="F1710" s="2" t="s">
        <v>7894</v>
      </c>
      <c r="G1710" s="2" t="s">
        <v>7894</v>
      </c>
      <c r="H1710" s="2" t="s">
        <v>7894</v>
      </c>
      <c r="I1710" s="2" t="s">
        <v>338</v>
      </c>
      <c r="J1710" s="2" t="s">
        <v>290</v>
      </c>
      <c r="K1710" s="2" t="s">
        <v>257</v>
      </c>
      <c r="L1710" s="3">
        <v>25.3</v>
      </c>
      <c r="M1710" s="3">
        <v>26.56</v>
      </c>
      <c r="N1710" s="3">
        <v>54.99</v>
      </c>
      <c r="O1710" s="2" t="s">
        <v>245</v>
      </c>
      <c r="P1710" s="2" t="s">
        <v>741</v>
      </c>
      <c r="Q1710" s="2" t="s">
        <v>239</v>
      </c>
      <c r="R1710" s="2" t="s">
        <v>233</v>
      </c>
      <c r="S1710" s="2" t="s">
        <v>8091</v>
      </c>
      <c r="T1710" s="2" t="s">
        <v>647</v>
      </c>
      <c r="U1710" s="2" t="s">
        <v>342</v>
      </c>
      <c r="V1710" s="2" t="s">
        <v>241</v>
      </c>
      <c r="W1710" s="2" t="s">
        <v>275</v>
      </c>
      <c r="X1710" s="2" t="s">
        <v>397</v>
      </c>
      <c r="Y1710" s="2" t="s">
        <v>6119</v>
      </c>
      <c r="Z1710" s="4">
        <v>34</v>
      </c>
      <c r="AA1710" s="4">
        <f>=ROUNDDOWN(2.125,0)</f>
      </c>
      <c r="AB1710" s="5">
        <v>16</v>
      </c>
      <c r="AC1710" s="2" t="s">
        <v>1341</v>
      </c>
      <c r="AD1710" s="4">
        <v>140</v>
      </c>
      <c r="AE1710" s="4">
        <v>140</v>
      </c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233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233</v>
      </c>
      <c r="AW1710" s="8" t="s">
        <v>233</v>
      </c>
      <c r="AX1710" s="4" t="s">
        <v>233</v>
      </c>
      <c r="AY1710" s="8" t="s">
        <v>233</v>
      </c>
      <c r="AZ1710" s="7" t="s">
        <v>233</v>
      </c>
      <c r="BA1710" s="7" t="s">
        <v>233</v>
      </c>
      <c r="BB1710" s="7"/>
      <c r="BC1710" s="4" t="s">
        <v>233</v>
      </c>
      <c r="BD1710" s="8" t="s">
        <v>233</v>
      </c>
      <c r="BE1710" s="4" t="s">
        <v>233</v>
      </c>
      <c r="BF1710" s="8" t="s">
        <v>233</v>
      </c>
      <c r="BG1710" s="7" t="s">
        <v>233</v>
      </c>
      <c r="BH1710" s="7" t="s">
        <v>233</v>
      </c>
      <c r="BI1710" s="7"/>
      <c r="BJ1710" s="4">
        <v>13</v>
      </c>
      <c r="BK1710" s="8">
        <v>362.77</v>
      </c>
      <c r="BL1710" s="2" t="s">
        <v>4224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8096</v>
      </c>
      <c r="BV1710" s="2" t="s">
        <v>233</v>
      </c>
      <c r="BW1710" s="2" t="s">
        <v>233</v>
      </c>
      <c r="BX1710" s="2" t="s">
        <v>243</v>
      </c>
      <c r="BY1710" s="2" t="s">
        <v>280</v>
      </c>
      <c r="BZ1710" s="2" t="s">
        <v>245</v>
      </c>
      <c r="CA1710" s="2" t="s">
        <v>7682</v>
      </c>
      <c r="CB1710" s="2" t="s">
        <v>8097</v>
      </c>
      <c r="CC1710" s="2" t="s">
        <v>246</v>
      </c>
      <c r="CD1710" s="2" t="s">
        <v>233</v>
      </c>
      <c r="CE1710" s="4">
        <v>34</v>
      </c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>
        <v>140</v>
      </c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  <c r="HF1710" s="4"/>
      <c r="HG1710" s="4"/>
      <c r="HH1710" s="4"/>
      <c r="HI1710" s="4"/>
      <c r="HJ1710" s="4"/>
      <c r="HK1710" s="4"/>
      <c r="HL1710" s="4"/>
      <c r="HM1710" s="4"/>
      <c r="HN1710" s="4"/>
      <c r="HO1710" s="4"/>
      <c r="HP1710" s="4"/>
      <c r="HQ1710" s="4"/>
      <c r="HR1710" s="4"/>
    </row>
    <row r="1711">
      <c r="A1711" s="2" t="s">
        <v>8098</v>
      </c>
      <c r="B1711" s="2" t="s">
        <v>333</v>
      </c>
      <c r="C1711" s="2" t="s">
        <v>1050</v>
      </c>
      <c r="D1711" s="2" t="s">
        <v>335</v>
      </c>
      <c r="E1711" s="2" t="s">
        <v>336</v>
      </c>
      <c r="F1711" s="2" t="s">
        <v>7894</v>
      </c>
      <c r="G1711" s="2" t="s">
        <v>7894</v>
      </c>
      <c r="H1711" s="2" t="s">
        <v>7894</v>
      </c>
      <c r="I1711" s="2" t="s">
        <v>338</v>
      </c>
      <c r="J1711" s="2" t="s">
        <v>348</v>
      </c>
      <c r="K1711" s="2" t="s">
        <v>257</v>
      </c>
      <c r="L1711" s="3">
        <v>28.2</v>
      </c>
      <c r="M1711" s="3">
        <v>29.61</v>
      </c>
      <c r="N1711" s="3">
        <v>59.99</v>
      </c>
      <c r="O1711" s="2" t="s">
        <v>245</v>
      </c>
      <c r="P1711" s="2" t="s">
        <v>763</v>
      </c>
      <c r="Q1711" s="2" t="s">
        <v>239</v>
      </c>
      <c r="R1711" s="2" t="s">
        <v>233</v>
      </c>
      <c r="S1711" s="2" t="s">
        <v>8091</v>
      </c>
      <c r="T1711" s="2" t="s">
        <v>647</v>
      </c>
      <c r="U1711" s="2" t="s">
        <v>342</v>
      </c>
      <c r="V1711" s="2" t="s">
        <v>241</v>
      </c>
      <c r="W1711" s="2" t="s">
        <v>275</v>
      </c>
      <c r="X1711" s="2" t="s">
        <v>397</v>
      </c>
      <c r="Y1711" s="2" t="s">
        <v>6119</v>
      </c>
      <c r="Z1711" s="4"/>
      <c r="AA1711" s="4">
        <f>=ROUNDDOWN({0},0)</f>
      </c>
      <c r="AB1711" s="5">
        <v>27</v>
      </c>
      <c r="AC1711" s="2" t="s">
        <v>1341</v>
      </c>
      <c r="AD1711" s="4">
        <v>240</v>
      </c>
      <c r="AE1711" s="4">
        <v>240</v>
      </c>
      <c r="AF1711" s="6">
        <v>65</v>
      </c>
      <c r="AG1711" s="6"/>
      <c r="AH1711" s="7">
        <v>0</v>
      </c>
      <c r="AI1711" s="4"/>
      <c r="AJ1711" s="4">
        <f>=ROUNDDOWN({0},0)</f>
      </c>
      <c r="AK1711" s="5"/>
      <c r="AL1711" s="2" t="s">
        <v>233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233</v>
      </c>
      <c r="AW1711" s="8" t="s">
        <v>233</v>
      </c>
      <c r="AX1711" s="4" t="s">
        <v>233</v>
      </c>
      <c r="AY1711" s="8" t="s">
        <v>233</v>
      </c>
      <c r="AZ1711" s="7" t="s">
        <v>233</v>
      </c>
      <c r="BA1711" s="7" t="s">
        <v>233</v>
      </c>
      <c r="BB1711" s="7"/>
      <c r="BC1711" s="4" t="s">
        <v>233</v>
      </c>
      <c r="BD1711" s="8" t="s">
        <v>233</v>
      </c>
      <c r="BE1711" s="4" t="s">
        <v>233</v>
      </c>
      <c r="BF1711" s="8" t="s">
        <v>233</v>
      </c>
      <c r="BG1711" s="7" t="s">
        <v>233</v>
      </c>
      <c r="BH1711" s="7" t="s">
        <v>233</v>
      </c>
      <c r="BI1711" s="7"/>
      <c r="BJ1711" s="4">
        <v>9</v>
      </c>
      <c r="BK1711" s="8">
        <v>272.5</v>
      </c>
      <c r="BL1711" s="2" t="s">
        <v>6726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8099</v>
      </c>
      <c r="BV1711" s="2" t="s">
        <v>233</v>
      </c>
      <c r="BW1711" s="2" t="s">
        <v>233</v>
      </c>
      <c r="BX1711" s="2" t="s">
        <v>243</v>
      </c>
      <c r="BY1711" s="2" t="s">
        <v>280</v>
      </c>
      <c r="BZ1711" s="2" t="s">
        <v>245</v>
      </c>
      <c r="CA1711" s="2" t="s">
        <v>6119</v>
      </c>
      <c r="CB1711" s="2" t="s">
        <v>8100</v>
      </c>
      <c r="CC1711" s="2" t="s">
        <v>246</v>
      </c>
      <c r="CD1711" s="2" t="s">
        <v>233</v>
      </c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>
        <v>240</v>
      </c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  <c r="HF1711" s="4"/>
      <c r="HG1711" s="4"/>
      <c r="HH1711" s="4"/>
      <c r="HI1711" s="4"/>
      <c r="HJ1711" s="4"/>
      <c r="HK1711" s="4"/>
      <c r="HL1711" s="4"/>
      <c r="HM1711" s="4"/>
      <c r="HN1711" s="4"/>
      <c r="HO1711" s="4"/>
      <c r="HP1711" s="4"/>
      <c r="HQ1711" s="4"/>
      <c r="HR1711" s="4"/>
    </row>
    <row r="1712">
      <c r="A1712" s="2" t="s">
        <v>8101</v>
      </c>
      <c r="B1712" s="2" t="s">
        <v>333</v>
      </c>
      <c r="C1712" s="2" t="s">
        <v>1050</v>
      </c>
      <c r="D1712" s="2" t="s">
        <v>335</v>
      </c>
      <c r="E1712" s="2" t="s">
        <v>336</v>
      </c>
      <c r="F1712" s="2" t="s">
        <v>7894</v>
      </c>
      <c r="G1712" s="2" t="s">
        <v>7894</v>
      </c>
      <c r="H1712" s="2" t="s">
        <v>7894</v>
      </c>
      <c r="I1712" s="2" t="s">
        <v>338</v>
      </c>
      <c r="J1712" s="2" t="s">
        <v>328</v>
      </c>
      <c r="K1712" s="2" t="s">
        <v>257</v>
      </c>
      <c r="L1712" s="3">
        <v>31.2</v>
      </c>
      <c r="M1712" s="3">
        <v>32.76</v>
      </c>
      <c r="N1712" s="3">
        <v>64.99</v>
      </c>
      <c r="O1712" s="2" t="s">
        <v>245</v>
      </c>
      <c r="P1712" s="2" t="s">
        <v>272</v>
      </c>
      <c r="Q1712" s="2" t="s">
        <v>239</v>
      </c>
      <c r="R1712" s="2" t="s">
        <v>233</v>
      </c>
      <c r="S1712" s="2" t="s">
        <v>8091</v>
      </c>
      <c r="T1712" s="2" t="s">
        <v>647</v>
      </c>
      <c r="U1712" s="2" t="s">
        <v>342</v>
      </c>
      <c r="V1712" s="2" t="s">
        <v>241</v>
      </c>
      <c r="W1712" s="2" t="s">
        <v>275</v>
      </c>
      <c r="X1712" s="2" t="s">
        <v>397</v>
      </c>
      <c r="Y1712" s="2" t="s">
        <v>7679</v>
      </c>
      <c r="Z1712" s="4">
        <v>214</v>
      </c>
      <c r="AA1712" s="4">
        <f>=ROUNDDOWN(15.2857142857143,0)</f>
      </c>
      <c r="AB1712" s="5">
        <v>14</v>
      </c>
      <c r="AC1712" s="2" t="s">
        <v>233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233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233</v>
      </c>
      <c r="AW1712" s="8" t="s">
        <v>233</v>
      </c>
      <c r="AX1712" s="4" t="s">
        <v>233</v>
      </c>
      <c r="AY1712" s="8" t="s">
        <v>233</v>
      </c>
      <c r="AZ1712" s="7" t="s">
        <v>233</v>
      </c>
      <c r="BA1712" s="7" t="s">
        <v>233</v>
      </c>
      <c r="BB1712" s="7"/>
      <c r="BC1712" s="4" t="s">
        <v>233</v>
      </c>
      <c r="BD1712" s="8" t="s">
        <v>233</v>
      </c>
      <c r="BE1712" s="4" t="s">
        <v>233</v>
      </c>
      <c r="BF1712" s="8" t="s">
        <v>233</v>
      </c>
      <c r="BG1712" s="7" t="s">
        <v>233</v>
      </c>
      <c r="BH1712" s="7" t="s">
        <v>233</v>
      </c>
      <c r="BI1712" s="7"/>
      <c r="BJ1712" s="4">
        <v>18</v>
      </c>
      <c r="BK1712" s="8">
        <v>602.85</v>
      </c>
      <c r="BL1712" s="2" t="s">
        <v>8102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8103</v>
      </c>
      <c r="BV1712" s="2" t="s">
        <v>233</v>
      </c>
      <c r="BW1712" s="2" t="s">
        <v>233</v>
      </c>
      <c r="BX1712" s="2" t="s">
        <v>243</v>
      </c>
      <c r="BY1712" s="2" t="s">
        <v>280</v>
      </c>
      <c r="BZ1712" s="2" t="s">
        <v>245</v>
      </c>
      <c r="CA1712" s="2" t="s">
        <v>7679</v>
      </c>
      <c r="CB1712" s="2" t="s">
        <v>3751</v>
      </c>
      <c r="CC1712" s="2" t="s">
        <v>246</v>
      </c>
      <c r="CD1712" s="2" t="s">
        <v>233</v>
      </c>
      <c r="CE1712" s="4">
        <v>214</v>
      </c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  <c r="HF1712" s="4"/>
      <c r="HG1712" s="4"/>
      <c r="HH1712" s="4"/>
      <c r="HI1712" s="4"/>
      <c r="HJ1712" s="4"/>
      <c r="HK1712" s="4"/>
      <c r="HL1712" s="4"/>
      <c r="HM1712" s="4"/>
      <c r="HN1712" s="4"/>
      <c r="HO1712" s="4"/>
      <c r="HP1712" s="4"/>
      <c r="HQ1712" s="4"/>
      <c r="HR1712" s="4"/>
    </row>
    <row r="1713">
      <c r="A1713" s="2" t="s">
        <v>8104</v>
      </c>
      <c r="B1713" s="2" t="s">
        <v>333</v>
      </c>
      <c r="C1713" s="2" t="s">
        <v>1050</v>
      </c>
      <c r="D1713" s="2" t="s">
        <v>335</v>
      </c>
      <c r="E1713" s="2" t="s">
        <v>336</v>
      </c>
      <c r="F1713" s="2" t="s">
        <v>7894</v>
      </c>
      <c r="G1713" s="2" t="s">
        <v>7894</v>
      </c>
      <c r="H1713" s="2" t="s">
        <v>7894</v>
      </c>
      <c r="I1713" s="2" t="s">
        <v>338</v>
      </c>
      <c r="J1713" s="2" t="s">
        <v>546</v>
      </c>
      <c r="K1713" s="2" t="s">
        <v>257</v>
      </c>
      <c r="L1713" s="3">
        <v>31.85</v>
      </c>
      <c r="M1713" s="3">
        <v>33.44</v>
      </c>
      <c r="N1713" s="3">
        <v>64.99</v>
      </c>
      <c r="O1713" s="2" t="s">
        <v>245</v>
      </c>
      <c r="P1713" s="2" t="s">
        <v>272</v>
      </c>
      <c r="Q1713" s="2" t="s">
        <v>239</v>
      </c>
      <c r="R1713" s="2" t="s">
        <v>233</v>
      </c>
      <c r="S1713" s="2" t="s">
        <v>8091</v>
      </c>
      <c r="T1713" s="2" t="s">
        <v>647</v>
      </c>
      <c r="U1713" s="2" t="s">
        <v>342</v>
      </c>
      <c r="V1713" s="2" t="s">
        <v>241</v>
      </c>
      <c r="W1713" s="2" t="s">
        <v>275</v>
      </c>
      <c r="X1713" s="2" t="s">
        <v>397</v>
      </c>
      <c r="Y1713" s="2" t="s">
        <v>7679</v>
      </c>
      <c r="Z1713" s="4">
        <v>40</v>
      </c>
      <c r="AA1713" s="4">
        <f>=ROUNDDOWN(5.71428571428571,0)</f>
      </c>
      <c r="AB1713" s="5">
        <v>7</v>
      </c>
      <c r="AC1713" s="2" t="s">
        <v>1341</v>
      </c>
      <c r="AD1713" s="4">
        <v>40</v>
      </c>
      <c r="AE1713" s="4">
        <v>40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233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233</v>
      </c>
      <c r="AW1713" s="8" t="s">
        <v>233</v>
      </c>
      <c r="AX1713" s="4" t="s">
        <v>233</v>
      </c>
      <c r="AY1713" s="8" t="s">
        <v>233</v>
      </c>
      <c r="AZ1713" s="7" t="s">
        <v>233</v>
      </c>
      <c r="BA1713" s="7" t="s">
        <v>233</v>
      </c>
      <c r="BB1713" s="7"/>
      <c r="BC1713" s="4" t="s">
        <v>233</v>
      </c>
      <c r="BD1713" s="8" t="s">
        <v>233</v>
      </c>
      <c r="BE1713" s="4" t="s">
        <v>233</v>
      </c>
      <c r="BF1713" s="8" t="s">
        <v>233</v>
      </c>
      <c r="BG1713" s="7" t="s">
        <v>233</v>
      </c>
      <c r="BH1713" s="7" t="s">
        <v>233</v>
      </c>
      <c r="BI1713" s="7"/>
      <c r="BJ1713" s="4">
        <v>12</v>
      </c>
      <c r="BK1713" s="8">
        <v>420.62</v>
      </c>
      <c r="BL1713" s="2" t="s">
        <v>6299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8105</v>
      </c>
      <c r="BV1713" s="2" t="s">
        <v>233</v>
      </c>
      <c r="BW1713" s="2" t="s">
        <v>233</v>
      </c>
      <c r="BX1713" s="2" t="s">
        <v>243</v>
      </c>
      <c r="BY1713" s="2" t="s">
        <v>280</v>
      </c>
      <c r="BZ1713" s="2" t="s">
        <v>245</v>
      </c>
      <c r="CA1713" s="2" t="s">
        <v>2077</v>
      </c>
      <c r="CB1713" s="2" t="s">
        <v>8106</v>
      </c>
      <c r="CC1713" s="2" t="s">
        <v>246</v>
      </c>
      <c r="CD1713" s="2" t="s">
        <v>233</v>
      </c>
      <c r="CE1713" s="4">
        <v>40</v>
      </c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>
        <v>40</v>
      </c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  <c r="HF1713" s="4"/>
      <c r="HG1713" s="4"/>
      <c r="HH1713" s="4"/>
      <c r="HI1713" s="4"/>
      <c r="HJ1713" s="4"/>
      <c r="HK1713" s="4"/>
      <c r="HL1713" s="4"/>
      <c r="HM1713" s="4"/>
      <c r="HN1713" s="4"/>
      <c r="HO1713" s="4"/>
      <c r="HP1713" s="4"/>
      <c r="HQ1713" s="4"/>
      <c r="HR1713" s="4"/>
    </row>
    <row r="1714">
      <c r="A1714" s="2" t="s">
        <v>8107</v>
      </c>
      <c r="B1714" s="2" t="s">
        <v>333</v>
      </c>
      <c r="C1714" s="2" t="s">
        <v>1050</v>
      </c>
      <c r="D1714" s="2" t="s">
        <v>335</v>
      </c>
      <c r="E1714" s="2" t="s">
        <v>336</v>
      </c>
      <c r="F1714" s="2" t="s">
        <v>7894</v>
      </c>
      <c r="G1714" s="2" t="s">
        <v>7894</v>
      </c>
      <c r="H1714" s="2" t="s">
        <v>7894</v>
      </c>
      <c r="I1714" s="2" t="s">
        <v>338</v>
      </c>
      <c r="J1714" s="2" t="s">
        <v>270</v>
      </c>
      <c r="K1714" s="2" t="s">
        <v>1561</v>
      </c>
      <c r="L1714" s="3">
        <v>21.62</v>
      </c>
      <c r="M1714" s="3">
        <v>22.7</v>
      </c>
      <c r="N1714" s="3">
        <v>46.99</v>
      </c>
      <c r="O1714" s="2" t="s">
        <v>245</v>
      </c>
      <c r="P1714" s="2" t="s">
        <v>272</v>
      </c>
      <c r="Q1714" s="2" t="s">
        <v>239</v>
      </c>
      <c r="R1714" s="2" t="s">
        <v>233</v>
      </c>
      <c r="S1714" s="2" t="s">
        <v>8108</v>
      </c>
      <c r="T1714" s="2" t="s">
        <v>647</v>
      </c>
      <c r="U1714" s="2" t="s">
        <v>475</v>
      </c>
      <c r="V1714" s="2" t="s">
        <v>241</v>
      </c>
      <c r="W1714" s="2" t="s">
        <v>275</v>
      </c>
      <c r="X1714" s="2" t="s">
        <v>397</v>
      </c>
      <c r="Y1714" s="2" t="s">
        <v>276</v>
      </c>
      <c r="Z1714" s="4"/>
      <c r="AA1714" s="4">
        <f>=ROUNDDOWN({0},0)</f>
      </c>
      <c r="AB1714" s="5">
        <v>13</v>
      </c>
      <c r="AC1714" s="2" t="s">
        <v>1341</v>
      </c>
      <c r="AD1714" s="4">
        <v>100</v>
      </c>
      <c r="AE1714" s="4">
        <v>100</v>
      </c>
      <c r="AF1714" s="6">
        <v>65</v>
      </c>
      <c r="AG1714" s="6"/>
      <c r="AH1714" s="7">
        <v>0</v>
      </c>
      <c r="AI1714" s="4"/>
      <c r="AJ1714" s="4">
        <f>=ROUNDDOWN({0},0)</f>
      </c>
      <c r="AK1714" s="5"/>
      <c r="AL1714" s="2" t="s">
        <v>233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233</v>
      </c>
      <c r="AW1714" s="8" t="s">
        <v>233</v>
      </c>
      <c r="AX1714" s="4" t="s">
        <v>233</v>
      </c>
      <c r="AY1714" s="8" t="s">
        <v>233</v>
      </c>
      <c r="AZ1714" s="7" t="s">
        <v>233</v>
      </c>
      <c r="BA1714" s="7" t="s">
        <v>233</v>
      </c>
      <c r="BB1714" s="7"/>
      <c r="BC1714" s="4" t="s">
        <v>233</v>
      </c>
      <c r="BD1714" s="8" t="s">
        <v>233</v>
      </c>
      <c r="BE1714" s="4" t="s">
        <v>233</v>
      </c>
      <c r="BF1714" s="8" t="s">
        <v>233</v>
      </c>
      <c r="BG1714" s="7" t="s">
        <v>233</v>
      </c>
      <c r="BH1714" s="7" t="s">
        <v>233</v>
      </c>
      <c r="BI1714" s="7"/>
      <c r="BJ1714" s="4"/>
      <c r="BK1714" s="8"/>
      <c r="BL1714" s="2" t="s">
        <v>2465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8109</v>
      </c>
      <c r="BV1714" s="2" t="s">
        <v>233</v>
      </c>
      <c r="BW1714" s="2" t="s">
        <v>233</v>
      </c>
      <c r="BX1714" s="2" t="s">
        <v>243</v>
      </c>
      <c r="BY1714" s="2" t="s">
        <v>280</v>
      </c>
      <c r="BZ1714" s="2" t="s">
        <v>245</v>
      </c>
      <c r="CA1714" s="2" t="s">
        <v>281</v>
      </c>
      <c r="CB1714" s="2" t="s">
        <v>8110</v>
      </c>
      <c r="CC1714" s="2" t="s">
        <v>246</v>
      </c>
      <c r="CD1714" s="2" t="s">
        <v>233</v>
      </c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>
        <v>100</v>
      </c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  <c r="HF1714" s="4"/>
      <c r="HG1714" s="4"/>
      <c r="HH1714" s="4"/>
      <c r="HI1714" s="4"/>
      <c r="HJ1714" s="4"/>
      <c r="HK1714" s="4"/>
      <c r="HL1714" s="4"/>
      <c r="HM1714" s="4"/>
      <c r="HN1714" s="4"/>
      <c r="HO1714" s="4"/>
      <c r="HP1714" s="4"/>
      <c r="HQ1714" s="4"/>
      <c r="HR1714" s="4"/>
    </row>
    <row r="1715">
      <c r="A1715" s="2" t="s">
        <v>8111</v>
      </c>
      <c r="B1715" s="2" t="s">
        <v>333</v>
      </c>
      <c r="C1715" s="2" t="s">
        <v>1050</v>
      </c>
      <c r="D1715" s="2" t="s">
        <v>335</v>
      </c>
      <c r="E1715" s="2" t="s">
        <v>336</v>
      </c>
      <c r="F1715" s="2" t="s">
        <v>7894</v>
      </c>
      <c r="G1715" s="2" t="s">
        <v>7894</v>
      </c>
      <c r="H1715" s="2" t="s">
        <v>7894</v>
      </c>
      <c r="I1715" s="2" t="s">
        <v>338</v>
      </c>
      <c r="J1715" s="2" t="s">
        <v>284</v>
      </c>
      <c r="K1715" s="2" t="s">
        <v>1561</v>
      </c>
      <c r="L1715" s="3">
        <v>23.04</v>
      </c>
      <c r="M1715" s="3">
        <v>24.19</v>
      </c>
      <c r="N1715" s="3">
        <v>47.99</v>
      </c>
      <c r="O1715" s="2" t="s">
        <v>245</v>
      </c>
      <c r="P1715" s="2" t="s">
        <v>272</v>
      </c>
      <c r="Q1715" s="2" t="s">
        <v>239</v>
      </c>
      <c r="R1715" s="2" t="s">
        <v>233</v>
      </c>
      <c r="S1715" s="2" t="s">
        <v>8108</v>
      </c>
      <c r="T1715" s="2" t="s">
        <v>647</v>
      </c>
      <c r="U1715" s="2" t="s">
        <v>475</v>
      </c>
      <c r="V1715" s="2" t="s">
        <v>241</v>
      </c>
      <c r="W1715" s="2" t="s">
        <v>275</v>
      </c>
      <c r="X1715" s="2" t="s">
        <v>397</v>
      </c>
      <c r="Y1715" s="2" t="s">
        <v>276</v>
      </c>
      <c r="Z1715" s="4">
        <v>75</v>
      </c>
      <c r="AA1715" s="4">
        <f>=ROUNDDOWN(18.75,0)</f>
      </c>
      <c r="AB1715" s="5">
        <v>4</v>
      </c>
      <c r="AC1715" s="2" t="s">
        <v>233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233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233</v>
      </c>
      <c r="AW1715" s="8" t="s">
        <v>233</v>
      </c>
      <c r="AX1715" s="4" t="s">
        <v>233</v>
      </c>
      <c r="AY1715" s="8" t="s">
        <v>233</v>
      </c>
      <c r="AZ1715" s="7" t="s">
        <v>233</v>
      </c>
      <c r="BA1715" s="7" t="s">
        <v>233</v>
      </c>
      <c r="BB1715" s="7"/>
      <c r="BC1715" s="4" t="s">
        <v>233</v>
      </c>
      <c r="BD1715" s="8" t="s">
        <v>233</v>
      </c>
      <c r="BE1715" s="4" t="s">
        <v>233</v>
      </c>
      <c r="BF1715" s="8" t="s">
        <v>233</v>
      </c>
      <c r="BG1715" s="7" t="s">
        <v>233</v>
      </c>
      <c r="BH1715" s="7" t="s">
        <v>233</v>
      </c>
      <c r="BI1715" s="7"/>
      <c r="BJ1715" s="4"/>
      <c r="BK1715" s="8"/>
      <c r="BL1715" s="2" t="s">
        <v>6299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8112</v>
      </c>
      <c r="BV1715" s="2" t="s">
        <v>233</v>
      </c>
      <c r="BW1715" s="2" t="s">
        <v>233</v>
      </c>
      <c r="BX1715" s="2" t="s">
        <v>243</v>
      </c>
      <c r="BY1715" s="2" t="s">
        <v>280</v>
      </c>
      <c r="BZ1715" s="2" t="s">
        <v>245</v>
      </c>
      <c r="CA1715" s="2" t="s">
        <v>281</v>
      </c>
      <c r="CB1715" s="2" t="s">
        <v>8113</v>
      </c>
      <c r="CC1715" s="2" t="s">
        <v>246</v>
      </c>
      <c r="CD1715" s="2" t="s">
        <v>233</v>
      </c>
      <c r="CE1715" s="4">
        <v>75</v>
      </c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  <c r="HF1715" s="4"/>
      <c r="HG1715" s="4"/>
      <c r="HH1715" s="4"/>
      <c r="HI1715" s="4"/>
      <c r="HJ1715" s="4"/>
      <c r="HK1715" s="4"/>
      <c r="HL1715" s="4"/>
      <c r="HM1715" s="4"/>
      <c r="HN1715" s="4"/>
      <c r="HO1715" s="4"/>
      <c r="HP1715" s="4"/>
      <c r="HQ1715" s="4"/>
      <c r="HR1715" s="4"/>
    </row>
    <row r="1716">
      <c r="A1716" s="2" t="s">
        <v>8114</v>
      </c>
      <c r="B1716" s="2" t="s">
        <v>333</v>
      </c>
      <c r="C1716" s="2" t="s">
        <v>1050</v>
      </c>
      <c r="D1716" s="2" t="s">
        <v>335</v>
      </c>
      <c r="E1716" s="2" t="s">
        <v>336</v>
      </c>
      <c r="F1716" s="2" t="s">
        <v>7894</v>
      </c>
      <c r="G1716" s="2" t="s">
        <v>7894</v>
      </c>
      <c r="H1716" s="2" t="s">
        <v>7894</v>
      </c>
      <c r="I1716" s="2" t="s">
        <v>338</v>
      </c>
      <c r="J1716" s="2" t="s">
        <v>290</v>
      </c>
      <c r="K1716" s="2" t="s">
        <v>1561</v>
      </c>
      <c r="L1716" s="3">
        <v>25.3</v>
      </c>
      <c r="M1716" s="3">
        <v>26.56</v>
      </c>
      <c r="N1716" s="3">
        <v>54.99</v>
      </c>
      <c r="O1716" s="2" t="s">
        <v>245</v>
      </c>
      <c r="P1716" s="2" t="s">
        <v>272</v>
      </c>
      <c r="Q1716" s="2" t="s">
        <v>239</v>
      </c>
      <c r="R1716" s="2" t="s">
        <v>233</v>
      </c>
      <c r="S1716" s="2" t="s">
        <v>8108</v>
      </c>
      <c r="T1716" s="2" t="s">
        <v>647</v>
      </c>
      <c r="U1716" s="2" t="s">
        <v>342</v>
      </c>
      <c r="V1716" s="2" t="s">
        <v>241</v>
      </c>
      <c r="W1716" s="2" t="s">
        <v>275</v>
      </c>
      <c r="X1716" s="2" t="s">
        <v>397</v>
      </c>
      <c r="Y1716" s="2" t="s">
        <v>276</v>
      </c>
      <c r="Z1716" s="4">
        <v>48</v>
      </c>
      <c r="AA1716" s="4">
        <f>=ROUNDDOWN(8,0)</f>
      </c>
      <c r="AB1716" s="5">
        <v>6</v>
      </c>
      <c r="AC1716" s="2" t="s">
        <v>1341</v>
      </c>
      <c r="AD1716" s="4">
        <v>40</v>
      </c>
      <c r="AE1716" s="4">
        <v>40</v>
      </c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233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233</v>
      </c>
      <c r="AW1716" s="8" t="s">
        <v>233</v>
      </c>
      <c r="AX1716" s="4" t="s">
        <v>233</v>
      </c>
      <c r="AY1716" s="8" t="s">
        <v>233</v>
      </c>
      <c r="AZ1716" s="7" t="s">
        <v>233</v>
      </c>
      <c r="BA1716" s="7" t="s">
        <v>233</v>
      </c>
      <c r="BB1716" s="7"/>
      <c r="BC1716" s="4" t="s">
        <v>233</v>
      </c>
      <c r="BD1716" s="8" t="s">
        <v>233</v>
      </c>
      <c r="BE1716" s="4" t="s">
        <v>233</v>
      </c>
      <c r="BF1716" s="8" t="s">
        <v>233</v>
      </c>
      <c r="BG1716" s="7" t="s">
        <v>233</v>
      </c>
      <c r="BH1716" s="7" t="s">
        <v>233</v>
      </c>
      <c r="BI1716" s="7"/>
      <c r="BJ1716" s="4">
        <v>2</v>
      </c>
      <c r="BK1716" s="8">
        <v>55.66</v>
      </c>
      <c r="BL1716" s="2" t="s">
        <v>6299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8115</v>
      </c>
      <c r="BV1716" s="2" t="s">
        <v>233</v>
      </c>
      <c r="BW1716" s="2" t="s">
        <v>233</v>
      </c>
      <c r="BX1716" s="2" t="s">
        <v>243</v>
      </c>
      <c r="BY1716" s="2" t="s">
        <v>280</v>
      </c>
      <c r="BZ1716" s="2" t="s">
        <v>245</v>
      </c>
      <c r="CA1716" s="2" t="s">
        <v>281</v>
      </c>
      <c r="CB1716" s="2" t="s">
        <v>528</v>
      </c>
      <c r="CC1716" s="2" t="s">
        <v>246</v>
      </c>
      <c r="CD1716" s="2" t="s">
        <v>233</v>
      </c>
      <c r="CE1716" s="4">
        <v>48</v>
      </c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>
        <v>40</v>
      </c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  <c r="HF1716" s="4"/>
      <c r="HG1716" s="4"/>
      <c r="HH1716" s="4"/>
      <c r="HI1716" s="4"/>
      <c r="HJ1716" s="4"/>
      <c r="HK1716" s="4"/>
      <c r="HL1716" s="4"/>
      <c r="HM1716" s="4"/>
      <c r="HN1716" s="4"/>
      <c r="HO1716" s="4"/>
      <c r="HP1716" s="4"/>
      <c r="HQ1716" s="4"/>
      <c r="HR1716" s="4"/>
    </row>
    <row r="1717">
      <c r="A1717" s="2" t="s">
        <v>8116</v>
      </c>
      <c r="B1717" s="2" t="s">
        <v>333</v>
      </c>
      <c r="C1717" s="2" t="s">
        <v>1050</v>
      </c>
      <c r="D1717" s="2" t="s">
        <v>335</v>
      </c>
      <c r="E1717" s="2" t="s">
        <v>336</v>
      </c>
      <c r="F1717" s="2" t="s">
        <v>7894</v>
      </c>
      <c r="G1717" s="2" t="s">
        <v>7894</v>
      </c>
      <c r="H1717" s="2" t="s">
        <v>7894</v>
      </c>
      <c r="I1717" s="2" t="s">
        <v>338</v>
      </c>
      <c r="J1717" s="2" t="s">
        <v>348</v>
      </c>
      <c r="K1717" s="2" t="s">
        <v>1561</v>
      </c>
      <c r="L1717" s="3">
        <v>28.2</v>
      </c>
      <c r="M1717" s="3">
        <v>29.61</v>
      </c>
      <c r="N1717" s="3">
        <v>59.99</v>
      </c>
      <c r="O1717" s="2" t="s">
        <v>245</v>
      </c>
      <c r="P1717" s="2" t="s">
        <v>272</v>
      </c>
      <c r="Q1717" s="2" t="s">
        <v>239</v>
      </c>
      <c r="R1717" s="2" t="s">
        <v>233</v>
      </c>
      <c r="S1717" s="2" t="s">
        <v>8108</v>
      </c>
      <c r="T1717" s="2" t="s">
        <v>647</v>
      </c>
      <c r="U1717" s="2" t="s">
        <v>342</v>
      </c>
      <c r="V1717" s="2" t="s">
        <v>241</v>
      </c>
      <c r="W1717" s="2" t="s">
        <v>275</v>
      </c>
      <c r="X1717" s="2" t="s">
        <v>397</v>
      </c>
      <c r="Y1717" s="2" t="s">
        <v>276</v>
      </c>
      <c r="Z1717" s="4">
        <v>157</v>
      </c>
      <c r="AA1717" s="4">
        <f>=ROUNDDOWN(9.8125,0)</f>
      </c>
      <c r="AB1717" s="5">
        <v>16</v>
      </c>
      <c r="AC1717" s="2" t="s">
        <v>1341</v>
      </c>
      <c r="AD1717" s="4">
        <v>60</v>
      </c>
      <c r="AE1717" s="4">
        <v>60</v>
      </c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233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233</v>
      </c>
      <c r="AW1717" s="8" t="s">
        <v>233</v>
      </c>
      <c r="AX1717" s="4" t="s">
        <v>233</v>
      </c>
      <c r="AY1717" s="8" t="s">
        <v>233</v>
      </c>
      <c r="AZ1717" s="7" t="s">
        <v>233</v>
      </c>
      <c r="BA1717" s="7" t="s">
        <v>233</v>
      </c>
      <c r="BB1717" s="7"/>
      <c r="BC1717" s="4" t="s">
        <v>233</v>
      </c>
      <c r="BD1717" s="8" t="s">
        <v>233</v>
      </c>
      <c r="BE1717" s="4" t="s">
        <v>233</v>
      </c>
      <c r="BF1717" s="8" t="s">
        <v>233</v>
      </c>
      <c r="BG1717" s="7" t="s">
        <v>233</v>
      </c>
      <c r="BH1717" s="7" t="s">
        <v>233</v>
      </c>
      <c r="BI1717" s="7"/>
      <c r="BJ1717" s="4">
        <v>10</v>
      </c>
      <c r="BK1717" s="8">
        <v>311.74</v>
      </c>
      <c r="BL1717" s="2" t="s">
        <v>8117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8118</v>
      </c>
      <c r="BV1717" s="2" t="s">
        <v>233</v>
      </c>
      <c r="BW1717" s="2" t="s">
        <v>233</v>
      </c>
      <c r="BX1717" s="2" t="s">
        <v>243</v>
      </c>
      <c r="BY1717" s="2" t="s">
        <v>280</v>
      </c>
      <c r="BZ1717" s="2" t="s">
        <v>245</v>
      </c>
      <c r="CA1717" s="2" t="s">
        <v>281</v>
      </c>
      <c r="CB1717" s="2" t="s">
        <v>7954</v>
      </c>
      <c r="CC1717" s="2" t="s">
        <v>246</v>
      </c>
      <c r="CD1717" s="2" t="s">
        <v>233</v>
      </c>
      <c r="CE1717" s="4">
        <v>157</v>
      </c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>
        <v>60</v>
      </c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  <c r="HF1717" s="4"/>
      <c r="HG1717" s="4"/>
      <c r="HH1717" s="4"/>
      <c r="HI1717" s="4"/>
      <c r="HJ1717" s="4"/>
      <c r="HK1717" s="4"/>
      <c r="HL1717" s="4"/>
      <c r="HM1717" s="4"/>
      <c r="HN1717" s="4"/>
      <c r="HO1717" s="4"/>
      <c r="HP1717" s="4"/>
      <c r="HQ1717" s="4"/>
      <c r="HR1717" s="4"/>
    </row>
    <row r="1718">
      <c r="A1718" s="2" t="s">
        <v>8119</v>
      </c>
      <c r="B1718" s="2" t="s">
        <v>333</v>
      </c>
      <c r="C1718" s="2" t="s">
        <v>1050</v>
      </c>
      <c r="D1718" s="2" t="s">
        <v>335</v>
      </c>
      <c r="E1718" s="2" t="s">
        <v>336</v>
      </c>
      <c r="F1718" s="2" t="s">
        <v>7894</v>
      </c>
      <c r="G1718" s="2" t="s">
        <v>7894</v>
      </c>
      <c r="H1718" s="2" t="s">
        <v>7894</v>
      </c>
      <c r="I1718" s="2" t="s">
        <v>338</v>
      </c>
      <c r="J1718" s="2" t="s">
        <v>546</v>
      </c>
      <c r="K1718" s="2" t="s">
        <v>1561</v>
      </c>
      <c r="L1718" s="3">
        <v>31.85</v>
      </c>
      <c r="M1718" s="3">
        <v>33.44</v>
      </c>
      <c r="N1718" s="3">
        <v>64.99</v>
      </c>
      <c r="O1718" s="2" t="s">
        <v>245</v>
      </c>
      <c r="P1718" s="2" t="s">
        <v>272</v>
      </c>
      <c r="Q1718" s="2" t="s">
        <v>239</v>
      </c>
      <c r="R1718" s="2" t="s">
        <v>233</v>
      </c>
      <c r="S1718" s="2" t="s">
        <v>8108</v>
      </c>
      <c r="T1718" s="2" t="s">
        <v>647</v>
      </c>
      <c r="U1718" s="2" t="s">
        <v>342</v>
      </c>
      <c r="V1718" s="2" t="s">
        <v>241</v>
      </c>
      <c r="W1718" s="2" t="s">
        <v>275</v>
      </c>
      <c r="X1718" s="2" t="s">
        <v>397</v>
      </c>
      <c r="Y1718" s="2" t="s">
        <v>276</v>
      </c>
      <c r="Z1718" s="4"/>
      <c r="AA1718" s="4">
        <f>=ROUNDDOWN({0},0)</f>
      </c>
      <c r="AB1718" s="5">
        <v>5</v>
      </c>
      <c r="AC1718" s="2" t="s">
        <v>1341</v>
      </c>
      <c r="AD1718" s="4">
        <v>50</v>
      </c>
      <c r="AE1718" s="4">
        <v>50</v>
      </c>
      <c r="AF1718" s="6">
        <v>65</v>
      </c>
      <c r="AG1718" s="6"/>
      <c r="AH1718" s="7">
        <v>0</v>
      </c>
      <c r="AI1718" s="4"/>
      <c r="AJ1718" s="4">
        <f>=ROUNDDOWN({0},0)</f>
      </c>
      <c r="AK1718" s="5"/>
      <c r="AL1718" s="2" t="s">
        <v>233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233</v>
      </c>
      <c r="AW1718" s="8" t="s">
        <v>233</v>
      </c>
      <c r="AX1718" s="4" t="s">
        <v>233</v>
      </c>
      <c r="AY1718" s="8" t="s">
        <v>233</v>
      </c>
      <c r="AZ1718" s="7" t="s">
        <v>233</v>
      </c>
      <c r="BA1718" s="7" t="s">
        <v>233</v>
      </c>
      <c r="BB1718" s="7"/>
      <c r="BC1718" s="4" t="s">
        <v>233</v>
      </c>
      <c r="BD1718" s="8" t="s">
        <v>233</v>
      </c>
      <c r="BE1718" s="4" t="s">
        <v>233</v>
      </c>
      <c r="BF1718" s="8" t="s">
        <v>233</v>
      </c>
      <c r="BG1718" s="7" t="s">
        <v>233</v>
      </c>
      <c r="BH1718" s="7" t="s">
        <v>233</v>
      </c>
      <c r="BI1718" s="7"/>
      <c r="BJ1718" s="4"/>
      <c r="BK1718" s="8"/>
      <c r="BL1718" s="2" t="s">
        <v>8120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8121</v>
      </c>
      <c r="BV1718" s="2" t="s">
        <v>233</v>
      </c>
      <c r="BW1718" s="2" t="s">
        <v>233</v>
      </c>
      <c r="BX1718" s="2" t="s">
        <v>243</v>
      </c>
      <c r="BY1718" s="2" t="s">
        <v>280</v>
      </c>
      <c r="BZ1718" s="2" t="s">
        <v>245</v>
      </c>
      <c r="CA1718" s="2" t="s">
        <v>281</v>
      </c>
      <c r="CB1718" s="2" t="s">
        <v>8122</v>
      </c>
      <c r="CC1718" s="2" t="s">
        <v>246</v>
      </c>
      <c r="CD1718" s="2" t="s">
        <v>233</v>
      </c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>
        <v>50</v>
      </c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  <c r="HF1718" s="4"/>
      <c r="HG1718" s="4"/>
      <c r="HH1718" s="4"/>
      <c r="HI1718" s="4"/>
      <c r="HJ1718" s="4"/>
      <c r="HK1718" s="4"/>
      <c r="HL1718" s="4"/>
      <c r="HM1718" s="4"/>
      <c r="HN1718" s="4"/>
      <c r="HO1718" s="4"/>
      <c r="HP1718" s="4"/>
      <c r="HQ1718" s="4"/>
      <c r="HR1718" s="4"/>
    </row>
    <row r="1719">
      <c r="A1719" s="2" t="s">
        <v>8123</v>
      </c>
      <c r="B1719" s="2" t="s">
        <v>228</v>
      </c>
      <c r="C1719" s="2" t="s">
        <v>1050</v>
      </c>
      <c r="D1719" s="2" t="s">
        <v>230</v>
      </c>
      <c r="E1719" s="2" t="s">
        <v>231</v>
      </c>
      <c r="F1719" s="2" t="s">
        <v>7894</v>
      </c>
      <c r="G1719" s="2" t="s">
        <v>7894</v>
      </c>
      <c r="H1719" s="2" t="s">
        <v>7894</v>
      </c>
      <c r="I1719" s="2" t="s">
        <v>231</v>
      </c>
      <c r="J1719" s="2" t="s">
        <v>270</v>
      </c>
      <c r="K1719" s="2" t="s">
        <v>1394</v>
      </c>
      <c r="L1719" s="3">
        <v>10.75</v>
      </c>
      <c r="M1719" s="3">
        <v>11.29</v>
      </c>
      <c r="N1719" s="3">
        <v>24.99</v>
      </c>
      <c r="O1719" s="2" t="s">
        <v>237</v>
      </c>
      <c r="P1719" s="2" t="s">
        <v>996</v>
      </c>
      <c r="Q1719" s="2" t="s">
        <v>239</v>
      </c>
      <c r="R1719" s="2" t="s">
        <v>233</v>
      </c>
      <c r="S1719" s="2" t="s">
        <v>8124</v>
      </c>
      <c r="T1719" s="2" t="s">
        <v>647</v>
      </c>
      <c r="U1719" s="2" t="s">
        <v>233</v>
      </c>
      <c r="V1719" s="2" t="s">
        <v>1340</v>
      </c>
      <c r="W1719" s="2" t="s">
        <v>275</v>
      </c>
      <c r="X1719" s="2" t="s">
        <v>978</v>
      </c>
      <c r="Y1719" s="2" t="s">
        <v>276</v>
      </c>
      <c r="Z1719" s="4">
        <v>90</v>
      </c>
      <c r="AA1719" s="4">
        <f>=ROUNDDOWN(10.5882352941176,0)</f>
      </c>
      <c r="AB1719" s="5">
        <v>8.5</v>
      </c>
      <c r="AC1719" s="2" t="s">
        <v>233</v>
      </c>
      <c r="AD1719" s="4"/>
      <c r="AE1719" s="4"/>
      <c r="AF1719" s="6">
        <v>64</v>
      </c>
      <c r="AG1719" s="6"/>
      <c r="AH1719" s="7">
        <v>1</v>
      </c>
      <c r="AI1719" s="4"/>
      <c r="AJ1719" s="4">
        <f>=ROUNDDOWN({0},0)</f>
      </c>
      <c r="AK1719" s="5"/>
      <c r="AL1719" s="2" t="s">
        <v>233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233</v>
      </c>
      <c r="AW1719" s="8" t="s">
        <v>233</v>
      </c>
      <c r="AX1719" s="4" t="s">
        <v>233</v>
      </c>
      <c r="AY1719" s="8" t="s">
        <v>233</v>
      </c>
      <c r="AZ1719" s="7" t="s">
        <v>233</v>
      </c>
      <c r="BA1719" s="7" t="s">
        <v>233</v>
      </c>
      <c r="BB1719" s="7"/>
      <c r="BC1719" s="4" t="s">
        <v>233</v>
      </c>
      <c r="BD1719" s="8" t="s">
        <v>233</v>
      </c>
      <c r="BE1719" s="4" t="s">
        <v>233</v>
      </c>
      <c r="BF1719" s="8" t="s">
        <v>233</v>
      </c>
      <c r="BG1719" s="7" t="s">
        <v>233</v>
      </c>
      <c r="BH1719" s="7" t="s">
        <v>233</v>
      </c>
      <c r="BI1719" s="7"/>
      <c r="BJ1719" s="4">
        <v>36</v>
      </c>
      <c r="BK1719" s="8">
        <v>451.32</v>
      </c>
      <c r="BL1719" s="2" t="s">
        <v>8125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8126</v>
      </c>
      <c r="BV1719" s="2" t="s">
        <v>233</v>
      </c>
      <c r="BW1719" s="2" t="s">
        <v>233</v>
      </c>
      <c r="BX1719" s="2" t="s">
        <v>233</v>
      </c>
      <c r="BY1719" s="2" t="s">
        <v>280</v>
      </c>
      <c r="BZ1719" s="2" t="s">
        <v>245</v>
      </c>
      <c r="CA1719" s="2" t="s">
        <v>281</v>
      </c>
      <c r="CB1719" s="2" t="s">
        <v>633</v>
      </c>
      <c r="CC1719" s="2" t="s">
        <v>246</v>
      </c>
      <c r="CD1719" s="2" t="s">
        <v>233</v>
      </c>
      <c r="CE1719" s="4">
        <v>90</v>
      </c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  <c r="HF1719" s="4"/>
      <c r="HG1719" s="4"/>
      <c r="HH1719" s="4"/>
      <c r="HI1719" s="4"/>
      <c r="HJ1719" s="4"/>
      <c r="HK1719" s="4"/>
      <c r="HL1719" s="4"/>
      <c r="HM1719" s="4"/>
      <c r="HN1719" s="4"/>
      <c r="HO1719" s="4"/>
      <c r="HP1719" s="4"/>
      <c r="HQ1719" s="4"/>
      <c r="HR1719" s="4"/>
    </row>
    <row r="1720">
      <c r="A1720" s="2" t="s">
        <v>8127</v>
      </c>
      <c r="B1720" s="2" t="s">
        <v>228</v>
      </c>
      <c r="C1720" s="2" t="s">
        <v>1050</v>
      </c>
      <c r="D1720" s="2" t="s">
        <v>230</v>
      </c>
      <c r="E1720" s="2" t="s">
        <v>231</v>
      </c>
      <c r="F1720" s="2" t="s">
        <v>7894</v>
      </c>
      <c r="G1720" s="2" t="s">
        <v>7894</v>
      </c>
      <c r="H1720" s="2" t="s">
        <v>7894</v>
      </c>
      <c r="I1720" s="2" t="s">
        <v>231</v>
      </c>
      <c r="J1720" s="2" t="s">
        <v>328</v>
      </c>
      <c r="K1720" s="2" t="s">
        <v>1394</v>
      </c>
      <c r="L1720" s="3">
        <v>16.17</v>
      </c>
      <c r="M1720" s="3">
        <v>16.98</v>
      </c>
      <c r="N1720" s="3">
        <v>32.99</v>
      </c>
      <c r="O1720" s="2" t="s">
        <v>237</v>
      </c>
      <c r="P1720" s="2" t="s">
        <v>996</v>
      </c>
      <c r="Q1720" s="2" t="s">
        <v>239</v>
      </c>
      <c r="R1720" s="2" t="s">
        <v>233</v>
      </c>
      <c r="S1720" s="2" t="s">
        <v>8124</v>
      </c>
      <c r="T1720" s="2" t="s">
        <v>647</v>
      </c>
      <c r="U1720" s="2" t="s">
        <v>233</v>
      </c>
      <c r="V1720" s="2" t="s">
        <v>1340</v>
      </c>
      <c r="W1720" s="2" t="s">
        <v>275</v>
      </c>
      <c r="X1720" s="2" t="s">
        <v>978</v>
      </c>
      <c r="Y1720" s="2" t="s">
        <v>276</v>
      </c>
      <c r="Z1720" s="4">
        <v>87</v>
      </c>
      <c r="AA1720" s="4">
        <f>=ROUNDDOWN(10.2352941176471,0)</f>
      </c>
      <c r="AB1720" s="5">
        <v>8.5</v>
      </c>
      <c r="AC1720" s="2" t="s">
        <v>233</v>
      </c>
      <c r="AD1720" s="4"/>
      <c r="AE1720" s="4"/>
      <c r="AF1720" s="6">
        <v>64</v>
      </c>
      <c r="AG1720" s="6"/>
      <c r="AH1720" s="7">
        <v>1</v>
      </c>
      <c r="AI1720" s="4"/>
      <c r="AJ1720" s="4">
        <f>=ROUNDDOWN({0},0)</f>
      </c>
      <c r="AK1720" s="5"/>
      <c r="AL1720" s="2" t="s">
        <v>233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233</v>
      </c>
      <c r="AW1720" s="8" t="s">
        <v>233</v>
      </c>
      <c r="AX1720" s="4" t="s">
        <v>233</v>
      </c>
      <c r="AY1720" s="8" t="s">
        <v>233</v>
      </c>
      <c r="AZ1720" s="7" t="s">
        <v>233</v>
      </c>
      <c r="BA1720" s="7" t="s">
        <v>233</v>
      </c>
      <c r="BB1720" s="7"/>
      <c r="BC1720" s="4" t="s">
        <v>233</v>
      </c>
      <c r="BD1720" s="8" t="s">
        <v>233</v>
      </c>
      <c r="BE1720" s="4" t="s">
        <v>233</v>
      </c>
      <c r="BF1720" s="8" t="s">
        <v>233</v>
      </c>
      <c r="BG1720" s="7" t="s">
        <v>233</v>
      </c>
      <c r="BH1720" s="7" t="s">
        <v>233</v>
      </c>
      <c r="BI1720" s="7"/>
      <c r="BJ1720" s="4">
        <v>17</v>
      </c>
      <c r="BK1720" s="8">
        <v>294.93</v>
      </c>
      <c r="BL1720" s="2" t="s">
        <v>8128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8129</v>
      </c>
      <c r="BV1720" s="2" t="s">
        <v>233</v>
      </c>
      <c r="BW1720" s="2" t="s">
        <v>233</v>
      </c>
      <c r="BX1720" s="2" t="s">
        <v>233</v>
      </c>
      <c r="BY1720" s="2" t="s">
        <v>280</v>
      </c>
      <c r="BZ1720" s="2" t="s">
        <v>245</v>
      </c>
      <c r="CA1720" s="2" t="s">
        <v>281</v>
      </c>
      <c r="CB1720" s="2" t="s">
        <v>7954</v>
      </c>
      <c r="CC1720" s="2" t="s">
        <v>246</v>
      </c>
      <c r="CD1720" s="2" t="s">
        <v>233</v>
      </c>
      <c r="CE1720" s="4">
        <v>87</v>
      </c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  <c r="HF1720" s="4"/>
      <c r="HG1720" s="4"/>
      <c r="HH1720" s="4"/>
      <c r="HI1720" s="4"/>
      <c r="HJ1720" s="4"/>
      <c r="HK1720" s="4"/>
      <c r="HL1720" s="4"/>
      <c r="HM1720" s="4"/>
      <c r="HN1720" s="4"/>
      <c r="HO1720" s="4"/>
      <c r="HP1720" s="4"/>
      <c r="HQ1720" s="4"/>
      <c r="HR1720" s="4"/>
    </row>
    <row r="1721">
      <c r="A1721" s="2" t="s">
        <v>8130</v>
      </c>
      <c r="B1721" s="2" t="s">
        <v>333</v>
      </c>
      <c r="C1721" s="2" t="s">
        <v>911</v>
      </c>
      <c r="D1721" s="2" t="s">
        <v>335</v>
      </c>
      <c r="E1721" s="2" t="s">
        <v>336</v>
      </c>
      <c r="F1721" s="2" t="s">
        <v>395</v>
      </c>
      <c r="G1721" s="2" t="s">
        <v>395</v>
      </c>
      <c r="H1721" s="2" t="s">
        <v>395</v>
      </c>
      <c r="I1721" s="2" t="s">
        <v>8131</v>
      </c>
      <c r="J1721" s="2" t="s">
        <v>270</v>
      </c>
      <c r="K1721" s="2" t="s">
        <v>271</v>
      </c>
      <c r="L1721" s="3">
        <v>11.18</v>
      </c>
      <c r="M1721" s="3">
        <v>11.74</v>
      </c>
      <c r="N1721" s="3">
        <v>27.99</v>
      </c>
      <c r="O1721" s="2" t="s">
        <v>245</v>
      </c>
      <c r="P1721" s="2" t="s">
        <v>272</v>
      </c>
      <c r="Q1721" s="2" t="s">
        <v>239</v>
      </c>
      <c r="R1721" s="2" t="s">
        <v>233</v>
      </c>
      <c r="S1721" s="2" t="s">
        <v>8132</v>
      </c>
      <c r="T1721" s="2" t="s">
        <v>395</v>
      </c>
      <c r="U1721" s="2" t="s">
        <v>475</v>
      </c>
      <c r="V1721" s="2" t="s">
        <v>241</v>
      </c>
      <c r="W1721" s="2" t="s">
        <v>275</v>
      </c>
      <c r="X1721" s="2" t="s">
        <v>233</v>
      </c>
      <c r="Y1721" s="2" t="s">
        <v>8133</v>
      </c>
      <c r="Z1721" s="4">
        <v>79</v>
      </c>
      <c r="AA1721" s="4">
        <f>=ROUNDDOWN(39.5,0)</f>
      </c>
      <c r="AB1721" s="5">
        <v>2</v>
      </c>
      <c r="AC1721" s="2" t="s">
        <v>319</v>
      </c>
      <c r="AD1721" s="4">
        <v>40</v>
      </c>
      <c r="AE1721" s="4">
        <v>40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233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233</v>
      </c>
      <c r="AW1721" s="8" t="s">
        <v>233</v>
      </c>
      <c r="AX1721" s="4" t="s">
        <v>233</v>
      </c>
      <c r="AY1721" s="8" t="s">
        <v>233</v>
      </c>
      <c r="AZ1721" s="7" t="s">
        <v>233</v>
      </c>
      <c r="BA1721" s="7" t="s">
        <v>233</v>
      </c>
      <c r="BB1721" s="7"/>
      <c r="BC1721" s="4" t="s">
        <v>233</v>
      </c>
      <c r="BD1721" s="8" t="s">
        <v>233</v>
      </c>
      <c r="BE1721" s="4" t="s">
        <v>233</v>
      </c>
      <c r="BF1721" s="8" t="s">
        <v>233</v>
      </c>
      <c r="BG1721" s="7" t="s">
        <v>233</v>
      </c>
      <c r="BH1721" s="7" t="s">
        <v>233</v>
      </c>
      <c r="BI1721" s="7"/>
      <c r="BJ1721" s="4">
        <v>11</v>
      </c>
      <c r="BK1721" s="8">
        <v>136.44</v>
      </c>
      <c r="BL1721" s="2" t="s">
        <v>1375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8134</v>
      </c>
      <c r="BV1721" s="2" t="s">
        <v>233</v>
      </c>
      <c r="BW1721" s="2" t="s">
        <v>233</v>
      </c>
      <c r="BX1721" s="2" t="s">
        <v>243</v>
      </c>
      <c r="BY1721" s="2" t="s">
        <v>280</v>
      </c>
      <c r="BZ1721" s="2" t="s">
        <v>245</v>
      </c>
      <c r="CA1721" s="2" t="s">
        <v>364</v>
      </c>
      <c r="CB1721" s="2" t="s">
        <v>7737</v>
      </c>
      <c r="CC1721" s="2" t="s">
        <v>246</v>
      </c>
      <c r="CD1721" s="2" t="s">
        <v>233</v>
      </c>
      <c r="CE1721" s="4">
        <v>59</v>
      </c>
      <c r="CF1721" s="4"/>
      <c r="CG1721" s="4"/>
      <c r="CH1721" s="4"/>
      <c r="CI1721" s="4"/>
      <c r="CJ1721" s="4"/>
      <c r="CK1721" s="4"/>
      <c r="CL1721" s="4">
        <v>20</v>
      </c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>
        <v>40</v>
      </c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  <c r="HF1721" s="4"/>
      <c r="HG1721" s="4"/>
      <c r="HH1721" s="4"/>
      <c r="HI1721" s="4"/>
      <c r="HJ1721" s="4"/>
      <c r="HK1721" s="4"/>
      <c r="HL1721" s="4"/>
      <c r="HM1721" s="4"/>
      <c r="HN1721" s="4"/>
      <c r="HO1721" s="4"/>
      <c r="HP1721" s="4"/>
      <c r="HQ1721" s="4"/>
      <c r="HR1721" s="4"/>
    </row>
    <row r="1722">
      <c r="A1722" s="2" t="s">
        <v>8135</v>
      </c>
      <c r="B1722" s="2" t="s">
        <v>333</v>
      </c>
      <c r="C1722" s="2" t="s">
        <v>911</v>
      </c>
      <c r="D1722" s="2" t="s">
        <v>335</v>
      </c>
      <c r="E1722" s="2" t="s">
        <v>336</v>
      </c>
      <c r="F1722" s="2" t="s">
        <v>395</v>
      </c>
      <c r="G1722" s="2" t="s">
        <v>395</v>
      </c>
      <c r="H1722" s="2" t="s">
        <v>395</v>
      </c>
      <c r="I1722" s="2" t="s">
        <v>8131</v>
      </c>
      <c r="J1722" s="2" t="s">
        <v>284</v>
      </c>
      <c r="K1722" s="2" t="s">
        <v>271</v>
      </c>
      <c r="L1722" s="3">
        <v>11.18</v>
      </c>
      <c r="M1722" s="3">
        <v>11.74</v>
      </c>
      <c r="N1722" s="3">
        <v>27.99</v>
      </c>
      <c r="O1722" s="2" t="s">
        <v>245</v>
      </c>
      <c r="P1722" s="2" t="s">
        <v>272</v>
      </c>
      <c r="Q1722" s="2" t="s">
        <v>239</v>
      </c>
      <c r="R1722" s="2" t="s">
        <v>233</v>
      </c>
      <c r="S1722" s="2" t="s">
        <v>8132</v>
      </c>
      <c r="T1722" s="2" t="s">
        <v>395</v>
      </c>
      <c r="U1722" s="2" t="s">
        <v>475</v>
      </c>
      <c r="V1722" s="2" t="s">
        <v>241</v>
      </c>
      <c r="W1722" s="2" t="s">
        <v>275</v>
      </c>
      <c r="X1722" s="2" t="s">
        <v>233</v>
      </c>
      <c r="Y1722" s="2" t="s">
        <v>8133</v>
      </c>
      <c r="Z1722" s="4">
        <v>67</v>
      </c>
      <c r="AA1722" s="4">
        <f>=ROUNDDOWN(33.5,0)</f>
      </c>
      <c r="AB1722" s="5">
        <v>2</v>
      </c>
      <c r="AC1722" s="2" t="s">
        <v>319</v>
      </c>
      <c r="AD1722" s="4">
        <v>120</v>
      </c>
      <c r="AE1722" s="4">
        <v>120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233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233</v>
      </c>
      <c r="AW1722" s="8" t="s">
        <v>233</v>
      </c>
      <c r="AX1722" s="4" t="s">
        <v>233</v>
      </c>
      <c r="AY1722" s="8" t="s">
        <v>233</v>
      </c>
      <c r="AZ1722" s="7" t="s">
        <v>233</v>
      </c>
      <c r="BA1722" s="7" t="s">
        <v>233</v>
      </c>
      <c r="BB1722" s="7"/>
      <c r="BC1722" s="4" t="s">
        <v>233</v>
      </c>
      <c r="BD1722" s="8" t="s">
        <v>233</v>
      </c>
      <c r="BE1722" s="4" t="s">
        <v>233</v>
      </c>
      <c r="BF1722" s="8" t="s">
        <v>233</v>
      </c>
      <c r="BG1722" s="7" t="s">
        <v>233</v>
      </c>
      <c r="BH1722" s="7" t="s">
        <v>233</v>
      </c>
      <c r="BI1722" s="7"/>
      <c r="BJ1722" s="4">
        <v>8</v>
      </c>
      <c r="BK1722" s="8">
        <v>101.28</v>
      </c>
      <c r="BL1722" s="2" t="s">
        <v>8136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8137</v>
      </c>
      <c r="BV1722" s="2" t="s">
        <v>233</v>
      </c>
      <c r="BW1722" s="2" t="s">
        <v>233</v>
      </c>
      <c r="BX1722" s="2" t="s">
        <v>243</v>
      </c>
      <c r="BY1722" s="2" t="s">
        <v>280</v>
      </c>
      <c r="BZ1722" s="2" t="s">
        <v>245</v>
      </c>
      <c r="CA1722" s="2" t="s">
        <v>364</v>
      </c>
      <c r="CB1722" s="2" t="s">
        <v>233</v>
      </c>
      <c r="CC1722" s="2" t="s">
        <v>246</v>
      </c>
      <c r="CD1722" s="2" t="s">
        <v>233</v>
      </c>
      <c r="CE1722" s="4">
        <v>7</v>
      </c>
      <c r="CF1722" s="4"/>
      <c r="CG1722" s="4"/>
      <c r="CH1722" s="4"/>
      <c r="CI1722" s="4"/>
      <c r="CJ1722" s="4"/>
      <c r="CK1722" s="4"/>
      <c r="CL1722" s="4">
        <v>60</v>
      </c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>
        <v>120</v>
      </c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  <c r="HF1722" s="4"/>
      <c r="HG1722" s="4"/>
      <c r="HH1722" s="4"/>
      <c r="HI1722" s="4"/>
      <c r="HJ1722" s="4"/>
      <c r="HK1722" s="4"/>
      <c r="HL1722" s="4"/>
      <c r="HM1722" s="4"/>
      <c r="HN1722" s="4"/>
      <c r="HO1722" s="4"/>
      <c r="HP1722" s="4"/>
      <c r="HQ1722" s="4"/>
      <c r="HR1722" s="4"/>
    </row>
    <row r="1723">
      <c r="A1723" s="2" t="s">
        <v>8138</v>
      </c>
      <c r="B1723" s="2" t="s">
        <v>333</v>
      </c>
      <c r="C1723" s="2" t="s">
        <v>911</v>
      </c>
      <c r="D1723" s="2" t="s">
        <v>335</v>
      </c>
      <c r="E1723" s="2" t="s">
        <v>336</v>
      </c>
      <c r="F1723" s="2" t="s">
        <v>395</v>
      </c>
      <c r="G1723" s="2" t="s">
        <v>395</v>
      </c>
      <c r="H1723" s="2" t="s">
        <v>395</v>
      </c>
      <c r="I1723" s="2" t="s">
        <v>8131</v>
      </c>
      <c r="J1723" s="2" t="s">
        <v>290</v>
      </c>
      <c r="K1723" s="2" t="s">
        <v>271</v>
      </c>
      <c r="L1723" s="3">
        <v>12.92</v>
      </c>
      <c r="M1723" s="3">
        <v>13.57</v>
      </c>
      <c r="N1723" s="3">
        <v>30.99</v>
      </c>
      <c r="O1723" s="2" t="s">
        <v>245</v>
      </c>
      <c r="P1723" s="2" t="s">
        <v>272</v>
      </c>
      <c r="Q1723" s="2" t="s">
        <v>239</v>
      </c>
      <c r="R1723" s="2" t="s">
        <v>233</v>
      </c>
      <c r="S1723" s="2" t="s">
        <v>8132</v>
      </c>
      <c r="T1723" s="2" t="s">
        <v>395</v>
      </c>
      <c r="U1723" s="2" t="s">
        <v>342</v>
      </c>
      <c r="V1723" s="2" t="s">
        <v>241</v>
      </c>
      <c r="W1723" s="2" t="s">
        <v>275</v>
      </c>
      <c r="X1723" s="2" t="s">
        <v>233</v>
      </c>
      <c r="Y1723" s="2" t="s">
        <v>8133</v>
      </c>
      <c r="Z1723" s="4">
        <v>54</v>
      </c>
      <c r="AA1723" s="4">
        <f>=ROUNDDOWN(18,0)</f>
      </c>
      <c r="AB1723" s="5">
        <v>3</v>
      </c>
      <c r="AC1723" s="2" t="s">
        <v>319</v>
      </c>
      <c r="AD1723" s="4">
        <v>50</v>
      </c>
      <c r="AE1723" s="4">
        <v>50</v>
      </c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233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233</v>
      </c>
      <c r="AW1723" s="8" t="s">
        <v>233</v>
      </c>
      <c r="AX1723" s="4" t="s">
        <v>233</v>
      </c>
      <c r="AY1723" s="8" t="s">
        <v>233</v>
      </c>
      <c r="AZ1723" s="7" t="s">
        <v>233</v>
      </c>
      <c r="BA1723" s="7" t="s">
        <v>233</v>
      </c>
      <c r="BB1723" s="7"/>
      <c r="BC1723" s="4" t="s">
        <v>233</v>
      </c>
      <c r="BD1723" s="8" t="s">
        <v>233</v>
      </c>
      <c r="BE1723" s="4" t="s">
        <v>233</v>
      </c>
      <c r="BF1723" s="8" t="s">
        <v>233</v>
      </c>
      <c r="BG1723" s="7" t="s">
        <v>233</v>
      </c>
      <c r="BH1723" s="7" t="s">
        <v>233</v>
      </c>
      <c r="BI1723" s="7"/>
      <c r="BJ1723" s="4">
        <v>11</v>
      </c>
      <c r="BK1723" s="8">
        <v>158.27</v>
      </c>
      <c r="BL1723" s="2" t="s">
        <v>1375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8139</v>
      </c>
      <c r="BV1723" s="2" t="s">
        <v>233</v>
      </c>
      <c r="BW1723" s="2" t="s">
        <v>233</v>
      </c>
      <c r="BX1723" s="2" t="s">
        <v>243</v>
      </c>
      <c r="BY1723" s="2" t="s">
        <v>280</v>
      </c>
      <c r="BZ1723" s="2" t="s">
        <v>245</v>
      </c>
      <c r="CA1723" s="2" t="s">
        <v>364</v>
      </c>
      <c r="CB1723" s="2" t="s">
        <v>1998</v>
      </c>
      <c r="CC1723" s="2" t="s">
        <v>246</v>
      </c>
      <c r="CD1723" s="2" t="s">
        <v>233</v>
      </c>
      <c r="CE1723" s="4">
        <v>14</v>
      </c>
      <c r="CF1723" s="4"/>
      <c r="CG1723" s="4"/>
      <c r="CH1723" s="4"/>
      <c r="CI1723" s="4"/>
      <c r="CJ1723" s="4"/>
      <c r="CK1723" s="4"/>
      <c r="CL1723" s="4">
        <v>40</v>
      </c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>
        <v>50</v>
      </c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  <c r="HF1723" s="4"/>
      <c r="HG1723" s="4"/>
      <c r="HH1723" s="4"/>
      <c r="HI1723" s="4"/>
      <c r="HJ1723" s="4"/>
      <c r="HK1723" s="4"/>
      <c r="HL1723" s="4"/>
      <c r="HM1723" s="4"/>
      <c r="HN1723" s="4"/>
      <c r="HO1723" s="4"/>
      <c r="HP1723" s="4"/>
      <c r="HQ1723" s="4"/>
      <c r="HR1723" s="4"/>
    </row>
    <row r="1724">
      <c r="A1724" s="2" t="s">
        <v>8140</v>
      </c>
      <c r="B1724" s="2" t="s">
        <v>333</v>
      </c>
      <c r="C1724" s="2" t="s">
        <v>911</v>
      </c>
      <c r="D1724" s="2" t="s">
        <v>335</v>
      </c>
      <c r="E1724" s="2" t="s">
        <v>336</v>
      </c>
      <c r="F1724" s="2" t="s">
        <v>395</v>
      </c>
      <c r="G1724" s="2" t="s">
        <v>395</v>
      </c>
      <c r="H1724" s="2" t="s">
        <v>395</v>
      </c>
      <c r="I1724" s="2" t="s">
        <v>8131</v>
      </c>
      <c r="J1724" s="2" t="s">
        <v>348</v>
      </c>
      <c r="K1724" s="2" t="s">
        <v>271</v>
      </c>
      <c r="L1724" s="3">
        <v>14.21</v>
      </c>
      <c r="M1724" s="3">
        <v>14.92</v>
      </c>
      <c r="N1724" s="3">
        <v>32.99</v>
      </c>
      <c r="O1724" s="2" t="s">
        <v>245</v>
      </c>
      <c r="P1724" s="2" t="s">
        <v>272</v>
      </c>
      <c r="Q1724" s="2" t="s">
        <v>239</v>
      </c>
      <c r="R1724" s="2" t="s">
        <v>233</v>
      </c>
      <c r="S1724" s="2" t="s">
        <v>8132</v>
      </c>
      <c r="T1724" s="2" t="s">
        <v>395</v>
      </c>
      <c r="U1724" s="2" t="s">
        <v>342</v>
      </c>
      <c r="V1724" s="2" t="s">
        <v>241</v>
      </c>
      <c r="W1724" s="2" t="s">
        <v>275</v>
      </c>
      <c r="X1724" s="2" t="s">
        <v>233</v>
      </c>
      <c r="Y1724" s="2" t="s">
        <v>8133</v>
      </c>
      <c r="Z1724" s="4">
        <v>129</v>
      </c>
      <c r="AA1724" s="4">
        <f>=ROUNDDOWN(25.8,0)</f>
      </c>
      <c r="AB1724" s="5">
        <v>5</v>
      </c>
      <c r="AC1724" s="2" t="s">
        <v>319</v>
      </c>
      <c r="AD1724" s="4">
        <v>50</v>
      </c>
      <c r="AE1724" s="4">
        <v>50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233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233</v>
      </c>
      <c r="AW1724" s="8" t="s">
        <v>233</v>
      </c>
      <c r="AX1724" s="4" t="s">
        <v>233</v>
      </c>
      <c r="AY1724" s="8" t="s">
        <v>233</v>
      </c>
      <c r="AZ1724" s="7" t="s">
        <v>233</v>
      </c>
      <c r="BA1724" s="7" t="s">
        <v>233</v>
      </c>
      <c r="BB1724" s="7"/>
      <c r="BC1724" s="4" t="s">
        <v>233</v>
      </c>
      <c r="BD1724" s="8" t="s">
        <v>233</v>
      </c>
      <c r="BE1724" s="4" t="s">
        <v>233</v>
      </c>
      <c r="BF1724" s="8" t="s">
        <v>233</v>
      </c>
      <c r="BG1724" s="7" t="s">
        <v>233</v>
      </c>
      <c r="BH1724" s="7" t="s">
        <v>233</v>
      </c>
      <c r="BI1724" s="7"/>
      <c r="BJ1724" s="4">
        <v>5</v>
      </c>
      <c r="BK1724" s="8">
        <v>81.7</v>
      </c>
      <c r="BL1724" s="2" t="s">
        <v>1292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8141</v>
      </c>
      <c r="BV1724" s="2" t="s">
        <v>233</v>
      </c>
      <c r="BW1724" s="2" t="s">
        <v>233</v>
      </c>
      <c r="BX1724" s="2" t="s">
        <v>243</v>
      </c>
      <c r="BY1724" s="2" t="s">
        <v>280</v>
      </c>
      <c r="BZ1724" s="2" t="s">
        <v>245</v>
      </c>
      <c r="CA1724" s="2" t="s">
        <v>364</v>
      </c>
      <c r="CB1724" s="2" t="s">
        <v>2119</v>
      </c>
      <c r="CC1724" s="2" t="s">
        <v>246</v>
      </c>
      <c r="CD1724" s="2" t="s">
        <v>233</v>
      </c>
      <c r="CE1724" s="4">
        <v>129</v>
      </c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>
        <v>50</v>
      </c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  <c r="HF1724" s="4"/>
      <c r="HG1724" s="4"/>
      <c r="HH1724" s="4"/>
      <c r="HI1724" s="4"/>
      <c r="HJ1724" s="4"/>
      <c r="HK1724" s="4"/>
      <c r="HL1724" s="4"/>
      <c r="HM1724" s="4"/>
      <c r="HN1724" s="4"/>
      <c r="HO1724" s="4"/>
      <c r="HP1724" s="4"/>
      <c r="HQ1724" s="4"/>
      <c r="HR1724" s="4"/>
    </row>
    <row r="1725">
      <c r="A1725" s="2" t="s">
        <v>8142</v>
      </c>
      <c r="B1725" s="2" t="s">
        <v>333</v>
      </c>
      <c r="C1725" s="2" t="s">
        <v>911</v>
      </c>
      <c r="D1725" s="2" t="s">
        <v>335</v>
      </c>
      <c r="E1725" s="2" t="s">
        <v>336</v>
      </c>
      <c r="F1725" s="2" t="s">
        <v>395</v>
      </c>
      <c r="G1725" s="2" t="s">
        <v>395</v>
      </c>
      <c r="H1725" s="2" t="s">
        <v>395</v>
      </c>
      <c r="I1725" s="2" t="s">
        <v>8131</v>
      </c>
      <c r="J1725" s="2" t="s">
        <v>328</v>
      </c>
      <c r="K1725" s="2" t="s">
        <v>271</v>
      </c>
      <c r="L1725" s="3">
        <v>16.75</v>
      </c>
      <c r="M1725" s="3">
        <v>17.59</v>
      </c>
      <c r="N1725" s="3">
        <v>37.99</v>
      </c>
      <c r="O1725" s="2" t="s">
        <v>245</v>
      </c>
      <c r="P1725" s="2" t="s">
        <v>272</v>
      </c>
      <c r="Q1725" s="2" t="s">
        <v>239</v>
      </c>
      <c r="R1725" s="2" t="s">
        <v>233</v>
      </c>
      <c r="S1725" s="2" t="s">
        <v>8132</v>
      </c>
      <c r="T1725" s="2" t="s">
        <v>395</v>
      </c>
      <c r="U1725" s="2" t="s">
        <v>342</v>
      </c>
      <c r="V1725" s="2" t="s">
        <v>241</v>
      </c>
      <c r="W1725" s="2" t="s">
        <v>275</v>
      </c>
      <c r="X1725" s="2" t="s">
        <v>233</v>
      </c>
      <c r="Y1725" s="2" t="s">
        <v>8133</v>
      </c>
      <c r="Z1725" s="4">
        <v>52</v>
      </c>
      <c r="AA1725" s="4">
        <f>=ROUNDDOWN(17.3333333333333,0)</f>
      </c>
      <c r="AB1725" s="5">
        <v>3</v>
      </c>
      <c r="AC1725" s="2" t="s">
        <v>319</v>
      </c>
      <c r="AD1725" s="4">
        <v>20</v>
      </c>
      <c r="AE1725" s="4">
        <v>20</v>
      </c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233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233</v>
      </c>
      <c r="AW1725" s="8" t="s">
        <v>233</v>
      </c>
      <c r="AX1725" s="4" t="s">
        <v>233</v>
      </c>
      <c r="AY1725" s="8" t="s">
        <v>233</v>
      </c>
      <c r="AZ1725" s="7" t="s">
        <v>233</v>
      </c>
      <c r="BA1725" s="7" t="s">
        <v>233</v>
      </c>
      <c r="BB1725" s="7"/>
      <c r="BC1725" s="4" t="s">
        <v>233</v>
      </c>
      <c r="BD1725" s="8" t="s">
        <v>233</v>
      </c>
      <c r="BE1725" s="4" t="s">
        <v>233</v>
      </c>
      <c r="BF1725" s="8" t="s">
        <v>233</v>
      </c>
      <c r="BG1725" s="7" t="s">
        <v>233</v>
      </c>
      <c r="BH1725" s="7" t="s">
        <v>233</v>
      </c>
      <c r="BI1725" s="7"/>
      <c r="BJ1725" s="4">
        <v>3</v>
      </c>
      <c r="BK1725" s="8">
        <v>57.78</v>
      </c>
      <c r="BL1725" s="2" t="s">
        <v>1292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8143</v>
      </c>
      <c r="BV1725" s="2" t="s">
        <v>233</v>
      </c>
      <c r="BW1725" s="2" t="s">
        <v>233</v>
      </c>
      <c r="BX1725" s="2" t="s">
        <v>243</v>
      </c>
      <c r="BY1725" s="2" t="s">
        <v>280</v>
      </c>
      <c r="BZ1725" s="2" t="s">
        <v>245</v>
      </c>
      <c r="CA1725" s="2" t="s">
        <v>364</v>
      </c>
      <c r="CB1725" s="2" t="s">
        <v>233</v>
      </c>
      <c r="CC1725" s="2" t="s">
        <v>246</v>
      </c>
      <c r="CD1725" s="2" t="s">
        <v>233</v>
      </c>
      <c r="CE1725" s="4">
        <v>52</v>
      </c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>
        <v>20</v>
      </c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/>
      <c r="HA1725" s="4"/>
      <c r="HB1725" s="4"/>
      <c r="HC1725" s="4"/>
      <c r="HD1725" s="4"/>
      <c r="HE1725" s="4"/>
      <c r="HF1725" s="4"/>
      <c r="HG1725" s="4"/>
      <c r="HH1725" s="4"/>
      <c r="HI1725" s="4"/>
      <c r="HJ1725" s="4"/>
      <c r="HK1725" s="4"/>
      <c r="HL1725" s="4"/>
      <c r="HM1725" s="4"/>
      <c r="HN1725" s="4"/>
      <c r="HO1725" s="4"/>
      <c r="HP1725" s="4"/>
      <c r="HQ1725" s="4"/>
      <c r="HR1725" s="4"/>
    </row>
    <row r="1726">
      <c r="A1726" s="2" t="s">
        <v>8144</v>
      </c>
      <c r="B1726" s="2" t="s">
        <v>333</v>
      </c>
      <c r="C1726" s="2" t="s">
        <v>911</v>
      </c>
      <c r="D1726" s="2" t="s">
        <v>335</v>
      </c>
      <c r="E1726" s="2" t="s">
        <v>336</v>
      </c>
      <c r="F1726" s="2" t="s">
        <v>395</v>
      </c>
      <c r="G1726" s="2" t="s">
        <v>395</v>
      </c>
      <c r="H1726" s="2" t="s">
        <v>395</v>
      </c>
      <c r="I1726" s="2" t="s">
        <v>8131</v>
      </c>
      <c r="J1726" s="2" t="s">
        <v>270</v>
      </c>
      <c r="K1726" s="2" t="s">
        <v>552</v>
      </c>
      <c r="L1726" s="3">
        <v>11.18</v>
      </c>
      <c r="M1726" s="3">
        <v>11.74</v>
      </c>
      <c r="N1726" s="3">
        <v>27.99</v>
      </c>
      <c r="O1726" s="2" t="s">
        <v>245</v>
      </c>
      <c r="P1726" s="2" t="s">
        <v>272</v>
      </c>
      <c r="Q1726" s="2" t="s">
        <v>239</v>
      </c>
      <c r="R1726" s="2" t="s">
        <v>233</v>
      </c>
      <c r="S1726" s="2" t="s">
        <v>8145</v>
      </c>
      <c r="T1726" s="2" t="s">
        <v>395</v>
      </c>
      <c r="U1726" s="2" t="s">
        <v>475</v>
      </c>
      <c r="V1726" s="2" t="s">
        <v>241</v>
      </c>
      <c r="W1726" s="2" t="s">
        <v>275</v>
      </c>
      <c r="X1726" s="2" t="s">
        <v>233</v>
      </c>
      <c r="Y1726" s="2" t="s">
        <v>8133</v>
      </c>
      <c r="Z1726" s="4">
        <v>190</v>
      </c>
      <c r="AA1726" s="4">
        <f>=ROUNDDOWN(47.5,0)</f>
      </c>
      <c r="AB1726" s="5">
        <v>4</v>
      </c>
      <c r="AC1726" s="2" t="s">
        <v>319</v>
      </c>
      <c r="AD1726" s="4">
        <v>70</v>
      </c>
      <c r="AE1726" s="4">
        <v>70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233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233</v>
      </c>
      <c r="AW1726" s="8" t="s">
        <v>233</v>
      </c>
      <c r="AX1726" s="4" t="s">
        <v>233</v>
      </c>
      <c r="AY1726" s="8" t="s">
        <v>233</v>
      </c>
      <c r="AZ1726" s="7" t="s">
        <v>233</v>
      </c>
      <c r="BA1726" s="7" t="s">
        <v>233</v>
      </c>
      <c r="BB1726" s="7"/>
      <c r="BC1726" s="4" t="s">
        <v>233</v>
      </c>
      <c r="BD1726" s="8" t="s">
        <v>233</v>
      </c>
      <c r="BE1726" s="4" t="s">
        <v>233</v>
      </c>
      <c r="BF1726" s="8" t="s">
        <v>233</v>
      </c>
      <c r="BG1726" s="7" t="s">
        <v>233</v>
      </c>
      <c r="BH1726" s="7" t="s">
        <v>233</v>
      </c>
      <c r="BI1726" s="7"/>
      <c r="BJ1726" s="4">
        <v>9</v>
      </c>
      <c r="BK1726" s="8">
        <v>110.55</v>
      </c>
      <c r="BL1726" s="2" t="s">
        <v>1375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8146</v>
      </c>
      <c r="BV1726" s="2" t="s">
        <v>233</v>
      </c>
      <c r="BW1726" s="2" t="s">
        <v>233</v>
      </c>
      <c r="BX1726" s="2" t="s">
        <v>233</v>
      </c>
      <c r="BY1726" s="2" t="s">
        <v>280</v>
      </c>
      <c r="BZ1726" s="2" t="s">
        <v>245</v>
      </c>
      <c r="CA1726" s="2" t="s">
        <v>364</v>
      </c>
      <c r="CB1726" s="2" t="s">
        <v>4049</v>
      </c>
      <c r="CC1726" s="2" t="s">
        <v>246</v>
      </c>
      <c r="CD1726" s="2" t="s">
        <v>233</v>
      </c>
      <c r="CE1726" s="4">
        <v>150</v>
      </c>
      <c r="CF1726" s="4"/>
      <c r="CG1726" s="4"/>
      <c r="CH1726" s="4"/>
      <c r="CI1726" s="4"/>
      <c r="CJ1726" s="4"/>
      <c r="CK1726" s="4"/>
      <c r="CL1726" s="4">
        <v>40</v>
      </c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>
        <v>70</v>
      </c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  <c r="HF1726" s="4"/>
      <c r="HG1726" s="4"/>
      <c r="HH1726" s="4"/>
      <c r="HI1726" s="4"/>
      <c r="HJ1726" s="4"/>
      <c r="HK1726" s="4"/>
      <c r="HL1726" s="4"/>
      <c r="HM1726" s="4"/>
      <c r="HN1726" s="4"/>
      <c r="HO1726" s="4"/>
      <c r="HP1726" s="4"/>
      <c r="HQ1726" s="4"/>
      <c r="HR1726" s="4"/>
    </row>
    <row r="1727">
      <c r="A1727" s="2" t="s">
        <v>8147</v>
      </c>
      <c r="B1727" s="2" t="s">
        <v>333</v>
      </c>
      <c r="C1727" s="2" t="s">
        <v>911</v>
      </c>
      <c r="D1727" s="2" t="s">
        <v>335</v>
      </c>
      <c r="E1727" s="2" t="s">
        <v>336</v>
      </c>
      <c r="F1727" s="2" t="s">
        <v>395</v>
      </c>
      <c r="G1727" s="2" t="s">
        <v>395</v>
      </c>
      <c r="H1727" s="2" t="s">
        <v>395</v>
      </c>
      <c r="I1727" s="2" t="s">
        <v>8131</v>
      </c>
      <c r="J1727" s="2" t="s">
        <v>284</v>
      </c>
      <c r="K1727" s="2" t="s">
        <v>552</v>
      </c>
      <c r="L1727" s="3">
        <v>11.18</v>
      </c>
      <c r="M1727" s="3">
        <v>11.74</v>
      </c>
      <c r="N1727" s="3">
        <v>27.99</v>
      </c>
      <c r="O1727" s="2" t="s">
        <v>245</v>
      </c>
      <c r="P1727" s="2" t="s">
        <v>272</v>
      </c>
      <c r="Q1727" s="2" t="s">
        <v>239</v>
      </c>
      <c r="R1727" s="2" t="s">
        <v>233</v>
      </c>
      <c r="S1727" s="2" t="s">
        <v>8145</v>
      </c>
      <c r="T1727" s="2" t="s">
        <v>395</v>
      </c>
      <c r="U1727" s="2" t="s">
        <v>475</v>
      </c>
      <c r="V1727" s="2" t="s">
        <v>241</v>
      </c>
      <c r="W1727" s="2" t="s">
        <v>275</v>
      </c>
      <c r="X1727" s="2" t="s">
        <v>233</v>
      </c>
      <c r="Y1727" s="2" t="s">
        <v>8133</v>
      </c>
      <c r="Z1727" s="4">
        <v>119</v>
      </c>
      <c r="AA1727" s="4">
        <f>=ROUNDDOWN(39.6666666666667,0)</f>
      </c>
      <c r="AB1727" s="5">
        <v>3</v>
      </c>
      <c r="AC1727" s="2" t="s">
        <v>319</v>
      </c>
      <c r="AD1727" s="4">
        <v>160</v>
      </c>
      <c r="AE1727" s="4">
        <v>160</v>
      </c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233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233</v>
      </c>
      <c r="AW1727" s="8" t="s">
        <v>233</v>
      </c>
      <c r="AX1727" s="4" t="s">
        <v>233</v>
      </c>
      <c r="AY1727" s="8" t="s">
        <v>233</v>
      </c>
      <c r="AZ1727" s="7" t="s">
        <v>233</v>
      </c>
      <c r="BA1727" s="7" t="s">
        <v>233</v>
      </c>
      <c r="BB1727" s="7"/>
      <c r="BC1727" s="4" t="s">
        <v>233</v>
      </c>
      <c r="BD1727" s="8" t="s">
        <v>233</v>
      </c>
      <c r="BE1727" s="4" t="s">
        <v>233</v>
      </c>
      <c r="BF1727" s="8" t="s">
        <v>233</v>
      </c>
      <c r="BG1727" s="7" t="s">
        <v>233</v>
      </c>
      <c r="BH1727" s="7" t="s">
        <v>233</v>
      </c>
      <c r="BI1727" s="7"/>
      <c r="BJ1727" s="4">
        <v>4</v>
      </c>
      <c r="BK1727" s="8">
        <v>50.91</v>
      </c>
      <c r="BL1727" s="2" t="s">
        <v>2604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8148</v>
      </c>
      <c r="BV1727" s="2" t="s">
        <v>233</v>
      </c>
      <c r="BW1727" s="2" t="s">
        <v>233</v>
      </c>
      <c r="BX1727" s="2" t="s">
        <v>233</v>
      </c>
      <c r="BY1727" s="2" t="s">
        <v>280</v>
      </c>
      <c r="BZ1727" s="2" t="s">
        <v>245</v>
      </c>
      <c r="CA1727" s="2" t="s">
        <v>364</v>
      </c>
      <c r="CB1727" s="2" t="s">
        <v>233</v>
      </c>
      <c r="CC1727" s="2" t="s">
        <v>246</v>
      </c>
      <c r="CD1727" s="2" t="s">
        <v>233</v>
      </c>
      <c r="CE1727" s="4">
        <v>119</v>
      </c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>
        <v>160</v>
      </c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  <c r="HF1727" s="4"/>
      <c r="HG1727" s="4"/>
      <c r="HH1727" s="4"/>
      <c r="HI1727" s="4"/>
      <c r="HJ1727" s="4"/>
      <c r="HK1727" s="4"/>
      <c r="HL1727" s="4"/>
      <c r="HM1727" s="4"/>
      <c r="HN1727" s="4"/>
      <c r="HO1727" s="4"/>
      <c r="HP1727" s="4"/>
      <c r="HQ1727" s="4"/>
      <c r="HR1727" s="4"/>
    </row>
    <row r="1728">
      <c r="A1728" s="2" t="s">
        <v>8149</v>
      </c>
      <c r="B1728" s="2" t="s">
        <v>333</v>
      </c>
      <c r="C1728" s="2" t="s">
        <v>911</v>
      </c>
      <c r="D1728" s="2" t="s">
        <v>335</v>
      </c>
      <c r="E1728" s="2" t="s">
        <v>336</v>
      </c>
      <c r="F1728" s="2" t="s">
        <v>395</v>
      </c>
      <c r="G1728" s="2" t="s">
        <v>395</v>
      </c>
      <c r="H1728" s="2" t="s">
        <v>395</v>
      </c>
      <c r="I1728" s="2" t="s">
        <v>8131</v>
      </c>
      <c r="J1728" s="2" t="s">
        <v>290</v>
      </c>
      <c r="K1728" s="2" t="s">
        <v>552</v>
      </c>
      <c r="L1728" s="3">
        <v>12.92</v>
      </c>
      <c r="M1728" s="3">
        <v>13.57</v>
      </c>
      <c r="N1728" s="3">
        <v>30.99</v>
      </c>
      <c r="O1728" s="2" t="s">
        <v>245</v>
      </c>
      <c r="P1728" s="2" t="s">
        <v>272</v>
      </c>
      <c r="Q1728" s="2" t="s">
        <v>239</v>
      </c>
      <c r="R1728" s="2" t="s">
        <v>233</v>
      </c>
      <c r="S1728" s="2" t="s">
        <v>8145</v>
      </c>
      <c r="T1728" s="2" t="s">
        <v>395</v>
      </c>
      <c r="U1728" s="2" t="s">
        <v>342</v>
      </c>
      <c r="V1728" s="2" t="s">
        <v>241</v>
      </c>
      <c r="W1728" s="2" t="s">
        <v>275</v>
      </c>
      <c r="X1728" s="2" t="s">
        <v>233</v>
      </c>
      <c r="Y1728" s="2" t="s">
        <v>8133</v>
      </c>
      <c r="Z1728" s="4">
        <v>111</v>
      </c>
      <c r="AA1728" s="4">
        <f>=ROUNDDOWN(44.4,0)</f>
      </c>
      <c r="AB1728" s="5">
        <v>2.5</v>
      </c>
      <c r="AC1728" s="2" t="s">
        <v>319</v>
      </c>
      <c r="AD1728" s="4">
        <v>80</v>
      </c>
      <c r="AE1728" s="4">
        <v>80</v>
      </c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233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 t="s">
        <v>233</v>
      </c>
      <c r="AW1728" s="8" t="s">
        <v>233</v>
      </c>
      <c r="AX1728" s="4" t="s">
        <v>233</v>
      </c>
      <c r="AY1728" s="8" t="s">
        <v>233</v>
      </c>
      <c r="AZ1728" s="7" t="s">
        <v>233</v>
      </c>
      <c r="BA1728" s="7" t="s">
        <v>233</v>
      </c>
      <c r="BB1728" s="7"/>
      <c r="BC1728" s="4" t="s">
        <v>233</v>
      </c>
      <c r="BD1728" s="8" t="s">
        <v>233</v>
      </c>
      <c r="BE1728" s="4" t="s">
        <v>233</v>
      </c>
      <c r="BF1728" s="8" t="s">
        <v>233</v>
      </c>
      <c r="BG1728" s="7" t="s">
        <v>233</v>
      </c>
      <c r="BH1728" s="7" t="s">
        <v>233</v>
      </c>
      <c r="BI1728" s="7"/>
      <c r="BJ1728" s="4">
        <v>8</v>
      </c>
      <c r="BK1728" s="8">
        <v>114.49</v>
      </c>
      <c r="BL1728" s="2" t="s">
        <v>8150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8151</v>
      </c>
      <c r="BV1728" s="2" t="s">
        <v>233</v>
      </c>
      <c r="BW1728" s="2" t="s">
        <v>233</v>
      </c>
      <c r="BX1728" s="2" t="s">
        <v>233</v>
      </c>
      <c r="BY1728" s="2" t="s">
        <v>280</v>
      </c>
      <c r="BZ1728" s="2" t="s">
        <v>245</v>
      </c>
      <c r="CA1728" s="2" t="s">
        <v>364</v>
      </c>
      <c r="CB1728" s="2" t="s">
        <v>5900</v>
      </c>
      <c r="CC1728" s="2" t="s">
        <v>246</v>
      </c>
      <c r="CD1728" s="2" t="s">
        <v>233</v>
      </c>
      <c r="CE1728" s="4">
        <v>111</v>
      </c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>
        <v>80</v>
      </c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/>
      <c r="HD1728" s="4"/>
      <c r="HE1728" s="4"/>
      <c r="HF1728" s="4"/>
      <c r="HG1728" s="4"/>
      <c r="HH1728" s="4"/>
      <c r="HI1728" s="4"/>
      <c r="HJ1728" s="4"/>
      <c r="HK1728" s="4"/>
      <c r="HL1728" s="4"/>
      <c r="HM1728" s="4"/>
      <c r="HN1728" s="4"/>
      <c r="HO1728" s="4"/>
      <c r="HP1728" s="4"/>
      <c r="HQ1728" s="4"/>
      <c r="HR1728" s="4"/>
    </row>
    <row r="1729">
      <c r="A1729" s="2" t="s">
        <v>8152</v>
      </c>
      <c r="B1729" s="2" t="s">
        <v>333</v>
      </c>
      <c r="C1729" s="2" t="s">
        <v>911</v>
      </c>
      <c r="D1729" s="2" t="s">
        <v>335</v>
      </c>
      <c r="E1729" s="2" t="s">
        <v>336</v>
      </c>
      <c r="F1729" s="2" t="s">
        <v>395</v>
      </c>
      <c r="G1729" s="2" t="s">
        <v>395</v>
      </c>
      <c r="H1729" s="2" t="s">
        <v>395</v>
      </c>
      <c r="I1729" s="2" t="s">
        <v>8131</v>
      </c>
      <c r="J1729" s="2" t="s">
        <v>270</v>
      </c>
      <c r="K1729" s="2" t="s">
        <v>773</v>
      </c>
      <c r="L1729" s="3">
        <v>11.18</v>
      </c>
      <c r="M1729" s="3">
        <v>11.74</v>
      </c>
      <c r="N1729" s="3">
        <v>27.99</v>
      </c>
      <c r="O1729" s="2" t="s">
        <v>245</v>
      </c>
      <c r="P1729" s="2" t="s">
        <v>272</v>
      </c>
      <c r="Q1729" s="2" t="s">
        <v>239</v>
      </c>
      <c r="R1729" s="2" t="s">
        <v>233</v>
      </c>
      <c r="S1729" s="2" t="s">
        <v>8153</v>
      </c>
      <c r="T1729" s="2" t="s">
        <v>395</v>
      </c>
      <c r="U1729" s="2" t="s">
        <v>233</v>
      </c>
      <c r="V1729" s="2" t="s">
        <v>241</v>
      </c>
      <c r="W1729" s="2" t="s">
        <v>275</v>
      </c>
      <c r="X1729" s="2" t="s">
        <v>233</v>
      </c>
      <c r="Y1729" s="2" t="s">
        <v>276</v>
      </c>
      <c r="Z1729" s="4">
        <v>220</v>
      </c>
      <c r="AA1729" s="4">
        <f>=ROUNDDOWN(22,0)</f>
      </c>
      <c r="AB1729" s="5">
        <v>10</v>
      </c>
      <c r="AC1729" s="2" t="s">
        <v>547</v>
      </c>
      <c r="AD1729" s="4">
        <v>60</v>
      </c>
      <c r="AE1729" s="4">
        <v>130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233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233</v>
      </c>
      <c r="AW1729" s="8" t="s">
        <v>233</v>
      </c>
      <c r="AX1729" s="4" t="s">
        <v>233</v>
      </c>
      <c r="AY1729" s="8" t="s">
        <v>233</v>
      </c>
      <c r="AZ1729" s="7" t="s">
        <v>233</v>
      </c>
      <c r="BA1729" s="7" t="s">
        <v>233</v>
      </c>
      <c r="BB1729" s="7" t="s">
        <v>233</v>
      </c>
      <c r="BC1729" s="4" t="s">
        <v>233</v>
      </c>
      <c r="BD1729" s="8" t="s">
        <v>233</v>
      </c>
      <c r="BE1729" s="4" t="s">
        <v>233</v>
      </c>
      <c r="BF1729" s="8" t="s">
        <v>233</v>
      </c>
      <c r="BG1729" s="7" t="s">
        <v>233</v>
      </c>
      <c r="BH1729" s="7" t="s">
        <v>233</v>
      </c>
      <c r="BI1729" s="7"/>
      <c r="BJ1729" s="4">
        <v>21</v>
      </c>
      <c r="BK1729" s="8">
        <v>252.5</v>
      </c>
      <c r="BL1729" s="2" t="s">
        <v>8154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8155</v>
      </c>
      <c r="BV1729" s="2" t="s">
        <v>233</v>
      </c>
      <c r="BW1729" s="2" t="s">
        <v>233</v>
      </c>
      <c r="BX1729" s="2" t="s">
        <v>233</v>
      </c>
      <c r="BY1729" s="2" t="s">
        <v>280</v>
      </c>
      <c r="BZ1729" s="2" t="s">
        <v>245</v>
      </c>
      <c r="CA1729" s="2" t="s">
        <v>1319</v>
      </c>
      <c r="CB1729" s="2" t="s">
        <v>8156</v>
      </c>
      <c r="CC1729" s="2" t="s">
        <v>246</v>
      </c>
      <c r="CD1729" s="2" t="s">
        <v>233</v>
      </c>
      <c r="CE1729" s="4">
        <v>110</v>
      </c>
      <c r="CF1729" s="4"/>
      <c r="CG1729" s="4"/>
      <c r="CH1729" s="4"/>
      <c r="CI1729" s="4"/>
      <c r="CJ1729" s="4"/>
      <c r="CK1729" s="4"/>
      <c r="CL1729" s="4">
        <v>110</v>
      </c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>
        <v>60</v>
      </c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>
        <v>20</v>
      </c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>
        <v>50</v>
      </c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/>
      <c r="HD1729" s="4"/>
      <c r="HE1729" s="4"/>
      <c r="HF1729" s="4"/>
      <c r="HG1729" s="4"/>
      <c r="HH1729" s="4"/>
      <c r="HI1729" s="4"/>
      <c r="HJ1729" s="4"/>
      <c r="HK1729" s="4"/>
      <c r="HL1729" s="4"/>
      <c r="HM1729" s="4"/>
      <c r="HN1729" s="4"/>
      <c r="HO1729" s="4"/>
      <c r="HP1729" s="4"/>
      <c r="HQ1729" s="4"/>
      <c r="HR1729" s="4"/>
    </row>
    <row r="1730">
      <c r="A1730" s="2" t="s">
        <v>8157</v>
      </c>
      <c r="B1730" s="2" t="s">
        <v>333</v>
      </c>
      <c r="C1730" s="2" t="s">
        <v>911</v>
      </c>
      <c r="D1730" s="2" t="s">
        <v>335</v>
      </c>
      <c r="E1730" s="2" t="s">
        <v>336</v>
      </c>
      <c r="F1730" s="2" t="s">
        <v>395</v>
      </c>
      <c r="G1730" s="2" t="s">
        <v>395</v>
      </c>
      <c r="H1730" s="2" t="s">
        <v>395</v>
      </c>
      <c r="I1730" s="2" t="s">
        <v>8158</v>
      </c>
      <c r="J1730" s="2" t="s">
        <v>270</v>
      </c>
      <c r="K1730" s="2" t="s">
        <v>773</v>
      </c>
      <c r="L1730" s="3">
        <v>12.15</v>
      </c>
      <c r="M1730" s="3">
        <v>12.76</v>
      </c>
      <c r="N1730" s="3">
        <v>26.99</v>
      </c>
      <c r="O1730" s="2" t="s">
        <v>245</v>
      </c>
      <c r="P1730" s="2" t="s">
        <v>272</v>
      </c>
      <c r="Q1730" s="2" t="s">
        <v>239</v>
      </c>
      <c r="R1730" s="2" t="s">
        <v>233</v>
      </c>
      <c r="S1730" s="2" t="s">
        <v>8153</v>
      </c>
      <c r="T1730" s="2" t="s">
        <v>395</v>
      </c>
      <c r="U1730" s="2" t="s">
        <v>342</v>
      </c>
      <c r="V1730" s="2" t="s">
        <v>241</v>
      </c>
      <c r="W1730" s="2" t="s">
        <v>275</v>
      </c>
      <c r="X1730" s="2" t="s">
        <v>397</v>
      </c>
      <c r="Y1730" s="2" t="s">
        <v>8159</v>
      </c>
      <c r="Z1730" s="4">
        <v>222</v>
      </c>
      <c r="AA1730" s="4">
        <f>=ROUNDDOWN(37,0)</f>
      </c>
      <c r="AB1730" s="5">
        <v>6</v>
      </c>
      <c r="AC1730" s="2" t="s">
        <v>547</v>
      </c>
      <c r="AD1730" s="4">
        <v>120</v>
      </c>
      <c r="AE1730" s="4">
        <v>120</v>
      </c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233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233</v>
      </c>
      <c r="AW1730" s="8" t="s">
        <v>233</v>
      </c>
      <c r="AX1730" s="4" t="s">
        <v>233</v>
      </c>
      <c r="AY1730" s="8" t="s">
        <v>233</v>
      </c>
      <c r="AZ1730" s="7" t="s">
        <v>233</v>
      </c>
      <c r="BA1730" s="7" t="s">
        <v>233</v>
      </c>
      <c r="BB1730" s="7" t="s">
        <v>233</v>
      </c>
      <c r="BC1730" s="4" t="s">
        <v>233</v>
      </c>
      <c r="BD1730" s="8" t="s">
        <v>233</v>
      </c>
      <c r="BE1730" s="4" t="s">
        <v>233</v>
      </c>
      <c r="BF1730" s="8" t="s">
        <v>233</v>
      </c>
      <c r="BG1730" s="7" t="s">
        <v>233</v>
      </c>
      <c r="BH1730" s="7" t="s">
        <v>233</v>
      </c>
      <c r="BI1730" s="7"/>
      <c r="BJ1730" s="4">
        <v>13</v>
      </c>
      <c r="BK1730" s="8">
        <v>170.78</v>
      </c>
      <c r="BL1730" s="2" t="s">
        <v>8160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8161</v>
      </c>
      <c r="BV1730" s="2" t="s">
        <v>233</v>
      </c>
      <c r="BW1730" s="2" t="s">
        <v>233</v>
      </c>
      <c r="BX1730" s="2" t="s">
        <v>233</v>
      </c>
      <c r="BY1730" s="2" t="s">
        <v>280</v>
      </c>
      <c r="BZ1730" s="2" t="s">
        <v>245</v>
      </c>
      <c r="CA1730" s="2" t="s">
        <v>8162</v>
      </c>
      <c r="CB1730" s="2" t="s">
        <v>8163</v>
      </c>
      <c r="CC1730" s="2" t="s">
        <v>246</v>
      </c>
      <c r="CD1730" s="2" t="s">
        <v>233</v>
      </c>
      <c r="CE1730" s="4">
        <v>192</v>
      </c>
      <c r="CF1730" s="4"/>
      <c r="CG1730" s="4"/>
      <c r="CH1730" s="4"/>
      <c r="CI1730" s="4"/>
      <c r="CJ1730" s="4"/>
      <c r="CK1730" s="4"/>
      <c r="CL1730" s="4">
        <v>30</v>
      </c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>
        <v>120</v>
      </c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  <c r="HF1730" s="4"/>
      <c r="HG1730" s="4"/>
      <c r="HH1730" s="4"/>
      <c r="HI1730" s="4"/>
      <c r="HJ1730" s="4"/>
      <c r="HK1730" s="4"/>
      <c r="HL1730" s="4"/>
      <c r="HM1730" s="4"/>
      <c r="HN1730" s="4"/>
      <c r="HO1730" s="4"/>
      <c r="HP1730" s="4"/>
      <c r="HQ1730" s="4"/>
      <c r="HR1730" s="4"/>
    </row>
    <row r="1731">
      <c r="A1731" s="2" t="s">
        <v>8164</v>
      </c>
      <c r="B1731" s="2" t="s">
        <v>333</v>
      </c>
      <c r="C1731" s="2" t="s">
        <v>911</v>
      </c>
      <c r="D1731" s="2" t="s">
        <v>335</v>
      </c>
      <c r="E1731" s="2" t="s">
        <v>336</v>
      </c>
      <c r="F1731" s="2" t="s">
        <v>395</v>
      </c>
      <c r="G1731" s="2" t="s">
        <v>395</v>
      </c>
      <c r="H1731" s="2" t="s">
        <v>395</v>
      </c>
      <c r="I1731" s="2" t="s">
        <v>8131</v>
      </c>
      <c r="J1731" s="2" t="s">
        <v>284</v>
      </c>
      <c r="K1731" s="2" t="s">
        <v>773</v>
      </c>
      <c r="L1731" s="3">
        <v>11.18</v>
      </c>
      <c r="M1731" s="3">
        <v>11.74</v>
      </c>
      <c r="N1731" s="3">
        <v>27.99</v>
      </c>
      <c r="O1731" s="2" t="s">
        <v>245</v>
      </c>
      <c r="P1731" s="2" t="s">
        <v>272</v>
      </c>
      <c r="Q1731" s="2" t="s">
        <v>239</v>
      </c>
      <c r="R1731" s="2" t="s">
        <v>233</v>
      </c>
      <c r="S1731" s="2" t="s">
        <v>8153</v>
      </c>
      <c r="T1731" s="2" t="s">
        <v>395</v>
      </c>
      <c r="U1731" s="2" t="s">
        <v>233</v>
      </c>
      <c r="V1731" s="2" t="s">
        <v>241</v>
      </c>
      <c r="W1731" s="2" t="s">
        <v>275</v>
      </c>
      <c r="X1731" s="2" t="s">
        <v>233</v>
      </c>
      <c r="Y1731" s="2" t="s">
        <v>276</v>
      </c>
      <c r="Z1731" s="4">
        <v>208</v>
      </c>
      <c r="AA1731" s="4">
        <f>=ROUNDDOWN(34.6666666666667,0)</f>
      </c>
      <c r="AB1731" s="5">
        <v>6</v>
      </c>
      <c r="AC1731" s="2" t="s">
        <v>547</v>
      </c>
      <c r="AD1731" s="4">
        <v>300</v>
      </c>
      <c r="AE1731" s="4">
        <v>360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233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233</v>
      </c>
      <c r="AW1731" s="8" t="s">
        <v>233</v>
      </c>
      <c r="AX1731" s="4" t="s">
        <v>233</v>
      </c>
      <c r="AY1731" s="8" t="s">
        <v>233</v>
      </c>
      <c r="AZ1731" s="7" t="s">
        <v>233</v>
      </c>
      <c r="BA1731" s="7" t="s">
        <v>233</v>
      </c>
      <c r="BB1731" s="7" t="s">
        <v>233</v>
      </c>
      <c r="BC1731" s="4" t="s">
        <v>233</v>
      </c>
      <c r="BD1731" s="8" t="s">
        <v>233</v>
      </c>
      <c r="BE1731" s="4" t="s">
        <v>233</v>
      </c>
      <c r="BF1731" s="8" t="s">
        <v>233</v>
      </c>
      <c r="BG1731" s="7" t="s">
        <v>233</v>
      </c>
      <c r="BH1731" s="7" t="s">
        <v>233</v>
      </c>
      <c r="BI1731" s="7"/>
      <c r="BJ1731" s="4">
        <v>16</v>
      </c>
      <c r="BK1731" s="8">
        <v>193.98</v>
      </c>
      <c r="BL1731" s="2" t="s">
        <v>8165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8166</v>
      </c>
      <c r="BV1731" s="2" t="s">
        <v>233</v>
      </c>
      <c r="BW1731" s="2" t="s">
        <v>233</v>
      </c>
      <c r="BX1731" s="2" t="s">
        <v>233</v>
      </c>
      <c r="BY1731" s="2" t="s">
        <v>280</v>
      </c>
      <c r="BZ1731" s="2" t="s">
        <v>245</v>
      </c>
      <c r="CA1731" s="2" t="s">
        <v>1319</v>
      </c>
      <c r="CB1731" s="2" t="s">
        <v>8167</v>
      </c>
      <c r="CC1731" s="2" t="s">
        <v>246</v>
      </c>
      <c r="CD1731" s="2" t="s">
        <v>233</v>
      </c>
      <c r="CE1731" s="4">
        <v>108</v>
      </c>
      <c r="CF1731" s="4"/>
      <c r="CG1731" s="4"/>
      <c r="CH1731" s="4"/>
      <c r="CI1731" s="4"/>
      <c r="CJ1731" s="4"/>
      <c r="CK1731" s="4"/>
      <c r="CL1731" s="4">
        <v>100</v>
      </c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>
        <v>300</v>
      </c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>
        <v>30</v>
      </c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>
        <v>30</v>
      </c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  <c r="HF1731" s="4"/>
      <c r="HG1731" s="4"/>
      <c r="HH1731" s="4"/>
      <c r="HI1731" s="4"/>
      <c r="HJ1731" s="4"/>
      <c r="HK1731" s="4"/>
      <c r="HL1731" s="4"/>
      <c r="HM1731" s="4"/>
      <c r="HN1731" s="4"/>
      <c r="HO1731" s="4"/>
      <c r="HP1731" s="4"/>
      <c r="HQ1731" s="4"/>
      <c r="HR1731" s="4"/>
    </row>
    <row r="1732">
      <c r="A1732" s="2" t="s">
        <v>8168</v>
      </c>
      <c r="B1732" s="2" t="s">
        <v>333</v>
      </c>
      <c r="C1732" s="2" t="s">
        <v>911</v>
      </c>
      <c r="D1732" s="2" t="s">
        <v>335</v>
      </c>
      <c r="E1732" s="2" t="s">
        <v>336</v>
      </c>
      <c r="F1732" s="2" t="s">
        <v>395</v>
      </c>
      <c r="G1732" s="2" t="s">
        <v>395</v>
      </c>
      <c r="H1732" s="2" t="s">
        <v>395</v>
      </c>
      <c r="I1732" s="2" t="s">
        <v>8158</v>
      </c>
      <c r="J1732" s="2" t="s">
        <v>284</v>
      </c>
      <c r="K1732" s="2" t="s">
        <v>773</v>
      </c>
      <c r="L1732" s="3">
        <v>12.15</v>
      </c>
      <c r="M1732" s="3">
        <v>12.76</v>
      </c>
      <c r="N1732" s="3">
        <v>26.99</v>
      </c>
      <c r="O1732" s="2" t="s">
        <v>245</v>
      </c>
      <c r="P1732" s="2" t="s">
        <v>272</v>
      </c>
      <c r="Q1732" s="2" t="s">
        <v>239</v>
      </c>
      <c r="R1732" s="2" t="s">
        <v>233</v>
      </c>
      <c r="S1732" s="2" t="s">
        <v>8153</v>
      </c>
      <c r="T1732" s="2" t="s">
        <v>395</v>
      </c>
      <c r="U1732" s="2" t="s">
        <v>342</v>
      </c>
      <c r="V1732" s="2" t="s">
        <v>241</v>
      </c>
      <c r="W1732" s="2" t="s">
        <v>275</v>
      </c>
      <c r="X1732" s="2" t="s">
        <v>397</v>
      </c>
      <c r="Y1732" s="2" t="s">
        <v>8159</v>
      </c>
      <c r="Z1732" s="4">
        <v>228</v>
      </c>
      <c r="AA1732" s="4">
        <f>=ROUNDDOWN(25.3333333333333,0)</f>
      </c>
      <c r="AB1732" s="5">
        <v>9</v>
      </c>
      <c r="AC1732" s="2" t="s">
        <v>547</v>
      </c>
      <c r="AD1732" s="4">
        <v>280</v>
      </c>
      <c r="AE1732" s="4">
        <v>490</v>
      </c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233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233</v>
      </c>
      <c r="AW1732" s="8" t="s">
        <v>233</v>
      </c>
      <c r="AX1732" s="4" t="s">
        <v>233</v>
      </c>
      <c r="AY1732" s="8" t="s">
        <v>233</v>
      </c>
      <c r="AZ1732" s="7" t="s">
        <v>233</v>
      </c>
      <c r="BA1732" s="7" t="s">
        <v>233</v>
      </c>
      <c r="BB1732" s="7" t="s">
        <v>233</v>
      </c>
      <c r="BC1732" s="4" t="s">
        <v>233</v>
      </c>
      <c r="BD1732" s="8" t="s">
        <v>233</v>
      </c>
      <c r="BE1732" s="4" t="s">
        <v>233</v>
      </c>
      <c r="BF1732" s="8" t="s">
        <v>233</v>
      </c>
      <c r="BG1732" s="7" t="s">
        <v>233</v>
      </c>
      <c r="BH1732" s="7" t="s">
        <v>233</v>
      </c>
      <c r="BI1732" s="7"/>
      <c r="BJ1732" s="4">
        <v>36</v>
      </c>
      <c r="BK1732" s="8">
        <v>462.11</v>
      </c>
      <c r="BL1732" s="2" t="s">
        <v>8169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8170</v>
      </c>
      <c r="BV1732" s="2" t="s">
        <v>233</v>
      </c>
      <c r="BW1732" s="2" t="s">
        <v>233</v>
      </c>
      <c r="BX1732" s="2" t="s">
        <v>233</v>
      </c>
      <c r="BY1732" s="2" t="s">
        <v>280</v>
      </c>
      <c r="BZ1732" s="2" t="s">
        <v>245</v>
      </c>
      <c r="CA1732" s="2" t="s">
        <v>8162</v>
      </c>
      <c r="CB1732" s="2" t="s">
        <v>8171</v>
      </c>
      <c r="CC1732" s="2" t="s">
        <v>246</v>
      </c>
      <c r="CD1732" s="2" t="s">
        <v>233</v>
      </c>
      <c r="CE1732" s="4">
        <v>28</v>
      </c>
      <c r="CF1732" s="4"/>
      <c r="CG1732" s="4"/>
      <c r="CH1732" s="4"/>
      <c r="CI1732" s="4"/>
      <c r="CJ1732" s="4"/>
      <c r="CK1732" s="4"/>
      <c r="CL1732" s="4">
        <v>200</v>
      </c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>
        <v>280</v>
      </c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>
        <v>90</v>
      </c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>
        <v>120</v>
      </c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4"/>
      <c r="GZ1732" s="4"/>
      <c r="HA1732" s="4"/>
      <c r="HB1732" s="4"/>
      <c r="HC1732" s="4"/>
      <c r="HD1732" s="4"/>
      <c r="HE1732" s="4"/>
      <c r="HF1732" s="4"/>
      <c r="HG1732" s="4"/>
      <c r="HH1732" s="4"/>
      <c r="HI1732" s="4"/>
      <c r="HJ1732" s="4"/>
      <c r="HK1732" s="4"/>
      <c r="HL1732" s="4"/>
      <c r="HM1732" s="4"/>
      <c r="HN1732" s="4"/>
      <c r="HO1732" s="4"/>
      <c r="HP1732" s="4"/>
      <c r="HQ1732" s="4"/>
      <c r="HR1732" s="4"/>
    </row>
    <row r="1733">
      <c r="A1733" s="2" t="s">
        <v>8172</v>
      </c>
      <c r="B1733" s="2" t="s">
        <v>333</v>
      </c>
      <c r="C1733" s="2" t="s">
        <v>911</v>
      </c>
      <c r="D1733" s="2" t="s">
        <v>335</v>
      </c>
      <c r="E1733" s="2" t="s">
        <v>336</v>
      </c>
      <c r="F1733" s="2" t="s">
        <v>395</v>
      </c>
      <c r="G1733" s="2" t="s">
        <v>395</v>
      </c>
      <c r="H1733" s="2" t="s">
        <v>395</v>
      </c>
      <c r="I1733" s="2" t="s">
        <v>8158</v>
      </c>
      <c r="J1733" s="2" t="s">
        <v>290</v>
      </c>
      <c r="K1733" s="2" t="s">
        <v>773</v>
      </c>
      <c r="L1733" s="3">
        <v>14.85</v>
      </c>
      <c r="M1733" s="3">
        <v>15.59</v>
      </c>
      <c r="N1733" s="3">
        <v>32.99</v>
      </c>
      <c r="O1733" s="2" t="s">
        <v>245</v>
      </c>
      <c r="P1733" s="2" t="s">
        <v>272</v>
      </c>
      <c r="Q1733" s="2" t="s">
        <v>239</v>
      </c>
      <c r="R1733" s="2" t="s">
        <v>233</v>
      </c>
      <c r="S1733" s="2" t="s">
        <v>8153</v>
      </c>
      <c r="T1733" s="2" t="s">
        <v>395</v>
      </c>
      <c r="U1733" s="2" t="s">
        <v>871</v>
      </c>
      <c r="V1733" s="2" t="s">
        <v>241</v>
      </c>
      <c r="W1733" s="2" t="s">
        <v>275</v>
      </c>
      <c r="X1733" s="2" t="s">
        <v>397</v>
      </c>
      <c r="Y1733" s="2" t="s">
        <v>8159</v>
      </c>
      <c r="Z1733" s="4">
        <v>69</v>
      </c>
      <c r="AA1733" s="4">
        <f>=ROUNDDOWN(17.25,0)</f>
      </c>
      <c r="AB1733" s="5">
        <v>4</v>
      </c>
      <c r="AC1733" s="2" t="s">
        <v>547</v>
      </c>
      <c r="AD1733" s="4">
        <v>30</v>
      </c>
      <c r="AE1733" s="4">
        <v>50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233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233</v>
      </c>
      <c r="AW1733" s="8" t="s">
        <v>233</v>
      </c>
      <c r="AX1733" s="4" t="s">
        <v>233</v>
      </c>
      <c r="AY1733" s="8" t="s">
        <v>233</v>
      </c>
      <c r="AZ1733" s="7" t="s">
        <v>233</v>
      </c>
      <c r="BA1733" s="7" t="s">
        <v>233</v>
      </c>
      <c r="BB1733" s="7"/>
      <c r="BC1733" s="4" t="s">
        <v>233</v>
      </c>
      <c r="BD1733" s="8" t="s">
        <v>233</v>
      </c>
      <c r="BE1733" s="4" t="s">
        <v>233</v>
      </c>
      <c r="BF1733" s="8" t="s">
        <v>233</v>
      </c>
      <c r="BG1733" s="7" t="s">
        <v>233</v>
      </c>
      <c r="BH1733" s="7" t="s">
        <v>233</v>
      </c>
      <c r="BI1733" s="7"/>
      <c r="BJ1733" s="4">
        <v>12</v>
      </c>
      <c r="BK1733" s="8">
        <v>194.09</v>
      </c>
      <c r="BL1733" s="2" t="s">
        <v>8173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8174</v>
      </c>
      <c r="BV1733" s="2" t="s">
        <v>233</v>
      </c>
      <c r="BW1733" s="2" t="s">
        <v>233</v>
      </c>
      <c r="BX1733" s="2" t="s">
        <v>233</v>
      </c>
      <c r="BY1733" s="2" t="s">
        <v>280</v>
      </c>
      <c r="BZ1733" s="2" t="s">
        <v>245</v>
      </c>
      <c r="CA1733" s="2" t="s">
        <v>8162</v>
      </c>
      <c r="CB1733" s="2" t="s">
        <v>6403</v>
      </c>
      <c r="CC1733" s="2" t="s">
        <v>246</v>
      </c>
      <c r="CD1733" s="2" t="s">
        <v>233</v>
      </c>
      <c r="CE1733" s="4">
        <v>69</v>
      </c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>
        <v>30</v>
      </c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>
        <v>20</v>
      </c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4"/>
      <c r="GZ1733" s="4"/>
      <c r="HA1733" s="4"/>
      <c r="HB1733" s="4"/>
      <c r="HC1733" s="4"/>
      <c r="HD1733" s="4"/>
      <c r="HE1733" s="4"/>
      <c r="HF1733" s="4"/>
      <c r="HG1733" s="4"/>
      <c r="HH1733" s="4"/>
      <c r="HI1733" s="4"/>
      <c r="HJ1733" s="4"/>
      <c r="HK1733" s="4"/>
      <c r="HL1733" s="4"/>
      <c r="HM1733" s="4"/>
      <c r="HN1733" s="4"/>
      <c r="HO1733" s="4"/>
      <c r="HP1733" s="4"/>
      <c r="HQ1733" s="4"/>
      <c r="HR1733" s="4"/>
    </row>
    <row r="1734">
      <c r="A1734" s="2" t="s">
        <v>8175</v>
      </c>
      <c r="B1734" s="2" t="s">
        <v>333</v>
      </c>
      <c r="C1734" s="2" t="s">
        <v>911</v>
      </c>
      <c r="D1734" s="2" t="s">
        <v>335</v>
      </c>
      <c r="E1734" s="2" t="s">
        <v>336</v>
      </c>
      <c r="F1734" s="2" t="s">
        <v>395</v>
      </c>
      <c r="G1734" s="2" t="s">
        <v>395</v>
      </c>
      <c r="H1734" s="2" t="s">
        <v>395</v>
      </c>
      <c r="I1734" s="2" t="s">
        <v>8131</v>
      </c>
      <c r="J1734" s="2" t="s">
        <v>348</v>
      </c>
      <c r="K1734" s="2" t="s">
        <v>773</v>
      </c>
      <c r="L1734" s="3">
        <v>14.21</v>
      </c>
      <c r="M1734" s="3">
        <v>14.92</v>
      </c>
      <c r="N1734" s="3">
        <v>32.99</v>
      </c>
      <c r="O1734" s="2" t="s">
        <v>245</v>
      </c>
      <c r="P1734" s="2" t="s">
        <v>272</v>
      </c>
      <c r="Q1734" s="2" t="s">
        <v>239</v>
      </c>
      <c r="R1734" s="2" t="s">
        <v>233</v>
      </c>
      <c r="S1734" s="2" t="s">
        <v>8153</v>
      </c>
      <c r="T1734" s="2" t="s">
        <v>395</v>
      </c>
      <c r="U1734" s="2" t="s">
        <v>233</v>
      </c>
      <c r="V1734" s="2" t="s">
        <v>241</v>
      </c>
      <c r="W1734" s="2" t="s">
        <v>275</v>
      </c>
      <c r="X1734" s="2" t="s">
        <v>233</v>
      </c>
      <c r="Y1734" s="2" t="s">
        <v>276</v>
      </c>
      <c r="Z1734" s="4">
        <v>338</v>
      </c>
      <c r="AA1734" s="4">
        <f>=ROUNDDOWN(10.2424242424242,0)</f>
      </c>
      <c r="AB1734" s="5">
        <v>33</v>
      </c>
      <c r="AC1734" s="2" t="s">
        <v>547</v>
      </c>
      <c r="AD1734" s="4">
        <v>280</v>
      </c>
      <c r="AE1734" s="4">
        <v>650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233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233</v>
      </c>
      <c r="AW1734" s="8" t="s">
        <v>233</v>
      </c>
      <c r="AX1734" s="4" t="s">
        <v>233</v>
      </c>
      <c r="AY1734" s="8" t="s">
        <v>233</v>
      </c>
      <c r="AZ1734" s="7" t="s">
        <v>233</v>
      </c>
      <c r="BA1734" s="7" t="s">
        <v>233</v>
      </c>
      <c r="BB1734" s="7"/>
      <c r="BC1734" s="4" t="s">
        <v>233</v>
      </c>
      <c r="BD1734" s="8" t="s">
        <v>233</v>
      </c>
      <c r="BE1734" s="4" t="s">
        <v>233</v>
      </c>
      <c r="BF1734" s="8" t="s">
        <v>233</v>
      </c>
      <c r="BG1734" s="7" t="s">
        <v>233</v>
      </c>
      <c r="BH1734" s="7" t="s">
        <v>233</v>
      </c>
      <c r="BI1734" s="7"/>
      <c r="BJ1734" s="4">
        <v>150</v>
      </c>
      <c r="BK1734" s="8">
        <v>2240.56</v>
      </c>
      <c r="BL1734" s="2" t="s">
        <v>8176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8177</v>
      </c>
      <c r="BV1734" s="2" t="s">
        <v>233</v>
      </c>
      <c r="BW1734" s="2" t="s">
        <v>233</v>
      </c>
      <c r="BX1734" s="2" t="s">
        <v>233</v>
      </c>
      <c r="BY1734" s="2" t="s">
        <v>280</v>
      </c>
      <c r="BZ1734" s="2" t="s">
        <v>245</v>
      </c>
      <c r="CA1734" s="2" t="s">
        <v>1319</v>
      </c>
      <c r="CB1734" s="2" t="s">
        <v>8178</v>
      </c>
      <c r="CC1734" s="2" t="s">
        <v>246</v>
      </c>
      <c r="CD1734" s="2" t="s">
        <v>233</v>
      </c>
      <c r="CE1734" s="4">
        <v>254</v>
      </c>
      <c r="CF1734" s="4"/>
      <c r="CG1734" s="4"/>
      <c r="CH1734" s="4"/>
      <c r="CI1734" s="4"/>
      <c r="CJ1734" s="4"/>
      <c r="CK1734" s="4"/>
      <c r="CL1734" s="4">
        <v>84</v>
      </c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>
        <v>280</v>
      </c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>
        <v>110</v>
      </c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>
        <v>260</v>
      </c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  <c r="HF1734" s="4"/>
      <c r="HG1734" s="4"/>
      <c r="HH1734" s="4"/>
      <c r="HI1734" s="4"/>
      <c r="HJ1734" s="4"/>
      <c r="HK1734" s="4"/>
      <c r="HL1734" s="4"/>
      <c r="HM1734" s="4"/>
      <c r="HN1734" s="4"/>
      <c r="HO1734" s="4"/>
      <c r="HP1734" s="4"/>
      <c r="HQ1734" s="4"/>
      <c r="HR1734" s="4"/>
    </row>
    <row r="1735">
      <c r="A1735" s="2" t="s">
        <v>8179</v>
      </c>
      <c r="B1735" s="2" t="s">
        <v>333</v>
      </c>
      <c r="C1735" s="2" t="s">
        <v>911</v>
      </c>
      <c r="D1735" s="2" t="s">
        <v>335</v>
      </c>
      <c r="E1735" s="2" t="s">
        <v>336</v>
      </c>
      <c r="F1735" s="2" t="s">
        <v>395</v>
      </c>
      <c r="G1735" s="2" t="s">
        <v>395</v>
      </c>
      <c r="H1735" s="2" t="s">
        <v>395</v>
      </c>
      <c r="I1735" s="2" t="s">
        <v>8131</v>
      </c>
      <c r="J1735" s="2" t="s">
        <v>270</v>
      </c>
      <c r="K1735" s="2" t="s">
        <v>255</v>
      </c>
      <c r="L1735" s="3">
        <v>11.18</v>
      </c>
      <c r="M1735" s="3">
        <v>11.74</v>
      </c>
      <c r="N1735" s="3">
        <v>27.99</v>
      </c>
      <c r="O1735" s="2" t="s">
        <v>245</v>
      </c>
      <c r="P1735" s="2" t="s">
        <v>272</v>
      </c>
      <c r="Q1735" s="2" t="s">
        <v>239</v>
      </c>
      <c r="R1735" s="2" t="s">
        <v>233</v>
      </c>
      <c r="S1735" s="2" t="s">
        <v>8180</v>
      </c>
      <c r="T1735" s="2" t="s">
        <v>395</v>
      </c>
      <c r="U1735" s="2" t="s">
        <v>233</v>
      </c>
      <c r="V1735" s="2" t="s">
        <v>241</v>
      </c>
      <c r="W1735" s="2" t="s">
        <v>275</v>
      </c>
      <c r="X1735" s="2" t="s">
        <v>233</v>
      </c>
      <c r="Y1735" s="2" t="s">
        <v>276</v>
      </c>
      <c r="Z1735" s="4">
        <v>261</v>
      </c>
      <c r="AA1735" s="4">
        <f>=ROUNDDOWN(32.625,0)</f>
      </c>
      <c r="AB1735" s="5">
        <v>8</v>
      </c>
      <c r="AC1735" s="2" t="s">
        <v>547</v>
      </c>
      <c r="AD1735" s="4">
        <v>40</v>
      </c>
      <c r="AE1735" s="4">
        <v>40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233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233</v>
      </c>
      <c r="AW1735" s="8" t="s">
        <v>233</v>
      </c>
      <c r="AX1735" s="4" t="s">
        <v>233</v>
      </c>
      <c r="AY1735" s="8" t="s">
        <v>233</v>
      </c>
      <c r="AZ1735" s="7" t="s">
        <v>233</v>
      </c>
      <c r="BA1735" s="7" t="s">
        <v>233</v>
      </c>
      <c r="BB1735" s="7" t="s">
        <v>233</v>
      </c>
      <c r="BC1735" s="4" t="s">
        <v>233</v>
      </c>
      <c r="BD1735" s="8" t="s">
        <v>233</v>
      </c>
      <c r="BE1735" s="4" t="s">
        <v>233</v>
      </c>
      <c r="BF1735" s="8" t="s">
        <v>233</v>
      </c>
      <c r="BG1735" s="7" t="s">
        <v>233</v>
      </c>
      <c r="BH1735" s="7" t="s">
        <v>233</v>
      </c>
      <c r="BI1735" s="7"/>
      <c r="BJ1735" s="4">
        <v>23</v>
      </c>
      <c r="BK1735" s="8">
        <v>273.63</v>
      </c>
      <c r="BL1735" s="2" t="s">
        <v>8181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8182</v>
      </c>
      <c r="BV1735" s="2" t="s">
        <v>233</v>
      </c>
      <c r="BW1735" s="2" t="s">
        <v>233</v>
      </c>
      <c r="BX1735" s="2" t="s">
        <v>233</v>
      </c>
      <c r="BY1735" s="2" t="s">
        <v>280</v>
      </c>
      <c r="BZ1735" s="2" t="s">
        <v>245</v>
      </c>
      <c r="CA1735" s="2" t="s">
        <v>281</v>
      </c>
      <c r="CB1735" s="2" t="s">
        <v>6596</v>
      </c>
      <c r="CC1735" s="2" t="s">
        <v>246</v>
      </c>
      <c r="CD1735" s="2" t="s">
        <v>233</v>
      </c>
      <c r="CE1735" s="4">
        <v>141</v>
      </c>
      <c r="CF1735" s="4"/>
      <c r="CG1735" s="4"/>
      <c r="CH1735" s="4"/>
      <c r="CI1735" s="4"/>
      <c r="CJ1735" s="4"/>
      <c r="CK1735" s="4"/>
      <c r="CL1735" s="4">
        <v>120</v>
      </c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>
        <v>40</v>
      </c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4"/>
      <c r="HE1735" s="4"/>
      <c r="HF1735" s="4"/>
      <c r="HG1735" s="4"/>
      <c r="HH1735" s="4"/>
      <c r="HI1735" s="4"/>
      <c r="HJ1735" s="4"/>
      <c r="HK1735" s="4"/>
      <c r="HL1735" s="4"/>
      <c r="HM1735" s="4"/>
      <c r="HN1735" s="4"/>
      <c r="HO1735" s="4"/>
      <c r="HP1735" s="4"/>
      <c r="HQ1735" s="4"/>
      <c r="HR1735" s="4"/>
    </row>
    <row r="1736">
      <c r="A1736" s="2" t="s">
        <v>8183</v>
      </c>
      <c r="B1736" s="2" t="s">
        <v>333</v>
      </c>
      <c r="C1736" s="2" t="s">
        <v>911</v>
      </c>
      <c r="D1736" s="2" t="s">
        <v>335</v>
      </c>
      <c r="E1736" s="2" t="s">
        <v>336</v>
      </c>
      <c r="F1736" s="2" t="s">
        <v>395</v>
      </c>
      <c r="G1736" s="2" t="s">
        <v>395</v>
      </c>
      <c r="H1736" s="2" t="s">
        <v>395</v>
      </c>
      <c r="I1736" s="2" t="s">
        <v>8158</v>
      </c>
      <c r="J1736" s="2" t="s">
        <v>270</v>
      </c>
      <c r="K1736" s="2" t="s">
        <v>255</v>
      </c>
      <c r="L1736" s="3">
        <v>12.15</v>
      </c>
      <c r="M1736" s="3">
        <v>12.76</v>
      </c>
      <c r="N1736" s="3">
        <v>26.99</v>
      </c>
      <c r="O1736" s="2" t="s">
        <v>245</v>
      </c>
      <c r="P1736" s="2" t="s">
        <v>272</v>
      </c>
      <c r="Q1736" s="2" t="s">
        <v>239</v>
      </c>
      <c r="R1736" s="2" t="s">
        <v>233</v>
      </c>
      <c r="S1736" s="2" t="s">
        <v>8180</v>
      </c>
      <c r="T1736" s="2" t="s">
        <v>395</v>
      </c>
      <c r="U1736" s="2" t="s">
        <v>342</v>
      </c>
      <c r="V1736" s="2" t="s">
        <v>241</v>
      </c>
      <c r="W1736" s="2" t="s">
        <v>397</v>
      </c>
      <c r="X1736" s="2" t="s">
        <v>233</v>
      </c>
      <c r="Y1736" s="2" t="s">
        <v>7865</v>
      </c>
      <c r="Z1736" s="4">
        <v>135</v>
      </c>
      <c r="AA1736" s="4">
        <f>=ROUNDDOWN(27,0)</f>
      </c>
      <c r="AB1736" s="5">
        <v>5</v>
      </c>
      <c r="AC1736" s="2" t="s">
        <v>319</v>
      </c>
      <c r="AD1736" s="4">
        <v>30</v>
      </c>
      <c r="AE1736" s="4">
        <v>30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233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233</v>
      </c>
      <c r="AW1736" s="8" t="s">
        <v>233</v>
      </c>
      <c r="AX1736" s="4" t="s">
        <v>233</v>
      </c>
      <c r="AY1736" s="8" t="s">
        <v>233</v>
      </c>
      <c r="AZ1736" s="7" t="s">
        <v>233</v>
      </c>
      <c r="BA1736" s="7" t="s">
        <v>233</v>
      </c>
      <c r="BB1736" s="7" t="s">
        <v>233</v>
      </c>
      <c r="BC1736" s="4" t="s">
        <v>233</v>
      </c>
      <c r="BD1736" s="8" t="s">
        <v>233</v>
      </c>
      <c r="BE1736" s="4" t="s">
        <v>233</v>
      </c>
      <c r="BF1736" s="8" t="s">
        <v>233</v>
      </c>
      <c r="BG1736" s="7" t="s">
        <v>233</v>
      </c>
      <c r="BH1736" s="7" t="s">
        <v>233</v>
      </c>
      <c r="BI1736" s="7"/>
      <c r="BJ1736" s="4">
        <v>8</v>
      </c>
      <c r="BK1736" s="8">
        <v>102.29</v>
      </c>
      <c r="BL1736" s="2" t="s">
        <v>8184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8185</v>
      </c>
      <c r="BV1736" s="2" t="s">
        <v>233</v>
      </c>
      <c r="BW1736" s="2" t="s">
        <v>233</v>
      </c>
      <c r="BX1736" s="2" t="s">
        <v>233</v>
      </c>
      <c r="BY1736" s="2" t="s">
        <v>280</v>
      </c>
      <c r="BZ1736" s="2" t="s">
        <v>245</v>
      </c>
      <c r="CA1736" s="2" t="s">
        <v>4597</v>
      </c>
      <c r="CB1736" s="2" t="s">
        <v>8186</v>
      </c>
      <c r="CC1736" s="2" t="s">
        <v>246</v>
      </c>
      <c r="CD1736" s="2" t="s">
        <v>233</v>
      </c>
      <c r="CE1736" s="4">
        <v>65</v>
      </c>
      <c r="CF1736" s="4"/>
      <c r="CG1736" s="4"/>
      <c r="CH1736" s="4"/>
      <c r="CI1736" s="4"/>
      <c r="CJ1736" s="4"/>
      <c r="CK1736" s="4"/>
      <c r="CL1736" s="4">
        <v>70</v>
      </c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>
        <v>30</v>
      </c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  <c r="HF1736" s="4"/>
      <c r="HG1736" s="4"/>
      <c r="HH1736" s="4"/>
      <c r="HI1736" s="4"/>
      <c r="HJ1736" s="4"/>
      <c r="HK1736" s="4"/>
      <c r="HL1736" s="4"/>
      <c r="HM1736" s="4"/>
      <c r="HN1736" s="4"/>
      <c r="HO1736" s="4"/>
      <c r="HP1736" s="4"/>
      <c r="HQ1736" s="4"/>
      <c r="HR1736" s="4"/>
    </row>
    <row r="1737">
      <c r="A1737" s="2" t="s">
        <v>8187</v>
      </c>
      <c r="B1737" s="2" t="s">
        <v>333</v>
      </c>
      <c r="C1737" s="2" t="s">
        <v>911</v>
      </c>
      <c r="D1737" s="2" t="s">
        <v>335</v>
      </c>
      <c r="E1737" s="2" t="s">
        <v>336</v>
      </c>
      <c r="F1737" s="2" t="s">
        <v>395</v>
      </c>
      <c r="G1737" s="2" t="s">
        <v>395</v>
      </c>
      <c r="H1737" s="2" t="s">
        <v>395</v>
      </c>
      <c r="I1737" s="2" t="s">
        <v>8131</v>
      </c>
      <c r="J1737" s="2" t="s">
        <v>284</v>
      </c>
      <c r="K1737" s="2" t="s">
        <v>255</v>
      </c>
      <c r="L1737" s="3">
        <v>11.18</v>
      </c>
      <c r="M1737" s="3">
        <v>11.74</v>
      </c>
      <c r="N1737" s="3">
        <v>27.99</v>
      </c>
      <c r="O1737" s="2" t="s">
        <v>245</v>
      </c>
      <c r="P1737" s="2" t="s">
        <v>272</v>
      </c>
      <c r="Q1737" s="2" t="s">
        <v>239</v>
      </c>
      <c r="R1737" s="2" t="s">
        <v>233</v>
      </c>
      <c r="S1737" s="2" t="s">
        <v>8180</v>
      </c>
      <c r="T1737" s="2" t="s">
        <v>395</v>
      </c>
      <c r="U1737" s="2" t="s">
        <v>233</v>
      </c>
      <c r="V1737" s="2" t="s">
        <v>241</v>
      </c>
      <c r="W1737" s="2" t="s">
        <v>275</v>
      </c>
      <c r="X1737" s="2" t="s">
        <v>233</v>
      </c>
      <c r="Y1737" s="2" t="s">
        <v>276</v>
      </c>
      <c r="Z1737" s="4">
        <v>249</v>
      </c>
      <c r="AA1737" s="4">
        <f>=ROUNDDOWN(35.5714285714286,0)</f>
      </c>
      <c r="AB1737" s="5">
        <v>7</v>
      </c>
      <c r="AC1737" s="2" t="s">
        <v>547</v>
      </c>
      <c r="AD1737" s="4">
        <v>250</v>
      </c>
      <c r="AE1737" s="4">
        <v>400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233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233</v>
      </c>
      <c r="AW1737" s="8" t="s">
        <v>233</v>
      </c>
      <c r="AX1737" s="4" t="s">
        <v>233</v>
      </c>
      <c r="AY1737" s="8" t="s">
        <v>233</v>
      </c>
      <c r="AZ1737" s="7" t="s">
        <v>233</v>
      </c>
      <c r="BA1737" s="7" t="s">
        <v>233</v>
      </c>
      <c r="BB1737" s="7" t="s">
        <v>233</v>
      </c>
      <c r="BC1737" s="4" t="s">
        <v>233</v>
      </c>
      <c r="BD1737" s="8" t="s">
        <v>233</v>
      </c>
      <c r="BE1737" s="4" t="s">
        <v>233</v>
      </c>
      <c r="BF1737" s="8" t="s">
        <v>233</v>
      </c>
      <c r="BG1737" s="7" t="s">
        <v>233</v>
      </c>
      <c r="BH1737" s="7" t="s">
        <v>233</v>
      </c>
      <c r="BI1737" s="7"/>
      <c r="BJ1737" s="4">
        <v>18</v>
      </c>
      <c r="BK1737" s="8">
        <v>211.99</v>
      </c>
      <c r="BL1737" s="2" t="s">
        <v>8188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8189</v>
      </c>
      <c r="BV1737" s="2" t="s">
        <v>233</v>
      </c>
      <c r="BW1737" s="2" t="s">
        <v>233</v>
      </c>
      <c r="BX1737" s="2" t="s">
        <v>233</v>
      </c>
      <c r="BY1737" s="2" t="s">
        <v>280</v>
      </c>
      <c r="BZ1737" s="2" t="s">
        <v>245</v>
      </c>
      <c r="CA1737" s="2" t="s">
        <v>281</v>
      </c>
      <c r="CB1737" s="2" t="s">
        <v>670</v>
      </c>
      <c r="CC1737" s="2" t="s">
        <v>246</v>
      </c>
      <c r="CD1737" s="2" t="s">
        <v>233</v>
      </c>
      <c r="CE1737" s="4">
        <v>219</v>
      </c>
      <c r="CF1737" s="4"/>
      <c r="CG1737" s="4"/>
      <c r="CH1737" s="4"/>
      <c r="CI1737" s="4"/>
      <c r="CJ1737" s="4"/>
      <c r="CK1737" s="4"/>
      <c r="CL1737" s="4">
        <v>30</v>
      </c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>
        <v>250</v>
      </c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>
        <v>150</v>
      </c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  <c r="HF1737" s="4"/>
      <c r="HG1737" s="4"/>
      <c r="HH1737" s="4"/>
      <c r="HI1737" s="4"/>
      <c r="HJ1737" s="4"/>
      <c r="HK1737" s="4"/>
      <c r="HL1737" s="4"/>
      <c r="HM1737" s="4"/>
      <c r="HN1737" s="4"/>
      <c r="HO1737" s="4"/>
      <c r="HP1737" s="4"/>
      <c r="HQ1737" s="4"/>
      <c r="HR1737" s="4"/>
    </row>
    <row r="1738">
      <c r="A1738" s="2" t="s">
        <v>8190</v>
      </c>
      <c r="B1738" s="2" t="s">
        <v>333</v>
      </c>
      <c r="C1738" s="2" t="s">
        <v>911</v>
      </c>
      <c r="D1738" s="2" t="s">
        <v>335</v>
      </c>
      <c r="E1738" s="2" t="s">
        <v>336</v>
      </c>
      <c r="F1738" s="2" t="s">
        <v>395</v>
      </c>
      <c r="G1738" s="2" t="s">
        <v>395</v>
      </c>
      <c r="H1738" s="2" t="s">
        <v>395</v>
      </c>
      <c r="I1738" s="2" t="s">
        <v>8158</v>
      </c>
      <c r="J1738" s="2" t="s">
        <v>284</v>
      </c>
      <c r="K1738" s="2" t="s">
        <v>255</v>
      </c>
      <c r="L1738" s="3">
        <v>12.15</v>
      </c>
      <c r="M1738" s="3">
        <v>12.76</v>
      </c>
      <c r="N1738" s="3">
        <v>26.99</v>
      </c>
      <c r="O1738" s="2" t="s">
        <v>245</v>
      </c>
      <c r="P1738" s="2" t="s">
        <v>272</v>
      </c>
      <c r="Q1738" s="2" t="s">
        <v>239</v>
      </c>
      <c r="R1738" s="2" t="s">
        <v>233</v>
      </c>
      <c r="S1738" s="2" t="s">
        <v>8180</v>
      </c>
      <c r="T1738" s="2" t="s">
        <v>395</v>
      </c>
      <c r="U1738" s="2" t="s">
        <v>342</v>
      </c>
      <c r="V1738" s="2" t="s">
        <v>241</v>
      </c>
      <c r="W1738" s="2" t="s">
        <v>397</v>
      </c>
      <c r="X1738" s="2" t="s">
        <v>233</v>
      </c>
      <c r="Y1738" s="2" t="s">
        <v>7865</v>
      </c>
      <c r="Z1738" s="4">
        <v>221</v>
      </c>
      <c r="AA1738" s="4">
        <f>=ROUNDDOWN(20.0909090909091,0)</f>
      </c>
      <c r="AB1738" s="5">
        <v>11</v>
      </c>
      <c r="AC1738" s="2" t="s">
        <v>319</v>
      </c>
      <c r="AD1738" s="4">
        <v>250</v>
      </c>
      <c r="AE1738" s="4">
        <v>880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233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233</v>
      </c>
      <c r="AW1738" s="8" t="s">
        <v>233</v>
      </c>
      <c r="AX1738" s="4" t="s">
        <v>233</v>
      </c>
      <c r="AY1738" s="8" t="s">
        <v>233</v>
      </c>
      <c r="AZ1738" s="7" t="s">
        <v>233</v>
      </c>
      <c r="BA1738" s="7" t="s">
        <v>233</v>
      </c>
      <c r="BB1738" s="7" t="s">
        <v>233</v>
      </c>
      <c r="BC1738" s="4" t="s">
        <v>233</v>
      </c>
      <c r="BD1738" s="8" t="s">
        <v>233</v>
      </c>
      <c r="BE1738" s="4" t="s">
        <v>233</v>
      </c>
      <c r="BF1738" s="8" t="s">
        <v>233</v>
      </c>
      <c r="BG1738" s="7" t="s">
        <v>233</v>
      </c>
      <c r="BH1738" s="7" t="s">
        <v>233</v>
      </c>
      <c r="BI1738" s="7"/>
      <c r="BJ1738" s="4">
        <v>35</v>
      </c>
      <c r="BK1738" s="8">
        <v>445.1</v>
      </c>
      <c r="BL1738" s="2" t="s">
        <v>8191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8192</v>
      </c>
      <c r="BV1738" s="2" t="s">
        <v>233</v>
      </c>
      <c r="BW1738" s="2" t="s">
        <v>233</v>
      </c>
      <c r="BX1738" s="2" t="s">
        <v>233</v>
      </c>
      <c r="BY1738" s="2" t="s">
        <v>280</v>
      </c>
      <c r="BZ1738" s="2" t="s">
        <v>245</v>
      </c>
      <c r="CA1738" s="2" t="s">
        <v>4597</v>
      </c>
      <c r="CB1738" s="2" t="s">
        <v>3593</v>
      </c>
      <c r="CC1738" s="2" t="s">
        <v>246</v>
      </c>
      <c r="CD1738" s="2" t="s">
        <v>233</v>
      </c>
      <c r="CE1738" s="4">
        <v>141</v>
      </c>
      <c r="CF1738" s="4"/>
      <c r="CG1738" s="4"/>
      <c r="CH1738" s="4"/>
      <c r="CI1738" s="4"/>
      <c r="CJ1738" s="4"/>
      <c r="CK1738" s="4"/>
      <c r="CL1738" s="4">
        <v>80</v>
      </c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>
        <v>250</v>
      </c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>
        <v>200</v>
      </c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>
        <v>360</v>
      </c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>
        <v>70</v>
      </c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4"/>
      <c r="HE1738" s="4"/>
      <c r="HF1738" s="4"/>
      <c r="HG1738" s="4"/>
      <c r="HH1738" s="4"/>
      <c r="HI1738" s="4"/>
      <c r="HJ1738" s="4"/>
      <c r="HK1738" s="4"/>
      <c r="HL1738" s="4"/>
      <c r="HM1738" s="4"/>
      <c r="HN1738" s="4"/>
      <c r="HO1738" s="4"/>
      <c r="HP1738" s="4"/>
      <c r="HQ1738" s="4"/>
      <c r="HR1738" s="4"/>
    </row>
    <row r="1739">
      <c r="A1739" s="2" t="s">
        <v>8193</v>
      </c>
      <c r="B1739" s="2" t="s">
        <v>333</v>
      </c>
      <c r="C1739" s="2" t="s">
        <v>911</v>
      </c>
      <c r="D1739" s="2" t="s">
        <v>335</v>
      </c>
      <c r="E1739" s="2" t="s">
        <v>336</v>
      </c>
      <c r="F1739" s="2" t="s">
        <v>395</v>
      </c>
      <c r="G1739" s="2" t="s">
        <v>395</v>
      </c>
      <c r="H1739" s="2" t="s">
        <v>395</v>
      </c>
      <c r="I1739" s="2" t="s">
        <v>8131</v>
      </c>
      <c r="J1739" s="2" t="s">
        <v>290</v>
      </c>
      <c r="K1739" s="2" t="s">
        <v>255</v>
      </c>
      <c r="L1739" s="3">
        <v>12.92</v>
      </c>
      <c r="M1739" s="3">
        <v>13.57</v>
      </c>
      <c r="N1739" s="3">
        <v>30.99</v>
      </c>
      <c r="O1739" s="2" t="s">
        <v>245</v>
      </c>
      <c r="P1739" s="2" t="s">
        <v>272</v>
      </c>
      <c r="Q1739" s="2" t="s">
        <v>239</v>
      </c>
      <c r="R1739" s="2" t="s">
        <v>233</v>
      </c>
      <c r="S1739" s="2" t="s">
        <v>8180</v>
      </c>
      <c r="T1739" s="2" t="s">
        <v>395</v>
      </c>
      <c r="U1739" s="2" t="s">
        <v>233</v>
      </c>
      <c r="V1739" s="2" t="s">
        <v>241</v>
      </c>
      <c r="W1739" s="2" t="s">
        <v>275</v>
      </c>
      <c r="X1739" s="2" t="s">
        <v>233</v>
      </c>
      <c r="Y1739" s="2" t="s">
        <v>276</v>
      </c>
      <c r="Z1739" s="4">
        <v>312</v>
      </c>
      <c r="AA1739" s="4">
        <f>=ROUNDDOWN(39,0)</f>
      </c>
      <c r="AB1739" s="5">
        <v>8</v>
      </c>
      <c r="AC1739" s="2" t="s">
        <v>547</v>
      </c>
      <c r="AD1739" s="4">
        <v>100</v>
      </c>
      <c r="AE1739" s="4">
        <v>100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233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233</v>
      </c>
      <c r="AW1739" s="8" t="s">
        <v>233</v>
      </c>
      <c r="AX1739" s="4" t="s">
        <v>233</v>
      </c>
      <c r="AY1739" s="8" t="s">
        <v>233</v>
      </c>
      <c r="AZ1739" s="7" t="s">
        <v>233</v>
      </c>
      <c r="BA1739" s="7" t="s">
        <v>233</v>
      </c>
      <c r="BB1739" s="7" t="s">
        <v>233</v>
      </c>
      <c r="BC1739" s="4" t="s">
        <v>233</v>
      </c>
      <c r="BD1739" s="8" t="s">
        <v>233</v>
      </c>
      <c r="BE1739" s="4" t="s">
        <v>233</v>
      </c>
      <c r="BF1739" s="8" t="s">
        <v>233</v>
      </c>
      <c r="BG1739" s="7" t="s">
        <v>233</v>
      </c>
      <c r="BH1739" s="7" t="s">
        <v>233</v>
      </c>
      <c r="BI1739" s="7"/>
      <c r="BJ1739" s="4">
        <v>12</v>
      </c>
      <c r="BK1739" s="8">
        <v>165.69</v>
      </c>
      <c r="BL1739" s="2" t="s">
        <v>8194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8195</v>
      </c>
      <c r="BV1739" s="2" t="s">
        <v>233</v>
      </c>
      <c r="BW1739" s="2" t="s">
        <v>233</v>
      </c>
      <c r="BX1739" s="2" t="s">
        <v>233</v>
      </c>
      <c r="BY1739" s="2" t="s">
        <v>280</v>
      </c>
      <c r="BZ1739" s="2" t="s">
        <v>245</v>
      </c>
      <c r="CA1739" s="2" t="s">
        <v>281</v>
      </c>
      <c r="CB1739" s="2" t="s">
        <v>8196</v>
      </c>
      <c r="CC1739" s="2" t="s">
        <v>246</v>
      </c>
      <c r="CD1739" s="2" t="s">
        <v>233</v>
      </c>
      <c r="CE1739" s="4">
        <v>172</v>
      </c>
      <c r="CF1739" s="4"/>
      <c r="CG1739" s="4"/>
      <c r="CH1739" s="4"/>
      <c r="CI1739" s="4"/>
      <c r="CJ1739" s="4"/>
      <c r="CK1739" s="4"/>
      <c r="CL1739" s="4">
        <v>140</v>
      </c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>
        <v>100</v>
      </c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/>
      <c r="HA1739" s="4"/>
      <c r="HB1739" s="4"/>
      <c r="HC1739" s="4"/>
      <c r="HD1739" s="4"/>
      <c r="HE1739" s="4"/>
      <c r="HF1739" s="4"/>
      <c r="HG1739" s="4"/>
      <c r="HH1739" s="4"/>
      <c r="HI1739" s="4"/>
      <c r="HJ1739" s="4"/>
      <c r="HK1739" s="4"/>
      <c r="HL1739" s="4"/>
      <c r="HM1739" s="4"/>
      <c r="HN1739" s="4"/>
      <c r="HO1739" s="4"/>
      <c r="HP1739" s="4"/>
      <c r="HQ1739" s="4"/>
      <c r="HR1739" s="4"/>
    </row>
    <row r="1740">
      <c r="A1740" s="2" t="s">
        <v>8197</v>
      </c>
      <c r="B1740" s="2" t="s">
        <v>333</v>
      </c>
      <c r="C1740" s="2" t="s">
        <v>911</v>
      </c>
      <c r="D1740" s="2" t="s">
        <v>335</v>
      </c>
      <c r="E1740" s="2" t="s">
        <v>336</v>
      </c>
      <c r="F1740" s="2" t="s">
        <v>395</v>
      </c>
      <c r="G1740" s="2" t="s">
        <v>395</v>
      </c>
      <c r="H1740" s="2" t="s">
        <v>395</v>
      </c>
      <c r="I1740" s="2" t="s">
        <v>8158</v>
      </c>
      <c r="J1740" s="2" t="s">
        <v>290</v>
      </c>
      <c r="K1740" s="2" t="s">
        <v>255</v>
      </c>
      <c r="L1740" s="3">
        <v>14.85</v>
      </c>
      <c r="M1740" s="3">
        <v>15.59</v>
      </c>
      <c r="N1740" s="3">
        <v>32.99</v>
      </c>
      <c r="O1740" s="2" t="s">
        <v>245</v>
      </c>
      <c r="P1740" s="2" t="s">
        <v>272</v>
      </c>
      <c r="Q1740" s="2" t="s">
        <v>239</v>
      </c>
      <c r="R1740" s="2" t="s">
        <v>233</v>
      </c>
      <c r="S1740" s="2" t="s">
        <v>8180</v>
      </c>
      <c r="T1740" s="2" t="s">
        <v>395</v>
      </c>
      <c r="U1740" s="2" t="s">
        <v>871</v>
      </c>
      <c r="V1740" s="2" t="s">
        <v>241</v>
      </c>
      <c r="W1740" s="2" t="s">
        <v>397</v>
      </c>
      <c r="X1740" s="2" t="s">
        <v>233</v>
      </c>
      <c r="Y1740" s="2" t="s">
        <v>7865</v>
      </c>
      <c r="Z1740" s="4">
        <v>202</v>
      </c>
      <c r="AA1740" s="4">
        <f>=ROUNDDOWN(40.4,0)</f>
      </c>
      <c r="AB1740" s="5">
        <v>5</v>
      </c>
      <c r="AC1740" s="2" t="s">
        <v>233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233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 t="s">
        <v>233</v>
      </c>
      <c r="AW1740" s="8" t="s">
        <v>233</v>
      </c>
      <c r="AX1740" s="4" t="s">
        <v>233</v>
      </c>
      <c r="AY1740" s="8" t="s">
        <v>233</v>
      </c>
      <c r="AZ1740" s="7" t="s">
        <v>233</v>
      </c>
      <c r="BA1740" s="7" t="s">
        <v>233</v>
      </c>
      <c r="BB1740" s="7" t="s">
        <v>233</v>
      </c>
      <c r="BC1740" s="4" t="s">
        <v>233</v>
      </c>
      <c r="BD1740" s="8" t="s">
        <v>233</v>
      </c>
      <c r="BE1740" s="4" t="s">
        <v>233</v>
      </c>
      <c r="BF1740" s="8" t="s">
        <v>233</v>
      </c>
      <c r="BG1740" s="7" t="s">
        <v>233</v>
      </c>
      <c r="BH1740" s="7" t="s">
        <v>233</v>
      </c>
      <c r="BI1740" s="7"/>
      <c r="BJ1740" s="4">
        <v>15</v>
      </c>
      <c r="BK1740" s="8">
        <v>231.43</v>
      </c>
      <c r="BL1740" s="2" t="s">
        <v>8198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8199</v>
      </c>
      <c r="BV1740" s="2" t="s">
        <v>233</v>
      </c>
      <c r="BW1740" s="2" t="s">
        <v>233</v>
      </c>
      <c r="BX1740" s="2" t="s">
        <v>233</v>
      </c>
      <c r="BY1740" s="2" t="s">
        <v>280</v>
      </c>
      <c r="BZ1740" s="2" t="s">
        <v>245</v>
      </c>
      <c r="CA1740" s="2" t="s">
        <v>4597</v>
      </c>
      <c r="CB1740" s="2" t="s">
        <v>2808</v>
      </c>
      <c r="CC1740" s="2" t="s">
        <v>246</v>
      </c>
      <c r="CD1740" s="2" t="s">
        <v>233</v>
      </c>
      <c r="CE1740" s="4">
        <v>202</v>
      </c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/>
      <c r="HB1740" s="4"/>
      <c r="HC1740" s="4"/>
      <c r="HD1740" s="4"/>
      <c r="HE1740" s="4"/>
      <c r="HF1740" s="4"/>
      <c r="HG1740" s="4"/>
      <c r="HH1740" s="4"/>
      <c r="HI1740" s="4"/>
      <c r="HJ1740" s="4"/>
      <c r="HK1740" s="4"/>
      <c r="HL1740" s="4"/>
      <c r="HM1740" s="4"/>
      <c r="HN1740" s="4"/>
      <c r="HO1740" s="4"/>
      <c r="HP1740" s="4"/>
      <c r="HQ1740" s="4"/>
      <c r="HR1740" s="4"/>
    </row>
    <row r="1741">
      <c r="A1741" s="2" t="s">
        <v>8200</v>
      </c>
      <c r="B1741" s="2" t="s">
        <v>333</v>
      </c>
      <c r="C1741" s="2" t="s">
        <v>911</v>
      </c>
      <c r="D1741" s="2" t="s">
        <v>335</v>
      </c>
      <c r="E1741" s="2" t="s">
        <v>336</v>
      </c>
      <c r="F1741" s="2" t="s">
        <v>395</v>
      </c>
      <c r="G1741" s="2" t="s">
        <v>395</v>
      </c>
      <c r="H1741" s="2" t="s">
        <v>395</v>
      </c>
      <c r="I1741" s="2" t="s">
        <v>8131</v>
      </c>
      <c r="J1741" s="2" t="s">
        <v>270</v>
      </c>
      <c r="K1741" s="2" t="s">
        <v>3284</v>
      </c>
      <c r="L1741" s="3">
        <v>11.18</v>
      </c>
      <c r="M1741" s="3">
        <v>11.74</v>
      </c>
      <c r="N1741" s="3">
        <v>27.99</v>
      </c>
      <c r="O1741" s="2" t="s">
        <v>245</v>
      </c>
      <c r="P1741" s="2" t="s">
        <v>272</v>
      </c>
      <c r="Q1741" s="2" t="s">
        <v>239</v>
      </c>
      <c r="R1741" s="2" t="s">
        <v>233</v>
      </c>
      <c r="S1741" s="2" t="s">
        <v>8201</v>
      </c>
      <c r="T1741" s="2" t="s">
        <v>395</v>
      </c>
      <c r="U1741" s="2" t="s">
        <v>475</v>
      </c>
      <c r="V1741" s="2" t="s">
        <v>241</v>
      </c>
      <c r="W1741" s="2" t="s">
        <v>275</v>
      </c>
      <c r="X1741" s="2" t="s">
        <v>233</v>
      </c>
      <c r="Y1741" s="2" t="s">
        <v>8133</v>
      </c>
      <c r="Z1741" s="4">
        <v>94</v>
      </c>
      <c r="AA1741" s="4">
        <f>=ROUNDDOWN(23.5,0)</f>
      </c>
      <c r="AB1741" s="5">
        <v>4</v>
      </c>
      <c r="AC1741" s="2" t="s">
        <v>319</v>
      </c>
      <c r="AD1741" s="4">
        <v>20</v>
      </c>
      <c r="AE1741" s="4">
        <v>210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233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233</v>
      </c>
      <c r="AW1741" s="8" t="s">
        <v>233</v>
      </c>
      <c r="AX1741" s="4" t="s">
        <v>233</v>
      </c>
      <c r="AY1741" s="8" t="s">
        <v>233</v>
      </c>
      <c r="AZ1741" s="7" t="s">
        <v>233</v>
      </c>
      <c r="BA1741" s="7" t="s">
        <v>233</v>
      </c>
      <c r="BB1741" s="7"/>
      <c r="BC1741" s="4" t="s">
        <v>233</v>
      </c>
      <c r="BD1741" s="8" t="s">
        <v>233</v>
      </c>
      <c r="BE1741" s="4" t="s">
        <v>233</v>
      </c>
      <c r="BF1741" s="8" t="s">
        <v>233</v>
      </c>
      <c r="BG1741" s="7" t="s">
        <v>233</v>
      </c>
      <c r="BH1741" s="7" t="s">
        <v>233</v>
      </c>
      <c r="BI1741" s="7"/>
      <c r="BJ1741" s="4">
        <v>28</v>
      </c>
      <c r="BK1741" s="8">
        <v>356.37</v>
      </c>
      <c r="BL1741" s="2" t="s">
        <v>2961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8202</v>
      </c>
      <c r="BV1741" s="2" t="s">
        <v>233</v>
      </c>
      <c r="BW1741" s="2" t="s">
        <v>233</v>
      </c>
      <c r="BX1741" s="2" t="s">
        <v>233</v>
      </c>
      <c r="BY1741" s="2" t="s">
        <v>280</v>
      </c>
      <c r="BZ1741" s="2" t="s">
        <v>245</v>
      </c>
      <c r="CA1741" s="2" t="s">
        <v>364</v>
      </c>
      <c r="CB1741" s="2" t="s">
        <v>1106</v>
      </c>
      <c r="CC1741" s="2" t="s">
        <v>246</v>
      </c>
      <c r="CD1741" s="2" t="s">
        <v>233</v>
      </c>
      <c r="CE1741" s="4">
        <v>94</v>
      </c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>
        <v>20</v>
      </c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>
        <v>90</v>
      </c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>
        <v>100</v>
      </c>
      <c r="HF1741" s="4"/>
      <c r="HG1741" s="4"/>
      <c r="HH1741" s="4"/>
      <c r="HI1741" s="4"/>
      <c r="HJ1741" s="4"/>
      <c r="HK1741" s="4"/>
      <c r="HL1741" s="4"/>
      <c r="HM1741" s="4"/>
      <c r="HN1741" s="4"/>
      <c r="HO1741" s="4"/>
      <c r="HP1741" s="4"/>
      <c r="HQ1741" s="4"/>
      <c r="HR1741" s="4"/>
    </row>
    <row r="1742">
      <c r="A1742" s="2" t="s">
        <v>8203</v>
      </c>
      <c r="B1742" s="2" t="s">
        <v>333</v>
      </c>
      <c r="C1742" s="2" t="s">
        <v>911</v>
      </c>
      <c r="D1742" s="2" t="s">
        <v>335</v>
      </c>
      <c r="E1742" s="2" t="s">
        <v>336</v>
      </c>
      <c r="F1742" s="2" t="s">
        <v>395</v>
      </c>
      <c r="G1742" s="2" t="s">
        <v>395</v>
      </c>
      <c r="H1742" s="2" t="s">
        <v>395</v>
      </c>
      <c r="I1742" s="2" t="s">
        <v>8131</v>
      </c>
      <c r="J1742" s="2" t="s">
        <v>284</v>
      </c>
      <c r="K1742" s="2" t="s">
        <v>3284</v>
      </c>
      <c r="L1742" s="3">
        <v>11.18</v>
      </c>
      <c r="M1742" s="3">
        <v>11.74</v>
      </c>
      <c r="N1742" s="3">
        <v>27.99</v>
      </c>
      <c r="O1742" s="2" t="s">
        <v>245</v>
      </c>
      <c r="P1742" s="2" t="s">
        <v>272</v>
      </c>
      <c r="Q1742" s="2" t="s">
        <v>239</v>
      </c>
      <c r="R1742" s="2" t="s">
        <v>233</v>
      </c>
      <c r="S1742" s="2" t="s">
        <v>8201</v>
      </c>
      <c r="T1742" s="2" t="s">
        <v>395</v>
      </c>
      <c r="U1742" s="2" t="s">
        <v>475</v>
      </c>
      <c r="V1742" s="2" t="s">
        <v>241</v>
      </c>
      <c r="W1742" s="2" t="s">
        <v>275</v>
      </c>
      <c r="X1742" s="2" t="s">
        <v>233</v>
      </c>
      <c r="Y1742" s="2" t="s">
        <v>8133</v>
      </c>
      <c r="Z1742" s="4">
        <v>97</v>
      </c>
      <c r="AA1742" s="4">
        <f>=ROUNDDOWN(24.25,0)</f>
      </c>
      <c r="AB1742" s="5">
        <v>4</v>
      </c>
      <c r="AC1742" s="2" t="s">
        <v>319</v>
      </c>
      <c r="AD1742" s="4">
        <v>160</v>
      </c>
      <c r="AE1742" s="4">
        <v>360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233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233</v>
      </c>
      <c r="AW1742" s="8" t="s">
        <v>233</v>
      </c>
      <c r="AX1742" s="4" t="s">
        <v>233</v>
      </c>
      <c r="AY1742" s="8" t="s">
        <v>233</v>
      </c>
      <c r="AZ1742" s="7" t="s">
        <v>233</v>
      </c>
      <c r="BA1742" s="7" t="s">
        <v>233</v>
      </c>
      <c r="BB1742" s="7"/>
      <c r="BC1742" s="4" t="s">
        <v>233</v>
      </c>
      <c r="BD1742" s="8" t="s">
        <v>233</v>
      </c>
      <c r="BE1742" s="4" t="s">
        <v>233</v>
      </c>
      <c r="BF1742" s="8" t="s">
        <v>233</v>
      </c>
      <c r="BG1742" s="7" t="s">
        <v>233</v>
      </c>
      <c r="BH1742" s="7" t="s">
        <v>233</v>
      </c>
      <c r="BI1742" s="7"/>
      <c r="BJ1742" s="4">
        <v>11</v>
      </c>
      <c r="BK1742" s="8">
        <v>135.58</v>
      </c>
      <c r="BL1742" s="2" t="s">
        <v>6276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8204</v>
      </c>
      <c r="BV1742" s="2" t="s">
        <v>233</v>
      </c>
      <c r="BW1742" s="2" t="s">
        <v>233</v>
      </c>
      <c r="BX1742" s="2" t="s">
        <v>233</v>
      </c>
      <c r="BY1742" s="2" t="s">
        <v>280</v>
      </c>
      <c r="BZ1742" s="2" t="s">
        <v>245</v>
      </c>
      <c r="CA1742" s="2" t="s">
        <v>364</v>
      </c>
      <c r="CB1742" s="2" t="s">
        <v>233</v>
      </c>
      <c r="CC1742" s="2" t="s">
        <v>246</v>
      </c>
      <c r="CD1742" s="2" t="s">
        <v>233</v>
      </c>
      <c r="CE1742" s="4">
        <v>37</v>
      </c>
      <c r="CF1742" s="4"/>
      <c r="CG1742" s="4"/>
      <c r="CH1742" s="4"/>
      <c r="CI1742" s="4"/>
      <c r="CJ1742" s="4"/>
      <c r="CK1742" s="4"/>
      <c r="CL1742" s="4">
        <v>60</v>
      </c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>
        <v>160</v>
      </c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>
        <v>120</v>
      </c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>
        <v>80</v>
      </c>
      <c r="HF1742" s="4"/>
      <c r="HG1742" s="4"/>
      <c r="HH1742" s="4"/>
      <c r="HI1742" s="4"/>
      <c r="HJ1742" s="4"/>
      <c r="HK1742" s="4"/>
      <c r="HL1742" s="4"/>
      <c r="HM1742" s="4"/>
      <c r="HN1742" s="4"/>
      <c r="HO1742" s="4"/>
      <c r="HP1742" s="4"/>
      <c r="HQ1742" s="4"/>
      <c r="HR1742" s="4"/>
    </row>
    <row r="1743">
      <c r="A1743" s="2" t="s">
        <v>8205</v>
      </c>
      <c r="B1743" s="2" t="s">
        <v>333</v>
      </c>
      <c r="C1743" s="2" t="s">
        <v>911</v>
      </c>
      <c r="D1743" s="2" t="s">
        <v>335</v>
      </c>
      <c r="E1743" s="2" t="s">
        <v>336</v>
      </c>
      <c r="F1743" s="2" t="s">
        <v>395</v>
      </c>
      <c r="G1743" s="2" t="s">
        <v>395</v>
      </c>
      <c r="H1743" s="2" t="s">
        <v>395</v>
      </c>
      <c r="I1743" s="2" t="s">
        <v>8131</v>
      </c>
      <c r="J1743" s="2" t="s">
        <v>348</v>
      </c>
      <c r="K1743" s="2" t="s">
        <v>3284</v>
      </c>
      <c r="L1743" s="3">
        <v>14.21</v>
      </c>
      <c r="M1743" s="3">
        <v>14.92</v>
      </c>
      <c r="N1743" s="3">
        <v>32.99</v>
      </c>
      <c r="O1743" s="2" t="s">
        <v>245</v>
      </c>
      <c r="P1743" s="2" t="s">
        <v>272</v>
      </c>
      <c r="Q1743" s="2" t="s">
        <v>239</v>
      </c>
      <c r="R1743" s="2" t="s">
        <v>233</v>
      </c>
      <c r="S1743" s="2" t="s">
        <v>8201</v>
      </c>
      <c r="T1743" s="2" t="s">
        <v>395</v>
      </c>
      <c r="U1743" s="2" t="s">
        <v>342</v>
      </c>
      <c r="V1743" s="2" t="s">
        <v>241</v>
      </c>
      <c r="W1743" s="2" t="s">
        <v>275</v>
      </c>
      <c r="X1743" s="2" t="s">
        <v>233</v>
      </c>
      <c r="Y1743" s="2" t="s">
        <v>8133</v>
      </c>
      <c r="Z1743" s="4">
        <v>244</v>
      </c>
      <c r="AA1743" s="4">
        <f>=ROUNDDOWN(30.5,0)</f>
      </c>
      <c r="AB1743" s="5">
        <v>8</v>
      </c>
      <c r="AC1743" s="2" t="s">
        <v>319</v>
      </c>
      <c r="AD1743" s="4">
        <v>80</v>
      </c>
      <c r="AE1743" s="4">
        <v>130</v>
      </c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233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233</v>
      </c>
      <c r="AW1743" s="8" t="s">
        <v>233</v>
      </c>
      <c r="AX1743" s="4" t="s">
        <v>233</v>
      </c>
      <c r="AY1743" s="8" t="s">
        <v>233</v>
      </c>
      <c r="AZ1743" s="7" t="s">
        <v>233</v>
      </c>
      <c r="BA1743" s="7" t="s">
        <v>233</v>
      </c>
      <c r="BB1743" s="7"/>
      <c r="BC1743" s="4" t="s">
        <v>233</v>
      </c>
      <c r="BD1743" s="8" t="s">
        <v>233</v>
      </c>
      <c r="BE1743" s="4" t="s">
        <v>233</v>
      </c>
      <c r="BF1743" s="8" t="s">
        <v>233</v>
      </c>
      <c r="BG1743" s="7" t="s">
        <v>233</v>
      </c>
      <c r="BH1743" s="7" t="s">
        <v>233</v>
      </c>
      <c r="BI1743" s="7"/>
      <c r="BJ1743" s="4">
        <v>17</v>
      </c>
      <c r="BK1743" s="8">
        <v>268.15</v>
      </c>
      <c r="BL1743" s="2" t="s">
        <v>8206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8207</v>
      </c>
      <c r="BV1743" s="2" t="s">
        <v>233</v>
      </c>
      <c r="BW1743" s="2" t="s">
        <v>233</v>
      </c>
      <c r="BX1743" s="2" t="s">
        <v>233</v>
      </c>
      <c r="BY1743" s="2" t="s">
        <v>280</v>
      </c>
      <c r="BZ1743" s="2" t="s">
        <v>245</v>
      </c>
      <c r="CA1743" s="2" t="s">
        <v>364</v>
      </c>
      <c r="CB1743" s="2" t="s">
        <v>3388</v>
      </c>
      <c r="CC1743" s="2" t="s">
        <v>246</v>
      </c>
      <c r="CD1743" s="2" t="s">
        <v>233</v>
      </c>
      <c r="CE1743" s="4">
        <v>244</v>
      </c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>
        <v>80</v>
      </c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/>
      <c r="HE1743" s="4">
        <v>50</v>
      </c>
      <c r="HF1743" s="4"/>
      <c r="HG1743" s="4"/>
      <c r="HH1743" s="4"/>
      <c r="HI1743" s="4"/>
      <c r="HJ1743" s="4"/>
      <c r="HK1743" s="4"/>
      <c r="HL1743" s="4"/>
      <c r="HM1743" s="4"/>
      <c r="HN1743" s="4"/>
      <c r="HO1743" s="4"/>
      <c r="HP1743" s="4"/>
      <c r="HQ1743" s="4"/>
      <c r="HR1743" s="4"/>
    </row>
    <row r="1744">
      <c r="A1744" s="2" t="s">
        <v>8208</v>
      </c>
      <c r="B1744" s="2" t="s">
        <v>333</v>
      </c>
      <c r="C1744" s="2" t="s">
        <v>911</v>
      </c>
      <c r="D1744" s="2" t="s">
        <v>335</v>
      </c>
      <c r="E1744" s="2" t="s">
        <v>336</v>
      </c>
      <c r="F1744" s="2" t="s">
        <v>395</v>
      </c>
      <c r="G1744" s="2" t="s">
        <v>395</v>
      </c>
      <c r="H1744" s="2" t="s">
        <v>395</v>
      </c>
      <c r="I1744" s="2" t="s">
        <v>8131</v>
      </c>
      <c r="J1744" s="2" t="s">
        <v>328</v>
      </c>
      <c r="K1744" s="2" t="s">
        <v>3284</v>
      </c>
      <c r="L1744" s="3">
        <v>16.75</v>
      </c>
      <c r="M1744" s="3">
        <v>17.59</v>
      </c>
      <c r="N1744" s="3">
        <v>37.99</v>
      </c>
      <c r="O1744" s="2" t="s">
        <v>245</v>
      </c>
      <c r="P1744" s="2" t="s">
        <v>272</v>
      </c>
      <c r="Q1744" s="2" t="s">
        <v>239</v>
      </c>
      <c r="R1744" s="2" t="s">
        <v>233</v>
      </c>
      <c r="S1744" s="2" t="s">
        <v>8201</v>
      </c>
      <c r="T1744" s="2" t="s">
        <v>395</v>
      </c>
      <c r="U1744" s="2" t="s">
        <v>342</v>
      </c>
      <c r="V1744" s="2" t="s">
        <v>241</v>
      </c>
      <c r="W1744" s="2" t="s">
        <v>275</v>
      </c>
      <c r="X1744" s="2" t="s">
        <v>233</v>
      </c>
      <c r="Y1744" s="2" t="s">
        <v>8133</v>
      </c>
      <c r="Z1744" s="4">
        <v>74</v>
      </c>
      <c r="AA1744" s="4">
        <f>=ROUNDDOWN(24.6666666666667,0)</f>
      </c>
      <c r="AB1744" s="5">
        <v>3</v>
      </c>
      <c r="AC1744" s="2" t="s">
        <v>873</v>
      </c>
      <c r="AD1744" s="4">
        <v>30</v>
      </c>
      <c r="AE1744" s="4">
        <v>70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233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233</v>
      </c>
      <c r="AW1744" s="8" t="s">
        <v>233</v>
      </c>
      <c r="AX1744" s="4" t="s">
        <v>233</v>
      </c>
      <c r="AY1744" s="8" t="s">
        <v>233</v>
      </c>
      <c r="AZ1744" s="7" t="s">
        <v>233</v>
      </c>
      <c r="BA1744" s="7" t="s">
        <v>233</v>
      </c>
      <c r="BB1744" s="7"/>
      <c r="BC1744" s="4" t="s">
        <v>233</v>
      </c>
      <c r="BD1744" s="8" t="s">
        <v>233</v>
      </c>
      <c r="BE1744" s="4" t="s">
        <v>233</v>
      </c>
      <c r="BF1744" s="8" t="s">
        <v>233</v>
      </c>
      <c r="BG1744" s="7" t="s">
        <v>233</v>
      </c>
      <c r="BH1744" s="7" t="s">
        <v>233</v>
      </c>
      <c r="BI1744" s="7"/>
      <c r="BJ1744" s="4">
        <v>1</v>
      </c>
      <c r="BK1744" s="8">
        <v>17.14</v>
      </c>
      <c r="BL1744" s="2" t="s">
        <v>469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8209</v>
      </c>
      <c r="BV1744" s="2" t="s">
        <v>233</v>
      </c>
      <c r="BW1744" s="2" t="s">
        <v>233</v>
      </c>
      <c r="BX1744" s="2" t="s">
        <v>233</v>
      </c>
      <c r="BY1744" s="2" t="s">
        <v>280</v>
      </c>
      <c r="BZ1744" s="2" t="s">
        <v>245</v>
      </c>
      <c r="CA1744" s="2" t="s">
        <v>364</v>
      </c>
      <c r="CB1744" s="2" t="s">
        <v>908</v>
      </c>
      <c r="CC1744" s="2" t="s">
        <v>246</v>
      </c>
      <c r="CD1744" s="2" t="s">
        <v>233</v>
      </c>
      <c r="CE1744" s="4">
        <v>74</v>
      </c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>
        <v>30</v>
      </c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/>
      <c r="HA1744" s="4"/>
      <c r="HB1744" s="4"/>
      <c r="HC1744" s="4"/>
      <c r="HD1744" s="4"/>
      <c r="HE1744" s="4">
        <v>40</v>
      </c>
      <c r="HF1744" s="4"/>
      <c r="HG1744" s="4"/>
      <c r="HH1744" s="4"/>
      <c r="HI1744" s="4"/>
      <c r="HJ1744" s="4"/>
      <c r="HK1744" s="4"/>
      <c r="HL1744" s="4"/>
      <c r="HM1744" s="4"/>
      <c r="HN1744" s="4"/>
      <c r="HO1744" s="4"/>
      <c r="HP1744" s="4"/>
      <c r="HQ1744" s="4"/>
      <c r="HR1744" s="4"/>
    </row>
    <row r="1745">
      <c r="A1745" s="2" t="s">
        <v>8210</v>
      </c>
      <c r="B1745" s="2" t="s">
        <v>333</v>
      </c>
      <c r="C1745" s="2" t="s">
        <v>911</v>
      </c>
      <c r="D1745" s="2" t="s">
        <v>335</v>
      </c>
      <c r="E1745" s="2" t="s">
        <v>336</v>
      </c>
      <c r="F1745" s="2" t="s">
        <v>395</v>
      </c>
      <c r="G1745" s="2" t="s">
        <v>395</v>
      </c>
      <c r="H1745" s="2" t="s">
        <v>395</v>
      </c>
      <c r="I1745" s="2" t="s">
        <v>8131</v>
      </c>
      <c r="J1745" s="2" t="s">
        <v>270</v>
      </c>
      <c r="K1745" s="2" t="s">
        <v>2942</v>
      </c>
      <c r="L1745" s="3">
        <v>11.18</v>
      </c>
      <c r="M1745" s="3">
        <v>11.74</v>
      </c>
      <c r="N1745" s="3">
        <v>27.99</v>
      </c>
      <c r="O1745" s="2" t="s">
        <v>245</v>
      </c>
      <c r="P1745" s="2" t="s">
        <v>272</v>
      </c>
      <c r="Q1745" s="2" t="s">
        <v>239</v>
      </c>
      <c r="R1745" s="2" t="s">
        <v>233</v>
      </c>
      <c r="S1745" s="2" t="s">
        <v>8211</v>
      </c>
      <c r="T1745" s="2" t="s">
        <v>395</v>
      </c>
      <c r="U1745" s="2" t="s">
        <v>233</v>
      </c>
      <c r="V1745" s="2" t="s">
        <v>241</v>
      </c>
      <c r="W1745" s="2" t="s">
        <v>275</v>
      </c>
      <c r="X1745" s="2" t="s">
        <v>233</v>
      </c>
      <c r="Y1745" s="2" t="s">
        <v>276</v>
      </c>
      <c r="Z1745" s="4">
        <v>257</v>
      </c>
      <c r="AA1745" s="4">
        <f>=ROUNDDOWN(21.4166666666667,0)</f>
      </c>
      <c r="AB1745" s="5">
        <v>12</v>
      </c>
      <c r="AC1745" s="2" t="s">
        <v>547</v>
      </c>
      <c r="AD1745" s="4">
        <v>40</v>
      </c>
      <c r="AE1745" s="4">
        <v>140</v>
      </c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233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 t="s">
        <v>233</v>
      </c>
      <c r="AW1745" s="8" t="s">
        <v>233</v>
      </c>
      <c r="AX1745" s="4" t="s">
        <v>233</v>
      </c>
      <c r="AY1745" s="8" t="s">
        <v>233</v>
      </c>
      <c r="AZ1745" s="7" t="s">
        <v>233</v>
      </c>
      <c r="BA1745" s="7" t="s">
        <v>233</v>
      </c>
      <c r="BB1745" s="7"/>
      <c r="BC1745" s="4" t="s">
        <v>233</v>
      </c>
      <c r="BD1745" s="8" t="s">
        <v>233</v>
      </c>
      <c r="BE1745" s="4" t="s">
        <v>233</v>
      </c>
      <c r="BF1745" s="8" t="s">
        <v>233</v>
      </c>
      <c r="BG1745" s="7" t="s">
        <v>233</v>
      </c>
      <c r="BH1745" s="7" t="s">
        <v>233</v>
      </c>
      <c r="BI1745" s="7"/>
      <c r="BJ1745" s="4">
        <v>38</v>
      </c>
      <c r="BK1745" s="8">
        <v>425.44</v>
      </c>
      <c r="BL1745" s="2" t="s">
        <v>8212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8213</v>
      </c>
      <c r="BV1745" s="2" t="s">
        <v>233</v>
      </c>
      <c r="BW1745" s="2" t="s">
        <v>233</v>
      </c>
      <c r="BX1745" s="2" t="s">
        <v>233</v>
      </c>
      <c r="BY1745" s="2" t="s">
        <v>280</v>
      </c>
      <c r="BZ1745" s="2" t="s">
        <v>245</v>
      </c>
      <c r="CA1745" s="2" t="s">
        <v>281</v>
      </c>
      <c r="CB1745" s="2" t="s">
        <v>7914</v>
      </c>
      <c r="CC1745" s="2" t="s">
        <v>246</v>
      </c>
      <c r="CD1745" s="2" t="s">
        <v>233</v>
      </c>
      <c r="CE1745" s="4">
        <v>147</v>
      </c>
      <c r="CF1745" s="4"/>
      <c r="CG1745" s="4"/>
      <c r="CH1745" s="4"/>
      <c r="CI1745" s="4"/>
      <c r="CJ1745" s="4"/>
      <c r="CK1745" s="4"/>
      <c r="CL1745" s="4">
        <v>110</v>
      </c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>
        <v>40</v>
      </c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>
        <v>30</v>
      </c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>
        <v>70</v>
      </c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/>
      <c r="HA1745" s="4"/>
      <c r="HB1745" s="4"/>
      <c r="HC1745" s="4"/>
      <c r="HD1745" s="4"/>
      <c r="HE1745" s="4"/>
      <c r="HF1745" s="4"/>
      <c r="HG1745" s="4"/>
      <c r="HH1745" s="4"/>
      <c r="HI1745" s="4"/>
      <c r="HJ1745" s="4"/>
      <c r="HK1745" s="4"/>
      <c r="HL1745" s="4"/>
      <c r="HM1745" s="4"/>
      <c r="HN1745" s="4"/>
      <c r="HO1745" s="4"/>
      <c r="HP1745" s="4"/>
      <c r="HQ1745" s="4"/>
      <c r="HR1745" s="4"/>
    </row>
    <row r="1746">
      <c r="A1746" s="2" t="s">
        <v>8214</v>
      </c>
      <c r="B1746" s="2" t="s">
        <v>333</v>
      </c>
      <c r="C1746" s="2" t="s">
        <v>911</v>
      </c>
      <c r="D1746" s="2" t="s">
        <v>335</v>
      </c>
      <c r="E1746" s="2" t="s">
        <v>336</v>
      </c>
      <c r="F1746" s="2" t="s">
        <v>395</v>
      </c>
      <c r="G1746" s="2" t="s">
        <v>395</v>
      </c>
      <c r="H1746" s="2" t="s">
        <v>395</v>
      </c>
      <c r="I1746" s="2" t="s">
        <v>8131</v>
      </c>
      <c r="J1746" s="2" t="s">
        <v>284</v>
      </c>
      <c r="K1746" s="2" t="s">
        <v>2942</v>
      </c>
      <c r="L1746" s="3">
        <v>11.18</v>
      </c>
      <c r="M1746" s="3">
        <v>11.74</v>
      </c>
      <c r="N1746" s="3">
        <v>27.99</v>
      </c>
      <c r="O1746" s="2" t="s">
        <v>245</v>
      </c>
      <c r="P1746" s="2" t="s">
        <v>272</v>
      </c>
      <c r="Q1746" s="2" t="s">
        <v>239</v>
      </c>
      <c r="R1746" s="2" t="s">
        <v>233</v>
      </c>
      <c r="S1746" s="2" t="s">
        <v>8211</v>
      </c>
      <c r="T1746" s="2" t="s">
        <v>395</v>
      </c>
      <c r="U1746" s="2" t="s">
        <v>233</v>
      </c>
      <c r="V1746" s="2" t="s">
        <v>241</v>
      </c>
      <c r="W1746" s="2" t="s">
        <v>275</v>
      </c>
      <c r="X1746" s="2" t="s">
        <v>233</v>
      </c>
      <c r="Y1746" s="2" t="s">
        <v>276</v>
      </c>
      <c r="Z1746" s="4">
        <v>84</v>
      </c>
      <c r="AA1746" s="4">
        <f>=ROUNDDOWN(16.8,0)</f>
      </c>
      <c r="AB1746" s="5">
        <v>5</v>
      </c>
      <c r="AC1746" s="2" t="s">
        <v>547</v>
      </c>
      <c r="AD1746" s="4">
        <v>150</v>
      </c>
      <c r="AE1746" s="4">
        <v>378</v>
      </c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233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233</v>
      </c>
      <c r="AW1746" s="8" t="s">
        <v>233</v>
      </c>
      <c r="AX1746" s="4" t="s">
        <v>233</v>
      </c>
      <c r="AY1746" s="8" t="s">
        <v>233</v>
      </c>
      <c r="AZ1746" s="7" t="s">
        <v>233</v>
      </c>
      <c r="BA1746" s="7" t="s">
        <v>233</v>
      </c>
      <c r="BB1746" s="7" t="s">
        <v>233</v>
      </c>
      <c r="BC1746" s="4" t="s">
        <v>233</v>
      </c>
      <c r="BD1746" s="8" t="s">
        <v>233</v>
      </c>
      <c r="BE1746" s="4" t="s">
        <v>233</v>
      </c>
      <c r="BF1746" s="8" t="s">
        <v>233</v>
      </c>
      <c r="BG1746" s="7" t="s">
        <v>233</v>
      </c>
      <c r="BH1746" s="7" t="s">
        <v>233</v>
      </c>
      <c r="BI1746" s="7"/>
      <c r="BJ1746" s="4">
        <v>17</v>
      </c>
      <c r="BK1746" s="8">
        <v>205.29</v>
      </c>
      <c r="BL1746" s="2" t="s">
        <v>8215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8216</v>
      </c>
      <c r="BV1746" s="2" t="s">
        <v>233</v>
      </c>
      <c r="BW1746" s="2" t="s">
        <v>233</v>
      </c>
      <c r="BX1746" s="2" t="s">
        <v>233</v>
      </c>
      <c r="BY1746" s="2" t="s">
        <v>280</v>
      </c>
      <c r="BZ1746" s="2" t="s">
        <v>245</v>
      </c>
      <c r="CA1746" s="2" t="s">
        <v>281</v>
      </c>
      <c r="CB1746" s="2" t="s">
        <v>8217</v>
      </c>
      <c r="CC1746" s="2" t="s">
        <v>246</v>
      </c>
      <c r="CD1746" s="2" t="s">
        <v>233</v>
      </c>
      <c r="CE1746" s="4">
        <v>64</v>
      </c>
      <c r="CF1746" s="4"/>
      <c r="CG1746" s="4"/>
      <c r="CH1746" s="4"/>
      <c r="CI1746" s="4"/>
      <c r="CJ1746" s="4"/>
      <c r="CK1746" s="4"/>
      <c r="CL1746" s="4">
        <v>20</v>
      </c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>
        <v>150</v>
      </c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>
        <v>128</v>
      </c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>
        <v>100</v>
      </c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  <c r="HF1746" s="4"/>
      <c r="HG1746" s="4"/>
      <c r="HH1746" s="4"/>
      <c r="HI1746" s="4"/>
      <c r="HJ1746" s="4"/>
      <c r="HK1746" s="4"/>
      <c r="HL1746" s="4"/>
      <c r="HM1746" s="4"/>
      <c r="HN1746" s="4"/>
      <c r="HO1746" s="4"/>
      <c r="HP1746" s="4"/>
      <c r="HQ1746" s="4"/>
      <c r="HR1746" s="4"/>
    </row>
    <row r="1747">
      <c r="A1747" s="2" t="s">
        <v>8218</v>
      </c>
      <c r="B1747" s="2" t="s">
        <v>333</v>
      </c>
      <c r="C1747" s="2" t="s">
        <v>911</v>
      </c>
      <c r="D1747" s="2" t="s">
        <v>335</v>
      </c>
      <c r="E1747" s="2" t="s">
        <v>336</v>
      </c>
      <c r="F1747" s="2" t="s">
        <v>395</v>
      </c>
      <c r="G1747" s="2" t="s">
        <v>395</v>
      </c>
      <c r="H1747" s="2" t="s">
        <v>395</v>
      </c>
      <c r="I1747" s="2" t="s">
        <v>8158</v>
      </c>
      <c r="J1747" s="2" t="s">
        <v>284</v>
      </c>
      <c r="K1747" s="2" t="s">
        <v>2942</v>
      </c>
      <c r="L1747" s="3">
        <v>12.15</v>
      </c>
      <c r="M1747" s="3">
        <v>12.76</v>
      </c>
      <c r="N1747" s="3">
        <v>26.99</v>
      </c>
      <c r="O1747" s="2" t="s">
        <v>245</v>
      </c>
      <c r="P1747" s="2" t="s">
        <v>272</v>
      </c>
      <c r="Q1747" s="2" t="s">
        <v>239</v>
      </c>
      <c r="R1747" s="2" t="s">
        <v>233</v>
      </c>
      <c r="S1747" s="2" t="s">
        <v>8211</v>
      </c>
      <c r="T1747" s="2" t="s">
        <v>395</v>
      </c>
      <c r="U1747" s="2" t="s">
        <v>342</v>
      </c>
      <c r="V1747" s="2" t="s">
        <v>241</v>
      </c>
      <c r="W1747" s="2" t="s">
        <v>397</v>
      </c>
      <c r="X1747" s="2" t="s">
        <v>233</v>
      </c>
      <c r="Y1747" s="2" t="s">
        <v>7865</v>
      </c>
      <c r="Z1747" s="4">
        <v>178</v>
      </c>
      <c r="AA1747" s="4">
        <f>=ROUNDDOWN(29.6666666666667,0)</f>
      </c>
      <c r="AB1747" s="5">
        <v>6</v>
      </c>
      <c r="AC1747" s="2" t="s">
        <v>547</v>
      </c>
      <c r="AD1747" s="4">
        <v>200</v>
      </c>
      <c r="AE1747" s="4">
        <v>370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233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233</v>
      </c>
      <c r="AW1747" s="8" t="s">
        <v>233</v>
      </c>
      <c r="AX1747" s="4" t="s">
        <v>233</v>
      </c>
      <c r="AY1747" s="8" t="s">
        <v>233</v>
      </c>
      <c r="AZ1747" s="7" t="s">
        <v>233</v>
      </c>
      <c r="BA1747" s="7" t="s">
        <v>233</v>
      </c>
      <c r="BB1747" s="7" t="s">
        <v>233</v>
      </c>
      <c r="BC1747" s="4" t="s">
        <v>233</v>
      </c>
      <c r="BD1747" s="8" t="s">
        <v>233</v>
      </c>
      <c r="BE1747" s="4" t="s">
        <v>233</v>
      </c>
      <c r="BF1747" s="8" t="s">
        <v>233</v>
      </c>
      <c r="BG1747" s="7" t="s">
        <v>233</v>
      </c>
      <c r="BH1747" s="7" t="s">
        <v>233</v>
      </c>
      <c r="BI1747" s="7"/>
      <c r="BJ1747" s="4">
        <v>18</v>
      </c>
      <c r="BK1747" s="8">
        <v>224.64</v>
      </c>
      <c r="BL1747" s="2" t="s">
        <v>8219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8220</v>
      </c>
      <c r="BV1747" s="2" t="s">
        <v>233</v>
      </c>
      <c r="BW1747" s="2" t="s">
        <v>233</v>
      </c>
      <c r="BX1747" s="2" t="s">
        <v>233</v>
      </c>
      <c r="BY1747" s="2" t="s">
        <v>280</v>
      </c>
      <c r="BZ1747" s="2" t="s">
        <v>245</v>
      </c>
      <c r="CA1747" s="2" t="s">
        <v>4597</v>
      </c>
      <c r="CB1747" s="2" t="s">
        <v>2592</v>
      </c>
      <c r="CC1747" s="2" t="s">
        <v>246</v>
      </c>
      <c r="CD1747" s="2" t="s">
        <v>233</v>
      </c>
      <c r="CE1747" s="4">
        <v>78</v>
      </c>
      <c r="CF1747" s="4"/>
      <c r="CG1747" s="4"/>
      <c r="CH1747" s="4"/>
      <c r="CI1747" s="4"/>
      <c r="CJ1747" s="4"/>
      <c r="CK1747" s="4"/>
      <c r="CL1747" s="4">
        <v>100</v>
      </c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>
        <v>200</v>
      </c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>
        <v>100</v>
      </c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>
        <v>70</v>
      </c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  <c r="HF1747" s="4"/>
      <c r="HG1747" s="4"/>
      <c r="HH1747" s="4"/>
      <c r="HI1747" s="4"/>
      <c r="HJ1747" s="4"/>
      <c r="HK1747" s="4"/>
      <c r="HL1747" s="4"/>
      <c r="HM1747" s="4"/>
      <c r="HN1747" s="4"/>
      <c r="HO1747" s="4"/>
      <c r="HP1747" s="4"/>
      <c r="HQ1747" s="4"/>
      <c r="HR1747" s="4"/>
    </row>
    <row r="1748">
      <c r="A1748" s="2" t="s">
        <v>8221</v>
      </c>
      <c r="B1748" s="2" t="s">
        <v>333</v>
      </c>
      <c r="C1748" s="2" t="s">
        <v>911</v>
      </c>
      <c r="D1748" s="2" t="s">
        <v>335</v>
      </c>
      <c r="E1748" s="2" t="s">
        <v>336</v>
      </c>
      <c r="F1748" s="2" t="s">
        <v>395</v>
      </c>
      <c r="G1748" s="2" t="s">
        <v>395</v>
      </c>
      <c r="H1748" s="2" t="s">
        <v>395</v>
      </c>
      <c r="I1748" s="2" t="s">
        <v>8158</v>
      </c>
      <c r="J1748" s="2" t="s">
        <v>290</v>
      </c>
      <c r="K1748" s="2" t="s">
        <v>2942</v>
      </c>
      <c r="L1748" s="3">
        <v>14.85</v>
      </c>
      <c r="M1748" s="3">
        <v>15.59</v>
      </c>
      <c r="N1748" s="3">
        <v>32.99</v>
      </c>
      <c r="O1748" s="2" t="s">
        <v>245</v>
      </c>
      <c r="P1748" s="2" t="s">
        <v>272</v>
      </c>
      <c r="Q1748" s="2" t="s">
        <v>239</v>
      </c>
      <c r="R1748" s="2" t="s">
        <v>233</v>
      </c>
      <c r="S1748" s="2" t="s">
        <v>8211</v>
      </c>
      <c r="T1748" s="2" t="s">
        <v>395</v>
      </c>
      <c r="U1748" s="2" t="s">
        <v>871</v>
      </c>
      <c r="V1748" s="2" t="s">
        <v>241</v>
      </c>
      <c r="W1748" s="2" t="s">
        <v>397</v>
      </c>
      <c r="X1748" s="2" t="s">
        <v>233</v>
      </c>
      <c r="Y1748" s="2" t="s">
        <v>7865</v>
      </c>
      <c r="Z1748" s="4">
        <v>140</v>
      </c>
      <c r="AA1748" s="4">
        <f>=ROUNDDOWN(29.1666666666667,0)</f>
      </c>
      <c r="AB1748" s="5">
        <v>4.8</v>
      </c>
      <c r="AC1748" s="2" t="s">
        <v>547</v>
      </c>
      <c r="AD1748" s="4">
        <v>100</v>
      </c>
      <c r="AE1748" s="4">
        <v>100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233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233</v>
      </c>
      <c r="AW1748" s="8" t="s">
        <v>233</v>
      </c>
      <c r="AX1748" s="4" t="s">
        <v>233</v>
      </c>
      <c r="AY1748" s="8" t="s">
        <v>233</v>
      </c>
      <c r="AZ1748" s="7" t="s">
        <v>233</v>
      </c>
      <c r="BA1748" s="7" t="s">
        <v>233</v>
      </c>
      <c r="BB1748" s="7"/>
      <c r="BC1748" s="4" t="s">
        <v>233</v>
      </c>
      <c r="BD1748" s="8" t="s">
        <v>233</v>
      </c>
      <c r="BE1748" s="4" t="s">
        <v>233</v>
      </c>
      <c r="BF1748" s="8" t="s">
        <v>233</v>
      </c>
      <c r="BG1748" s="7" t="s">
        <v>233</v>
      </c>
      <c r="BH1748" s="7" t="s">
        <v>233</v>
      </c>
      <c r="BI1748" s="7"/>
      <c r="BJ1748" s="4">
        <v>22</v>
      </c>
      <c r="BK1748" s="8">
        <v>330.64</v>
      </c>
      <c r="BL1748" s="2" t="s">
        <v>8222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8223</v>
      </c>
      <c r="BV1748" s="2" t="s">
        <v>233</v>
      </c>
      <c r="BW1748" s="2" t="s">
        <v>233</v>
      </c>
      <c r="BX1748" s="2" t="s">
        <v>233</v>
      </c>
      <c r="BY1748" s="2" t="s">
        <v>280</v>
      </c>
      <c r="BZ1748" s="2" t="s">
        <v>245</v>
      </c>
      <c r="CA1748" s="2" t="s">
        <v>4597</v>
      </c>
      <c r="CB1748" s="2" t="s">
        <v>8224</v>
      </c>
      <c r="CC1748" s="2" t="s">
        <v>246</v>
      </c>
      <c r="CD1748" s="2" t="s">
        <v>233</v>
      </c>
      <c r="CE1748" s="4">
        <v>140</v>
      </c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>
        <v>100</v>
      </c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  <c r="HF1748" s="4"/>
      <c r="HG1748" s="4"/>
      <c r="HH1748" s="4"/>
      <c r="HI1748" s="4"/>
      <c r="HJ1748" s="4"/>
      <c r="HK1748" s="4"/>
      <c r="HL1748" s="4"/>
      <c r="HM1748" s="4"/>
      <c r="HN1748" s="4"/>
      <c r="HO1748" s="4"/>
      <c r="HP1748" s="4"/>
      <c r="HQ1748" s="4"/>
      <c r="HR1748" s="4"/>
    </row>
    <row r="1749">
      <c r="A1749" s="2" t="s">
        <v>8225</v>
      </c>
      <c r="B1749" s="2" t="s">
        <v>333</v>
      </c>
      <c r="C1749" s="2" t="s">
        <v>911</v>
      </c>
      <c r="D1749" s="2" t="s">
        <v>335</v>
      </c>
      <c r="E1749" s="2" t="s">
        <v>336</v>
      </c>
      <c r="F1749" s="2" t="s">
        <v>395</v>
      </c>
      <c r="G1749" s="2" t="s">
        <v>395</v>
      </c>
      <c r="H1749" s="2" t="s">
        <v>395</v>
      </c>
      <c r="I1749" s="2" t="s">
        <v>8131</v>
      </c>
      <c r="J1749" s="2" t="s">
        <v>348</v>
      </c>
      <c r="K1749" s="2" t="s">
        <v>2942</v>
      </c>
      <c r="L1749" s="3">
        <v>14.21</v>
      </c>
      <c r="M1749" s="3">
        <v>14.92</v>
      </c>
      <c r="N1749" s="3">
        <v>32.99</v>
      </c>
      <c r="O1749" s="2" t="s">
        <v>245</v>
      </c>
      <c r="P1749" s="2" t="s">
        <v>272</v>
      </c>
      <c r="Q1749" s="2" t="s">
        <v>239</v>
      </c>
      <c r="R1749" s="2" t="s">
        <v>233</v>
      </c>
      <c r="S1749" s="2" t="s">
        <v>8211</v>
      </c>
      <c r="T1749" s="2" t="s">
        <v>395</v>
      </c>
      <c r="U1749" s="2" t="s">
        <v>233</v>
      </c>
      <c r="V1749" s="2" t="s">
        <v>241</v>
      </c>
      <c r="W1749" s="2" t="s">
        <v>275</v>
      </c>
      <c r="X1749" s="2" t="s">
        <v>233</v>
      </c>
      <c r="Y1749" s="2" t="s">
        <v>276</v>
      </c>
      <c r="Z1749" s="4">
        <v>155</v>
      </c>
      <c r="AA1749" s="4">
        <f>=ROUNDDOWN(7.04545454545455,0)</f>
      </c>
      <c r="AB1749" s="5">
        <v>22</v>
      </c>
      <c r="AC1749" s="2" t="s">
        <v>547</v>
      </c>
      <c r="AD1749" s="4">
        <v>100</v>
      </c>
      <c r="AE1749" s="4">
        <v>440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233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233</v>
      </c>
      <c r="AW1749" s="8" t="s">
        <v>233</v>
      </c>
      <c r="AX1749" s="4" t="s">
        <v>233</v>
      </c>
      <c r="AY1749" s="8" t="s">
        <v>233</v>
      </c>
      <c r="AZ1749" s="7" t="s">
        <v>233</v>
      </c>
      <c r="BA1749" s="7" t="s">
        <v>233</v>
      </c>
      <c r="BB1749" s="7"/>
      <c r="BC1749" s="4" t="s">
        <v>233</v>
      </c>
      <c r="BD1749" s="8" t="s">
        <v>233</v>
      </c>
      <c r="BE1749" s="4" t="s">
        <v>233</v>
      </c>
      <c r="BF1749" s="8" t="s">
        <v>233</v>
      </c>
      <c r="BG1749" s="7" t="s">
        <v>233</v>
      </c>
      <c r="BH1749" s="7" t="s">
        <v>233</v>
      </c>
      <c r="BI1749" s="7"/>
      <c r="BJ1749" s="4">
        <v>109</v>
      </c>
      <c r="BK1749" s="8">
        <v>1579.87</v>
      </c>
      <c r="BL1749" s="2" t="s">
        <v>8226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8227</v>
      </c>
      <c r="BV1749" s="2" t="s">
        <v>233</v>
      </c>
      <c r="BW1749" s="2" t="s">
        <v>233</v>
      </c>
      <c r="BX1749" s="2" t="s">
        <v>233</v>
      </c>
      <c r="BY1749" s="2" t="s">
        <v>280</v>
      </c>
      <c r="BZ1749" s="2" t="s">
        <v>245</v>
      </c>
      <c r="CA1749" s="2" t="s">
        <v>281</v>
      </c>
      <c r="CB1749" s="2" t="s">
        <v>670</v>
      </c>
      <c r="CC1749" s="2" t="s">
        <v>246</v>
      </c>
      <c r="CD1749" s="2" t="s">
        <v>233</v>
      </c>
      <c r="CE1749" s="4">
        <v>155</v>
      </c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>
        <v>100</v>
      </c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>
        <v>160</v>
      </c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>
        <v>180</v>
      </c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  <c r="HF1749" s="4"/>
      <c r="HG1749" s="4"/>
      <c r="HH1749" s="4"/>
      <c r="HI1749" s="4"/>
      <c r="HJ1749" s="4"/>
      <c r="HK1749" s="4"/>
      <c r="HL1749" s="4"/>
      <c r="HM1749" s="4"/>
      <c r="HN1749" s="4"/>
      <c r="HO1749" s="4"/>
      <c r="HP1749" s="4"/>
      <c r="HQ1749" s="4"/>
      <c r="HR1749" s="4"/>
    </row>
    <row r="1750">
      <c r="A1750" s="2" t="s">
        <v>8228</v>
      </c>
      <c r="B1750" s="2" t="s">
        <v>333</v>
      </c>
      <c r="C1750" s="2" t="s">
        <v>911</v>
      </c>
      <c r="D1750" s="2" t="s">
        <v>335</v>
      </c>
      <c r="E1750" s="2" t="s">
        <v>336</v>
      </c>
      <c r="F1750" s="2" t="s">
        <v>395</v>
      </c>
      <c r="G1750" s="2" t="s">
        <v>395</v>
      </c>
      <c r="H1750" s="2" t="s">
        <v>395</v>
      </c>
      <c r="I1750" s="2" t="s">
        <v>8131</v>
      </c>
      <c r="J1750" s="2" t="s">
        <v>284</v>
      </c>
      <c r="K1750" s="2" t="s">
        <v>620</v>
      </c>
      <c r="L1750" s="3">
        <v>11.18</v>
      </c>
      <c r="M1750" s="3">
        <v>11.74</v>
      </c>
      <c r="N1750" s="3">
        <v>27.99</v>
      </c>
      <c r="O1750" s="2" t="s">
        <v>245</v>
      </c>
      <c r="P1750" s="2" t="s">
        <v>272</v>
      </c>
      <c r="Q1750" s="2" t="s">
        <v>239</v>
      </c>
      <c r="R1750" s="2" t="s">
        <v>233</v>
      </c>
      <c r="S1750" s="2" t="s">
        <v>8229</v>
      </c>
      <c r="T1750" s="2" t="s">
        <v>395</v>
      </c>
      <c r="U1750" s="2" t="s">
        <v>233</v>
      </c>
      <c r="V1750" s="2" t="s">
        <v>241</v>
      </c>
      <c r="W1750" s="2" t="s">
        <v>275</v>
      </c>
      <c r="X1750" s="2" t="s">
        <v>233</v>
      </c>
      <c r="Y1750" s="2" t="s">
        <v>276</v>
      </c>
      <c r="Z1750" s="4">
        <v>271</v>
      </c>
      <c r="AA1750" s="4">
        <f>=ROUNDDOWN(38.7142857142857,0)</f>
      </c>
      <c r="AB1750" s="5">
        <v>7</v>
      </c>
      <c r="AC1750" s="2" t="s">
        <v>319</v>
      </c>
      <c r="AD1750" s="4">
        <v>150</v>
      </c>
      <c r="AE1750" s="4">
        <v>300</v>
      </c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233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233</v>
      </c>
      <c r="AW1750" s="8" t="s">
        <v>233</v>
      </c>
      <c r="AX1750" s="4" t="s">
        <v>233</v>
      </c>
      <c r="AY1750" s="8" t="s">
        <v>233</v>
      </c>
      <c r="AZ1750" s="7" t="s">
        <v>233</v>
      </c>
      <c r="BA1750" s="7" t="s">
        <v>233</v>
      </c>
      <c r="BB1750" s="7"/>
      <c r="BC1750" s="4" t="s">
        <v>233</v>
      </c>
      <c r="BD1750" s="8" t="s">
        <v>233</v>
      </c>
      <c r="BE1750" s="4" t="s">
        <v>233</v>
      </c>
      <c r="BF1750" s="8" t="s">
        <v>233</v>
      </c>
      <c r="BG1750" s="7" t="s">
        <v>233</v>
      </c>
      <c r="BH1750" s="7" t="s">
        <v>233</v>
      </c>
      <c r="BI1750" s="7"/>
      <c r="BJ1750" s="4">
        <v>12</v>
      </c>
      <c r="BK1750" s="8">
        <v>145.62</v>
      </c>
      <c r="BL1750" s="2" t="s">
        <v>8230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8231</v>
      </c>
      <c r="BV1750" s="2" t="s">
        <v>233</v>
      </c>
      <c r="BW1750" s="2" t="s">
        <v>233</v>
      </c>
      <c r="BX1750" s="2" t="s">
        <v>233</v>
      </c>
      <c r="BY1750" s="2" t="s">
        <v>280</v>
      </c>
      <c r="BZ1750" s="2" t="s">
        <v>245</v>
      </c>
      <c r="CA1750" s="2" t="s">
        <v>1319</v>
      </c>
      <c r="CB1750" s="2" t="s">
        <v>4399</v>
      </c>
      <c r="CC1750" s="2" t="s">
        <v>246</v>
      </c>
      <c r="CD1750" s="2" t="s">
        <v>233</v>
      </c>
      <c r="CE1750" s="4">
        <v>151</v>
      </c>
      <c r="CF1750" s="4"/>
      <c r="CG1750" s="4"/>
      <c r="CH1750" s="4"/>
      <c r="CI1750" s="4"/>
      <c r="CJ1750" s="4"/>
      <c r="CK1750" s="4"/>
      <c r="CL1750" s="4">
        <v>120</v>
      </c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>
        <v>150</v>
      </c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>
        <v>100</v>
      </c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>
        <v>30</v>
      </c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>
        <v>20</v>
      </c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  <c r="HF1750" s="4"/>
      <c r="HG1750" s="4"/>
      <c r="HH1750" s="4"/>
      <c r="HI1750" s="4"/>
      <c r="HJ1750" s="4"/>
      <c r="HK1750" s="4"/>
      <c r="HL1750" s="4"/>
      <c r="HM1750" s="4"/>
      <c r="HN1750" s="4"/>
      <c r="HO1750" s="4"/>
      <c r="HP1750" s="4"/>
      <c r="HQ1750" s="4"/>
      <c r="HR1750" s="4"/>
    </row>
    <row r="1751">
      <c r="A1751" s="2" t="s">
        <v>8232</v>
      </c>
      <c r="B1751" s="2" t="s">
        <v>333</v>
      </c>
      <c r="C1751" s="2" t="s">
        <v>911</v>
      </c>
      <c r="D1751" s="2" t="s">
        <v>335</v>
      </c>
      <c r="E1751" s="2" t="s">
        <v>336</v>
      </c>
      <c r="F1751" s="2" t="s">
        <v>395</v>
      </c>
      <c r="G1751" s="2" t="s">
        <v>395</v>
      </c>
      <c r="H1751" s="2" t="s">
        <v>395</v>
      </c>
      <c r="I1751" s="2" t="s">
        <v>8131</v>
      </c>
      <c r="J1751" s="2" t="s">
        <v>290</v>
      </c>
      <c r="K1751" s="2" t="s">
        <v>620</v>
      </c>
      <c r="L1751" s="3">
        <v>12.92</v>
      </c>
      <c r="M1751" s="3">
        <v>13.57</v>
      </c>
      <c r="N1751" s="3">
        <v>30.99</v>
      </c>
      <c r="O1751" s="2" t="s">
        <v>245</v>
      </c>
      <c r="P1751" s="2" t="s">
        <v>272</v>
      </c>
      <c r="Q1751" s="2" t="s">
        <v>239</v>
      </c>
      <c r="R1751" s="2" t="s">
        <v>233</v>
      </c>
      <c r="S1751" s="2" t="s">
        <v>8229</v>
      </c>
      <c r="T1751" s="2" t="s">
        <v>395</v>
      </c>
      <c r="U1751" s="2" t="s">
        <v>233</v>
      </c>
      <c r="V1751" s="2" t="s">
        <v>241</v>
      </c>
      <c r="W1751" s="2" t="s">
        <v>275</v>
      </c>
      <c r="X1751" s="2" t="s">
        <v>233</v>
      </c>
      <c r="Y1751" s="2" t="s">
        <v>276</v>
      </c>
      <c r="Z1751" s="4">
        <v>237</v>
      </c>
      <c r="AA1751" s="4">
        <f>=ROUNDDOWN(69.7058823529412,0)</f>
      </c>
      <c r="AB1751" s="5">
        <v>3.4</v>
      </c>
      <c r="AC1751" s="2" t="s">
        <v>319</v>
      </c>
      <c r="AD1751" s="4">
        <v>50</v>
      </c>
      <c r="AE1751" s="4">
        <v>50</v>
      </c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233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233</v>
      </c>
      <c r="AW1751" s="8" t="s">
        <v>233</v>
      </c>
      <c r="AX1751" s="4" t="s">
        <v>233</v>
      </c>
      <c r="AY1751" s="8" t="s">
        <v>233</v>
      </c>
      <c r="AZ1751" s="7" t="s">
        <v>233</v>
      </c>
      <c r="BA1751" s="7" t="s">
        <v>233</v>
      </c>
      <c r="BB1751" s="7"/>
      <c r="BC1751" s="4" t="s">
        <v>233</v>
      </c>
      <c r="BD1751" s="8" t="s">
        <v>233</v>
      </c>
      <c r="BE1751" s="4" t="s">
        <v>233</v>
      </c>
      <c r="BF1751" s="8" t="s">
        <v>233</v>
      </c>
      <c r="BG1751" s="7" t="s">
        <v>233</v>
      </c>
      <c r="BH1751" s="7" t="s">
        <v>233</v>
      </c>
      <c r="BI1751" s="7"/>
      <c r="BJ1751" s="4">
        <v>16</v>
      </c>
      <c r="BK1751" s="8">
        <v>239.69</v>
      </c>
      <c r="BL1751" s="2" t="s">
        <v>8233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8234</v>
      </c>
      <c r="BV1751" s="2" t="s">
        <v>233</v>
      </c>
      <c r="BW1751" s="2" t="s">
        <v>233</v>
      </c>
      <c r="BX1751" s="2" t="s">
        <v>233</v>
      </c>
      <c r="BY1751" s="2" t="s">
        <v>280</v>
      </c>
      <c r="BZ1751" s="2" t="s">
        <v>245</v>
      </c>
      <c r="CA1751" s="2" t="s">
        <v>1319</v>
      </c>
      <c r="CB1751" s="2" t="s">
        <v>8235</v>
      </c>
      <c r="CC1751" s="2" t="s">
        <v>246</v>
      </c>
      <c r="CD1751" s="2" t="s">
        <v>233</v>
      </c>
      <c r="CE1751" s="4">
        <v>177</v>
      </c>
      <c r="CF1751" s="4"/>
      <c r="CG1751" s="4"/>
      <c r="CH1751" s="4"/>
      <c r="CI1751" s="4"/>
      <c r="CJ1751" s="4"/>
      <c r="CK1751" s="4"/>
      <c r="CL1751" s="4">
        <v>60</v>
      </c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>
        <v>50</v>
      </c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/>
      <c r="HA1751" s="4"/>
      <c r="HB1751" s="4"/>
      <c r="HC1751" s="4"/>
      <c r="HD1751" s="4"/>
      <c r="HE1751" s="4"/>
      <c r="HF1751" s="4"/>
      <c r="HG1751" s="4"/>
      <c r="HH1751" s="4"/>
      <c r="HI1751" s="4"/>
      <c r="HJ1751" s="4"/>
      <c r="HK1751" s="4"/>
      <c r="HL1751" s="4"/>
      <c r="HM1751" s="4"/>
      <c r="HN1751" s="4"/>
      <c r="HO1751" s="4"/>
      <c r="HP1751" s="4"/>
      <c r="HQ1751" s="4"/>
      <c r="HR1751" s="4"/>
    </row>
    <row r="1752">
      <c r="A1752" s="2" t="s">
        <v>8236</v>
      </c>
      <c r="B1752" s="2" t="s">
        <v>333</v>
      </c>
      <c r="C1752" s="2" t="s">
        <v>911</v>
      </c>
      <c r="D1752" s="2" t="s">
        <v>335</v>
      </c>
      <c r="E1752" s="2" t="s">
        <v>336</v>
      </c>
      <c r="F1752" s="2" t="s">
        <v>395</v>
      </c>
      <c r="G1752" s="2" t="s">
        <v>395</v>
      </c>
      <c r="H1752" s="2" t="s">
        <v>395</v>
      </c>
      <c r="I1752" s="2" t="s">
        <v>8131</v>
      </c>
      <c r="J1752" s="2" t="s">
        <v>348</v>
      </c>
      <c r="K1752" s="2" t="s">
        <v>620</v>
      </c>
      <c r="L1752" s="3">
        <v>14.21</v>
      </c>
      <c r="M1752" s="3">
        <v>14.92</v>
      </c>
      <c r="N1752" s="3">
        <v>32.99</v>
      </c>
      <c r="O1752" s="2" t="s">
        <v>245</v>
      </c>
      <c r="P1752" s="2" t="s">
        <v>272</v>
      </c>
      <c r="Q1752" s="2" t="s">
        <v>239</v>
      </c>
      <c r="R1752" s="2" t="s">
        <v>233</v>
      </c>
      <c r="S1752" s="2" t="s">
        <v>8229</v>
      </c>
      <c r="T1752" s="2" t="s">
        <v>395</v>
      </c>
      <c r="U1752" s="2" t="s">
        <v>233</v>
      </c>
      <c r="V1752" s="2" t="s">
        <v>241</v>
      </c>
      <c r="W1752" s="2" t="s">
        <v>275</v>
      </c>
      <c r="X1752" s="2" t="s">
        <v>233</v>
      </c>
      <c r="Y1752" s="2" t="s">
        <v>276</v>
      </c>
      <c r="Z1752" s="4">
        <v>90</v>
      </c>
      <c r="AA1752" s="4">
        <f>=ROUNDDOWN(2.64705882352941,0)</f>
      </c>
      <c r="AB1752" s="5">
        <v>34</v>
      </c>
      <c r="AC1752" s="2" t="s">
        <v>319</v>
      </c>
      <c r="AD1752" s="4">
        <v>120</v>
      </c>
      <c r="AE1752" s="4">
        <v>889</v>
      </c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233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233</v>
      </c>
      <c r="AW1752" s="8" t="s">
        <v>233</v>
      </c>
      <c r="AX1752" s="4" t="s">
        <v>233</v>
      </c>
      <c r="AY1752" s="8" t="s">
        <v>233</v>
      </c>
      <c r="AZ1752" s="7" t="s">
        <v>233</v>
      </c>
      <c r="BA1752" s="7" t="s">
        <v>233</v>
      </c>
      <c r="BB1752" s="7"/>
      <c r="BC1752" s="4" t="s">
        <v>233</v>
      </c>
      <c r="BD1752" s="8" t="s">
        <v>233</v>
      </c>
      <c r="BE1752" s="4" t="s">
        <v>233</v>
      </c>
      <c r="BF1752" s="8" t="s">
        <v>233</v>
      </c>
      <c r="BG1752" s="7" t="s">
        <v>233</v>
      </c>
      <c r="BH1752" s="7" t="s">
        <v>233</v>
      </c>
      <c r="BI1752" s="7"/>
      <c r="BJ1752" s="4">
        <v>151</v>
      </c>
      <c r="BK1752" s="8">
        <v>2252.29</v>
      </c>
      <c r="BL1752" s="2" t="s">
        <v>8237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8238</v>
      </c>
      <c r="BV1752" s="2" t="s">
        <v>233</v>
      </c>
      <c r="BW1752" s="2" t="s">
        <v>233</v>
      </c>
      <c r="BX1752" s="2" t="s">
        <v>233</v>
      </c>
      <c r="BY1752" s="2" t="s">
        <v>280</v>
      </c>
      <c r="BZ1752" s="2" t="s">
        <v>245</v>
      </c>
      <c r="CA1752" s="2" t="s">
        <v>1319</v>
      </c>
      <c r="CB1752" s="2" t="s">
        <v>4399</v>
      </c>
      <c r="CC1752" s="2" t="s">
        <v>246</v>
      </c>
      <c r="CD1752" s="2" t="s">
        <v>233</v>
      </c>
      <c r="CE1752" s="4"/>
      <c r="CF1752" s="4"/>
      <c r="CG1752" s="4"/>
      <c r="CH1752" s="4"/>
      <c r="CI1752" s="4"/>
      <c r="CJ1752" s="4"/>
      <c r="CK1752" s="4"/>
      <c r="CL1752" s="4">
        <v>90</v>
      </c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>
        <v>120</v>
      </c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>
        <v>300</v>
      </c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>
        <v>209</v>
      </c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>
        <v>260</v>
      </c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  <c r="HF1752" s="4"/>
      <c r="HG1752" s="4"/>
      <c r="HH1752" s="4"/>
      <c r="HI1752" s="4"/>
      <c r="HJ1752" s="4"/>
      <c r="HK1752" s="4"/>
      <c r="HL1752" s="4"/>
      <c r="HM1752" s="4"/>
      <c r="HN1752" s="4"/>
      <c r="HO1752" s="4"/>
      <c r="HP1752" s="4"/>
      <c r="HQ1752" s="4"/>
      <c r="HR1752" s="4"/>
    </row>
    <row r="1753">
      <c r="A1753" s="2" t="s">
        <v>8239</v>
      </c>
      <c r="B1753" s="2" t="s">
        <v>333</v>
      </c>
      <c r="C1753" s="2" t="s">
        <v>911</v>
      </c>
      <c r="D1753" s="2" t="s">
        <v>335</v>
      </c>
      <c r="E1753" s="2" t="s">
        <v>336</v>
      </c>
      <c r="F1753" s="2" t="s">
        <v>395</v>
      </c>
      <c r="G1753" s="2" t="s">
        <v>395</v>
      </c>
      <c r="H1753" s="2" t="s">
        <v>395</v>
      </c>
      <c r="I1753" s="2" t="s">
        <v>8131</v>
      </c>
      <c r="J1753" s="2" t="s">
        <v>328</v>
      </c>
      <c r="K1753" s="2" t="s">
        <v>620</v>
      </c>
      <c r="L1753" s="3">
        <v>16.75</v>
      </c>
      <c r="M1753" s="3">
        <v>17.59</v>
      </c>
      <c r="N1753" s="3">
        <v>37.99</v>
      </c>
      <c r="O1753" s="2" t="s">
        <v>245</v>
      </c>
      <c r="P1753" s="2" t="s">
        <v>272</v>
      </c>
      <c r="Q1753" s="2" t="s">
        <v>239</v>
      </c>
      <c r="R1753" s="2" t="s">
        <v>233</v>
      </c>
      <c r="S1753" s="2" t="s">
        <v>8229</v>
      </c>
      <c r="T1753" s="2" t="s">
        <v>395</v>
      </c>
      <c r="U1753" s="2" t="s">
        <v>233</v>
      </c>
      <c r="V1753" s="2" t="s">
        <v>241</v>
      </c>
      <c r="W1753" s="2" t="s">
        <v>275</v>
      </c>
      <c r="X1753" s="2" t="s">
        <v>233</v>
      </c>
      <c r="Y1753" s="2" t="s">
        <v>276</v>
      </c>
      <c r="Z1753" s="4">
        <v>183</v>
      </c>
      <c r="AA1753" s="4">
        <f>=ROUNDDOWN(16.6363636363636,0)</f>
      </c>
      <c r="AB1753" s="5">
        <v>11</v>
      </c>
      <c r="AC1753" s="2" t="s">
        <v>319</v>
      </c>
      <c r="AD1753" s="4">
        <v>40</v>
      </c>
      <c r="AE1753" s="4">
        <v>80</v>
      </c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233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233</v>
      </c>
      <c r="AW1753" s="8" t="s">
        <v>233</v>
      </c>
      <c r="AX1753" s="4" t="s">
        <v>233</v>
      </c>
      <c r="AY1753" s="8" t="s">
        <v>233</v>
      </c>
      <c r="AZ1753" s="7" t="s">
        <v>233</v>
      </c>
      <c r="BA1753" s="7" t="s">
        <v>233</v>
      </c>
      <c r="BB1753" s="7"/>
      <c r="BC1753" s="4" t="s">
        <v>233</v>
      </c>
      <c r="BD1753" s="8" t="s">
        <v>233</v>
      </c>
      <c r="BE1753" s="4" t="s">
        <v>233</v>
      </c>
      <c r="BF1753" s="8" t="s">
        <v>233</v>
      </c>
      <c r="BG1753" s="7" t="s">
        <v>233</v>
      </c>
      <c r="BH1753" s="7" t="s">
        <v>233</v>
      </c>
      <c r="BI1753" s="7"/>
      <c r="BJ1753" s="4">
        <v>29</v>
      </c>
      <c r="BK1753" s="8">
        <v>527.24</v>
      </c>
      <c r="BL1753" s="2" t="s">
        <v>8240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8241</v>
      </c>
      <c r="BV1753" s="2" t="s">
        <v>233</v>
      </c>
      <c r="BW1753" s="2" t="s">
        <v>233</v>
      </c>
      <c r="BX1753" s="2" t="s">
        <v>233</v>
      </c>
      <c r="BY1753" s="2" t="s">
        <v>280</v>
      </c>
      <c r="BZ1753" s="2" t="s">
        <v>245</v>
      </c>
      <c r="CA1753" s="2" t="s">
        <v>1319</v>
      </c>
      <c r="CB1753" s="2" t="s">
        <v>8242</v>
      </c>
      <c r="CC1753" s="2" t="s">
        <v>246</v>
      </c>
      <c r="CD1753" s="2" t="s">
        <v>233</v>
      </c>
      <c r="CE1753" s="4">
        <v>183</v>
      </c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>
        <v>40</v>
      </c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>
        <v>40</v>
      </c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  <c r="HF1753" s="4"/>
      <c r="HG1753" s="4"/>
      <c r="HH1753" s="4"/>
      <c r="HI1753" s="4"/>
      <c r="HJ1753" s="4"/>
      <c r="HK1753" s="4"/>
      <c r="HL1753" s="4"/>
      <c r="HM1753" s="4"/>
      <c r="HN1753" s="4"/>
      <c r="HO1753" s="4"/>
      <c r="HP1753" s="4"/>
      <c r="HQ1753" s="4"/>
      <c r="HR1753" s="4"/>
    </row>
    <row r="1754">
      <c r="A1754" s="2" t="s">
        <v>8243</v>
      </c>
      <c r="B1754" s="2" t="s">
        <v>333</v>
      </c>
      <c r="C1754" s="2" t="s">
        <v>911</v>
      </c>
      <c r="D1754" s="2" t="s">
        <v>335</v>
      </c>
      <c r="E1754" s="2" t="s">
        <v>336</v>
      </c>
      <c r="F1754" s="2" t="s">
        <v>395</v>
      </c>
      <c r="G1754" s="2" t="s">
        <v>395</v>
      </c>
      <c r="H1754" s="2" t="s">
        <v>395</v>
      </c>
      <c r="I1754" s="2" t="s">
        <v>8131</v>
      </c>
      <c r="J1754" s="2" t="s">
        <v>270</v>
      </c>
      <c r="K1754" s="2" t="s">
        <v>297</v>
      </c>
      <c r="L1754" s="3">
        <v>11.18</v>
      </c>
      <c r="M1754" s="3">
        <v>11.74</v>
      </c>
      <c r="N1754" s="3">
        <v>27.99</v>
      </c>
      <c r="O1754" s="2" t="s">
        <v>245</v>
      </c>
      <c r="P1754" s="2" t="s">
        <v>272</v>
      </c>
      <c r="Q1754" s="2" t="s">
        <v>239</v>
      </c>
      <c r="R1754" s="2" t="s">
        <v>233</v>
      </c>
      <c r="S1754" s="2" t="s">
        <v>5375</v>
      </c>
      <c r="T1754" s="2" t="s">
        <v>395</v>
      </c>
      <c r="U1754" s="2" t="s">
        <v>233</v>
      </c>
      <c r="V1754" s="2" t="s">
        <v>241</v>
      </c>
      <c r="W1754" s="2" t="s">
        <v>275</v>
      </c>
      <c r="X1754" s="2" t="s">
        <v>233</v>
      </c>
      <c r="Y1754" s="2" t="s">
        <v>557</v>
      </c>
      <c r="Z1754" s="4">
        <v>70</v>
      </c>
      <c r="AA1754" s="4">
        <f>=ROUNDDOWN({0},0)</f>
      </c>
      <c r="AB1754" s="5">
        <v>15</v>
      </c>
      <c r="AC1754" s="2" t="s">
        <v>547</v>
      </c>
      <c r="AD1754" s="4">
        <v>120</v>
      </c>
      <c r="AE1754" s="4">
        <v>305</v>
      </c>
      <c r="AF1754" s="6">
        <v>65</v>
      </c>
      <c r="AG1754" s="6"/>
      <c r="AH1754" s="7">
        <v>0.4839</v>
      </c>
      <c r="AI1754" s="4"/>
      <c r="AJ1754" s="4">
        <f>=ROUNDDOWN({0},0)</f>
      </c>
      <c r="AK1754" s="5"/>
      <c r="AL1754" s="2" t="s">
        <v>233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233</v>
      </c>
      <c r="AW1754" s="8" t="s">
        <v>233</v>
      </c>
      <c r="AX1754" s="4" t="s">
        <v>233</v>
      </c>
      <c r="AY1754" s="8" t="s">
        <v>233</v>
      </c>
      <c r="AZ1754" s="7" t="s">
        <v>233</v>
      </c>
      <c r="BA1754" s="7" t="s">
        <v>233</v>
      </c>
      <c r="BB1754" s="7" t="s">
        <v>233</v>
      </c>
      <c r="BC1754" s="4" t="s">
        <v>233</v>
      </c>
      <c r="BD1754" s="8" t="s">
        <v>233</v>
      </c>
      <c r="BE1754" s="4" t="s">
        <v>233</v>
      </c>
      <c r="BF1754" s="8" t="s">
        <v>233</v>
      </c>
      <c r="BG1754" s="7" t="s">
        <v>233</v>
      </c>
      <c r="BH1754" s="7" t="s">
        <v>233</v>
      </c>
      <c r="BI1754" s="7"/>
      <c r="BJ1754" s="4">
        <v>28</v>
      </c>
      <c r="BK1754" s="8">
        <v>339.1</v>
      </c>
      <c r="BL1754" s="2" t="s">
        <v>8244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8245</v>
      </c>
      <c r="BV1754" s="2" t="s">
        <v>233</v>
      </c>
      <c r="BW1754" s="2" t="s">
        <v>233</v>
      </c>
      <c r="BX1754" s="2" t="s">
        <v>233</v>
      </c>
      <c r="BY1754" s="2" t="s">
        <v>280</v>
      </c>
      <c r="BZ1754" s="2" t="s">
        <v>245</v>
      </c>
      <c r="CA1754" s="2" t="s">
        <v>281</v>
      </c>
      <c r="CB1754" s="2" t="s">
        <v>633</v>
      </c>
      <c r="CC1754" s="2" t="s">
        <v>246</v>
      </c>
      <c r="CD1754" s="2" t="s">
        <v>233</v>
      </c>
      <c r="CE1754" s="4"/>
      <c r="CF1754" s="4"/>
      <c r="CG1754" s="4"/>
      <c r="CH1754" s="4"/>
      <c r="CI1754" s="4"/>
      <c r="CJ1754" s="4"/>
      <c r="CK1754" s="4"/>
      <c r="CL1754" s="4">
        <v>70</v>
      </c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>
        <v>120</v>
      </c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>
        <v>65</v>
      </c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>
        <v>120</v>
      </c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  <c r="HF1754" s="4"/>
      <c r="HG1754" s="4"/>
      <c r="HH1754" s="4"/>
      <c r="HI1754" s="4"/>
      <c r="HJ1754" s="4"/>
      <c r="HK1754" s="4"/>
      <c r="HL1754" s="4"/>
      <c r="HM1754" s="4"/>
      <c r="HN1754" s="4"/>
      <c r="HO1754" s="4"/>
      <c r="HP1754" s="4"/>
      <c r="HQ1754" s="4"/>
      <c r="HR1754" s="4"/>
    </row>
    <row r="1755">
      <c r="A1755" s="2" t="s">
        <v>8246</v>
      </c>
      <c r="B1755" s="2" t="s">
        <v>333</v>
      </c>
      <c r="C1755" s="2" t="s">
        <v>911</v>
      </c>
      <c r="D1755" s="2" t="s">
        <v>335</v>
      </c>
      <c r="E1755" s="2" t="s">
        <v>336</v>
      </c>
      <c r="F1755" s="2" t="s">
        <v>395</v>
      </c>
      <c r="G1755" s="2" t="s">
        <v>395</v>
      </c>
      <c r="H1755" s="2" t="s">
        <v>395</v>
      </c>
      <c r="I1755" s="2" t="s">
        <v>8158</v>
      </c>
      <c r="J1755" s="2" t="s">
        <v>270</v>
      </c>
      <c r="K1755" s="2" t="s">
        <v>297</v>
      </c>
      <c r="L1755" s="3">
        <v>12.15</v>
      </c>
      <c r="M1755" s="3">
        <v>12.76</v>
      </c>
      <c r="N1755" s="3">
        <v>26.99</v>
      </c>
      <c r="O1755" s="2" t="s">
        <v>245</v>
      </c>
      <c r="P1755" s="2" t="s">
        <v>272</v>
      </c>
      <c r="Q1755" s="2" t="s">
        <v>239</v>
      </c>
      <c r="R1755" s="2" t="s">
        <v>233</v>
      </c>
      <c r="S1755" s="2" t="s">
        <v>5375</v>
      </c>
      <c r="T1755" s="2" t="s">
        <v>395</v>
      </c>
      <c r="U1755" s="2" t="s">
        <v>342</v>
      </c>
      <c r="V1755" s="2" t="s">
        <v>241</v>
      </c>
      <c r="W1755" s="2" t="s">
        <v>275</v>
      </c>
      <c r="X1755" s="2" t="s">
        <v>397</v>
      </c>
      <c r="Y1755" s="2" t="s">
        <v>8159</v>
      </c>
      <c r="Z1755" s="4">
        <v>163</v>
      </c>
      <c r="AA1755" s="4">
        <f>=ROUNDDOWN(54.3333333333333,0)</f>
      </c>
      <c r="AB1755" s="5">
        <v>3</v>
      </c>
      <c r="AC1755" s="2" t="s">
        <v>547</v>
      </c>
      <c r="AD1755" s="4">
        <v>30</v>
      </c>
      <c r="AE1755" s="4">
        <v>30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233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233</v>
      </c>
      <c r="AW1755" s="8" t="s">
        <v>233</v>
      </c>
      <c r="AX1755" s="4" t="s">
        <v>233</v>
      </c>
      <c r="AY1755" s="8" t="s">
        <v>233</v>
      </c>
      <c r="AZ1755" s="7" t="s">
        <v>233</v>
      </c>
      <c r="BA1755" s="7" t="s">
        <v>233</v>
      </c>
      <c r="BB1755" s="7" t="s">
        <v>233</v>
      </c>
      <c r="BC1755" s="4" t="s">
        <v>233</v>
      </c>
      <c r="BD1755" s="8" t="s">
        <v>233</v>
      </c>
      <c r="BE1755" s="4" t="s">
        <v>233</v>
      </c>
      <c r="BF1755" s="8" t="s">
        <v>233</v>
      </c>
      <c r="BG1755" s="7" t="s">
        <v>233</v>
      </c>
      <c r="BH1755" s="7" t="s">
        <v>233</v>
      </c>
      <c r="BI1755" s="7"/>
      <c r="BJ1755" s="4">
        <v>6</v>
      </c>
      <c r="BK1755" s="8">
        <v>77.86</v>
      </c>
      <c r="BL1755" s="2" t="s">
        <v>1687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8247</v>
      </c>
      <c r="BV1755" s="2" t="s">
        <v>233</v>
      </c>
      <c r="BW1755" s="2" t="s">
        <v>233</v>
      </c>
      <c r="BX1755" s="2" t="s">
        <v>233</v>
      </c>
      <c r="BY1755" s="2" t="s">
        <v>280</v>
      </c>
      <c r="BZ1755" s="2" t="s">
        <v>245</v>
      </c>
      <c r="CA1755" s="2" t="s">
        <v>8162</v>
      </c>
      <c r="CB1755" s="2" t="s">
        <v>8248</v>
      </c>
      <c r="CC1755" s="2" t="s">
        <v>246</v>
      </c>
      <c r="CD1755" s="2" t="s">
        <v>233</v>
      </c>
      <c r="CE1755" s="4">
        <v>163</v>
      </c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>
        <v>30</v>
      </c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  <c r="HF1755" s="4"/>
      <c r="HG1755" s="4"/>
      <c r="HH1755" s="4"/>
      <c r="HI1755" s="4"/>
      <c r="HJ1755" s="4"/>
      <c r="HK1755" s="4"/>
      <c r="HL1755" s="4"/>
      <c r="HM1755" s="4"/>
      <c r="HN1755" s="4"/>
      <c r="HO1755" s="4"/>
      <c r="HP1755" s="4"/>
      <c r="HQ1755" s="4"/>
      <c r="HR1755" s="4"/>
    </row>
    <row r="1756">
      <c r="A1756" s="2" t="s">
        <v>8249</v>
      </c>
      <c r="B1756" s="2" t="s">
        <v>333</v>
      </c>
      <c r="C1756" s="2" t="s">
        <v>911</v>
      </c>
      <c r="D1756" s="2" t="s">
        <v>335</v>
      </c>
      <c r="E1756" s="2" t="s">
        <v>336</v>
      </c>
      <c r="F1756" s="2" t="s">
        <v>395</v>
      </c>
      <c r="G1756" s="2" t="s">
        <v>395</v>
      </c>
      <c r="H1756" s="2" t="s">
        <v>395</v>
      </c>
      <c r="I1756" s="2" t="s">
        <v>8131</v>
      </c>
      <c r="J1756" s="2" t="s">
        <v>284</v>
      </c>
      <c r="K1756" s="2" t="s">
        <v>297</v>
      </c>
      <c r="L1756" s="3">
        <v>11.18</v>
      </c>
      <c r="M1756" s="3">
        <v>11.74</v>
      </c>
      <c r="N1756" s="3">
        <v>27.99</v>
      </c>
      <c r="O1756" s="2" t="s">
        <v>245</v>
      </c>
      <c r="P1756" s="2" t="s">
        <v>272</v>
      </c>
      <c r="Q1756" s="2" t="s">
        <v>239</v>
      </c>
      <c r="R1756" s="2" t="s">
        <v>233</v>
      </c>
      <c r="S1756" s="2" t="s">
        <v>5375</v>
      </c>
      <c r="T1756" s="2" t="s">
        <v>395</v>
      </c>
      <c r="U1756" s="2" t="s">
        <v>233</v>
      </c>
      <c r="V1756" s="2" t="s">
        <v>241</v>
      </c>
      <c r="W1756" s="2" t="s">
        <v>275</v>
      </c>
      <c r="X1756" s="2" t="s">
        <v>233</v>
      </c>
      <c r="Y1756" s="2" t="s">
        <v>276</v>
      </c>
      <c r="Z1756" s="4">
        <v>154</v>
      </c>
      <c r="AA1756" s="4">
        <f>=ROUNDDOWN(30.8,0)</f>
      </c>
      <c r="AB1756" s="5">
        <v>5</v>
      </c>
      <c r="AC1756" s="2" t="s">
        <v>319</v>
      </c>
      <c r="AD1756" s="4">
        <v>90</v>
      </c>
      <c r="AE1756" s="4">
        <v>310</v>
      </c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233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233</v>
      </c>
      <c r="AW1756" s="8" t="s">
        <v>233</v>
      </c>
      <c r="AX1756" s="4" t="s">
        <v>233</v>
      </c>
      <c r="AY1756" s="8" t="s">
        <v>233</v>
      </c>
      <c r="AZ1756" s="7" t="s">
        <v>233</v>
      </c>
      <c r="BA1756" s="7" t="s">
        <v>233</v>
      </c>
      <c r="BB1756" s="7"/>
      <c r="BC1756" s="4" t="s">
        <v>233</v>
      </c>
      <c r="BD1756" s="8" t="s">
        <v>233</v>
      </c>
      <c r="BE1756" s="4" t="s">
        <v>233</v>
      </c>
      <c r="BF1756" s="8" t="s">
        <v>233</v>
      </c>
      <c r="BG1756" s="7" t="s">
        <v>233</v>
      </c>
      <c r="BH1756" s="7" t="s">
        <v>233</v>
      </c>
      <c r="BI1756" s="7"/>
      <c r="BJ1756" s="4">
        <v>12</v>
      </c>
      <c r="BK1756" s="8">
        <v>152.66</v>
      </c>
      <c r="BL1756" s="2" t="s">
        <v>8250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8251</v>
      </c>
      <c r="BV1756" s="2" t="s">
        <v>233</v>
      </c>
      <c r="BW1756" s="2" t="s">
        <v>233</v>
      </c>
      <c r="BX1756" s="2" t="s">
        <v>233</v>
      </c>
      <c r="BY1756" s="2" t="s">
        <v>280</v>
      </c>
      <c r="BZ1756" s="2" t="s">
        <v>245</v>
      </c>
      <c r="CA1756" s="2" t="s">
        <v>281</v>
      </c>
      <c r="CB1756" s="2" t="s">
        <v>7954</v>
      </c>
      <c r="CC1756" s="2" t="s">
        <v>246</v>
      </c>
      <c r="CD1756" s="2" t="s">
        <v>233</v>
      </c>
      <c r="CE1756" s="4">
        <v>154</v>
      </c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>
        <v>90</v>
      </c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>
        <v>100</v>
      </c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>
        <v>50</v>
      </c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>
        <v>70</v>
      </c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  <c r="HF1756" s="4"/>
      <c r="HG1756" s="4"/>
      <c r="HH1756" s="4"/>
      <c r="HI1756" s="4"/>
      <c r="HJ1756" s="4"/>
      <c r="HK1756" s="4"/>
      <c r="HL1756" s="4"/>
      <c r="HM1756" s="4"/>
      <c r="HN1756" s="4"/>
      <c r="HO1756" s="4"/>
      <c r="HP1756" s="4"/>
      <c r="HQ1756" s="4"/>
      <c r="HR1756" s="4"/>
    </row>
    <row r="1757">
      <c r="A1757" s="2" t="s">
        <v>8252</v>
      </c>
      <c r="B1757" s="2" t="s">
        <v>333</v>
      </c>
      <c r="C1757" s="2" t="s">
        <v>911</v>
      </c>
      <c r="D1757" s="2" t="s">
        <v>335</v>
      </c>
      <c r="E1757" s="2" t="s">
        <v>336</v>
      </c>
      <c r="F1757" s="2" t="s">
        <v>395</v>
      </c>
      <c r="G1757" s="2" t="s">
        <v>395</v>
      </c>
      <c r="H1757" s="2" t="s">
        <v>395</v>
      </c>
      <c r="I1757" s="2" t="s">
        <v>8131</v>
      </c>
      <c r="J1757" s="2" t="s">
        <v>348</v>
      </c>
      <c r="K1757" s="2" t="s">
        <v>297</v>
      </c>
      <c r="L1757" s="3">
        <v>14.21</v>
      </c>
      <c r="M1757" s="3">
        <v>14.92</v>
      </c>
      <c r="N1757" s="3">
        <v>32.99</v>
      </c>
      <c r="O1757" s="2" t="s">
        <v>245</v>
      </c>
      <c r="P1757" s="2" t="s">
        <v>1366</v>
      </c>
      <c r="Q1757" s="2" t="s">
        <v>239</v>
      </c>
      <c r="R1757" s="2" t="s">
        <v>233</v>
      </c>
      <c r="S1757" s="2" t="s">
        <v>5375</v>
      </c>
      <c r="T1757" s="2" t="s">
        <v>395</v>
      </c>
      <c r="U1757" s="2" t="s">
        <v>233</v>
      </c>
      <c r="V1757" s="2" t="s">
        <v>241</v>
      </c>
      <c r="W1757" s="2" t="s">
        <v>275</v>
      </c>
      <c r="X1757" s="2" t="s">
        <v>233</v>
      </c>
      <c r="Y1757" s="2" t="s">
        <v>276</v>
      </c>
      <c r="Z1757" s="4">
        <v>231</v>
      </c>
      <c r="AA1757" s="4">
        <f>=ROUNDDOWN(10.0434782608696,0)</f>
      </c>
      <c r="AB1757" s="5">
        <v>23</v>
      </c>
      <c r="AC1757" s="2" t="s">
        <v>547</v>
      </c>
      <c r="AD1757" s="4">
        <v>140</v>
      </c>
      <c r="AE1757" s="4">
        <v>410</v>
      </c>
      <c r="AF1757" s="6">
        <v>65</v>
      </c>
      <c r="AG1757" s="6"/>
      <c r="AH1757" s="7">
        <v>0.9032</v>
      </c>
      <c r="AI1757" s="4"/>
      <c r="AJ1757" s="4">
        <f>=ROUNDDOWN({0},0)</f>
      </c>
      <c r="AK1757" s="5"/>
      <c r="AL1757" s="2" t="s">
        <v>233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233</v>
      </c>
      <c r="AW1757" s="8" t="s">
        <v>233</v>
      </c>
      <c r="AX1757" s="4" t="s">
        <v>233</v>
      </c>
      <c r="AY1757" s="8" t="s">
        <v>233</v>
      </c>
      <c r="AZ1757" s="7" t="s">
        <v>233</v>
      </c>
      <c r="BA1757" s="7" t="s">
        <v>233</v>
      </c>
      <c r="BB1757" s="7" t="s">
        <v>233</v>
      </c>
      <c r="BC1757" s="4" t="s">
        <v>233</v>
      </c>
      <c r="BD1757" s="8" t="s">
        <v>233</v>
      </c>
      <c r="BE1757" s="4" t="s">
        <v>233</v>
      </c>
      <c r="BF1757" s="8" t="s">
        <v>233</v>
      </c>
      <c r="BG1757" s="7" t="s">
        <v>233</v>
      </c>
      <c r="BH1757" s="7" t="s">
        <v>233</v>
      </c>
      <c r="BI1757" s="7"/>
      <c r="BJ1757" s="4">
        <v>103</v>
      </c>
      <c r="BK1757" s="8">
        <v>1529.93</v>
      </c>
      <c r="BL1757" s="2" t="s">
        <v>8253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8254</v>
      </c>
      <c r="BV1757" s="2" t="s">
        <v>233</v>
      </c>
      <c r="BW1757" s="2" t="s">
        <v>233</v>
      </c>
      <c r="BX1757" s="2" t="s">
        <v>233</v>
      </c>
      <c r="BY1757" s="2" t="s">
        <v>280</v>
      </c>
      <c r="BZ1757" s="2" t="s">
        <v>245</v>
      </c>
      <c r="CA1757" s="2" t="s">
        <v>281</v>
      </c>
      <c r="CB1757" s="2" t="s">
        <v>670</v>
      </c>
      <c r="CC1757" s="2" t="s">
        <v>246</v>
      </c>
      <c r="CD1757" s="2" t="s">
        <v>233</v>
      </c>
      <c r="CE1757" s="4">
        <v>131</v>
      </c>
      <c r="CF1757" s="4"/>
      <c r="CG1757" s="4"/>
      <c r="CH1757" s="4"/>
      <c r="CI1757" s="4"/>
      <c r="CJ1757" s="4"/>
      <c r="CK1757" s="4"/>
      <c r="CL1757" s="4">
        <v>100</v>
      </c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>
        <v>140</v>
      </c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>
        <v>90</v>
      </c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>
        <v>180</v>
      </c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  <c r="HF1757" s="4"/>
      <c r="HG1757" s="4"/>
      <c r="HH1757" s="4"/>
      <c r="HI1757" s="4"/>
      <c r="HJ1757" s="4"/>
      <c r="HK1757" s="4"/>
      <c r="HL1757" s="4"/>
      <c r="HM1757" s="4"/>
      <c r="HN1757" s="4"/>
      <c r="HO1757" s="4"/>
      <c r="HP1757" s="4"/>
      <c r="HQ1757" s="4"/>
      <c r="HR1757" s="4"/>
    </row>
    <row r="1758">
      <c r="A1758" s="2" t="s">
        <v>8255</v>
      </c>
      <c r="B1758" s="2" t="s">
        <v>333</v>
      </c>
      <c r="C1758" s="2" t="s">
        <v>911</v>
      </c>
      <c r="D1758" s="2" t="s">
        <v>335</v>
      </c>
      <c r="E1758" s="2" t="s">
        <v>336</v>
      </c>
      <c r="F1758" s="2" t="s">
        <v>395</v>
      </c>
      <c r="G1758" s="2" t="s">
        <v>395</v>
      </c>
      <c r="H1758" s="2" t="s">
        <v>395</v>
      </c>
      <c r="I1758" s="2" t="s">
        <v>8158</v>
      </c>
      <c r="J1758" s="2" t="s">
        <v>348</v>
      </c>
      <c r="K1758" s="2" t="s">
        <v>297</v>
      </c>
      <c r="L1758" s="3">
        <v>14.85</v>
      </c>
      <c r="M1758" s="3">
        <v>15.59</v>
      </c>
      <c r="N1758" s="3">
        <v>32.99</v>
      </c>
      <c r="O1758" s="2" t="s">
        <v>245</v>
      </c>
      <c r="P1758" s="2" t="s">
        <v>272</v>
      </c>
      <c r="Q1758" s="2" t="s">
        <v>239</v>
      </c>
      <c r="R1758" s="2" t="s">
        <v>233</v>
      </c>
      <c r="S1758" s="2" t="s">
        <v>5375</v>
      </c>
      <c r="T1758" s="2" t="s">
        <v>395</v>
      </c>
      <c r="U1758" s="2" t="s">
        <v>871</v>
      </c>
      <c r="V1758" s="2" t="s">
        <v>241</v>
      </c>
      <c r="W1758" s="2" t="s">
        <v>275</v>
      </c>
      <c r="X1758" s="2" t="s">
        <v>397</v>
      </c>
      <c r="Y1758" s="2" t="s">
        <v>8159</v>
      </c>
      <c r="Z1758" s="4">
        <v>362</v>
      </c>
      <c r="AA1758" s="4">
        <f>=ROUNDDOWN(30.1666666666667,0)</f>
      </c>
      <c r="AB1758" s="5">
        <v>12</v>
      </c>
      <c r="AC1758" s="2" t="s">
        <v>547</v>
      </c>
      <c r="AD1758" s="4">
        <v>100</v>
      </c>
      <c r="AE1758" s="4">
        <v>100</v>
      </c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233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233</v>
      </c>
      <c r="AW1758" s="8" t="s">
        <v>233</v>
      </c>
      <c r="AX1758" s="4" t="s">
        <v>233</v>
      </c>
      <c r="AY1758" s="8" t="s">
        <v>233</v>
      </c>
      <c r="AZ1758" s="7" t="s">
        <v>233</v>
      </c>
      <c r="BA1758" s="7" t="s">
        <v>233</v>
      </c>
      <c r="BB1758" s="7" t="s">
        <v>233</v>
      </c>
      <c r="BC1758" s="4" t="s">
        <v>233</v>
      </c>
      <c r="BD1758" s="8" t="s">
        <v>233</v>
      </c>
      <c r="BE1758" s="4" t="s">
        <v>233</v>
      </c>
      <c r="BF1758" s="8" t="s">
        <v>233</v>
      </c>
      <c r="BG1758" s="7" t="s">
        <v>233</v>
      </c>
      <c r="BH1758" s="7" t="s">
        <v>233</v>
      </c>
      <c r="BI1758" s="7"/>
      <c r="BJ1758" s="4">
        <v>36</v>
      </c>
      <c r="BK1758" s="8">
        <v>573.62</v>
      </c>
      <c r="BL1758" s="2" t="s">
        <v>8256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8257</v>
      </c>
      <c r="BV1758" s="2" t="s">
        <v>233</v>
      </c>
      <c r="BW1758" s="2" t="s">
        <v>233</v>
      </c>
      <c r="BX1758" s="2" t="s">
        <v>233</v>
      </c>
      <c r="BY1758" s="2" t="s">
        <v>280</v>
      </c>
      <c r="BZ1758" s="2" t="s">
        <v>245</v>
      </c>
      <c r="CA1758" s="2" t="s">
        <v>8162</v>
      </c>
      <c r="CB1758" s="2" t="s">
        <v>8258</v>
      </c>
      <c r="CC1758" s="2" t="s">
        <v>246</v>
      </c>
      <c r="CD1758" s="2" t="s">
        <v>233</v>
      </c>
      <c r="CE1758" s="4">
        <v>362</v>
      </c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>
        <v>100</v>
      </c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  <c r="HF1758" s="4"/>
      <c r="HG1758" s="4"/>
      <c r="HH1758" s="4"/>
      <c r="HI1758" s="4"/>
      <c r="HJ1758" s="4"/>
      <c r="HK1758" s="4"/>
      <c r="HL1758" s="4"/>
      <c r="HM1758" s="4"/>
      <c r="HN1758" s="4"/>
      <c r="HO1758" s="4"/>
      <c r="HP1758" s="4"/>
      <c r="HQ1758" s="4"/>
      <c r="HR1758" s="4"/>
    </row>
    <row r="1759">
      <c r="A1759" s="2" t="s">
        <v>8259</v>
      </c>
      <c r="B1759" s="2" t="s">
        <v>333</v>
      </c>
      <c r="C1759" s="2" t="s">
        <v>911</v>
      </c>
      <c r="D1759" s="2" t="s">
        <v>335</v>
      </c>
      <c r="E1759" s="2" t="s">
        <v>336</v>
      </c>
      <c r="F1759" s="2" t="s">
        <v>395</v>
      </c>
      <c r="G1759" s="2" t="s">
        <v>395</v>
      </c>
      <c r="H1759" s="2" t="s">
        <v>395</v>
      </c>
      <c r="I1759" s="2" t="s">
        <v>8131</v>
      </c>
      <c r="J1759" s="2" t="s">
        <v>328</v>
      </c>
      <c r="K1759" s="2" t="s">
        <v>297</v>
      </c>
      <c r="L1759" s="3">
        <v>16.75</v>
      </c>
      <c r="M1759" s="3">
        <v>17.59</v>
      </c>
      <c r="N1759" s="3">
        <v>37.99</v>
      </c>
      <c r="O1759" s="2" t="s">
        <v>245</v>
      </c>
      <c r="P1759" s="2" t="s">
        <v>272</v>
      </c>
      <c r="Q1759" s="2" t="s">
        <v>239</v>
      </c>
      <c r="R1759" s="2" t="s">
        <v>233</v>
      </c>
      <c r="S1759" s="2" t="s">
        <v>5375</v>
      </c>
      <c r="T1759" s="2" t="s">
        <v>395</v>
      </c>
      <c r="U1759" s="2" t="s">
        <v>233</v>
      </c>
      <c r="V1759" s="2" t="s">
        <v>241</v>
      </c>
      <c r="W1759" s="2" t="s">
        <v>275</v>
      </c>
      <c r="X1759" s="2" t="s">
        <v>233</v>
      </c>
      <c r="Y1759" s="2" t="s">
        <v>276</v>
      </c>
      <c r="Z1759" s="4">
        <v>162</v>
      </c>
      <c r="AA1759" s="4">
        <f>=ROUNDDOWN(14.7272727272727,0)</f>
      </c>
      <c r="AB1759" s="5">
        <v>11</v>
      </c>
      <c r="AC1759" s="2" t="s">
        <v>3626</v>
      </c>
      <c r="AD1759" s="4">
        <v>50</v>
      </c>
      <c r="AE1759" s="4">
        <v>150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233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233</v>
      </c>
      <c r="AW1759" s="8" t="s">
        <v>233</v>
      </c>
      <c r="AX1759" s="4" t="s">
        <v>233</v>
      </c>
      <c r="AY1759" s="8" t="s">
        <v>233</v>
      </c>
      <c r="AZ1759" s="7" t="s">
        <v>233</v>
      </c>
      <c r="BA1759" s="7" t="s">
        <v>233</v>
      </c>
      <c r="BB1759" s="7"/>
      <c r="BC1759" s="4" t="s">
        <v>233</v>
      </c>
      <c r="BD1759" s="8" t="s">
        <v>233</v>
      </c>
      <c r="BE1759" s="4" t="s">
        <v>233</v>
      </c>
      <c r="BF1759" s="8" t="s">
        <v>233</v>
      </c>
      <c r="BG1759" s="7" t="s">
        <v>233</v>
      </c>
      <c r="BH1759" s="7" t="s">
        <v>233</v>
      </c>
      <c r="BI1759" s="7"/>
      <c r="BJ1759" s="4">
        <v>50</v>
      </c>
      <c r="BK1759" s="8">
        <v>901.98</v>
      </c>
      <c r="BL1759" s="2" t="s">
        <v>8260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8261</v>
      </c>
      <c r="BV1759" s="2" t="s">
        <v>233</v>
      </c>
      <c r="BW1759" s="2" t="s">
        <v>233</v>
      </c>
      <c r="BX1759" s="2" t="s">
        <v>233</v>
      </c>
      <c r="BY1759" s="2" t="s">
        <v>280</v>
      </c>
      <c r="BZ1759" s="2" t="s">
        <v>245</v>
      </c>
      <c r="CA1759" s="2" t="s">
        <v>281</v>
      </c>
      <c r="CB1759" s="2" t="s">
        <v>670</v>
      </c>
      <c r="CC1759" s="2" t="s">
        <v>246</v>
      </c>
      <c r="CD1759" s="2" t="s">
        <v>233</v>
      </c>
      <c r="CE1759" s="4">
        <v>62</v>
      </c>
      <c r="CF1759" s="4"/>
      <c r="CG1759" s="4"/>
      <c r="CH1759" s="4"/>
      <c r="CI1759" s="4"/>
      <c r="CJ1759" s="4"/>
      <c r="CK1759" s="4"/>
      <c r="CL1759" s="4">
        <v>100</v>
      </c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>
        <v>50</v>
      </c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>
        <v>100</v>
      </c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  <c r="GS1759" s="4"/>
      <c r="GT1759" s="4"/>
      <c r="GU1759" s="4"/>
      <c r="GV1759" s="4"/>
      <c r="GW1759" s="4"/>
      <c r="GX1759" s="4"/>
      <c r="GY1759" s="4"/>
      <c r="GZ1759" s="4"/>
      <c r="HA1759" s="4"/>
      <c r="HB1759" s="4"/>
      <c r="HC1759" s="4"/>
      <c r="HD1759" s="4"/>
      <c r="HE1759" s="4"/>
      <c r="HF1759" s="4"/>
      <c r="HG1759" s="4"/>
      <c r="HH1759" s="4"/>
      <c r="HI1759" s="4"/>
      <c r="HJ1759" s="4"/>
      <c r="HK1759" s="4"/>
      <c r="HL1759" s="4"/>
      <c r="HM1759" s="4"/>
      <c r="HN1759" s="4"/>
      <c r="HO1759" s="4"/>
      <c r="HP1759" s="4"/>
      <c r="HQ1759" s="4"/>
      <c r="HR1759" s="4"/>
    </row>
    <row r="1760">
      <c r="A1760" s="2" t="s">
        <v>8262</v>
      </c>
      <c r="B1760" s="2" t="s">
        <v>228</v>
      </c>
      <c r="C1760" s="2" t="s">
        <v>3846</v>
      </c>
      <c r="D1760" s="2" t="s">
        <v>3775</v>
      </c>
      <c r="E1760" s="2" t="s">
        <v>3776</v>
      </c>
      <c r="F1760" s="2" t="s">
        <v>8263</v>
      </c>
      <c r="G1760" s="2" t="s">
        <v>8263</v>
      </c>
      <c r="H1760" s="2" t="s">
        <v>8263</v>
      </c>
      <c r="I1760" s="2" t="s">
        <v>390</v>
      </c>
      <c r="J1760" s="2" t="s">
        <v>270</v>
      </c>
      <c r="K1760" s="2" t="s">
        <v>297</v>
      </c>
      <c r="L1760" s="3">
        <v>35.71</v>
      </c>
      <c r="M1760" s="3">
        <v>37.5</v>
      </c>
      <c r="N1760" s="3">
        <v>74.99</v>
      </c>
      <c r="O1760" s="2" t="s">
        <v>245</v>
      </c>
      <c r="P1760" s="2" t="s">
        <v>272</v>
      </c>
      <c r="Q1760" s="2" t="s">
        <v>239</v>
      </c>
      <c r="R1760" s="2" t="s">
        <v>233</v>
      </c>
      <c r="S1760" s="2" t="s">
        <v>8264</v>
      </c>
      <c r="T1760" s="2" t="s">
        <v>395</v>
      </c>
      <c r="U1760" s="2" t="s">
        <v>396</v>
      </c>
      <c r="V1760" s="2" t="s">
        <v>241</v>
      </c>
      <c r="W1760" s="2" t="s">
        <v>275</v>
      </c>
      <c r="X1760" s="2" t="s">
        <v>233</v>
      </c>
      <c r="Y1760" s="2" t="s">
        <v>3780</v>
      </c>
      <c r="Z1760" s="4">
        <v>39</v>
      </c>
      <c r="AA1760" s="4">
        <f>=ROUNDDOWN(3.9,0)</f>
      </c>
      <c r="AB1760" s="5">
        <v>10</v>
      </c>
      <c r="AC1760" s="2" t="s">
        <v>1341</v>
      </c>
      <c r="AD1760" s="4">
        <v>300</v>
      </c>
      <c r="AE1760" s="4">
        <v>300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233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233</v>
      </c>
      <c r="AW1760" s="8" t="s">
        <v>233</v>
      </c>
      <c r="AX1760" s="4" t="s">
        <v>233</v>
      </c>
      <c r="AY1760" s="8" t="s">
        <v>233</v>
      </c>
      <c r="AZ1760" s="7" t="s">
        <v>233</v>
      </c>
      <c r="BA1760" s="7" t="s">
        <v>233</v>
      </c>
      <c r="BB1760" s="7"/>
      <c r="BC1760" s="4" t="s">
        <v>233</v>
      </c>
      <c r="BD1760" s="8" t="s">
        <v>233</v>
      </c>
      <c r="BE1760" s="4" t="s">
        <v>233</v>
      </c>
      <c r="BF1760" s="8" t="s">
        <v>233</v>
      </c>
      <c r="BG1760" s="7" t="s">
        <v>233</v>
      </c>
      <c r="BH1760" s="7" t="s">
        <v>233</v>
      </c>
      <c r="BI1760" s="7"/>
      <c r="BJ1760" s="4">
        <v>10</v>
      </c>
      <c r="BK1760" s="8">
        <v>398.22</v>
      </c>
      <c r="BL1760" s="2" t="s">
        <v>8265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8266</v>
      </c>
      <c r="BV1760" s="2" t="s">
        <v>233</v>
      </c>
      <c r="BW1760" s="2" t="s">
        <v>233</v>
      </c>
      <c r="BX1760" s="2" t="s">
        <v>233</v>
      </c>
      <c r="BY1760" s="2" t="s">
        <v>280</v>
      </c>
      <c r="BZ1760" s="2" t="s">
        <v>245</v>
      </c>
      <c r="CA1760" s="2" t="s">
        <v>3783</v>
      </c>
      <c r="CB1760" s="2" t="s">
        <v>8267</v>
      </c>
      <c r="CC1760" s="2" t="s">
        <v>246</v>
      </c>
      <c r="CD1760" s="2" t="s">
        <v>233</v>
      </c>
      <c r="CE1760" s="4">
        <v>39</v>
      </c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>
        <v>300</v>
      </c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  <c r="HF1760" s="4"/>
      <c r="HG1760" s="4"/>
      <c r="HH1760" s="4"/>
      <c r="HI1760" s="4"/>
      <c r="HJ1760" s="4"/>
      <c r="HK1760" s="4"/>
      <c r="HL1760" s="4"/>
      <c r="HM1760" s="4"/>
      <c r="HN1760" s="4"/>
      <c r="HO1760" s="4"/>
      <c r="HP1760" s="4"/>
      <c r="HQ1760" s="4"/>
      <c r="HR1760" s="4"/>
    </row>
    <row r="1761">
      <c r="A1761" s="2" t="s">
        <v>8268</v>
      </c>
      <c r="B1761" s="2" t="s">
        <v>228</v>
      </c>
      <c r="C1761" s="2" t="s">
        <v>3846</v>
      </c>
      <c r="D1761" s="2" t="s">
        <v>3775</v>
      </c>
      <c r="E1761" s="2" t="s">
        <v>3776</v>
      </c>
      <c r="F1761" s="2" t="s">
        <v>8263</v>
      </c>
      <c r="G1761" s="2" t="s">
        <v>8263</v>
      </c>
      <c r="H1761" s="2" t="s">
        <v>8263</v>
      </c>
      <c r="I1761" s="2" t="s">
        <v>390</v>
      </c>
      <c r="J1761" s="2" t="s">
        <v>290</v>
      </c>
      <c r="K1761" s="2" t="s">
        <v>297</v>
      </c>
      <c r="L1761" s="3">
        <v>40.47</v>
      </c>
      <c r="M1761" s="3">
        <v>42.49</v>
      </c>
      <c r="N1761" s="3">
        <v>84.99</v>
      </c>
      <c r="O1761" s="2" t="s">
        <v>245</v>
      </c>
      <c r="P1761" s="2" t="s">
        <v>272</v>
      </c>
      <c r="Q1761" s="2" t="s">
        <v>239</v>
      </c>
      <c r="R1761" s="2" t="s">
        <v>233</v>
      </c>
      <c r="S1761" s="2" t="s">
        <v>8264</v>
      </c>
      <c r="T1761" s="2" t="s">
        <v>395</v>
      </c>
      <c r="U1761" s="2" t="s">
        <v>396</v>
      </c>
      <c r="V1761" s="2" t="s">
        <v>241</v>
      </c>
      <c r="W1761" s="2" t="s">
        <v>275</v>
      </c>
      <c r="X1761" s="2" t="s">
        <v>233</v>
      </c>
      <c r="Y1761" s="2" t="s">
        <v>3780</v>
      </c>
      <c r="Z1761" s="4">
        <v>125</v>
      </c>
      <c r="AA1761" s="4">
        <f>=ROUNDDOWN(7.8125,0)</f>
      </c>
      <c r="AB1761" s="5">
        <v>16</v>
      </c>
      <c r="AC1761" s="2" t="s">
        <v>1341</v>
      </c>
      <c r="AD1761" s="4">
        <v>150</v>
      </c>
      <c r="AE1761" s="4">
        <v>150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233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233</v>
      </c>
      <c r="AW1761" s="8" t="s">
        <v>233</v>
      </c>
      <c r="AX1761" s="4" t="s">
        <v>233</v>
      </c>
      <c r="AY1761" s="8" t="s">
        <v>233</v>
      </c>
      <c r="AZ1761" s="7" t="s">
        <v>233</v>
      </c>
      <c r="BA1761" s="7" t="s">
        <v>233</v>
      </c>
      <c r="BB1761" s="7"/>
      <c r="BC1761" s="4" t="s">
        <v>233</v>
      </c>
      <c r="BD1761" s="8" t="s">
        <v>233</v>
      </c>
      <c r="BE1761" s="4" t="s">
        <v>233</v>
      </c>
      <c r="BF1761" s="8" t="s">
        <v>233</v>
      </c>
      <c r="BG1761" s="7" t="s">
        <v>233</v>
      </c>
      <c r="BH1761" s="7" t="s">
        <v>233</v>
      </c>
      <c r="BI1761" s="7"/>
      <c r="BJ1761" s="4">
        <v>17</v>
      </c>
      <c r="BK1761" s="8">
        <v>797.17</v>
      </c>
      <c r="BL1761" s="2" t="s">
        <v>8269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8270</v>
      </c>
      <c r="BV1761" s="2" t="s">
        <v>233</v>
      </c>
      <c r="BW1761" s="2" t="s">
        <v>233</v>
      </c>
      <c r="BX1761" s="2" t="s">
        <v>233</v>
      </c>
      <c r="BY1761" s="2" t="s">
        <v>280</v>
      </c>
      <c r="BZ1761" s="2" t="s">
        <v>245</v>
      </c>
      <c r="CA1761" s="2" t="s">
        <v>3783</v>
      </c>
      <c r="CB1761" s="2" t="s">
        <v>1424</v>
      </c>
      <c r="CC1761" s="2" t="s">
        <v>246</v>
      </c>
      <c r="CD1761" s="2" t="s">
        <v>233</v>
      </c>
      <c r="CE1761" s="4">
        <v>125</v>
      </c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>
        <v>150</v>
      </c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  <c r="HF1761" s="4"/>
      <c r="HG1761" s="4"/>
      <c r="HH1761" s="4"/>
      <c r="HI1761" s="4"/>
      <c r="HJ1761" s="4"/>
      <c r="HK1761" s="4"/>
      <c r="HL1761" s="4"/>
      <c r="HM1761" s="4"/>
      <c r="HN1761" s="4"/>
      <c r="HO1761" s="4"/>
      <c r="HP1761" s="4"/>
      <c r="HQ1761" s="4"/>
      <c r="HR1761" s="4"/>
    </row>
    <row r="1762">
      <c r="A1762" s="2" t="s">
        <v>8271</v>
      </c>
      <c r="B1762" s="2" t="s">
        <v>228</v>
      </c>
      <c r="C1762" s="2" t="s">
        <v>3846</v>
      </c>
      <c r="D1762" s="2" t="s">
        <v>3775</v>
      </c>
      <c r="E1762" s="2" t="s">
        <v>3776</v>
      </c>
      <c r="F1762" s="2" t="s">
        <v>8263</v>
      </c>
      <c r="G1762" s="2" t="s">
        <v>8263</v>
      </c>
      <c r="H1762" s="2" t="s">
        <v>8263</v>
      </c>
      <c r="I1762" s="2" t="s">
        <v>390</v>
      </c>
      <c r="J1762" s="2" t="s">
        <v>348</v>
      </c>
      <c r="K1762" s="2" t="s">
        <v>297</v>
      </c>
      <c r="L1762" s="3">
        <v>54.76</v>
      </c>
      <c r="M1762" s="3">
        <v>57.5</v>
      </c>
      <c r="N1762" s="3">
        <v>114.99</v>
      </c>
      <c r="O1762" s="2" t="s">
        <v>245</v>
      </c>
      <c r="P1762" s="2" t="s">
        <v>272</v>
      </c>
      <c r="Q1762" s="2" t="s">
        <v>239</v>
      </c>
      <c r="R1762" s="2" t="s">
        <v>233</v>
      </c>
      <c r="S1762" s="2" t="s">
        <v>8264</v>
      </c>
      <c r="T1762" s="2" t="s">
        <v>395</v>
      </c>
      <c r="U1762" s="2" t="s">
        <v>396</v>
      </c>
      <c r="V1762" s="2" t="s">
        <v>241</v>
      </c>
      <c r="W1762" s="2" t="s">
        <v>275</v>
      </c>
      <c r="X1762" s="2" t="s">
        <v>233</v>
      </c>
      <c r="Y1762" s="2" t="s">
        <v>8272</v>
      </c>
      <c r="Z1762" s="4"/>
      <c r="AA1762" s="4">
        <f>=ROUNDDOWN({0},0)</f>
      </c>
      <c r="AB1762" s="5">
        <v>113</v>
      </c>
      <c r="AC1762" s="2" t="s">
        <v>1341</v>
      </c>
      <c r="AD1762" s="4">
        <v>760</v>
      </c>
      <c r="AE1762" s="4">
        <v>760</v>
      </c>
      <c r="AF1762" s="6">
        <v>65</v>
      </c>
      <c r="AG1762" s="6"/>
      <c r="AH1762" s="7">
        <v>0</v>
      </c>
      <c r="AI1762" s="4"/>
      <c r="AJ1762" s="4">
        <f>=ROUNDDOWN({0},0)</f>
      </c>
      <c r="AK1762" s="5"/>
      <c r="AL1762" s="2" t="s">
        <v>233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233</v>
      </c>
      <c r="AW1762" s="8" t="s">
        <v>233</v>
      </c>
      <c r="AX1762" s="4" t="s">
        <v>233</v>
      </c>
      <c r="AY1762" s="8" t="s">
        <v>233</v>
      </c>
      <c r="AZ1762" s="7" t="s">
        <v>233</v>
      </c>
      <c r="BA1762" s="7" t="s">
        <v>233</v>
      </c>
      <c r="BB1762" s="7"/>
      <c r="BC1762" s="4" t="s">
        <v>233</v>
      </c>
      <c r="BD1762" s="8" t="s">
        <v>233</v>
      </c>
      <c r="BE1762" s="4" t="s">
        <v>233</v>
      </c>
      <c r="BF1762" s="8" t="s">
        <v>233</v>
      </c>
      <c r="BG1762" s="7" t="s">
        <v>233</v>
      </c>
      <c r="BH1762" s="7" t="s">
        <v>233</v>
      </c>
      <c r="BI1762" s="7"/>
      <c r="BJ1762" s="4">
        <v>2</v>
      </c>
      <c r="BK1762" s="8">
        <v>229.98</v>
      </c>
      <c r="BL1762" s="2" t="s">
        <v>4620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8273</v>
      </c>
      <c r="BV1762" s="2" t="s">
        <v>233</v>
      </c>
      <c r="BW1762" s="2" t="s">
        <v>233</v>
      </c>
      <c r="BX1762" s="2" t="s">
        <v>233</v>
      </c>
      <c r="BY1762" s="2" t="s">
        <v>280</v>
      </c>
      <c r="BZ1762" s="2" t="s">
        <v>245</v>
      </c>
      <c r="CA1762" s="2" t="s">
        <v>3783</v>
      </c>
      <c r="CB1762" s="2" t="s">
        <v>364</v>
      </c>
      <c r="CC1762" s="2" t="s">
        <v>246</v>
      </c>
      <c r="CD1762" s="2" t="s">
        <v>233</v>
      </c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>
        <v>760</v>
      </c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  <c r="HF1762" s="4"/>
      <c r="HG1762" s="4"/>
      <c r="HH1762" s="4"/>
      <c r="HI1762" s="4"/>
      <c r="HJ1762" s="4"/>
      <c r="HK1762" s="4"/>
      <c r="HL1762" s="4"/>
      <c r="HM1762" s="4"/>
      <c r="HN1762" s="4"/>
      <c r="HO1762" s="4"/>
      <c r="HP1762" s="4"/>
      <c r="HQ1762" s="4"/>
      <c r="HR1762" s="4"/>
    </row>
    <row r="1763">
      <c r="A1763" s="2" t="s">
        <v>8274</v>
      </c>
      <c r="B1763" s="2" t="s">
        <v>228</v>
      </c>
      <c r="C1763" s="2" t="s">
        <v>3846</v>
      </c>
      <c r="D1763" s="2" t="s">
        <v>3775</v>
      </c>
      <c r="E1763" s="2" t="s">
        <v>3776</v>
      </c>
      <c r="F1763" s="2" t="s">
        <v>8263</v>
      </c>
      <c r="G1763" s="2" t="s">
        <v>8263</v>
      </c>
      <c r="H1763" s="2" t="s">
        <v>8263</v>
      </c>
      <c r="I1763" s="2" t="s">
        <v>390</v>
      </c>
      <c r="J1763" s="2" t="s">
        <v>328</v>
      </c>
      <c r="K1763" s="2" t="s">
        <v>297</v>
      </c>
      <c r="L1763" s="3">
        <v>59.52</v>
      </c>
      <c r="M1763" s="3">
        <v>62.5</v>
      </c>
      <c r="N1763" s="3">
        <v>124.99</v>
      </c>
      <c r="O1763" s="2" t="s">
        <v>245</v>
      </c>
      <c r="P1763" s="2" t="s">
        <v>272</v>
      </c>
      <c r="Q1763" s="2" t="s">
        <v>239</v>
      </c>
      <c r="R1763" s="2" t="s">
        <v>233</v>
      </c>
      <c r="S1763" s="2" t="s">
        <v>8264</v>
      </c>
      <c r="T1763" s="2" t="s">
        <v>395</v>
      </c>
      <c r="U1763" s="2" t="s">
        <v>396</v>
      </c>
      <c r="V1763" s="2" t="s">
        <v>241</v>
      </c>
      <c r="W1763" s="2" t="s">
        <v>275</v>
      </c>
      <c r="X1763" s="2" t="s">
        <v>233</v>
      </c>
      <c r="Y1763" s="2" t="s">
        <v>8272</v>
      </c>
      <c r="Z1763" s="4"/>
      <c r="AA1763" s="4">
        <f>=ROUNDDOWN({0},0)</f>
      </c>
      <c r="AB1763" s="5">
        <v>52</v>
      </c>
      <c r="AC1763" s="2" t="s">
        <v>1341</v>
      </c>
      <c r="AD1763" s="4">
        <v>390</v>
      </c>
      <c r="AE1763" s="4">
        <v>390</v>
      </c>
      <c r="AF1763" s="6">
        <v>65</v>
      </c>
      <c r="AG1763" s="6"/>
      <c r="AH1763" s="7">
        <v>0</v>
      </c>
      <c r="AI1763" s="4"/>
      <c r="AJ1763" s="4">
        <f>=ROUNDDOWN({0},0)</f>
      </c>
      <c r="AK1763" s="5"/>
      <c r="AL1763" s="2" t="s">
        <v>233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233</v>
      </c>
      <c r="AW1763" s="8" t="s">
        <v>233</v>
      </c>
      <c r="AX1763" s="4" t="s">
        <v>233</v>
      </c>
      <c r="AY1763" s="8" t="s">
        <v>233</v>
      </c>
      <c r="AZ1763" s="7" t="s">
        <v>233</v>
      </c>
      <c r="BA1763" s="7" t="s">
        <v>233</v>
      </c>
      <c r="BB1763" s="7"/>
      <c r="BC1763" s="4" t="s">
        <v>233</v>
      </c>
      <c r="BD1763" s="8" t="s">
        <v>233</v>
      </c>
      <c r="BE1763" s="4" t="s">
        <v>233</v>
      </c>
      <c r="BF1763" s="8" t="s">
        <v>233</v>
      </c>
      <c r="BG1763" s="7" t="s">
        <v>233</v>
      </c>
      <c r="BH1763" s="7" t="s">
        <v>233</v>
      </c>
      <c r="BI1763" s="7"/>
      <c r="BJ1763" s="4"/>
      <c r="BK1763" s="8"/>
      <c r="BL1763" s="2" t="s">
        <v>233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8275</v>
      </c>
      <c r="BV1763" s="2" t="s">
        <v>233</v>
      </c>
      <c r="BW1763" s="2" t="s">
        <v>233</v>
      </c>
      <c r="BX1763" s="2" t="s">
        <v>233</v>
      </c>
      <c r="BY1763" s="2" t="s">
        <v>280</v>
      </c>
      <c r="BZ1763" s="2" t="s">
        <v>245</v>
      </c>
      <c r="CA1763" s="2" t="s">
        <v>3783</v>
      </c>
      <c r="CB1763" s="2" t="s">
        <v>7262</v>
      </c>
      <c r="CC1763" s="2" t="s">
        <v>246</v>
      </c>
      <c r="CD1763" s="2" t="s">
        <v>233</v>
      </c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>
        <v>390</v>
      </c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  <c r="HF1763" s="4"/>
      <c r="HG1763" s="4"/>
      <c r="HH1763" s="4"/>
      <c r="HI1763" s="4"/>
      <c r="HJ1763" s="4"/>
      <c r="HK1763" s="4"/>
      <c r="HL1763" s="4"/>
      <c r="HM1763" s="4"/>
      <c r="HN1763" s="4"/>
      <c r="HO1763" s="4"/>
      <c r="HP1763" s="4"/>
      <c r="HQ1763" s="4"/>
      <c r="HR1763" s="4"/>
    </row>
    <row r="1764">
      <c r="A1764" s="2" t="s">
        <v>8276</v>
      </c>
      <c r="B1764" s="2" t="s">
        <v>228</v>
      </c>
      <c r="C1764" s="2" t="s">
        <v>3846</v>
      </c>
      <c r="D1764" s="2" t="s">
        <v>3775</v>
      </c>
      <c r="E1764" s="2" t="s">
        <v>3776</v>
      </c>
      <c r="F1764" s="2" t="s">
        <v>8263</v>
      </c>
      <c r="G1764" s="2" t="s">
        <v>8263</v>
      </c>
      <c r="H1764" s="2" t="s">
        <v>8263</v>
      </c>
      <c r="I1764" s="2" t="s">
        <v>390</v>
      </c>
      <c r="J1764" s="2" t="s">
        <v>546</v>
      </c>
      <c r="K1764" s="2" t="s">
        <v>297</v>
      </c>
      <c r="L1764" s="3">
        <v>59.52</v>
      </c>
      <c r="M1764" s="3">
        <v>62.5</v>
      </c>
      <c r="N1764" s="3">
        <v>124.99</v>
      </c>
      <c r="O1764" s="2" t="s">
        <v>245</v>
      </c>
      <c r="P1764" s="2" t="s">
        <v>272</v>
      </c>
      <c r="Q1764" s="2" t="s">
        <v>239</v>
      </c>
      <c r="R1764" s="2" t="s">
        <v>233</v>
      </c>
      <c r="S1764" s="2" t="s">
        <v>8264</v>
      </c>
      <c r="T1764" s="2" t="s">
        <v>395</v>
      </c>
      <c r="U1764" s="2" t="s">
        <v>396</v>
      </c>
      <c r="V1764" s="2" t="s">
        <v>241</v>
      </c>
      <c r="W1764" s="2" t="s">
        <v>275</v>
      </c>
      <c r="X1764" s="2" t="s">
        <v>233</v>
      </c>
      <c r="Y1764" s="2" t="s">
        <v>8272</v>
      </c>
      <c r="Z1764" s="4">
        <v>1</v>
      </c>
      <c r="AA1764" s="4">
        <f>=ROUNDDOWN(0.0555555555555556,0)</f>
      </c>
      <c r="AB1764" s="5">
        <v>18</v>
      </c>
      <c r="AC1764" s="2" t="s">
        <v>1341</v>
      </c>
      <c r="AD1764" s="4">
        <v>110</v>
      </c>
      <c r="AE1764" s="4">
        <v>110</v>
      </c>
      <c r="AF1764" s="6">
        <v>65</v>
      </c>
      <c r="AG1764" s="6"/>
      <c r="AH1764" s="7">
        <v>0</v>
      </c>
      <c r="AI1764" s="4"/>
      <c r="AJ1764" s="4">
        <f>=ROUNDDOWN({0},0)</f>
      </c>
      <c r="AK1764" s="5"/>
      <c r="AL1764" s="2" t="s">
        <v>233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233</v>
      </c>
      <c r="AW1764" s="8" t="s">
        <v>233</v>
      </c>
      <c r="AX1764" s="4" t="s">
        <v>233</v>
      </c>
      <c r="AY1764" s="8" t="s">
        <v>233</v>
      </c>
      <c r="AZ1764" s="7" t="s">
        <v>233</v>
      </c>
      <c r="BA1764" s="7" t="s">
        <v>233</v>
      </c>
      <c r="BB1764" s="7"/>
      <c r="BC1764" s="4" t="s">
        <v>233</v>
      </c>
      <c r="BD1764" s="8" t="s">
        <v>233</v>
      </c>
      <c r="BE1764" s="4" t="s">
        <v>233</v>
      </c>
      <c r="BF1764" s="8" t="s">
        <v>233</v>
      </c>
      <c r="BG1764" s="7" t="s">
        <v>233</v>
      </c>
      <c r="BH1764" s="7" t="s">
        <v>233</v>
      </c>
      <c r="BI1764" s="7"/>
      <c r="BJ1764" s="4">
        <v>1</v>
      </c>
      <c r="BK1764" s="8">
        <v>124.99</v>
      </c>
      <c r="BL1764" s="2" t="s">
        <v>4620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8277</v>
      </c>
      <c r="BV1764" s="2" t="s">
        <v>233</v>
      </c>
      <c r="BW1764" s="2" t="s">
        <v>233</v>
      </c>
      <c r="BX1764" s="2" t="s">
        <v>233</v>
      </c>
      <c r="BY1764" s="2" t="s">
        <v>280</v>
      </c>
      <c r="BZ1764" s="2" t="s">
        <v>245</v>
      </c>
      <c r="CA1764" s="2" t="s">
        <v>3783</v>
      </c>
      <c r="CB1764" s="2" t="s">
        <v>8278</v>
      </c>
      <c r="CC1764" s="2" t="s">
        <v>246</v>
      </c>
      <c r="CD1764" s="2" t="s">
        <v>233</v>
      </c>
      <c r="CE1764" s="4">
        <v>1</v>
      </c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>
        <v>110</v>
      </c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  <c r="HF1764" s="4"/>
      <c r="HG1764" s="4"/>
      <c r="HH1764" s="4"/>
      <c r="HI1764" s="4"/>
      <c r="HJ1764" s="4"/>
      <c r="HK1764" s="4"/>
      <c r="HL1764" s="4"/>
      <c r="HM1764" s="4"/>
      <c r="HN1764" s="4"/>
      <c r="HO1764" s="4"/>
      <c r="HP1764" s="4"/>
      <c r="HQ1764" s="4"/>
      <c r="HR1764" s="4"/>
    </row>
    <row r="1765">
      <c r="A1765" s="2" t="s">
        <v>8279</v>
      </c>
      <c r="B1765" s="2" t="s">
        <v>264</v>
      </c>
      <c r="C1765" s="2" t="s">
        <v>265</v>
      </c>
      <c r="D1765" s="2" t="s">
        <v>266</v>
      </c>
      <c r="E1765" s="2" t="s">
        <v>390</v>
      </c>
      <c r="F1765" s="2" t="s">
        <v>8280</v>
      </c>
      <c r="G1765" s="2" t="s">
        <v>8280</v>
      </c>
      <c r="H1765" s="2" t="s">
        <v>8280</v>
      </c>
      <c r="I1765" s="2" t="s">
        <v>8281</v>
      </c>
      <c r="J1765" s="2" t="s">
        <v>270</v>
      </c>
      <c r="K1765" s="2" t="s">
        <v>297</v>
      </c>
      <c r="L1765" s="3">
        <v>15.33</v>
      </c>
      <c r="M1765" s="3">
        <v>16.1</v>
      </c>
      <c r="N1765" s="3">
        <v>34.99</v>
      </c>
      <c r="O1765" s="2" t="s">
        <v>245</v>
      </c>
      <c r="P1765" s="2" t="s">
        <v>311</v>
      </c>
      <c r="Q1765" s="2" t="s">
        <v>239</v>
      </c>
      <c r="R1765" s="2" t="s">
        <v>233</v>
      </c>
      <c r="S1765" s="2" t="s">
        <v>8282</v>
      </c>
      <c r="T1765" s="2" t="s">
        <v>233</v>
      </c>
      <c r="U1765" s="2" t="s">
        <v>396</v>
      </c>
      <c r="V1765" s="2" t="s">
        <v>241</v>
      </c>
      <c r="W1765" s="2" t="s">
        <v>275</v>
      </c>
      <c r="X1765" s="2" t="s">
        <v>233</v>
      </c>
      <c r="Y1765" s="2" t="s">
        <v>6362</v>
      </c>
      <c r="Z1765" s="4">
        <v>42</v>
      </c>
      <c r="AA1765" s="4">
        <f>=ROUNDDOWN(4.66666666666667,0)</f>
      </c>
      <c r="AB1765" s="5">
        <v>9</v>
      </c>
      <c r="AC1765" s="2" t="s">
        <v>319</v>
      </c>
      <c r="AD1765" s="4">
        <v>60</v>
      </c>
      <c r="AE1765" s="4">
        <v>130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233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 t="s">
        <v>233</v>
      </c>
      <c r="AW1765" s="8" t="s">
        <v>233</v>
      </c>
      <c r="AX1765" s="4" t="s">
        <v>233</v>
      </c>
      <c r="AY1765" s="8" t="s">
        <v>233</v>
      </c>
      <c r="AZ1765" s="7" t="s">
        <v>233</v>
      </c>
      <c r="BA1765" s="7" t="s">
        <v>233</v>
      </c>
      <c r="BB1765" s="7"/>
      <c r="BC1765" s="4" t="s">
        <v>233</v>
      </c>
      <c r="BD1765" s="8" t="s">
        <v>233</v>
      </c>
      <c r="BE1765" s="4" t="s">
        <v>233</v>
      </c>
      <c r="BF1765" s="8" t="s">
        <v>233</v>
      </c>
      <c r="BG1765" s="7" t="s">
        <v>233</v>
      </c>
      <c r="BH1765" s="7" t="s">
        <v>233</v>
      </c>
      <c r="BI1765" s="7"/>
      <c r="BJ1765" s="4">
        <v>68</v>
      </c>
      <c r="BK1765" s="8">
        <v>1585.32</v>
      </c>
      <c r="BL1765" s="2" t="s">
        <v>8283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8284</v>
      </c>
      <c r="BV1765" s="2" t="s">
        <v>233</v>
      </c>
      <c r="BW1765" s="2" t="s">
        <v>233</v>
      </c>
      <c r="BX1765" s="2" t="s">
        <v>243</v>
      </c>
      <c r="BY1765" s="2" t="s">
        <v>280</v>
      </c>
      <c r="BZ1765" s="2" t="s">
        <v>245</v>
      </c>
      <c r="CA1765" s="2" t="s">
        <v>5069</v>
      </c>
      <c r="CB1765" s="2" t="s">
        <v>6339</v>
      </c>
      <c r="CC1765" s="2" t="s">
        <v>246</v>
      </c>
      <c r="CD1765" s="2" t="s">
        <v>233</v>
      </c>
      <c r="CE1765" s="4">
        <v>42</v>
      </c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>
        <v>60</v>
      </c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>
        <v>70</v>
      </c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4"/>
      <c r="HE1765" s="4"/>
      <c r="HF1765" s="4"/>
      <c r="HG1765" s="4"/>
      <c r="HH1765" s="4"/>
      <c r="HI1765" s="4"/>
      <c r="HJ1765" s="4"/>
      <c r="HK1765" s="4"/>
      <c r="HL1765" s="4"/>
      <c r="HM1765" s="4"/>
      <c r="HN1765" s="4"/>
      <c r="HO1765" s="4"/>
      <c r="HP1765" s="4"/>
      <c r="HQ1765" s="4"/>
      <c r="HR1765" s="4"/>
    </row>
    <row r="1766">
      <c r="A1766" s="2" t="s">
        <v>8285</v>
      </c>
      <c r="B1766" s="2" t="s">
        <v>264</v>
      </c>
      <c r="C1766" s="2" t="s">
        <v>265</v>
      </c>
      <c r="D1766" s="2" t="s">
        <v>969</v>
      </c>
      <c r="E1766" s="2" t="s">
        <v>2383</v>
      </c>
      <c r="F1766" s="2" t="s">
        <v>8280</v>
      </c>
      <c r="G1766" s="2" t="s">
        <v>8280</v>
      </c>
      <c r="H1766" s="2" t="s">
        <v>8280</v>
      </c>
      <c r="I1766" s="2" t="s">
        <v>8286</v>
      </c>
      <c r="J1766" s="2" t="s">
        <v>918</v>
      </c>
      <c r="K1766" s="2" t="s">
        <v>297</v>
      </c>
      <c r="L1766" s="3">
        <v>21.42</v>
      </c>
      <c r="M1766" s="3">
        <v>22.5</v>
      </c>
      <c r="N1766" s="3">
        <v>49.99</v>
      </c>
      <c r="O1766" s="2" t="s">
        <v>245</v>
      </c>
      <c r="P1766" s="2" t="s">
        <v>272</v>
      </c>
      <c r="Q1766" s="2" t="s">
        <v>239</v>
      </c>
      <c r="R1766" s="2" t="s">
        <v>233</v>
      </c>
      <c r="S1766" s="2" t="s">
        <v>8287</v>
      </c>
      <c r="T1766" s="2" t="s">
        <v>233</v>
      </c>
      <c r="U1766" s="2" t="s">
        <v>396</v>
      </c>
      <c r="V1766" s="2" t="s">
        <v>241</v>
      </c>
      <c r="W1766" s="2" t="s">
        <v>275</v>
      </c>
      <c r="X1766" s="2" t="s">
        <v>233</v>
      </c>
      <c r="Y1766" s="2" t="s">
        <v>6362</v>
      </c>
      <c r="Z1766" s="4">
        <v>110</v>
      </c>
      <c r="AA1766" s="4">
        <f>=ROUNDDOWN(18.3333333333333,0)</f>
      </c>
      <c r="AB1766" s="5">
        <v>6</v>
      </c>
      <c r="AC1766" s="2" t="s">
        <v>319</v>
      </c>
      <c r="AD1766" s="4">
        <v>200</v>
      </c>
      <c r="AE1766" s="4">
        <v>230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233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233</v>
      </c>
      <c r="AW1766" s="8" t="s">
        <v>233</v>
      </c>
      <c r="AX1766" s="4" t="s">
        <v>233</v>
      </c>
      <c r="AY1766" s="8" t="s">
        <v>233</v>
      </c>
      <c r="AZ1766" s="7" t="s">
        <v>233</v>
      </c>
      <c r="BA1766" s="7" t="s">
        <v>233</v>
      </c>
      <c r="BB1766" s="7"/>
      <c r="BC1766" s="4" t="s">
        <v>233</v>
      </c>
      <c r="BD1766" s="8" t="s">
        <v>233</v>
      </c>
      <c r="BE1766" s="4" t="s">
        <v>233</v>
      </c>
      <c r="BF1766" s="8" t="s">
        <v>233</v>
      </c>
      <c r="BG1766" s="7" t="s">
        <v>233</v>
      </c>
      <c r="BH1766" s="7" t="s">
        <v>233</v>
      </c>
      <c r="BI1766" s="7"/>
      <c r="BJ1766" s="4">
        <v>20</v>
      </c>
      <c r="BK1766" s="8">
        <v>475.08</v>
      </c>
      <c r="BL1766" s="2" t="s">
        <v>4473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8288</v>
      </c>
      <c r="BV1766" s="2" t="s">
        <v>233</v>
      </c>
      <c r="BW1766" s="2" t="s">
        <v>233</v>
      </c>
      <c r="BX1766" s="2" t="s">
        <v>233</v>
      </c>
      <c r="BY1766" s="2" t="s">
        <v>280</v>
      </c>
      <c r="BZ1766" s="2" t="s">
        <v>245</v>
      </c>
      <c r="CA1766" s="2" t="s">
        <v>5069</v>
      </c>
      <c r="CB1766" s="2" t="s">
        <v>8289</v>
      </c>
      <c r="CC1766" s="2" t="s">
        <v>246</v>
      </c>
      <c r="CD1766" s="2" t="s">
        <v>233</v>
      </c>
      <c r="CE1766" s="4">
        <v>110</v>
      </c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>
        <v>200</v>
      </c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>
        <v>30</v>
      </c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  <c r="HF1766" s="4"/>
      <c r="HG1766" s="4"/>
      <c r="HH1766" s="4"/>
      <c r="HI1766" s="4"/>
      <c r="HJ1766" s="4"/>
      <c r="HK1766" s="4"/>
      <c r="HL1766" s="4"/>
      <c r="HM1766" s="4"/>
      <c r="HN1766" s="4"/>
      <c r="HO1766" s="4"/>
      <c r="HP1766" s="4"/>
      <c r="HQ1766" s="4"/>
      <c r="HR1766" s="4"/>
    </row>
    <row r="1767">
      <c r="A1767" s="2" t="s">
        <v>8290</v>
      </c>
      <c r="B1767" s="2" t="s">
        <v>264</v>
      </c>
      <c r="C1767" s="2" t="s">
        <v>265</v>
      </c>
      <c r="D1767" s="2" t="s">
        <v>266</v>
      </c>
      <c r="E1767" s="2" t="s">
        <v>390</v>
      </c>
      <c r="F1767" s="2" t="s">
        <v>8280</v>
      </c>
      <c r="G1767" s="2" t="s">
        <v>8280</v>
      </c>
      <c r="H1767" s="2" t="s">
        <v>8280</v>
      </c>
      <c r="I1767" s="2" t="s">
        <v>8281</v>
      </c>
      <c r="J1767" s="2" t="s">
        <v>290</v>
      </c>
      <c r="K1767" s="2" t="s">
        <v>297</v>
      </c>
      <c r="L1767" s="3">
        <v>18.28</v>
      </c>
      <c r="M1767" s="3">
        <v>19.19</v>
      </c>
      <c r="N1767" s="3">
        <v>39.99</v>
      </c>
      <c r="O1767" s="2" t="s">
        <v>245</v>
      </c>
      <c r="P1767" s="2" t="s">
        <v>311</v>
      </c>
      <c r="Q1767" s="2" t="s">
        <v>239</v>
      </c>
      <c r="R1767" s="2" t="s">
        <v>233</v>
      </c>
      <c r="S1767" s="2" t="s">
        <v>8282</v>
      </c>
      <c r="T1767" s="2" t="s">
        <v>233</v>
      </c>
      <c r="U1767" s="2" t="s">
        <v>396</v>
      </c>
      <c r="V1767" s="2" t="s">
        <v>241</v>
      </c>
      <c r="W1767" s="2" t="s">
        <v>275</v>
      </c>
      <c r="X1767" s="2" t="s">
        <v>233</v>
      </c>
      <c r="Y1767" s="2" t="s">
        <v>6362</v>
      </c>
      <c r="Z1767" s="4">
        <v>158</v>
      </c>
      <c r="AA1767" s="4">
        <f>=ROUNDDOWN(13.1666666666667,0)</f>
      </c>
      <c r="AB1767" s="5">
        <v>12</v>
      </c>
      <c r="AC1767" s="2" t="s">
        <v>319</v>
      </c>
      <c r="AD1767" s="4">
        <v>80</v>
      </c>
      <c r="AE1767" s="4">
        <v>170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233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233</v>
      </c>
      <c r="AW1767" s="8" t="s">
        <v>233</v>
      </c>
      <c r="AX1767" s="4" t="s">
        <v>233</v>
      </c>
      <c r="AY1767" s="8" t="s">
        <v>233</v>
      </c>
      <c r="AZ1767" s="7" t="s">
        <v>233</v>
      </c>
      <c r="BA1767" s="7" t="s">
        <v>233</v>
      </c>
      <c r="BB1767" s="7"/>
      <c r="BC1767" s="4" t="s">
        <v>233</v>
      </c>
      <c r="BD1767" s="8" t="s">
        <v>233</v>
      </c>
      <c r="BE1767" s="4" t="s">
        <v>233</v>
      </c>
      <c r="BF1767" s="8" t="s">
        <v>233</v>
      </c>
      <c r="BG1767" s="7" t="s">
        <v>233</v>
      </c>
      <c r="BH1767" s="7" t="s">
        <v>233</v>
      </c>
      <c r="BI1767" s="7"/>
      <c r="BJ1767" s="4">
        <v>31</v>
      </c>
      <c r="BK1767" s="8">
        <v>738.91</v>
      </c>
      <c r="BL1767" s="2" t="s">
        <v>8283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8291</v>
      </c>
      <c r="BV1767" s="2" t="s">
        <v>233</v>
      </c>
      <c r="BW1767" s="2" t="s">
        <v>233</v>
      </c>
      <c r="BX1767" s="2" t="s">
        <v>243</v>
      </c>
      <c r="BY1767" s="2" t="s">
        <v>280</v>
      </c>
      <c r="BZ1767" s="2" t="s">
        <v>245</v>
      </c>
      <c r="CA1767" s="2" t="s">
        <v>5069</v>
      </c>
      <c r="CB1767" s="2" t="s">
        <v>4049</v>
      </c>
      <c r="CC1767" s="2" t="s">
        <v>246</v>
      </c>
      <c r="CD1767" s="2" t="s">
        <v>233</v>
      </c>
      <c r="CE1767" s="4">
        <v>158</v>
      </c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>
        <v>80</v>
      </c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>
        <v>90</v>
      </c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  <c r="HF1767" s="4"/>
      <c r="HG1767" s="4"/>
      <c r="HH1767" s="4"/>
      <c r="HI1767" s="4"/>
      <c r="HJ1767" s="4"/>
      <c r="HK1767" s="4"/>
      <c r="HL1767" s="4"/>
      <c r="HM1767" s="4"/>
      <c r="HN1767" s="4"/>
      <c r="HO1767" s="4"/>
      <c r="HP1767" s="4"/>
      <c r="HQ1767" s="4"/>
      <c r="HR1767" s="4"/>
    </row>
    <row r="1768">
      <c r="A1768" s="2" t="s">
        <v>8292</v>
      </c>
      <c r="B1768" s="2" t="s">
        <v>228</v>
      </c>
      <c r="C1768" s="2" t="s">
        <v>1050</v>
      </c>
      <c r="D1768" s="2" t="s">
        <v>230</v>
      </c>
      <c r="E1768" s="2" t="s">
        <v>231</v>
      </c>
      <c r="F1768" s="2" t="s">
        <v>8293</v>
      </c>
      <c r="G1768" s="2" t="s">
        <v>8293</v>
      </c>
      <c r="H1768" s="2" t="s">
        <v>8293</v>
      </c>
      <c r="I1768" s="2" t="s">
        <v>231</v>
      </c>
      <c r="J1768" s="2" t="s">
        <v>270</v>
      </c>
      <c r="K1768" s="2" t="s">
        <v>271</v>
      </c>
      <c r="L1768" s="3">
        <v>10.71</v>
      </c>
      <c r="M1768" s="3">
        <v>11.25</v>
      </c>
      <c r="N1768" s="3">
        <v>24.99</v>
      </c>
      <c r="O1768" s="2" t="s">
        <v>245</v>
      </c>
      <c r="P1768" s="2" t="s">
        <v>238</v>
      </c>
      <c r="Q1768" s="2" t="s">
        <v>239</v>
      </c>
      <c r="R1768" s="2" t="s">
        <v>233</v>
      </c>
      <c r="S1768" s="2" t="s">
        <v>8294</v>
      </c>
      <c r="T1768" s="2" t="s">
        <v>647</v>
      </c>
      <c r="U1768" s="2" t="s">
        <v>396</v>
      </c>
      <c r="V1768" s="2" t="s">
        <v>1085</v>
      </c>
      <c r="W1768" s="2" t="s">
        <v>275</v>
      </c>
      <c r="X1768" s="2" t="s">
        <v>233</v>
      </c>
      <c r="Y1768" s="2" t="s">
        <v>233</v>
      </c>
      <c r="Z1768" s="4"/>
      <c r="AA1768" s="4">
        <f>=ROUNDDOWN({0},0)</f>
      </c>
      <c r="AB1768" s="5"/>
      <c r="AC1768" s="2" t="s">
        <v>8295</v>
      </c>
      <c r="AD1768" s="4">
        <v>120</v>
      </c>
      <c r="AE1768" s="4">
        <v>120</v>
      </c>
      <c r="AF1768" s="6">
        <v>65</v>
      </c>
      <c r="AG1768" s="6"/>
      <c r="AH1768" s="7">
        <v>0</v>
      </c>
      <c r="AI1768" s="4"/>
      <c r="AJ1768" s="4">
        <f>=ROUNDDOWN({0},0)</f>
      </c>
      <c r="AK1768" s="5"/>
      <c r="AL1768" s="2" t="s">
        <v>233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233</v>
      </c>
      <c r="AW1768" s="8" t="s">
        <v>233</v>
      </c>
      <c r="AX1768" s="4" t="s">
        <v>233</v>
      </c>
      <c r="AY1768" s="8" t="s">
        <v>233</v>
      </c>
      <c r="AZ1768" s="7" t="s">
        <v>233</v>
      </c>
      <c r="BA1768" s="7" t="s">
        <v>233</v>
      </c>
      <c r="BB1768" s="7"/>
      <c r="BC1768" s="4" t="s">
        <v>233</v>
      </c>
      <c r="BD1768" s="8" t="s">
        <v>233</v>
      </c>
      <c r="BE1768" s="4" t="s">
        <v>233</v>
      </c>
      <c r="BF1768" s="8" t="s">
        <v>233</v>
      </c>
      <c r="BG1768" s="7" t="s">
        <v>233</v>
      </c>
      <c r="BH1768" s="7" t="s">
        <v>233</v>
      </c>
      <c r="BI1768" s="7"/>
      <c r="BJ1768" s="4"/>
      <c r="BK1768" s="8"/>
      <c r="BL1768" s="2" t="s">
        <v>233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243</v>
      </c>
      <c r="BV1768" s="2" t="s">
        <v>233</v>
      </c>
      <c r="BW1768" s="2" t="s">
        <v>233</v>
      </c>
      <c r="BX1768" s="2" t="s">
        <v>243</v>
      </c>
      <c r="BY1768" s="2" t="s">
        <v>244</v>
      </c>
      <c r="BZ1768" s="2" t="s">
        <v>245</v>
      </c>
      <c r="CA1768" s="2" t="s">
        <v>233</v>
      </c>
      <c r="CB1768" s="2" t="s">
        <v>233</v>
      </c>
      <c r="CC1768" s="2" t="s">
        <v>246</v>
      </c>
      <c r="CD1768" s="2" t="s">
        <v>233</v>
      </c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>
        <v>120</v>
      </c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  <c r="HF1768" s="4"/>
      <c r="HG1768" s="4"/>
      <c r="HH1768" s="4"/>
      <c r="HI1768" s="4"/>
      <c r="HJ1768" s="4"/>
      <c r="HK1768" s="4"/>
      <c r="HL1768" s="4"/>
      <c r="HM1768" s="4"/>
      <c r="HN1768" s="4"/>
      <c r="HO1768" s="4"/>
      <c r="HP1768" s="4"/>
      <c r="HQ1768" s="4"/>
      <c r="HR1768" s="4"/>
    </row>
    <row r="1769">
      <c r="A1769" s="2" t="s">
        <v>8296</v>
      </c>
      <c r="B1769" s="2" t="s">
        <v>228</v>
      </c>
      <c r="C1769" s="2" t="s">
        <v>1050</v>
      </c>
      <c r="D1769" s="2" t="s">
        <v>230</v>
      </c>
      <c r="E1769" s="2" t="s">
        <v>231</v>
      </c>
      <c r="F1769" s="2" t="s">
        <v>8293</v>
      </c>
      <c r="G1769" s="2" t="s">
        <v>8293</v>
      </c>
      <c r="H1769" s="2" t="s">
        <v>8293</v>
      </c>
      <c r="I1769" s="2" t="s">
        <v>231</v>
      </c>
      <c r="J1769" s="2" t="s">
        <v>981</v>
      </c>
      <c r="K1769" s="2" t="s">
        <v>271</v>
      </c>
      <c r="L1769" s="3">
        <v>12.7</v>
      </c>
      <c r="M1769" s="3">
        <v>13.34</v>
      </c>
      <c r="N1769" s="3">
        <v>28.99</v>
      </c>
      <c r="O1769" s="2" t="s">
        <v>245</v>
      </c>
      <c r="P1769" s="2" t="s">
        <v>238</v>
      </c>
      <c r="Q1769" s="2" t="s">
        <v>239</v>
      </c>
      <c r="R1769" s="2" t="s">
        <v>233</v>
      </c>
      <c r="S1769" s="2" t="s">
        <v>8294</v>
      </c>
      <c r="T1769" s="2" t="s">
        <v>647</v>
      </c>
      <c r="U1769" s="2" t="s">
        <v>396</v>
      </c>
      <c r="V1769" s="2" t="s">
        <v>1085</v>
      </c>
      <c r="W1769" s="2" t="s">
        <v>275</v>
      </c>
      <c r="X1769" s="2" t="s">
        <v>233</v>
      </c>
      <c r="Y1769" s="2" t="s">
        <v>233</v>
      </c>
      <c r="Z1769" s="4"/>
      <c r="AA1769" s="4">
        <f>=ROUNDDOWN({0},0)</f>
      </c>
      <c r="AB1769" s="5"/>
      <c r="AC1769" s="2" t="s">
        <v>8295</v>
      </c>
      <c r="AD1769" s="4">
        <v>320</v>
      </c>
      <c r="AE1769" s="4">
        <v>320</v>
      </c>
      <c r="AF1769" s="6">
        <v>65</v>
      </c>
      <c r="AG1769" s="6"/>
      <c r="AH1769" s="7">
        <v>0</v>
      </c>
      <c r="AI1769" s="4"/>
      <c r="AJ1769" s="4">
        <f>=ROUNDDOWN({0},0)</f>
      </c>
      <c r="AK1769" s="5"/>
      <c r="AL1769" s="2" t="s">
        <v>233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233</v>
      </c>
      <c r="AW1769" s="8" t="s">
        <v>233</v>
      </c>
      <c r="AX1769" s="4" t="s">
        <v>233</v>
      </c>
      <c r="AY1769" s="8" t="s">
        <v>233</v>
      </c>
      <c r="AZ1769" s="7" t="s">
        <v>233</v>
      </c>
      <c r="BA1769" s="7" t="s">
        <v>233</v>
      </c>
      <c r="BB1769" s="7"/>
      <c r="BC1769" s="4" t="s">
        <v>233</v>
      </c>
      <c r="BD1769" s="8" t="s">
        <v>233</v>
      </c>
      <c r="BE1769" s="4" t="s">
        <v>233</v>
      </c>
      <c r="BF1769" s="8" t="s">
        <v>233</v>
      </c>
      <c r="BG1769" s="7" t="s">
        <v>233</v>
      </c>
      <c r="BH1769" s="7" t="s">
        <v>233</v>
      </c>
      <c r="BI1769" s="7"/>
      <c r="BJ1769" s="4"/>
      <c r="BK1769" s="8"/>
      <c r="BL1769" s="2" t="s">
        <v>233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243</v>
      </c>
      <c r="BV1769" s="2" t="s">
        <v>233</v>
      </c>
      <c r="BW1769" s="2" t="s">
        <v>233</v>
      </c>
      <c r="BX1769" s="2" t="s">
        <v>243</v>
      </c>
      <c r="BY1769" s="2" t="s">
        <v>244</v>
      </c>
      <c r="BZ1769" s="2" t="s">
        <v>245</v>
      </c>
      <c r="CA1769" s="2" t="s">
        <v>233</v>
      </c>
      <c r="CB1769" s="2" t="s">
        <v>233</v>
      </c>
      <c r="CC1769" s="2" t="s">
        <v>246</v>
      </c>
      <c r="CD1769" s="2" t="s">
        <v>233</v>
      </c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>
        <v>320</v>
      </c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4"/>
      <c r="HG1769" s="4"/>
      <c r="HH1769" s="4"/>
      <c r="HI1769" s="4"/>
      <c r="HJ1769" s="4"/>
      <c r="HK1769" s="4"/>
      <c r="HL1769" s="4"/>
      <c r="HM1769" s="4"/>
      <c r="HN1769" s="4"/>
      <c r="HO1769" s="4"/>
      <c r="HP1769" s="4"/>
      <c r="HQ1769" s="4"/>
      <c r="HR1769" s="4"/>
    </row>
    <row r="1770">
      <c r="A1770" s="2" t="s">
        <v>8297</v>
      </c>
      <c r="B1770" s="2" t="s">
        <v>228</v>
      </c>
      <c r="C1770" s="2" t="s">
        <v>1050</v>
      </c>
      <c r="D1770" s="2" t="s">
        <v>230</v>
      </c>
      <c r="E1770" s="2" t="s">
        <v>231</v>
      </c>
      <c r="F1770" s="2" t="s">
        <v>8293</v>
      </c>
      <c r="G1770" s="2" t="s">
        <v>8293</v>
      </c>
      <c r="H1770" s="2" t="s">
        <v>8293</v>
      </c>
      <c r="I1770" s="2" t="s">
        <v>231</v>
      </c>
      <c r="J1770" s="2" t="s">
        <v>328</v>
      </c>
      <c r="K1770" s="2" t="s">
        <v>271</v>
      </c>
      <c r="L1770" s="3">
        <v>14.45</v>
      </c>
      <c r="M1770" s="3">
        <v>15.17</v>
      </c>
      <c r="N1770" s="3">
        <v>32.99</v>
      </c>
      <c r="O1770" s="2" t="s">
        <v>245</v>
      </c>
      <c r="P1770" s="2" t="s">
        <v>238</v>
      </c>
      <c r="Q1770" s="2" t="s">
        <v>239</v>
      </c>
      <c r="R1770" s="2" t="s">
        <v>233</v>
      </c>
      <c r="S1770" s="2" t="s">
        <v>8294</v>
      </c>
      <c r="T1770" s="2" t="s">
        <v>647</v>
      </c>
      <c r="U1770" s="2" t="s">
        <v>396</v>
      </c>
      <c r="V1770" s="2" t="s">
        <v>1085</v>
      </c>
      <c r="W1770" s="2" t="s">
        <v>275</v>
      </c>
      <c r="X1770" s="2" t="s">
        <v>233</v>
      </c>
      <c r="Y1770" s="2" t="s">
        <v>233</v>
      </c>
      <c r="Z1770" s="4"/>
      <c r="AA1770" s="4">
        <f>=ROUNDDOWN({0},0)</f>
      </c>
      <c r="AB1770" s="5"/>
      <c r="AC1770" s="2" t="s">
        <v>8295</v>
      </c>
      <c r="AD1770" s="4">
        <v>160</v>
      </c>
      <c r="AE1770" s="4">
        <v>160</v>
      </c>
      <c r="AF1770" s="6">
        <v>65</v>
      </c>
      <c r="AG1770" s="6"/>
      <c r="AH1770" s="7">
        <v>0</v>
      </c>
      <c r="AI1770" s="4"/>
      <c r="AJ1770" s="4">
        <f>=ROUNDDOWN({0},0)</f>
      </c>
      <c r="AK1770" s="5"/>
      <c r="AL1770" s="2" t="s">
        <v>233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233</v>
      </c>
      <c r="AW1770" s="8" t="s">
        <v>233</v>
      </c>
      <c r="AX1770" s="4" t="s">
        <v>233</v>
      </c>
      <c r="AY1770" s="8" t="s">
        <v>233</v>
      </c>
      <c r="AZ1770" s="7" t="s">
        <v>233</v>
      </c>
      <c r="BA1770" s="7" t="s">
        <v>233</v>
      </c>
      <c r="BB1770" s="7"/>
      <c r="BC1770" s="4" t="s">
        <v>233</v>
      </c>
      <c r="BD1770" s="8" t="s">
        <v>233</v>
      </c>
      <c r="BE1770" s="4" t="s">
        <v>233</v>
      </c>
      <c r="BF1770" s="8" t="s">
        <v>233</v>
      </c>
      <c r="BG1770" s="7" t="s">
        <v>233</v>
      </c>
      <c r="BH1770" s="7" t="s">
        <v>233</v>
      </c>
      <c r="BI1770" s="7"/>
      <c r="BJ1770" s="4"/>
      <c r="BK1770" s="8"/>
      <c r="BL1770" s="2" t="s">
        <v>233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243</v>
      </c>
      <c r="BV1770" s="2" t="s">
        <v>233</v>
      </c>
      <c r="BW1770" s="2" t="s">
        <v>233</v>
      </c>
      <c r="BX1770" s="2" t="s">
        <v>243</v>
      </c>
      <c r="BY1770" s="2" t="s">
        <v>244</v>
      </c>
      <c r="BZ1770" s="2" t="s">
        <v>245</v>
      </c>
      <c r="CA1770" s="2" t="s">
        <v>233</v>
      </c>
      <c r="CB1770" s="2" t="s">
        <v>233</v>
      </c>
      <c r="CC1770" s="2" t="s">
        <v>246</v>
      </c>
      <c r="CD1770" s="2" t="s">
        <v>233</v>
      </c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>
        <v>160</v>
      </c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4"/>
      <c r="HG1770" s="4"/>
      <c r="HH1770" s="4"/>
      <c r="HI1770" s="4"/>
      <c r="HJ1770" s="4"/>
      <c r="HK1770" s="4"/>
      <c r="HL1770" s="4"/>
      <c r="HM1770" s="4"/>
      <c r="HN1770" s="4"/>
      <c r="HO1770" s="4"/>
      <c r="HP1770" s="4"/>
      <c r="HQ1770" s="4"/>
      <c r="HR1770" s="4"/>
    </row>
    <row r="1771">
      <c r="A1771" s="2" t="s">
        <v>8298</v>
      </c>
      <c r="B1771" s="2" t="s">
        <v>228</v>
      </c>
      <c r="C1771" s="2" t="s">
        <v>1050</v>
      </c>
      <c r="D1771" s="2" t="s">
        <v>230</v>
      </c>
      <c r="E1771" s="2" t="s">
        <v>231</v>
      </c>
      <c r="F1771" s="2" t="s">
        <v>8293</v>
      </c>
      <c r="G1771" s="2" t="s">
        <v>8293</v>
      </c>
      <c r="H1771" s="2" t="s">
        <v>8293</v>
      </c>
      <c r="I1771" s="2" t="s">
        <v>231</v>
      </c>
      <c r="J1771" s="2" t="s">
        <v>270</v>
      </c>
      <c r="K1771" s="2" t="s">
        <v>984</v>
      </c>
      <c r="L1771" s="3">
        <v>10.71</v>
      </c>
      <c r="M1771" s="3">
        <v>11.25</v>
      </c>
      <c r="N1771" s="3">
        <v>24.99</v>
      </c>
      <c r="O1771" s="2" t="s">
        <v>245</v>
      </c>
      <c r="P1771" s="2" t="s">
        <v>238</v>
      </c>
      <c r="Q1771" s="2" t="s">
        <v>239</v>
      </c>
      <c r="R1771" s="2" t="s">
        <v>233</v>
      </c>
      <c r="S1771" s="2" t="s">
        <v>8299</v>
      </c>
      <c r="T1771" s="2" t="s">
        <v>647</v>
      </c>
      <c r="U1771" s="2" t="s">
        <v>396</v>
      </c>
      <c r="V1771" s="2" t="s">
        <v>1085</v>
      </c>
      <c r="W1771" s="2" t="s">
        <v>275</v>
      </c>
      <c r="X1771" s="2" t="s">
        <v>233</v>
      </c>
      <c r="Y1771" s="2" t="s">
        <v>233</v>
      </c>
      <c r="Z1771" s="4"/>
      <c r="AA1771" s="4">
        <f>=ROUNDDOWN({0},0)</f>
      </c>
      <c r="AB1771" s="5"/>
      <c r="AC1771" s="2" t="s">
        <v>8295</v>
      </c>
      <c r="AD1771" s="4">
        <v>135</v>
      </c>
      <c r="AE1771" s="4">
        <v>135</v>
      </c>
      <c r="AF1771" s="6">
        <v>65</v>
      </c>
      <c r="AG1771" s="6"/>
      <c r="AH1771" s="7">
        <v>0</v>
      </c>
      <c r="AI1771" s="4"/>
      <c r="AJ1771" s="4">
        <f>=ROUNDDOWN({0},0)</f>
      </c>
      <c r="AK1771" s="5"/>
      <c r="AL1771" s="2" t="s">
        <v>233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233</v>
      </c>
      <c r="AW1771" s="8" t="s">
        <v>233</v>
      </c>
      <c r="AX1771" s="4" t="s">
        <v>233</v>
      </c>
      <c r="AY1771" s="8" t="s">
        <v>233</v>
      </c>
      <c r="AZ1771" s="7" t="s">
        <v>233</v>
      </c>
      <c r="BA1771" s="7" t="s">
        <v>233</v>
      </c>
      <c r="BB1771" s="7"/>
      <c r="BC1771" s="4" t="s">
        <v>233</v>
      </c>
      <c r="BD1771" s="8" t="s">
        <v>233</v>
      </c>
      <c r="BE1771" s="4" t="s">
        <v>233</v>
      </c>
      <c r="BF1771" s="8" t="s">
        <v>233</v>
      </c>
      <c r="BG1771" s="7" t="s">
        <v>233</v>
      </c>
      <c r="BH1771" s="7" t="s">
        <v>233</v>
      </c>
      <c r="BI1771" s="7"/>
      <c r="BJ1771" s="4"/>
      <c r="BK1771" s="8"/>
      <c r="BL1771" s="2" t="s">
        <v>233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243</v>
      </c>
      <c r="BV1771" s="2" t="s">
        <v>233</v>
      </c>
      <c r="BW1771" s="2" t="s">
        <v>233</v>
      </c>
      <c r="BX1771" s="2" t="s">
        <v>243</v>
      </c>
      <c r="BY1771" s="2" t="s">
        <v>244</v>
      </c>
      <c r="BZ1771" s="2" t="s">
        <v>245</v>
      </c>
      <c r="CA1771" s="2" t="s">
        <v>233</v>
      </c>
      <c r="CB1771" s="2" t="s">
        <v>233</v>
      </c>
      <c r="CC1771" s="2" t="s">
        <v>246</v>
      </c>
      <c r="CD1771" s="2" t="s">
        <v>233</v>
      </c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>
        <v>135</v>
      </c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4"/>
      <c r="HG1771" s="4"/>
      <c r="HH1771" s="4"/>
      <c r="HI1771" s="4"/>
      <c r="HJ1771" s="4"/>
      <c r="HK1771" s="4"/>
      <c r="HL1771" s="4"/>
      <c r="HM1771" s="4"/>
      <c r="HN1771" s="4"/>
      <c r="HO1771" s="4"/>
      <c r="HP1771" s="4"/>
      <c r="HQ1771" s="4"/>
      <c r="HR1771" s="4"/>
    </row>
    <row r="1772">
      <c r="A1772" s="2" t="s">
        <v>8300</v>
      </c>
      <c r="B1772" s="2" t="s">
        <v>228</v>
      </c>
      <c r="C1772" s="2" t="s">
        <v>1050</v>
      </c>
      <c r="D1772" s="2" t="s">
        <v>230</v>
      </c>
      <c r="E1772" s="2" t="s">
        <v>231</v>
      </c>
      <c r="F1772" s="2" t="s">
        <v>8293</v>
      </c>
      <c r="G1772" s="2" t="s">
        <v>8293</v>
      </c>
      <c r="H1772" s="2" t="s">
        <v>8293</v>
      </c>
      <c r="I1772" s="2" t="s">
        <v>231</v>
      </c>
      <c r="J1772" s="2" t="s">
        <v>981</v>
      </c>
      <c r="K1772" s="2" t="s">
        <v>984</v>
      </c>
      <c r="L1772" s="3">
        <v>12.7</v>
      </c>
      <c r="M1772" s="3">
        <v>13.34</v>
      </c>
      <c r="N1772" s="3">
        <v>28.99</v>
      </c>
      <c r="O1772" s="2" t="s">
        <v>245</v>
      </c>
      <c r="P1772" s="2" t="s">
        <v>238</v>
      </c>
      <c r="Q1772" s="2" t="s">
        <v>239</v>
      </c>
      <c r="R1772" s="2" t="s">
        <v>233</v>
      </c>
      <c r="S1772" s="2" t="s">
        <v>8299</v>
      </c>
      <c r="T1772" s="2" t="s">
        <v>647</v>
      </c>
      <c r="U1772" s="2" t="s">
        <v>396</v>
      </c>
      <c r="V1772" s="2" t="s">
        <v>1085</v>
      </c>
      <c r="W1772" s="2" t="s">
        <v>275</v>
      </c>
      <c r="X1772" s="2" t="s">
        <v>233</v>
      </c>
      <c r="Y1772" s="2" t="s">
        <v>233</v>
      </c>
      <c r="Z1772" s="4"/>
      <c r="AA1772" s="4">
        <f>=ROUNDDOWN({0},0)</f>
      </c>
      <c r="AB1772" s="5"/>
      <c r="AC1772" s="2" t="s">
        <v>8295</v>
      </c>
      <c r="AD1772" s="4">
        <v>290</v>
      </c>
      <c r="AE1772" s="4">
        <v>290</v>
      </c>
      <c r="AF1772" s="6">
        <v>65</v>
      </c>
      <c r="AG1772" s="6"/>
      <c r="AH1772" s="7">
        <v>0</v>
      </c>
      <c r="AI1772" s="4"/>
      <c r="AJ1772" s="4">
        <f>=ROUNDDOWN({0},0)</f>
      </c>
      <c r="AK1772" s="5"/>
      <c r="AL1772" s="2" t="s">
        <v>233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233</v>
      </c>
      <c r="AW1772" s="8" t="s">
        <v>233</v>
      </c>
      <c r="AX1772" s="4" t="s">
        <v>233</v>
      </c>
      <c r="AY1772" s="8" t="s">
        <v>233</v>
      </c>
      <c r="AZ1772" s="7" t="s">
        <v>233</v>
      </c>
      <c r="BA1772" s="7" t="s">
        <v>233</v>
      </c>
      <c r="BB1772" s="7"/>
      <c r="BC1772" s="4" t="s">
        <v>233</v>
      </c>
      <c r="BD1772" s="8" t="s">
        <v>233</v>
      </c>
      <c r="BE1772" s="4" t="s">
        <v>233</v>
      </c>
      <c r="BF1772" s="8" t="s">
        <v>233</v>
      </c>
      <c r="BG1772" s="7" t="s">
        <v>233</v>
      </c>
      <c r="BH1772" s="7" t="s">
        <v>233</v>
      </c>
      <c r="BI1772" s="7"/>
      <c r="BJ1772" s="4"/>
      <c r="BK1772" s="8"/>
      <c r="BL1772" s="2" t="s">
        <v>233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243</v>
      </c>
      <c r="BV1772" s="2" t="s">
        <v>233</v>
      </c>
      <c r="BW1772" s="2" t="s">
        <v>233</v>
      </c>
      <c r="BX1772" s="2" t="s">
        <v>243</v>
      </c>
      <c r="BY1772" s="2" t="s">
        <v>244</v>
      </c>
      <c r="BZ1772" s="2" t="s">
        <v>245</v>
      </c>
      <c r="CA1772" s="2" t="s">
        <v>233</v>
      </c>
      <c r="CB1772" s="2" t="s">
        <v>233</v>
      </c>
      <c r="CC1772" s="2" t="s">
        <v>246</v>
      </c>
      <c r="CD1772" s="2" t="s">
        <v>233</v>
      </c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>
        <v>290</v>
      </c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4"/>
      <c r="HG1772" s="4"/>
      <c r="HH1772" s="4"/>
      <c r="HI1772" s="4"/>
      <c r="HJ1772" s="4"/>
      <c r="HK1772" s="4"/>
      <c r="HL1772" s="4"/>
      <c r="HM1772" s="4"/>
      <c r="HN1772" s="4"/>
      <c r="HO1772" s="4"/>
      <c r="HP1772" s="4"/>
      <c r="HQ1772" s="4"/>
      <c r="HR1772" s="4"/>
    </row>
    <row r="1773">
      <c r="A1773" s="2" t="s">
        <v>8301</v>
      </c>
      <c r="B1773" s="2" t="s">
        <v>228</v>
      </c>
      <c r="C1773" s="2" t="s">
        <v>1050</v>
      </c>
      <c r="D1773" s="2" t="s">
        <v>230</v>
      </c>
      <c r="E1773" s="2" t="s">
        <v>231</v>
      </c>
      <c r="F1773" s="2" t="s">
        <v>8293</v>
      </c>
      <c r="G1773" s="2" t="s">
        <v>8293</v>
      </c>
      <c r="H1773" s="2" t="s">
        <v>8293</v>
      </c>
      <c r="I1773" s="2" t="s">
        <v>231</v>
      </c>
      <c r="J1773" s="2" t="s">
        <v>328</v>
      </c>
      <c r="K1773" s="2" t="s">
        <v>984</v>
      </c>
      <c r="L1773" s="3">
        <v>14.45</v>
      </c>
      <c r="M1773" s="3">
        <v>15.17</v>
      </c>
      <c r="N1773" s="3">
        <v>32.99</v>
      </c>
      <c r="O1773" s="2" t="s">
        <v>245</v>
      </c>
      <c r="P1773" s="2" t="s">
        <v>238</v>
      </c>
      <c r="Q1773" s="2" t="s">
        <v>239</v>
      </c>
      <c r="R1773" s="2" t="s">
        <v>233</v>
      </c>
      <c r="S1773" s="2" t="s">
        <v>8299</v>
      </c>
      <c r="T1773" s="2" t="s">
        <v>647</v>
      </c>
      <c r="U1773" s="2" t="s">
        <v>396</v>
      </c>
      <c r="V1773" s="2" t="s">
        <v>1085</v>
      </c>
      <c r="W1773" s="2" t="s">
        <v>275</v>
      </c>
      <c r="X1773" s="2" t="s">
        <v>233</v>
      </c>
      <c r="Y1773" s="2" t="s">
        <v>233</v>
      </c>
      <c r="Z1773" s="4"/>
      <c r="AA1773" s="4">
        <f>=ROUNDDOWN({0},0)</f>
      </c>
      <c r="AB1773" s="5"/>
      <c r="AC1773" s="2" t="s">
        <v>8295</v>
      </c>
      <c r="AD1773" s="4">
        <v>175</v>
      </c>
      <c r="AE1773" s="4">
        <v>175</v>
      </c>
      <c r="AF1773" s="6">
        <v>65</v>
      </c>
      <c r="AG1773" s="6"/>
      <c r="AH1773" s="7">
        <v>0</v>
      </c>
      <c r="AI1773" s="4"/>
      <c r="AJ1773" s="4">
        <f>=ROUNDDOWN({0},0)</f>
      </c>
      <c r="AK1773" s="5"/>
      <c r="AL1773" s="2" t="s">
        <v>233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233</v>
      </c>
      <c r="AW1773" s="8" t="s">
        <v>233</v>
      </c>
      <c r="AX1773" s="4" t="s">
        <v>233</v>
      </c>
      <c r="AY1773" s="8" t="s">
        <v>233</v>
      </c>
      <c r="AZ1773" s="7" t="s">
        <v>233</v>
      </c>
      <c r="BA1773" s="7" t="s">
        <v>233</v>
      </c>
      <c r="BB1773" s="7"/>
      <c r="BC1773" s="4" t="s">
        <v>233</v>
      </c>
      <c r="BD1773" s="8" t="s">
        <v>233</v>
      </c>
      <c r="BE1773" s="4" t="s">
        <v>233</v>
      </c>
      <c r="BF1773" s="8" t="s">
        <v>233</v>
      </c>
      <c r="BG1773" s="7" t="s">
        <v>233</v>
      </c>
      <c r="BH1773" s="7" t="s">
        <v>233</v>
      </c>
      <c r="BI1773" s="7"/>
      <c r="BJ1773" s="4"/>
      <c r="BK1773" s="8"/>
      <c r="BL1773" s="2" t="s">
        <v>233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243</v>
      </c>
      <c r="BV1773" s="2" t="s">
        <v>233</v>
      </c>
      <c r="BW1773" s="2" t="s">
        <v>233</v>
      </c>
      <c r="BX1773" s="2" t="s">
        <v>243</v>
      </c>
      <c r="BY1773" s="2" t="s">
        <v>244</v>
      </c>
      <c r="BZ1773" s="2" t="s">
        <v>245</v>
      </c>
      <c r="CA1773" s="2" t="s">
        <v>233</v>
      </c>
      <c r="CB1773" s="2" t="s">
        <v>233</v>
      </c>
      <c r="CC1773" s="2" t="s">
        <v>246</v>
      </c>
      <c r="CD1773" s="2" t="s">
        <v>233</v>
      </c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>
        <v>175</v>
      </c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4"/>
      <c r="HG1773" s="4"/>
      <c r="HH1773" s="4"/>
      <c r="HI1773" s="4"/>
      <c r="HJ1773" s="4"/>
      <c r="HK1773" s="4"/>
      <c r="HL1773" s="4"/>
      <c r="HM1773" s="4"/>
      <c r="HN1773" s="4"/>
      <c r="HO1773" s="4"/>
      <c r="HP1773" s="4"/>
      <c r="HQ1773" s="4"/>
      <c r="HR1773" s="4"/>
    </row>
    <row r="1774">
      <c r="A1774" s="2" t="s">
        <v>8302</v>
      </c>
      <c r="B1774" s="2" t="s">
        <v>228</v>
      </c>
      <c r="C1774" s="2" t="s">
        <v>1050</v>
      </c>
      <c r="D1774" s="2" t="s">
        <v>230</v>
      </c>
      <c r="E1774" s="2" t="s">
        <v>231</v>
      </c>
      <c r="F1774" s="2" t="s">
        <v>8293</v>
      </c>
      <c r="G1774" s="2" t="s">
        <v>8293</v>
      </c>
      <c r="H1774" s="2" t="s">
        <v>8293</v>
      </c>
      <c r="I1774" s="2" t="s">
        <v>231</v>
      </c>
      <c r="J1774" s="2" t="s">
        <v>270</v>
      </c>
      <c r="K1774" s="2" t="s">
        <v>255</v>
      </c>
      <c r="L1774" s="3">
        <v>10.71</v>
      </c>
      <c r="M1774" s="3">
        <v>11.25</v>
      </c>
      <c r="N1774" s="3">
        <v>24.99</v>
      </c>
      <c r="O1774" s="2" t="s">
        <v>245</v>
      </c>
      <c r="P1774" s="2" t="s">
        <v>238</v>
      </c>
      <c r="Q1774" s="2" t="s">
        <v>239</v>
      </c>
      <c r="R1774" s="2" t="s">
        <v>233</v>
      </c>
      <c r="S1774" s="2" t="s">
        <v>8303</v>
      </c>
      <c r="T1774" s="2" t="s">
        <v>647</v>
      </c>
      <c r="U1774" s="2" t="s">
        <v>396</v>
      </c>
      <c r="V1774" s="2" t="s">
        <v>1085</v>
      </c>
      <c r="W1774" s="2" t="s">
        <v>275</v>
      </c>
      <c r="X1774" s="2" t="s">
        <v>233</v>
      </c>
      <c r="Y1774" s="2" t="s">
        <v>233</v>
      </c>
      <c r="Z1774" s="4"/>
      <c r="AA1774" s="4">
        <f>=ROUNDDOWN({0},0)</f>
      </c>
      <c r="AB1774" s="5"/>
      <c r="AC1774" s="2" t="s">
        <v>8295</v>
      </c>
      <c r="AD1774" s="4">
        <v>100</v>
      </c>
      <c r="AE1774" s="4">
        <v>100</v>
      </c>
      <c r="AF1774" s="6">
        <v>65</v>
      </c>
      <c r="AG1774" s="6"/>
      <c r="AH1774" s="7">
        <v>0</v>
      </c>
      <c r="AI1774" s="4"/>
      <c r="AJ1774" s="4">
        <f>=ROUNDDOWN({0},0)</f>
      </c>
      <c r="AK1774" s="5"/>
      <c r="AL1774" s="2" t="s">
        <v>233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233</v>
      </c>
      <c r="AW1774" s="8" t="s">
        <v>233</v>
      </c>
      <c r="AX1774" s="4" t="s">
        <v>233</v>
      </c>
      <c r="AY1774" s="8" t="s">
        <v>233</v>
      </c>
      <c r="AZ1774" s="7" t="s">
        <v>233</v>
      </c>
      <c r="BA1774" s="7" t="s">
        <v>233</v>
      </c>
      <c r="BB1774" s="7"/>
      <c r="BC1774" s="4" t="s">
        <v>233</v>
      </c>
      <c r="BD1774" s="8" t="s">
        <v>233</v>
      </c>
      <c r="BE1774" s="4" t="s">
        <v>233</v>
      </c>
      <c r="BF1774" s="8" t="s">
        <v>233</v>
      </c>
      <c r="BG1774" s="7" t="s">
        <v>233</v>
      </c>
      <c r="BH1774" s="7" t="s">
        <v>233</v>
      </c>
      <c r="BI1774" s="7"/>
      <c r="BJ1774" s="4"/>
      <c r="BK1774" s="8"/>
      <c r="BL1774" s="2" t="s">
        <v>233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243</v>
      </c>
      <c r="BV1774" s="2" t="s">
        <v>233</v>
      </c>
      <c r="BW1774" s="2" t="s">
        <v>233</v>
      </c>
      <c r="BX1774" s="2" t="s">
        <v>243</v>
      </c>
      <c r="BY1774" s="2" t="s">
        <v>244</v>
      </c>
      <c r="BZ1774" s="2" t="s">
        <v>245</v>
      </c>
      <c r="CA1774" s="2" t="s">
        <v>233</v>
      </c>
      <c r="CB1774" s="2" t="s">
        <v>233</v>
      </c>
      <c r="CC1774" s="2" t="s">
        <v>246</v>
      </c>
      <c r="CD1774" s="2" t="s">
        <v>233</v>
      </c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>
        <v>100</v>
      </c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4"/>
      <c r="HG1774" s="4"/>
      <c r="HH1774" s="4"/>
      <c r="HI1774" s="4"/>
      <c r="HJ1774" s="4"/>
      <c r="HK1774" s="4"/>
      <c r="HL1774" s="4"/>
      <c r="HM1774" s="4"/>
      <c r="HN1774" s="4"/>
      <c r="HO1774" s="4"/>
      <c r="HP1774" s="4"/>
      <c r="HQ1774" s="4"/>
      <c r="HR1774" s="4"/>
    </row>
    <row r="1775">
      <c r="A1775" s="2" t="s">
        <v>8304</v>
      </c>
      <c r="B1775" s="2" t="s">
        <v>228</v>
      </c>
      <c r="C1775" s="2" t="s">
        <v>1050</v>
      </c>
      <c r="D1775" s="2" t="s">
        <v>230</v>
      </c>
      <c r="E1775" s="2" t="s">
        <v>231</v>
      </c>
      <c r="F1775" s="2" t="s">
        <v>8293</v>
      </c>
      <c r="G1775" s="2" t="s">
        <v>8293</v>
      </c>
      <c r="H1775" s="2" t="s">
        <v>8293</v>
      </c>
      <c r="I1775" s="2" t="s">
        <v>231</v>
      </c>
      <c r="J1775" s="2" t="s">
        <v>981</v>
      </c>
      <c r="K1775" s="2" t="s">
        <v>255</v>
      </c>
      <c r="L1775" s="3">
        <v>12.7</v>
      </c>
      <c r="M1775" s="3">
        <v>13.34</v>
      </c>
      <c r="N1775" s="3">
        <v>28.99</v>
      </c>
      <c r="O1775" s="2" t="s">
        <v>245</v>
      </c>
      <c r="P1775" s="2" t="s">
        <v>238</v>
      </c>
      <c r="Q1775" s="2" t="s">
        <v>239</v>
      </c>
      <c r="R1775" s="2" t="s">
        <v>233</v>
      </c>
      <c r="S1775" s="2" t="s">
        <v>8303</v>
      </c>
      <c r="T1775" s="2" t="s">
        <v>647</v>
      </c>
      <c r="U1775" s="2" t="s">
        <v>396</v>
      </c>
      <c r="V1775" s="2" t="s">
        <v>1085</v>
      </c>
      <c r="W1775" s="2" t="s">
        <v>275</v>
      </c>
      <c r="X1775" s="2" t="s">
        <v>233</v>
      </c>
      <c r="Y1775" s="2" t="s">
        <v>233</v>
      </c>
      <c r="Z1775" s="4"/>
      <c r="AA1775" s="4">
        <f>=ROUNDDOWN({0},0)</f>
      </c>
      <c r="AB1775" s="5"/>
      <c r="AC1775" s="2" t="s">
        <v>8295</v>
      </c>
      <c r="AD1775" s="4">
        <v>220</v>
      </c>
      <c r="AE1775" s="4">
        <v>220</v>
      </c>
      <c r="AF1775" s="6">
        <v>65</v>
      </c>
      <c r="AG1775" s="6"/>
      <c r="AH1775" s="7">
        <v>0</v>
      </c>
      <c r="AI1775" s="4"/>
      <c r="AJ1775" s="4">
        <f>=ROUNDDOWN({0},0)</f>
      </c>
      <c r="AK1775" s="5"/>
      <c r="AL1775" s="2" t="s">
        <v>233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233</v>
      </c>
      <c r="AW1775" s="8" t="s">
        <v>233</v>
      </c>
      <c r="AX1775" s="4" t="s">
        <v>233</v>
      </c>
      <c r="AY1775" s="8" t="s">
        <v>233</v>
      </c>
      <c r="AZ1775" s="7" t="s">
        <v>233</v>
      </c>
      <c r="BA1775" s="7" t="s">
        <v>233</v>
      </c>
      <c r="BB1775" s="7"/>
      <c r="BC1775" s="4" t="s">
        <v>233</v>
      </c>
      <c r="BD1775" s="8" t="s">
        <v>233</v>
      </c>
      <c r="BE1775" s="4" t="s">
        <v>233</v>
      </c>
      <c r="BF1775" s="8" t="s">
        <v>233</v>
      </c>
      <c r="BG1775" s="7" t="s">
        <v>233</v>
      </c>
      <c r="BH1775" s="7" t="s">
        <v>233</v>
      </c>
      <c r="BI1775" s="7"/>
      <c r="BJ1775" s="4"/>
      <c r="BK1775" s="8"/>
      <c r="BL1775" s="2" t="s">
        <v>233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243</v>
      </c>
      <c r="BV1775" s="2" t="s">
        <v>233</v>
      </c>
      <c r="BW1775" s="2" t="s">
        <v>233</v>
      </c>
      <c r="BX1775" s="2" t="s">
        <v>243</v>
      </c>
      <c r="BY1775" s="2" t="s">
        <v>244</v>
      </c>
      <c r="BZ1775" s="2" t="s">
        <v>245</v>
      </c>
      <c r="CA1775" s="2" t="s">
        <v>233</v>
      </c>
      <c r="CB1775" s="2" t="s">
        <v>233</v>
      </c>
      <c r="CC1775" s="2" t="s">
        <v>246</v>
      </c>
      <c r="CD1775" s="2" t="s">
        <v>233</v>
      </c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>
        <v>220</v>
      </c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4"/>
      <c r="HG1775" s="4"/>
      <c r="HH1775" s="4"/>
      <c r="HI1775" s="4"/>
      <c r="HJ1775" s="4"/>
      <c r="HK1775" s="4"/>
      <c r="HL1775" s="4"/>
      <c r="HM1775" s="4"/>
      <c r="HN1775" s="4"/>
      <c r="HO1775" s="4"/>
      <c r="HP1775" s="4"/>
      <c r="HQ1775" s="4"/>
      <c r="HR1775" s="4"/>
    </row>
    <row r="1776">
      <c r="A1776" s="2" t="s">
        <v>8305</v>
      </c>
      <c r="B1776" s="2" t="s">
        <v>228</v>
      </c>
      <c r="C1776" s="2" t="s">
        <v>1050</v>
      </c>
      <c r="D1776" s="2" t="s">
        <v>230</v>
      </c>
      <c r="E1776" s="2" t="s">
        <v>231</v>
      </c>
      <c r="F1776" s="2" t="s">
        <v>8293</v>
      </c>
      <c r="G1776" s="2" t="s">
        <v>8293</v>
      </c>
      <c r="H1776" s="2" t="s">
        <v>8293</v>
      </c>
      <c r="I1776" s="2" t="s">
        <v>231</v>
      </c>
      <c r="J1776" s="2" t="s">
        <v>328</v>
      </c>
      <c r="K1776" s="2" t="s">
        <v>255</v>
      </c>
      <c r="L1776" s="3">
        <v>14.45</v>
      </c>
      <c r="M1776" s="3">
        <v>15.17</v>
      </c>
      <c r="N1776" s="3">
        <v>32.99</v>
      </c>
      <c r="O1776" s="2" t="s">
        <v>245</v>
      </c>
      <c r="P1776" s="2" t="s">
        <v>238</v>
      </c>
      <c r="Q1776" s="2" t="s">
        <v>239</v>
      </c>
      <c r="R1776" s="2" t="s">
        <v>233</v>
      </c>
      <c r="S1776" s="2" t="s">
        <v>8303</v>
      </c>
      <c r="T1776" s="2" t="s">
        <v>647</v>
      </c>
      <c r="U1776" s="2" t="s">
        <v>396</v>
      </c>
      <c r="V1776" s="2" t="s">
        <v>1085</v>
      </c>
      <c r="W1776" s="2" t="s">
        <v>275</v>
      </c>
      <c r="X1776" s="2" t="s">
        <v>233</v>
      </c>
      <c r="Y1776" s="2" t="s">
        <v>233</v>
      </c>
      <c r="Z1776" s="4"/>
      <c r="AA1776" s="4">
        <f>=ROUNDDOWN({0},0)</f>
      </c>
      <c r="AB1776" s="5"/>
      <c r="AC1776" s="2" t="s">
        <v>8295</v>
      </c>
      <c r="AD1776" s="4">
        <v>130</v>
      </c>
      <c r="AE1776" s="4">
        <v>130</v>
      </c>
      <c r="AF1776" s="6">
        <v>65</v>
      </c>
      <c r="AG1776" s="6"/>
      <c r="AH1776" s="7">
        <v>0</v>
      </c>
      <c r="AI1776" s="4"/>
      <c r="AJ1776" s="4">
        <f>=ROUNDDOWN({0},0)</f>
      </c>
      <c r="AK1776" s="5"/>
      <c r="AL1776" s="2" t="s">
        <v>233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233</v>
      </c>
      <c r="AW1776" s="8" t="s">
        <v>233</v>
      </c>
      <c r="AX1776" s="4" t="s">
        <v>233</v>
      </c>
      <c r="AY1776" s="8" t="s">
        <v>233</v>
      </c>
      <c r="AZ1776" s="7" t="s">
        <v>233</v>
      </c>
      <c r="BA1776" s="7" t="s">
        <v>233</v>
      </c>
      <c r="BB1776" s="7"/>
      <c r="BC1776" s="4" t="s">
        <v>233</v>
      </c>
      <c r="BD1776" s="8" t="s">
        <v>233</v>
      </c>
      <c r="BE1776" s="4" t="s">
        <v>233</v>
      </c>
      <c r="BF1776" s="8" t="s">
        <v>233</v>
      </c>
      <c r="BG1776" s="7" t="s">
        <v>233</v>
      </c>
      <c r="BH1776" s="7" t="s">
        <v>233</v>
      </c>
      <c r="BI1776" s="7"/>
      <c r="BJ1776" s="4"/>
      <c r="BK1776" s="8"/>
      <c r="BL1776" s="2" t="s">
        <v>233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243</v>
      </c>
      <c r="BV1776" s="2" t="s">
        <v>233</v>
      </c>
      <c r="BW1776" s="2" t="s">
        <v>233</v>
      </c>
      <c r="BX1776" s="2" t="s">
        <v>243</v>
      </c>
      <c r="BY1776" s="2" t="s">
        <v>244</v>
      </c>
      <c r="BZ1776" s="2" t="s">
        <v>245</v>
      </c>
      <c r="CA1776" s="2" t="s">
        <v>233</v>
      </c>
      <c r="CB1776" s="2" t="s">
        <v>233</v>
      </c>
      <c r="CC1776" s="2" t="s">
        <v>246</v>
      </c>
      <c r="CD1776" s="2" t="s">
        <v>233</v>
      </c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>
        <v>130</v>
      </c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4"/>
      <c r="HG1776" s="4"/>
      <c r="HH1776" s="4"/>
      <c r="HI1776" s="4"/>
      <c r="HJ1776" s="4"/>
      <c r="HK1776" s="4"/>
      <c r="HL1776" s="4"/>
      <c r="HM1776" s="4"/>
      <c r="HN1776" s="4"/>
      <c r="HO1776" s="4"/>
      <c r="HP1776" s="4"/>
      <c r="HQ1776" s="4"/>
      <c r="HR1776" s="4"/>
    </row>
    <row r="1777">
      <c r="A1777" s="2" t="s">
        <v>8306</v>
      </c>
      <c r="B1777" s="2" t="s">
        <v>228</v>
      </c>
      <c r="C1777" s="2" t="s">
        <v>1050</v>
      </c>
      <c r="D1777" s="2" t="s">
        <v>230</v>
      </c>
      <c r="E1777" s="2" t="s">
        <v>231</v>
      </c>
      <c r="F1777" s="2" t="s">
        <v>8293</v>
      </c>
      <c r="G1777" s="2" t="s">
        <v>8293</v>
      </c>
      <c r="H1777" s="2" t="s">
        <v>8293</v>
      </c>
      <c r="I1777" s="2" t="s">
        <v>231</v>
      </c>
      <c r="J1777" s="2" t="s">
        <v>270</v>
      </c>
      <c r="K1777" s="2" t="s">
        <v>569</v>
      </c>
      <c r="L1777" s="3">
        <v>10.71</v>
      </c>
      <c r="M1777" s="3">
        <v>11.25</v>
      </c>
      <c r="N1777" s="3">
        <v>24.99</v>
      </c>
      <c r="O1777" s="2" t="s">
        <v>245</v>
      </c>
      <c r="P1777" s="2" t="s">
        <v>238</v>
      </c>
      <c r="Q1777" s="2" t="s">
        <v>239</v>
      </c>
      <c r="R1777" s="2" t="s">
        <v>233</v>
      </c>
      <c r="S1777" s="2" t="s">
        <v>8307</v>
      </c>
      <c r="T1777" s="2" t="s">
        <v>647</v>
      </c>
      <c r="U1777" s="2" t="s">
        <v>396</v>
      </c>
      <c r="V1777" s="2" t="s">
        <v>1085</v>
      </c>
      <c r="W1777" s="2" t="s">
        <v>275</v>
      </c>
      <c r="X1777" s="2" t="s">
        <v>233</v>
      </c>
      <c r="Y1777" s="2" t="s">
        <v>233</v>
      </c>
      <c r="Z1777" s="4"/>
      <c r="AA1777" s="4">
        <f>=ROUNDDOWN({0},0)</f>
      </c>
      <c r="AB1777" s="5"/>
      <c r="AC1777" s="2" t="s">
        <v>8295</v>
      </c>
      <c r="AD1777" s="4">
        <v>165</v>
      </c>
      <c r="AE1777" s="4">
        <v>165</v>
      </c>
      <c r="AF1777" s="6">
        <v>65</v>
      </c>
      <c r="AG1777" s="6"/>
      <c r="AH1777" s="7">
        <v>0</v>
      </c>
      <c r="AI1777" s="4"/>
      <c r="AJ1777" s="4">
        <f>=ROUNDDOWN({0},0)</f>
      </c>
      <c r="AK1777" s="5"/>
      <c r="AL1777" s="2" t="s">
        <v>233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233</v>
      </c>
      <c r="AW1777" s="8" t="s">
        <v>233</v>
      </c>
      <c r="AX1777" s="4" t="s">
        <v>233</v>
      </c>
      <c r="AY1777" s="8" t="s">
        <v>233</v>
      </c>
      <c r="AZ1777" s="7" t="s">
        <v>233</v>
      </c>
      <c r="BA1777" s="7" t="s">
        <v>233</v>
      </c>
      <c r="BB1777" s="7"/>
      <c r="BC1777" s="4" t="s">
        <v>233</v>
      </c>
      <c r="BD1777" s="8" t="s">
        <v>233</v>
      </c>
      <c r="BE1777" s="4" t="s">
        <v>233</v>
      </c>
      <c r="BF1777" s="8" t="s">
        <v>233</v>
      </c>
      <c r="BG1777" s="7" t="s">
        <v>233</v>
      </c>
      <c r="BH1777" s="7" t="s">
        <v>233</v>
      </c>
      <c r="BI1777" s="7"/>
      <c r="BJ1777" s="4"/>
      <c r="BK1777" s="8"/>
      <c r="BL1777" s="2" t="s">
        <v>233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243</v>
      </c>
      <c r="BV1777" s="2" t="s">
        <v>233</v>
      </c>
      <c r="BW1777" s="2" t="s">
        <v>233</v>
      </c>
      <c r="BX1777" s="2" t="s">
        <v>243</v>
      </c>
      <c r="BY1777" s="2" t="s">
        <v>244</v>
      </c>
      <c r="BZ1777" s="2" t="s">
        <v>245</v>
      </c>
      <c r="CA1777" s="2" t="s">
        <v>233</v>
      </c>
      <c r="CB1777" s="2" t="s">
        <v>233</v>
      </c>
      <c r="CC1777" s="2" t="s">
        <v>246</v>
      </c>
      <c r="CD1777" s="2" t="s">
        <v>233</v>
      </c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>
        <v>165</v>
      </c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4"/>
      <c r="HG1777" s="4"/>
      <c r="HH1777" s="4"/>
      <c r="HI1777" s="4"/>
      <c r="HJ1777" s="4"/>
      <c r="HK1777" s="4"/>
      <c r="HL1777" s="4"/>
      <c r="HM1777" s="4"/>
      <c r="HN1777" s="4"/>
      <c r="HO1777" s="4"/>
      <c r="HP1777" s="4"/>
      <c r="HQ1777" s="4"/>
      <c r="HR1777" s="4"/>
    </row>
    <row r="1778">
      <c r="A1778" s="2" t="s">
        <v>8308</v>
      </c>
      <c r="B1778" s="2" t="s">
        <v>228</v>
      </c>
      <c r="C1778" s="2" t="s">
        <v>1050</v>
      </c>
      <c r="D1778" s="2" t="s">
        <v>230</v>
      </c>
      <c r="E1778" s="2" t="s">
        <v>231</v>
      </c>
      <c r="F1778" s="2" t="s">
        <v>8293</v>
      </c>
      <c r="G1778" s="2" t="s">
        <v>8293</v>
      </c>
      <c r="H1778" s="2" t="s">
        <v>8293</v>
      </c>
      <c r="I1778" s="2" t="s">
        <v>231</v>
      </c>
      <c r="J1778" s="2" t="s">
        <v>981</v>
      </c>
      <c r="K1778" s="2" t="s">
        <v>569</v>
      </c>
      <c r="L1778" s="3">
        <v>12.7</v>
      </c>
      <c r="M1778" s="3">
        <v>13.34</v>
      </c>
      <c r="N1778" s="3">
        <v>28.99</v>
      </c>
      <c r="O1778" s="2" t="s">
        <v>245</v>
      </c>
      <c r="P1778" s="2" t="s">
        <v>238</v>
      </c>
      <c r="Q1778" s="2" t="s">
        <v>239</v>
      </c>
      <c r="R1778" s="2" t="s">
        <v>233</v>
      </c>
      <c r="S1778" s="2" t="s">
        <v>8307</v>
      </c>
      <c r="T1778" s="2" t="s">
        <v>647</v>
      </c>
      <c r="U1778" s="2" t="s">
        <v>396</v>
      </c>
      <c r="V1778" s="2" t="s">
        <v>1085</v>
      </c>
      <c r="W1778" s="2" t="s">
        <v>275</v>
      </c>
      <c r="X1778" s="2" t="s">
        <v>233</v>
      </c>
      <c r="Y1778" s="2" t="s">
        <v>233</v>
      </c>
      <c r="Z1778" s="4"/>
      <c r="AA1778" s="4">
        <f>=ROUNDDOWN({0},0)</f>
      </c>
      <c r="AB1778" s="5"/>
      <c r="AC1778" s="2" t="s">
        <v>8295</v>
      </c>
      <c r="AD1778" s="4">
        <v>380</v>
      </c>
      <c r="AE1778" s="4">
        <v>380</v>
      </c>
      <c r="AF1778" s="6">
        <v>65</v>
      </c>
      <c r="AG1778" s="6"/>
      <c r="AH1778" s="7">
        <v>0</v>
      </c>
      <c r="AI1778" s="4"/>
      <c r="AJ1778" s="4">
        <f>=ROUNDDOWN({0},0)</f>
      </c>
      <c r="AK1778" s="5"/>
      <c r="AL1778" s="2" t="s">
        <v>233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 t="s">
        <v>233</v>
      </c>
      <c r="AW1778" s="8" t="s">
        <v>233</v>
      </c>
      <c r="AX1778" s="4" t="s">
        <v>233</v>
      </c>
      <c r="AY1778" s="8" t="s">
        <v>233</v>
      </c>
      <c r="AZ1778" s="7" t="s">
        <v>233</v>
      </c>
      <c r="BA1778" s="7" t="s">
        <v>233</v>
      </c>
      <c r="BB1778" s="7"/>
      <c r="BC1778" s="4" t="s">
        <v>233</v>
      </c>
      <c r="BD1778" s="8" t="s">
        <v>233</v>
      </c>
      <c r="BE1778" s="4" t="s">
        <v>233</v>
      </c>
      <c r="BF1778" s="8" t="s">
        <v>233</v>
      </c>
      <c r="BG1778" s="7" t="s">
        <v>233</v>
      </c>
      <c r="BH1778" s="7" t="s">
        <v>233</v>
      </c>
      <c r="BI1778" s="7"/>
      <c r="BJ1778" s="4"/>
      <c r="BK1778" s="8"/>
      <c r="BL1778" s="2" t="s">
        <v>233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243</v>
      </c>
      <c r="BV1778" s="2" t="s">
        <v>233</v>
      </c>
      <c r="BW1778" s="2" t="s">
        <v>233</v>
      </c>
      <c r="BX1778" s="2" t="s">
        <v>243</v>
      </c>
      <c r="BY1778" s="2" t="s">
        <v>244</v>
      </c>
      <c r="BZ1778" s="2" t="s">
        <v>245</v>
      </c>
      <c r="CA1778" s="2" t="s">
        <v>233</v>
      </c>
      <c r="CB1778" s="2" t="s">
        <v>233</v>
      </c>
      <c r="CC1778" s="2" t="s">
        <v>246</v>
      </c>
      <c r="CD1778" s="2" t="s">
        <v>233</v>
      </c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>
        <v>380</v>
      </c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/>
      <c r="HC1778" s="4"/>
      <c r="HD1778" s="4"/>
      <c r="HE1778" s="4"/>
      <c r="HF1778" s="4"/>
      <c r="HG1778" s="4"/>
      <c r="HH1778" s="4"/>
      <c r="HI1778" s="4"/>
      <c r="HJ1778" s="4"/>
      <c r="HK1778" s="4"/>
      <c r="HL1778" s="4"/>
      <c r="HM1778" s="4"/>
      <c r="HN1778" s="4"/>
      <c r="HO1778" s="4"/>
      <c r="HP1778" s="4"/>
      <c r="HQ1778" s="4"/>
      <c r="HR1778" s="4"/>
    </row>
    <row r="1779">
      <c r="A1779" s="2" t="s">
        <v>8309</v>
      </c>
      <c r="B1779" s="2" t="s">
        <v>228</v>
      </c>
      <c r="C1779" s="2" t="s">
        <v>1050</v>
      </c>
      <c r="D1779" s="2" t="s">
        <v>230</v>
      </c>
      <c r="E1779" s="2" t="s">
        <v>231</v>
      </c>
      <c r="F1779" s="2" t="s">
        <v>8293</v>
      </c>
      <c r="G1779" s="2" t="s">
        <v>8293</v>
      </c>
      <c r="H1779" s="2" t="s">
        <v>8293</v>
      </c>
      <c r="I1779" s="2" t="s">
        <v>231</v>
      </c>
      <c r="J1779" s="2" t="s">
        <v>328</v>
      </c>
      <c r="K1779" s="2" t="s">
        <v>569</v>
      </c>
      <c r="L1779" s="3">
        <v>14.45</v>
      </c>
      <c r="M1779" s="3">
        <v>15.17</v>
      </c>
      <c r="N1779" s="3">
        <v>32.99</v>
      </c>
      <c r="O1779" s="2" t="s">
        <v>245</v>
      </c>
      <c r="P1779" s="2" t="s">
        <v>238</v>
      </c>
      <c r="Q1779" s="2" t="s">
        <v>239</v>
      </c>
      <c r="R1779" s="2" t="s">
        <v>233</v>
      </c>
      <c r="S1779" s="2" t="s">
        <v>8307</v>
      </c>
      <c r="T1779" s="2" t="s">
        <v>647</v>
      </c>
      <c r="U1779" s="2" t="s">
        <v>396</v>
      </c>
      <c r="V1779" s="2" t="s">
        <v>1085</v>
      </c>
      <c r="W1779" s="2" t="s">
        <v>275</v>
      </c>
      <c r="X1779" s="2" t="s">
        <v>233</v>
      </c>
      <c r="Y1779" s="2" t="s">
        <v>233</v>
      </c>
      <c r="Z1779" s="4"/>
      <c r="AA1779" s="4">
        <f>=ROUNDDOWN({0},0)</f>
      </c>
      <c r="AB1779" s="5"/>
      <c r="AC1779" s="2" t="s">
        <v>8295</v>
      </c>
      <c r="AD1779" s="4">
        <v>205</v>
      </c>
      <c r="AE1779" s="4">
        <v>205</v>
      </c>
      <c r="AF1779" s="6">
        <v>65</v>
      </c>
      <c r="AG1779" s="6"/>
      <c r="AH1779" s="7">
        <v>0</v>
      </c>
      <c r="AI1779" s="4"/>
      <c r="AJ1779" s="4">
        <f>=ROUNDDOWN({0},0)</f>
      </c>
      <c r="AK1779" s="5"/>
      <c r="AL1779" s="2" t="s">
        <v>233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 t="s">
        <v>233</v>
      </c>
      <c r="AW1779" s="8" t="s">
        <v>233</v>
      </c>
      <c r="AX1779" s="4" t="s">
        <v>233</v>
      </c>
      <c r="AY1779" s="8" t="s">
        <v>233</v>
      </c>
      <c r="AZ1779" s="7" t="s">
        <v>233</v>
      </c>
      <c r="BA1779" s="7" t="s">
        <v>233</v>
      </c>
      <c r="BB1779" s="7"/>
      <c r="BC1779" s="4" t="s">
        <v>233</v>
      </c>
      <c r="BD1779" s="8" t="s">
        <v>233</v>
      </c>
      <c r="BE1779" s="4" t="s">
        <v>233</v>
      </c>
      <c r="BF1779" s="8" t="s">
        <v>233</v>
      </c>
      <c r="BG1779" s="7" t="s">
        <v>233</v>
      </c>
      <c r="BH1779" s="7" t="s">
        <v>233</v>
      </c>
      <c r="BI1779" s="7"/>
      <c r="BJ1779" s="4"/>
      <c r="BK1779" s="8"/>
      <c r="BL1779" s="2" t="s">
        <v>233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243</v>
      </c>
      <c r="BV1779" s="2" t="s">
        <v>233</v>
      </c>
      <c r="BW1779" s="2" t="s">
        <v>233</v>
      </c>
      <c r="BX1779" s="2" t="s">
        <v>243</v>
      </c>
      <c r="BY1779" s="2" t="s">
        <v>244</v>
      </c>
      <c r="BZ1779" s="2" t="s">
        <v>245</v>
      </c>
      <c r="CA1779" s="2" t="s">
        <v>233</v>
      </c>
      <c r="CB1779" s="2" t="s">
        <v>233</v>
      </c>
      <c r="CC1779" s="2" t="s">
        <v>246</v>
      </c>
      <c r="CD1779" s="2" t="s">
        <v>233</v>
      </c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>
        <v>205</v>
      </c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4"/>
      <c r="HG1779" s="4"/>
      <c r="HH1779" s="4"/>
      <c r="HI1779" s="4"/>
      <c r="HJ1779" s="4"/>
      <c r="HK1779" s="4"/>
      <c r="HL1779" s="4"/>
      <c r="HM1779" s="4"/>
      <c r="HN1779" s="4"/>
      <c r="HO1779" s="4"/>
      <c r="HP1779" s="4"/>
      <c r="HQ1779" s="4"/>
      <c r="HR1779" s="4"/>
    </row>
    <row r="1780">
      <c r="A1780" s="2" t="s">
        <v>8310</v>
      </c>
      <c r="B1780" s="2" t="s">
        <v>228</v>
      </c>
      <c r="C1780" s="2" t="s">
        <v>1050</v>
      </c>
      <c r="D1780" s="2" t="s">
        <v>230</v>
      </c>
      <c r="E1780" s="2" t="s">
        <v>231</v>
      </c>
      <c r="F1780" s="2" t="s">
        <v>8293</v>
      </c>
      <c r="G1780" s="2" t="s">
        <v>8293</v>
      </c>
      <c r="H1780" s="2" t="s">
        <v>8293</v>
      </c>
      <c r="I1780" s="2" t="s">
        <v>231</v>
      </c>
      <c r="J1780" s="2" t="s">
        <v>270</v>
      </c>
      <c r="K1780" s="2" t="s">
        <v>2197</v>
      </c>
      <c r="L1780" s="3">
        <v>10.71</v>
      </c>
      <c r="M1780" s="3">
        <v>11.25</v>
      </c>
      <c r="N1780" s="3">
        <v>24.99</v>
      </c>
      <c r="O1780" s="2" t="s">
        <v>245</v>
      </c>
      <c r="P1780" s="2" t="s">
        <v>238</v>
      </c>
      <c r="Q1780" s="2" t="s">
        <v>239</v>
      </c>
      <c r="R1780" s="2" t="s">
        <v>233</v>
      </c>
      <c r="S1780" s="2" t="s">
        <v>8311</v>
      </c>
      <c r="T1780" s="2" t="s">
        <v>647</v>
      </c>
      <c r="U1780" s="2" t="s">
        <v>396</v>
      </c>
      <c r="V1780" s="2" t="s">
        <v>1085</v>
      </c>
      <c r="W1780" s="2" t="s">
        <v>275</v>
      </c>
      <c r="X1780" s="2" t="s">
        <v>233</v>
      </c>
      <c r="Y1780" s="2" t="s">
        <v>233</v>
      </c>
      <c r="Z1780" s="4"/>
      <c r="AA1780" s="4">
        <f>=ROUNDDOWN({0},0)</f>
      </c>
      <c r="AB1780" s="5"/>
      <c r="AC1780" s="2" t="s">
        <v>8295</v>
      </c>
      <c r="AD1780" s="4">
        <v>165</v>
      </c>
      <c r="AE1780" s="4">
        <v>165</v>
      </c>
      <c r="AF1780" s="6">
        <v>65</v>
      </c>
      <c r="AG1780" s="6"/>
      <c r="AH1780" s="7">
        <v>0</v>
      </c>
      <c r="AI1780" s="4"/>
      <c r="AJ1780" s="4">
        <f>=ROUNDDOWN({0},0)</f>
      </c>
      <c r="AK1780" s="5"/>
      <c r="AL1780" s="2" t="s">
        <v>233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 t="s">
        <v>233</v>
      </c>
      <c r="AW1780" s="8" t="s">
        <v>233</v>
      </c>
      <c r="AX1780" s="4" t="s">
        <v>233</v>
      </c>
      <c r="AY1780" s="8" t="s">
        <v>233</v>
      </c>
      <c r="AZ1780" s="7" t="s">
        <v>233</v>
      </c>
      <c r="BA1780" s="7" t="s">
        <v>233</v>
      </c>
      <c r="BB1780" s="7"/>
      <c r="BC1780" s="4" t="s">
        <v>233</v>
      </c>
      <c r="BD1780" s="8" t="s">
        <v>233</v>
      </c>
      <c r="BE1780" s="4" t="s">
        <v>233</v>
      </c>
      <c r="BF1780" s="8" t="s">
        <v>233</v>
      </c>
      <c r="BG1780" s="7" t="s">
        <v>233</v>
      </c>
      <c r="BH1780" s="7" t="s">
        <v>233</v>
      </c>
      <c r="BI1780" s="7"/>
      <c r="BJ1780" s="4"/>
      <c r="BK1780" s="8"/>
      <c r="BL1780" s="2" t="s">
        <v>233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243</v>
      </c>
      <c r="BV1780" s="2" t="s">
        <v>233</v>
      </c>
      <c r="BW1780" s="2" t="s">
        <v>233</v>
      </c>
      <c r="BX1780" s="2" t="s">
        <v>243</v>
      </c>
      <c r="BY1780" s="2" t="s">
        <v>244</v>
      </c>
      <c r="BZ1780" s="2" t="s">
        <v>245</v>
      </c>
      <c r="CA1780" s="2" t="s">
        <v>233</v>
      </c>
      <c r="CB1780" s="2" t="s">
        <v>233</v>
      </c>
      <c r="CC1780" s="2" t="s">
        <v>246</v>
      </c>
      <c r="CD1780" s="2" t="s">
        <v>233</v>
      </c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>
        <v>165</v>
      </c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  <c r="HF1780" s="4"/>
      <c r="HG1780" s="4"/>
      <c r="HH1780" s="4"/>
      <c r="HI1780" s="4"/>
      <c r="HJ1780" s="4"/>
      <c r="HK1780" s="4"/>
      <c r="HL1780" s="4"/>
      <c r="HM1780" s="4"/>
      <c r="HN1780" s="4"/>
      <c r="HO1780" s="4"/>
      <c r="HP1780" s="4"/>
      <c r="HQ1780" s="4"/>
      <c r="HR1780" s="4"/>
    </row>
    <row r="1781">
      <c r="A1781" s="2" t="s">
        <v>8312</v>
      </c>
      <c r="B1781" s="2" t="s">
        <v>228</v>
      </c>
      <c r="C1781" s="2" t="s">
        <v>1050</v>
      </c>
      <c r="D1781" s="2" t="s">
        <v>230</v>
      </c>
      <c r="E1781" s="2" t="s">
        <v>231</v>
      </c>
      <c r="F1781" s="2" t="s">
        <v>8293</v>
      </c>
      <c r="G1781" s="2" t="s">
        <v>8293</v>
      </c>
      <c r="H1781" s="2" t="s">
        <v>8293</v>
      </c>
      <c r="I1781" s="2" t="s">
        <v>231</v>
      </c>
      <c r="J1781" s="2" t="s">
        <v>981</v>
      </c>
      <c r="K1781" s="2" t="s">
        <v>2197</v>
      </c>
      <c r="L1781" s="3">
        <v>12.7</v>
      </c>
      <c r="M1781" s="3">
        <v>13.34</v>
      </c>
      <c r="N1781" s="3">
        <v>28.99</v>
      </c>
      <c r="O1781" s="2" t="s">
        <v>245</v>
      </c>
      <c r="P1781" s="2" t="s">
        <v>238</v>
      </c>
      <c r="Q1781" s="2" t="s">
        <v>239</v>
      </c>
      <c r="R1781" s="2" t="s">
        <v>233</v>
      </c>
      <c r="S1781" s="2" t="s">
        <v>8311</v>
      </c>
      <c r="T1781" s="2" t="s">
        <v>647</v>
      </c>
      <c r="U1781" s="2" t="s">
        <v>396</v>
      </c>
      <c r="V1781" s="2" t="s">
        <v>1085</v>
      </c>
      <c r="W1781" s="2" t="s">
        <v>275</v>
      </c>
      <c r="X1781" s="2" t="s">
        <v>233</v>
      </c>
      <c r="Y1781" s="2" t="s">
        <v>233</v>
      </c>
      <c r="Z1781" s="4"/>
      <c r="AA1781" s="4">
        <f>=ROUNDDOWN({0},0)</f>
      </c>
      <c r="AB1781" s="5"/>
      <c r="AC1781" s="2" t="s">
        <v>8295</v>
      </c>
      <c r="AD1781" s="4">
        <v>365</v>
      </c>
      <c r="AE1781" s="4">
        <v>365</v>
      </c>
      <c r="AF1781" s="6">
        <v>65</v>
      </c>
      <c r="AG1781" s="6"/>
      <c r="AH1781" s="7">
        <v>0</v>
      </c>
      <c r="AI1781" s="4"/>
      <c r="AJ1781" s="4">
        <f>=ROUNDDOWN({0},0)</f>
      </c>
      <c r="AK1781" s="5"/>
      <c r="AL1781" s="2" t="s">
        <v>233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 t="s">
        <v>233</v>
      </c>
      <c r="AW1781" s="8" t="s">
        <v>233</v>
      </c>
      <c r="AX1781" s="4" t="s">
        <v>233</v>
      </c>
      <c r="AY1781" s="8" t="s">
        <v>233</v>
      </c>
      <c r="AZ1781" s="7" t="s">
        <v>233</v>
      </c>
      <c r="BA1781" s="7" t="s">
        <v>233</v>
      </c>
      <c r="BB1781" s="7"/>
      <c r="BC1781" s="4" t="s">
        <v>233</v>
      </c>
      <c r="BD1781" s="8" t="s">
        <v>233</v>
      </c>
      <c r="BE1781" s="4" t="s">
        <v>233</v>
      </c>
      <c r="BF1781" s="8" t="s">
        <v>233</v>
      </c>
      <c r="BG1781" s="7" t="s">
        <v>233</v>
      </c>
      <c r="BH1781" s="7" t="s">
        <v>233</v>
      </c>
      <c r="BI1781" s="7"/>
      <c r="BJ1781" s="4"/>
      <c r="BK1781" s="8"/>
      <c r="BL1781" s="2" t="s">
        <v>233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243</v>
      </c>
      <c r="BV1781" s="2" t="s">
        <v>233</v>
      </c>
      <c r="BW1781" s="2" t="s">
        <v>233</v>
      </c>
      <c r="BX1781" s="2" t="s">
        <v>243</v>
      </c>
      <c r="BY1781" s="2" t="s">
        <v>244</v>
      </c>
      <c r="BZ1781" s="2" t="s">
        <v>245</v>
      </c>
      <c r="CA1781" s="2" t="s">
        <v>233</v>
      </c>
      <c r="CB1781" s="2" t="s">
        <v>233</v>
      </c>
      <c r="CC1781" s="2" t="s">
        <v>246</v>
      </c>
      <c r="CD1781" s="2" t="s">
        <v>233</v>
      </c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>
        <v>365</v>
      </c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4"/>
      <c r="HG1781" s="4"/>
      <c r="HH1781" s="4"/>
      <c r="HI1781" s="4"/>
      <c r="HJ1781" s="4"/>
      <c r="HK1781" s="4"/>
      <c r="HL1781" s="4"/>
      <c r="HM1781" s="4"/>
      <c r="HN1781" s="4"/>
      <c r="HO1781" s="4"/>
      <c r="HP1781" s="4"/>
      <c r="HQ1781" s="4"/>
      <c r="HR1781" s="4"/>
    </row>
    <row r="1782">
      <c r="A1782" s="2" t="s">
        <v>8313</v>
      </c>
      <c r="B1782" s="2" t="s">
        <v>228</v>
      </c>
      <c r="C1782" s="2" t="s">
        <v>1050</v>
      </c>
      <c r="D1782" s="2" t="s">
        <v>230</v>
      </c>
      <c r="E1782" s="2" t="s">
        <v>231</v>
      </c>
      <c r="F1782" s="2" t="s">
        <v>8293</v>
      </c>
      <c r="G1782" s="2" t="s">
        <v>8293</v>
      </c>
      <c r="H1782" s="2" t="s">
        <v>8293</v>
      </c>
      <c r="I1782" s="2" t="s">
        <v>231</v>
      </c>
      <c r="J1782" s="2" t="s">
        <v>328</v>
      </c>
      <c r="K1782" s="2" t="s">
        <v>2197</v>
      </c>
      <c r="L1782" s="3">
        <v>14.45</v>
      </c>
      <c r="M1782" s="3">
        <v>15.17</v>
      </c>
      <c r="N1782" s="3">
        <v>32.99</v>
      </c>
      <c r="O1782" s="2" t="s">
        <v>245</v>
      </c>
      <c r="P1782" s="2" t="s">
        <v>238</v>
      </c>
      <c r="Q1782" s="2" t="s">
        <v>239</v>
      </c>
      <c r="R1782" s="2" t="s">
        <v>233</v>
      </c>
      <c r="S1782" s="2" t="s">
        <v>8311</v>
      </c>
      <c r="T1782" s="2" t="s">
        <v>647</v>
      </c>
      <c r="U1782" s="2" t="s">
        <v>396</v>
      </c>
      <c r="V1782" s="2" t="s">
        <v>1085</v>
      </c>
      <c r="W1782" s="2" t="s">
        <v>275</v>
      </c>
      <c r="X1782" s="2" t="s">
        <v>233</v>
      </c>
      <c r="Y1782" s="2" t="s">
        <v>233</v>
      </c>
      <c r="Z1782" s="4"/>
      <c r="AA1782" s="4">
        <f>=ROUNDDOWN({0},0)</f>
      </c>
      <c r="AB1782" s="5"/>
      <c r="AC1782" s="2" t="s">
        <v>8295</v>
      </c>
      <c r="AD1782" s="4">
        <v>220</v>
      </c>
      <c r="AE1782" s="4">
        <v>220</v>
      </c>
      <c r="AF1782" s="6">
        <v>65</v>
      </c>
      <c r="AG1782" s="6"/>
      <c r="AH1782" s="7">
        <v>0</v>
      </c>
      <c r="AI1782" s="4"/>
      <c r="AJ1782" s="4">
        <f>=ROUNDDOWN({0},0)</f>
      </c>
      <c r="AK1782" s="5"/>
      <c r="AL1782" s="2" t="s">
        <v>233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 t="s">
        <v>233</v>
      </c>
      <c r="AW1782" s="8" t="s">
        <v>233</v>
      </c>
      <c r="AX1782" s="4" t="s">
        <v>233</v>
      </c>
      <c r="AY1782" s="8" t="s">
        <v>233</v>
      </c>
      <c r="AZ1782" s="7" t="s">
        <v>233</v>
      </c>
      <c r="BA1782" s="7" t="s">
        <v>233</v>
      </c>
      <c r="BB1782" s="7"/>
      <c r="BC1782" s="4" t="s">
        <v>233</v>
      </c>
      <c r="BD1782" s="8" t="s">
        <v>233</v>
      </c>
      <c r="BE1782" s="4" t="s">
        <v>233</v>
      </c>
      <c r="BF1782" s="8" t="s">
        <v>233</v>
      </c>
      <c r="BG1782" s="7" t="s">
        <v>233</v>
      </c>
      <c r="BH1782" s="7" t="s">
        <v>233</v>
      </c>
      <c r="BI1782" s="7"/>
      <c r="BJ1782" s="4"/>
      <c r="BK1782" s="8"/>
      <c r="BL1782" s="2" t="s">
        <v>233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243</v>
      </c>
      <c r="BV1782" s="2" t="s">
        <v>233</v>
      </c>
      <c r="BW1782" s="2" t="s">
        <v>233</v>
      </c>
      <c r="BX1782" s="2" t="s">
        <v>243</v>
      </c>
      <c r="BY1782" s="2" t="s">
        <v>244</v>
      </c>
      <c r="BZ1782" s="2" t="s">
        <v>245</v>
      </c>
      <c r="CA1782" s="2" t="s">
        <v>233</v>
      </c>
      <c r="CB1782" s="2" t="s">
        <v>233</v>
      </c>
      <c r="CC1782" s="2" t="s">
        <v>246</v>
      </c>
      <c r="CD1782" s="2" t="s">
        <v>233</v>
      </c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>
        <v>220</v>
      </c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4"/>
      <c r="HG1782" s="4"/>
      <c r="HH1782" s="4"/>
      <c r="HI1782" s="4"/>
      <c r="HJ1782" s="4"/>
      <c r="HK1782" s="4"/>
      <c r="HL1782" s="4"/>
      <c r="HM1782" s="4"/>
      <c r="HN1782" s="4"/>
      <c r="HO1782" s="4"/>
      <c r="HP1782" s="4"/>
      <c r="HQ1782" s="4"/>
      <c r="HR1782" s="4"/>
    </row>
    <row r="1783">
      <c r="A1783" s="2" t="s">
        <v>8314</v>
      </c>
      <c r="B1783" s="2" t="s">
        <v>228</v>
      </c>
      <c r="C1783" s="2" t="s">
        <v>530</v>
      </c>
      <c r="D1783" s="2" t="s">
        <v>230</v>
      </c>
      <c r="E1783" s="2" t="s">
        <v>231</v>
      </c>
      <c r="F1783" s="2" t="s">
        <v>8315</v>
      </c>
      <c r="G1783" s="2" t="s">
        <v>8315</v>
      </c>
      <c r="H1783" s="2" t="s">
        <v>8315</v>
      </c>
      <c r="I1783" s="2" t="s">
        <v>231</v>
      </c>
      <c r="J1783" s="2" t="s">
        <v>328</v>
      </c>
      <c r="K1783" s="2" t="s">
        <v>271</v>
      </c>
      <c r="L1783" s="3">
        <v>17.02</v>
      </c>
      <c r="M1783" s="3">
        <v>17.87</v>
      </c>
      <c r="N1783" s="3">
        <v>36.99</v>
      </c>
      <c r="O1783" s="2" t="s">
        <v>237</v>
      </c>
      <c r="P1783" s="2" t="s">
        <v>311</v>
      </c>
      <c r="Q1783" s="2" t="s">
        <v>239</v>
      </c>
      <c r="R1783" s="2" t="s">
        <v>233</v>
      </c>
      <c r="S1783" s="2" t="s">
        <v>8316</v>
      </c>
      <c r="T1783" s="2" t="s">
        <v>1622</v>
      </c>
      <c r="U1783" s="2" t="s">
        <v>233</v>
      </c>
      <c r="V1783" s="2" t="s">
        <v>241</v>
      </c>
      <c r="W1783" s="2" t="s">
        <v>275</v>
      </c>
      <c r="X1783" s="2" t="s">
        <v>233</v>
      </c>
      <c r="Y1783" s="2" t="s">
        <v>276</v>
      </c>
      <c r="Z1783" s="4"/>
      <c r="AA1783" s="4">
        <f>=ROUNDDOWN({0},0)</f>
      </c>
      <c r="AB1783" s="5">
        <v>8.7</v>
      </c>
      <c r="AC1783" s="2" t="s">
        <v>233</v>
      </c>
      <c r="AD1783" s="4"/>
      <c r="AE1783" s="4"/>
      <c r="AF1783" s="6">
        <v>64</v>
      </c>
      <c r="AG1783" s="6"/>
      <c r="AH1783" s="7">
        <v>0.0968</v>
      </c>
      <c r="AI1783" s="4"/>
      <c r="AJ1783" s="4">
        <f>=ROUNDDOWN({0},0)</f>
      </c>
      <c r="AK1783" s="5"/>
      <c r="AL1783" s="2" t="s">
        <v>233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/>
      <c r="BD1783" s="8"/>
      <c r="BE1783" s="4"/>
      <c r="BF1783" s="8"/>
      <c r="BG1783" s="7"/>
      <c r="BH1783" s="7"/>
      <c r="BI1783" s="7"/>
      <c r="BJ1783" s="4">
        <v>6</v>
      </c>
      <c r="BK1783" s="8">
        <v>100.6</v>
      </c>
      <c r="BL1783" s="2" t="s">
        <v>8317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8318</v>
      </c>
      <c r="BV1783" s="2" t="s">
        <v>233</v>
      </c>
      <c r="BW1783" s="2" t="s">
        <v>233</v>
      </c>
      <c r="BX1783" s="2" t="s">
        <v>233</v>
      </c>
      <c r="BY1783" s="2" t="s">
        <v>280</v>
      </c>
      <c r="BZ1783" s="2" t="s">
        <v>245</v>
      </c>
      <c r="CA1783" s="2" t="s">
        <v>281</v>
      </c>
      <c r="CB1783" s="2" t="s">
        <v>1848</v>
      </c>
      <c r="CC1783" s="2" t="s">
        <v>246</v>
      </c>
      <c r="CD1783" s="2" t="s">
        <v>233</v>
      </c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4"/>
      <c r="HG1783" s="4"/>
      <c r="HH1783" s="4"/>
      <c r="HI1783" s="4"/>
      <c r="HJ1783" s="4"/>
      <c r="HK1783" s="4"/>
      <c r="HL1783" s="4"/>
      <c r="HM1783" s="4"/>
      <c r="HN1783" s="4"/>
      <c r="HO1783" s="4"/>
      <c r="HP1783" s="4"/>
      <c r="HQ1783" s="4"/>
      <c r="HR1783" s="4"/>
    </row>
    <row r="1784">
      <c r="A1784" s="2" t="s">
        <v>8319</v>
      </c>
      <c r="B1784" s="2" t="s">
        <v>228</v>
      </c>
      <c r="C1784" s="2" t="s">
        <v>911</v>
      </c>
      <c r="D1784" s="2" t="s">
        <v>230</v>
      </c>
      <c r="E1784" s="2" t="s">
        <v>231</v>
      </c>
      <c r="F1784" s="2" t="s">
        <v>8320</v>
      </c>
      <c r="G1784" s="2" t="s">
        <v>8320</v>
      </c>
      <c r="H1784" s="2" t="s">
        <v>8320</v>
      </c>
      <c r="I1784" s="2" t="s">
        <v>8321</v>
      </c>
      <c r="J1784" s="2" t="s">
        <v>981</v>
      </c>
      <c r="K1784" s="2" t="s">
        <v>645</v>
      </c>
      <c r="L1784" s="3">
        <v>15.46</v>
      </c>
      <c r="M1784" s="3">
        <v>16.23</v>
      </c>
      <c r="N1784" s="3">
        <v>34.99</v>
      </c>
      <c r="O1784" s="2" t="s">
        <v>245</v>
      </c>
      <c r="P1784" s="2" t="s">
        <v>272</v>
      </c>
      <c r="Q1784" s="2" t="s">
        <v>239</v>
      </c>
      <c r="R1784" s="2" t="s">
        <v>233</v>
      </c>
      <c r="S1784" s="2" t="s">
        <v>8322</v>
      </c>
      <c r="T1784" s="2" t="s">
        <v>1622</v>
      </c>
      <c r="U1784" s="2" t="s">
        <v>233</v>
      </c>
      <c r="V1784" s="2" t="s">
        <v>241</v>
      </c>
      <c r="W1784" s="2" t="s">
        <v>275</v>
      </c>
      <c r="X1784" s="2" t="s">
        <v>233</v>
      </c>
      <c r="Y1784" s="2" t="s">
        <v>276</v>
      </c>
      <c r="Z1784" s="4">
        <v>448</v>
      </c>
      <c r="AA1784" s="4">
        <f>=ROUNDDOWN(9.14285714285714,0)</f>
      </c>
      <c r="AB1784" s="5">
        <v>49</v>
      </c>
      <c r="AC1784" s="2" t="s">
        <v>3255</v>
      </c>
      <c r="AD1784" s="4">
        <v>300</v>
      </c>
      <c r="AE1784" s="4">
        <v>750</v>
      </c>
      <c r="AF1784" s="6">
        <v>64</v>
      </c>
      <c r="AG1784" s="6"/>
      <c r="AH1784" s="7">
        <v>1</v>
      </c>
      <c r="AI1784" s="4"/>
      <c r="AJ1784" s="4">
        <f>=ROUNDDOWN({0},0)</f>
      </c>
      <c r="AK1784" s="5"/>
      <c r="AL1784" s="2" t="s">
        <v>233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233</v>
      </c>
      <c r="BD1784" s="8" t="s">
        <v>233</v>
      </c>
      <c r="BE1784" s="4" t="s">
        <v>233</v>
      </c>
      <c r="BF1784" s="8" t="s">
        <v>233</v>
      </c>
      <c r="BG1784" s="7" t="s">
        <v>233</v>
      </c>
      <c r="BH1784" s="7" t="s">
        <v>233</v>
      </c>
      <c r="BI1784" s="7"/>
      <c r="BJ1784" s="4">
        <v>196</v>
      </c>
      <c r="BK1784" s="8">
        <v>3012</v>
      </c>
      <c r="BL1784" s="2" t="s">
        <v>8323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8324</v>
      </c>
      <c r="BV1784" s="2" t="s">
        <v>233</v>
      </c>
      <c r="BW1784" s="2" t="s">
        <v>233</v>
      </c>
      <c r="BX1784" s="2" t="s">
        <v>233</v>
      </c>
      <c r="BY1784" s="2" t="s">
        <v>280</v>
      </c>
      <c r="BZ1784" s="2" t="s">
        <v>245</v>
      </c>
      <c r="CA1784" s="2" t="s">
        <v>7806</v>
      </c>
      <c r="CB1784" s="2" t="s">
        <v>8325</v>
      </c>
      <c r="CC1784" s="2" t="s">
        <v>246</v>
      </c>
      <c r="CD1784" s="2" t="s">
        <v>233</v>
      </c>
      <c r="CE1784" s="4">
        <v>448</v>
      </c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>
        <v>300</v>
      </c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>
        <v>450</v>
      </c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4"/>
      <c r="HG1784" s="4"/>
      <c r="HH1784" s="4"/>
      <c r="HI1784" s="4"/>
      <c r="HJ1784" s="4"/>
      <c r="HK1784" s="4"/>
      <c r="HL1784" s="4"/>
      <c r="HM1784" s="4"/>
      <c r="HN1784" s="4"/>
      <c r="HO1784" s="4"/>
      <c r="HP1784" s="4"/>
      <c r="HQ1784" s="4"/>
      <c r="HR1784" s="4"/>
    </row>
    <row r="1785">
      <c r="A1785" s="2" t="s">
        <v>8326</v>
      </c>
      <c r="B1785" s="2" t="s">
        <v>228</v>
      </c>
      <c r="C1785" s="2" t="s">
        <v>911</v>
      </c>
      <c r="D1785" s="2" t="s">
        <v>1616</v>
      </c>
      <c r="E1785" s="2" t="s">
        <v>2599</v>
      </c>
      <c r="F1785" s="2" t="s">
        <v>8320</v>
      </c>
      <c r="G1785" s="2" t="s">
        <v>8320</v>
      </c>
      <c r="H1785" s="2" t="s">
        <v>8320</v>
      </c>
      <c r="I1785" s="2" t="s">
        <v>8327</v>
      </c>
      <c r="J1785" s="2" t="s">
        <v>6223</v>
      </c>
      <c r="K1785" s="2" t="s">
        <v>255</v>
      </c>
      <c r="L1785" s="3">
        <v>10.79</v>
      </c>
      <c r="M1785" s="3">
        <v>11.33</v>
      </c>
      <c r="N1785" s="3">
        <v>19.99</v>
      </c>
      <c r="O1785" s="2" t="s">
        <v>245</v>
      </c>
      <c r="P1785" s="2" t="s">
        <v>311</v>
      </c>
      <c r="Q1785" s="2" t="s">
        <v>239</v>
      </c>
      <c r="R1785" s="2" t="s">
        <v>233</v>
      </c>
      <c r="S1785" s="2" t="s">
        <v>8328</v>
      </c>
      <c r="T1785" s="2" t="s">
        <v>1622</v>
      </c>
      <c r="U1785" s="2" t="s">
        <v>233</v>
      </c>
      <c r="V1785" s="2" t="s">
        <v>241</v>
      </c>
      <c r="W1785" s="2" t="s">
        <v>275</v>
      </c>
      <c r="X1785" s="2" t="s">
        <v>233</v>
      </c>
      <c r="Y1785" s="2" t="s">
        <v>276</v>
      </c>
      <c r="Z1785" s="4">
        <v>614</v>
      </c>
      <c r="AA1785" s="4">
        <f>=ROUNDDOWN(40.9333333333333,0)</f>
      </c>
      <c r="AB1785" s="5">
        <v>15</v>
      </c>
      <c r="AC1785" s="2" t="s">
        <v>233</v>
      </c>
      <c r="AD1785" s="4"/>
      <c r="AE1785" s="4"/>
      <c r="AF1785" s="6">
        <v>64</v>
      </c>
      <c r="AG1785" s="6"/>
      <c r="AH1785" s="7">
        <v>1</v>
      </c>
      <c r="AI1785" s="4"/>
      <c r="AJ1785" s="4">
        <f>=ROUNDDOWN({0},0)</f>
      </c>
      <c r="AK1785" s="5"/>
      <c r="AL1785" s="2" t="s">
        <v>233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233</v>
      </c>
      <c r="BD1785" s="8" t="s">
        <v>233</v>
      </c>
      <c r="BE1785" s="4" t="s">
        <v>233</v>
      </c>
      <c r="BF1785" s="8" t="s">
        <v>233</v>
      </c>
      <c r="BG1785" s="7" t="s">
        <v>233</v>
      </c>
      <c r="BH1785" s="7" t="s">
        <v>233</v>
      </c>
      <c r="BI1785" s="7"/>
      <c r="BJ1785" s="4">
        <v>19</v>
      </c>
      <c r="BK1785" s="8">
        <v>211.65</v>
      </c>
      <c r="BL1785" s="2" t="s">
        <v>8329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8330</v>
      </c>
      <c r="BV1785" s="2" t="s">
        <v>233</v>
      </c>
      <c r="BW1785" s="2" t="s">
        <v>233</v>
      </c>
      <c r="BX1785" s="2" t="s">
        <v>233</v>
      </c>
      <c r="BY1785" s="2" t="s">
        <v>280</v>
      </c>
      <c r="BZ1785" s="2" t="s">
        <v>245</v>
      </c>
      <c r="CA1785" s="2" t="s">
        <v>281</v>
      </c>
      <c r="CB1785" s="2" t="s">
        <v>1512</v>
      </c>
      <c r="CC1785" s="2" t="s">
        <v>246</v>
      </c>
      <c r="CD1785" s="2" t="s">
        <v>233</v>
      </c>
      <c r="CE1785" s="4">
        <v>614</v>
      </c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4"/>
      <c r="HG1785" s="4"/>
      <c r="HH1785" s="4"/>
      <c r="HI1785" s="4"/>
      <c r="HJ1785" s="4"/>
      <c r="HK1785" s="4"/>
      <c r="HL1785" s="4"/>
      <c r="HM1785" s="4"/>
      <c r="HN1785" s="4"/>
      <c r="HO1785" s="4"/>
      <c r="HP1785" s="4"/>
      <c r="HQ1785" s="4"/>
      <c r="HR1785" s="4"/>
    </row>
    <row r="1786">
      <c r="A1786" s="2" t="s">
        <v>8331</v>
      </c>
      <c r="B1786" s="2" t="s">
        <v>228</v>
      </c>
      <c r="C1786" s="2" t="s">
        <v>911</v>
      </c>
      <c r="D1786" s="2" t="s">
        <v>230</v>
      </c>
      <c r="E1786" s="2" t="s">
        <v>231</v>
      </c>
      <c r="F1786" s="2" t="s">
        <v>8320</v>
      </c>
      <c r="G1786" s="2" t="s">
        <v>8320</v>
      </c>
      <c r="H1786" s="2" t="s">
        <v>8320</v>
      </c>
      <c r="I1786" s="2" t="s">
        <v>8321</v>
      </c>
      <c r="J1786" s="2" t="s">
        <v>918</v>
      </c>
      <c r="K1786" s="2" t="s">
        <v>257</v>
      </c>
      <c r="L1786" s="3">
        <v>12.32</v>
      </c>
      <c r="M1786" s="3">
        <v>12.94</v>
      </c>
      <c r="N1786" s="3">
        <v>28.99</v>
      </c>
      <c r="O1786" s="2" t="s">
        <v>245</v>
      </c>
      <c r="P1786" s="2" t="s">
        <v>311</v>
      </c>
      <c r="Q1786" s="2" t="s">
        <v>239</v>
      </c>
      <c r="R1786" s="2" t="s">
        <v>233</v>
      </c>
      <c r="S1786" s="2" t="s">
        <v>8332</v>
      </c>
      <c r="T1786" s="2" t="s">
        <v>1622</v>
      </c>
      <c r="U1786" s="2" t="s">
        <v>233</v>
      </c>
      <c r="V1786" s="2" t="s">
        <v>241</v>
      </c>
      <c r="W1786" s="2" t="s">
        <v>275</v>
      </c>
      <c r="X1786" s="2" t="s">
        <v>233</v>
      </c>
      <c r="Y1786" s="2" t="s">
        <v>276</v>
      </c>
      <c r="Z1786" s="4">
        <v>758</v>
      </c>
      <c r="AA1786" s="4">
        <f>=ROUNDDOWN(50.5333333333333,0)</f>
      </c>
      <c r="AB1786" s="5">
        <v>15</v>
      </c>
      <c r="AC1786" s="2" t="s">
        <v>299</v>
      </c>
      <c r="AD1786" s="4">
        <v>400</v>
      </c>
      <c r="AE1786" s="4">
        <v>400</v>
      </c>
      <c r="AF1786" s="6">
        <v>64</v>
      </c>
      <c r="AG1786" s="6"/>
      <c r="AH1786" s="7">
        <v>1</v>
      </c>
      <c r="AI1786" s="4"/>
      <c r="AJ1786" s="4">
        <f>=ROUNDDOWN({0},0)</f>
      </c>
      <c r="AK1786" s="5"/>
      <c r="AL1786" s="2" t="s">
        <v>233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 t="s">
        <v>233</v>
      </c>
      <c r="AW1786" s="8" t="s">
        <v>233</v>
      </c>
      <c r="AX1786" s="4" t="s">
        <v>233</v>
      </c>
      <c r="AY1786" s="8" t="s">
        <v>233</v>
      </c>
      <c r="AZ1786" s="7" t="s">
        <v>233</v>
      </c>
      <c r="BA1786" s="7" t="s">
        <v>233</v>
      </c>
      <c r="BB1786" s="7"/>
      <c r="BC1786" s="4" t="s">
        <v>233</v>
      </c>
      <c r="BD1786" s="8" t="s">
        <v>233</v>
      </c>
      <c r="BE1786" s="4" t="s">
        <v>233</v>
      </c>
      <c r="BF1786" s="8" t="s">
        <v>233</v>
      </c>
      <c r="BG1786" s="7" t="s">
        <v>233</v>
      </c>
      <c r="BH1786" s="7" t="s">
        <v>233</v>
      </c>
      <c r="BI1786" s="7"/>
      <c r="BJ1786" s="4">
        <v>56</v>
      </c>
      <c r="BK1786" s="8">
        <v>672.55</v>
      </c>
      <c r="BL1786" s="2" t="s">
        <v>8333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8334</v>
      </c>
      <c r="BV1786" s="2" t="s">
        <v>233</v>
      </c>
      <c r="BW1786" s="2" t="s">
        <v>233</v>
      </c>
      <c r="BX1786" s="2" t="s">
        <v>595</v>
      </c>
      <c r="BY1786" s="2" t="s">
        <v>280</v>
      </c>
      <c r="BZ1786" s="2" t="s">
        <v>245</v>
      </c>
      <c r="CA1786" s="2" t="s">
        <v>281</v>
      </c>
      <c r="CB1786" s="2" t="s">
        <v>8335</v>
      </c>
      <c r="CC1786" s="2" t="s">
        <v>246</v>
      </c>
      <c r="CD1786" s="2" t="s">
        <v>233</v>
      </c>
      <c r="CE1786" s="4">
        <v>758</v>
      </c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>
        <v>400</v>
      </c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  <c r="HF1786" s="4"/>
      <c r="HG1786" s="4"/>
      <c r="HH1786" s="4"/>
      <c r="HI1786" s="4"/>
      <c r="HJ1786" s="4"/>
      <c r="HK1786" s="4"/>
      <c r="HL1786" s="4"/>
      <c r="HM1786" s="4"/>
      <c r="HN1786" s="4"/>
      <c r="HO1786" s="4"/>
      <c r="HP1786" s="4"/>
      <c r="HQ1786" s="4"/>
      <c r="HR1786" s="4"/>
    </row>
    <row r="1787">
      <c r="A1787" s="2" t="s">
        <v>8336</v>
      </c>
      <c r="B1787" s="2" t="s">
        <v>228</v>
      </c>
      <c r="C1787" s="2" t="s">
        <v>911</v>
      </c>
      <c r="D1787" s="2" t="s">
        <v>230</v>
      </c>
      <c r="E1787" s="2" t="s">
        <v>231</v>
      </c>
      <c r="F1787" s="2" t="s">
        <v>8320</v>
      </c>
      <c r="G1787" s="2" t="s">
        <v>8320</v>
      </c>
      <c r="H1787" s="2" t="s">
        <v>8320</v>
      </c>
      <c r="I1787" s="2" t="s">
        <v>8321</v>
      </c>
      <c r="J1787" s="2" t="s">
        <v>328</v>
      </c>
      <c r="K1787" s="2" t="s">
        <v>257</v>
      </c>
      <c r="L1787" s="3">
        <v>18.42</v>
      </c>
      <c r="M1787" s="3">
        <v>19.34</v>
      </c>
      <c r="N1787" s="3">
        <v>40.99</v>
      </c>
      <c r="O1787" s="2" t="s">
        <v>245</v>
      </c>
      <c r="P1787" s="2" t="s">
        <v>311</v>
      </c>
      <c r="Q1787" s="2" t="s">
        <v>239</v>
      </c>
      <c r="R1787" s="2" t="s">
        <v>233</v>
      </c>
      <c r="S1787" s="2" t="s">
        <v>8332</v>
      </c>
      <c r="T1787" s="2" t="s">
        <v>1622</v>
      </c>
      <c r="U1787" s="2" t="s">
        <v>233</v>
      </c>
      <c r="V1787" s="2" t="s">
        <v>241</v>
      </c>
      <c r="W1787" s="2" t="s">
        <v>275</v>
      </c>
      <c r="X1787" s="2" t="s">
        <v>233</v>
      </c>
      <c r="Y1787" s="2" t="s">
        <v>276</v>
      </c>
      <c r="Z1787" s="4">
        <v>284</v>
      </c>
      <c r="AA1787" s="4">
        <f>=ROUNDDOWN(20.2857142857143,0)</f>
      </c>
      <c r="AB1787" s="5">
        <v>14</v>
      </c>
      <c r="AC1787" s="2" t="s">
        <v>873</v>
      </c>
      <c r="AD1787" s="4">
        <v>350</v>
      </c>
      <c r="AE1787" s="4">
        <v>350</v>
      </c>
      <c r="AF1787" s="6">
        <v>64</v>
      </c>
      <c r="AG1787" s="6"/>
      <c r="AH1787" s="7">
        <v>1</v>
      </c>
      <c r="AI1787" s="4"/>
      <c r="AJ1787" s="4">
        <f>=ROUNDDOWN({0},0)</f>
      </c>
      <c r="AK1787" s="5"/>
      <c r="AL1787" s="2" t="s">
        <v>233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233</v>
      </c>
      <c r="AW1787" s="8" t="s">
        <v>233</v>
      </c>
      <c r="AX1787" s="4" t="s">
        <v>233</v>
      </c>
      <c r="AY1787" s="8" t="s">
        <v>233</v>
      </c>
      <c r="AZ1787" s="7" t="s">
        <v>233</v>
      </c>
      <c r="BA1787" s="7" t="s">
        <v>233</v>
      </c>
      <c r="BB1787" s="7"/>
      <c r="BC1787" s="4" t="s">
        <v>233</v>
      </c>
      <c r="BD1787" s="8" t="s">
        <v>233</v>
      </c>
      <c r="BE1787" s="4" t="s">
        <v>233</v>
      </c>
      <c r="BF1787" s="8" t="s">
        <v>233</v>
      </c>
      <c r="BG1787" s="7" t="s">
        <v>233</v>
      </c>
      <c r="BH1787" s="7" t="s">
        <v>233</v>
      </c>
      <c r="BI1787" s="7"/>
      <c r="BJ1787" s="4">
        <v>40</v>
      </c>
      <c r="BK1787" s="8">
        <v>766.2</v>
      </c>
      <c r="BL1787" s="2" t="s">
        <v>8337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8338</v>
      </c>
      <c r="BV1787" s="2" t="s">
        <v>233</v>
      </c>
      <c r="BW1787" s="2" t="s">
        <v>233</v>
      </c>
      <c r="BX1787" s="2" t="s">
        <v>595</v>
      </c>
      <c r="BY1787" s="2" t="s">
        <v>280</v>
      </c>
      <c r="BZ1787" s="2" t="s">
        <v>245</v>
      </c>
      <c r="CA1787" s="2" t="s">
        <v>281</v>
      </c>
      <c r="CB1787" s="2" t="s">
        <v>1222</v>
      </c>
      <c r="CC1787" s="2" t="s">
        <v>246</v>
      </c>
      <c r="CD1787" s="2" t="s">
        <v>233</v>
      </c>
      <c r="CE1787" s="4">
        <v>284</v>
      </c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>
        <v>350</v>
      </c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4"/>
      <c r="HG1787" s="4"/>
      <c r="HH1787" s="4"/>
      <c r="HI1787" s="4"/>
      <c r="HJ1787" s="4"/>
      <c r="HK1787" s="4"/>
      <c r="HL1787" s="4"/>
      <c r="HM1787" s="4"/>
      <c r="HN1787" s="4"/>
      <c r="HO1787" s="4"/>
      <c r="HP1787" s="4"/>
      <c r="HQ1787" s="4"/>
      <c r="HR1787" s="4"/>
    </row>
    <row r="1788">
      <c r="A1788" s="2" t="s">
        <v>8339</v>
      </c>
      <c r="B1788" s="2" t="s">
        <v>228</v>
      </c>
      <c r="C1788" s="2" t="s">
        <v>911</v>
      </c>
      <c r="D1788" s="2" t="s">
        <v>230</v>
      </c>
      <c r="E1788" s="2" t="s">
        <v>231</v>
      </c>
      <c r="F1788" s="2" t="s">
        <v>8320</v>
      </c>
      <c r="G1788" s="2" t="s">
        <v>8320</v>
      </c>
      <c r="H1788" s="2" t="s">
        <v>8320</v>
      </c>
      <c r="I1788" s="2" t="s">
        <v>8321</v>
      </c>
      <c r="J1788" s="2" t="s">
        <v>918</v>
      </c>
      <c r="K1788" s="2" t="s">
        <v>2942</v>
      </c>
      <c r="L1788" s="3">
        <v>12.32</v>
      </c>
      <c r="M1788" s="3">
        <v>12.94</v>
      </c>
      <c r="N1788" s="3">
        <v>28.99</v>
      </c>
      <c r="O1788" s="2" t="s">
        <v>245</v>
      </c>
      <c r="P1788" s="2" t="s">
        <v>272</v>
      </c>
      <c r="Q1788" s="2" t="s">
        <v>239</v>
      </c>
      <c r="R1788" s="2" t="s">
        <v>233</v>
      </c>
      <c r="S1788" s="2" t="s">
        <v>8340</v>
      </c>
      <c r="T1788" s="2" t="s">
        <v>1622</v>
      </c>
      <c r="U1788" s="2" t="s">
        <v>233</v>
      </c>
      <c r="V1788" s="2" t="s">
        <v>241</v>
      </c>
      <c r="W1788" s="2" t="s">
        <v>275</v>
      </c>
      <c r="X1788" s="2" t="s">
        <v>233</v>
      </c>
      <c r="Y1788" s="2" t="s">
        <v>8341</v>
      </c>
      <c r="Z1788" s="4">
        <v>526</v>
      </c>
      <c r="AA1788" s="4">
        <f>=ROUNDDOWN(27.6842105263158,0)</f>
      </c>
      <c r="AB1788" s="5">
        <v>19</v>
      </c>
      <c r="AC1788" s="2" t="s">
        <v>299</v>
      </c>
      <c r="AD1788" s="4">
        <v>200</v>
      </c>
      <c r="AE1788" s="4">
        <v>530</v>
      </c>
      <c r="AF1788" s="6">
        <v>64</v>
      </c>
      <c r="AG1788" s="6"/>
      <c r="AH1788" s="7">
        <v>1</v>
      </c>
      <c r="AI1788" s="4"/>
      <c r="AJ1788" s="4">
        <f>=ROUNDDOWN({0},0)</f>
      </c>
      <c r="AK1788" s="5"/>
      <c r="AL1788" s="2" t="s">
        <v>233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233</v>
      </c>
      <c r="AW1788" s="8" t="s">
        <v>233</v>
      </c>
      <c r="AX1788" s="4" t="s">
        <v>233</v>
      </c>
      <c r="AY1788" s="8" t="s">
        <v>233</v>
      </c>
      <c r="AZ1788" s="7" t="s">
        <v>233</v>
      </c>
      <c r="BA1788" s="7" t="s">
        <v>233</v>
      </c>
      <c r="BB1788" s="7"/>
      <c r="BC1788" s="4" t="s">
        <v>233</v>
      </c>
      <c r="BD1788" s="8" t="s">
        <v>233</v>
      </c>
      <c r="BE1788" s="4" t="s">
        <v>233</v>
      </c>
      <c r="BF1788" s="8" t="s">
        <v>233</v>
      </c>
      <c r="BG1788" s="7" t="s">
        <v>233</v>
      </c>
      <c r="BH1788" s="7" t="s">
        <v>233</v>
      </c>
      <c r="BI1788" s="7"/>
      <c r="BJ1788" s="4">
        <v>30</v>
      </c>
      <c r="BK1788" s="8">
        <v>367.04</v>
      </c>
      <c r="BL1788" s="2" t="s">
        <v>8342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8343</v>
      </c>
      <c r="BV1788" s="2" t="s">
        <v>233</v>
      </c>
      <c r="BW1788" s="2" t="s">
        <v>233</v>
      </c>
      <c r="BX1788" s="2" t="s">
        <v>233</v>
      </c>
      <c r="BY1788" s="2" t="s">
        <v>280</v>
      </c>
      <c r="BZ1788" s="2" t="s">
        <v>245</v>
      </c>
      <c r="CA1788" s="2" t="s">
        <v>3133</v>
      </c>
      <c r="CB1788" s="2" t="s">
        <v>8344</v>
      </c>
      <c r="CC1788" s="2" t="s">
        <v>246</v>
      </c>
      <c r="CD1788" s="2" t="s">
        <v>233</v>
      </c>
      <c r="CE1788" s="4">
        <v>526</v>
      </c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>
        <v>200</v>
      </c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>
        <v>330</v>
      </c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  <c r="HG1788" s="4"/>
      <c r="HH1788" s="4"/>
      <c r="HI1788" s="4"/>
      <c r="HJ1788" s="4"/>
      <c r="HK1788" s="4"/>
      <c r="HL1788" s="4"/>
      <c r="HM1788" s="4"/>
      <c r="HN1788" s="4"/>
      <c r="HO1788" s="4"/>
      <c r="HP1788" s="4"/>
      <c r="HQ1788" s="4"/>
      <c r="HR1788" s="4"/>
    </row>
    <row r="1789">
      <c r="A1789" s="2" t="s">
        <v>8345</v>
      </c>
      <c r="B1789" s="2" t="s">
        <v>228</v>
      </c>
      <c r="C1789" s="2" t="s">
        <v>911</v>
      </c>
      <c r="D1789" s="2" t="s">
        <v>230</v>
      </c>
      <c r="E1789" s="2" t="s">
        <v>231</v>
      </c>
      <c r="F1789" s="2" t="s">
        <v>8320</v>
      </c>
      <c r="G1789" s="2" t="s">
        <v>8320</v>
      </c>
      <c r="H1789" s="2" t="s">
        <v>8320</v>
      </c>
      <c r="I1789" s="2" t="s">
        <v>8321</v>
      </c>
      <c r="J1789" s="2" t="s">
        <v>981</v>
      </c>
      <c r="K1789" s="2" t="s">
        <v>2942</v>
      </c>
      <c r="L1789" s="3">
        <v>15.46</v>
      </c>
      <c r="M1789" s="3">
        <v>16.23</v>
      </c>
      <c r="N1789" s="3">
        <v>34.99</v>
      </c>
      <c r="O1789" s="2" t="s">
        <v>245</v>
      </c>
      <c r="P1789" s="2" t="s">
        <v>272</v>
      </c>
      <c r="Q1789" s="2" t="s">
        <v>239</v>
      </c>
      <c r="R1789" s="2" t="s">
        <v>233</v>
      </c>
      <c r="S1789" s="2" t="s">
        <v>8340</v>
      </c>
      <c r="T1789" s="2" t="s">
        <v>1622</v>
      </c>
      <c r="U1789" s="2" t="s">
        <v>233</v>
      </c>
      <c r="V1789" s="2" t="s">
        <v>241</v>
      </c>
      <c r="W1789" s="2" t="s">
        <v>275</v>
      </c>
      <c r="X1789" s="2" t="s">
        <v>233</v>
      </c>
      <c r="Y1789" s="2" t="s">
        <v>8341</v>
      </c>
      <c r="Z1789" s="4">
        <v>703</v>
      </c>
      <c r="AA1789" s="4">
        <f>=ROUNDDOWN(31.9545454545455,0)</f>
      </c>
      <c r="AB1789" s="5">
        <v>22</v>
      </c>
      <c r="AC1789" s="2" t="s">
        <v>299</v>
      </c>
      <c r="AD1789" s="4">
        <v>240</v>
      </c>
      <c r="AE1789" s="4">
        <v>240</v>
      </c>
      <c r="AF1789" s="6">
        <v>64</v>
      </c>
      <c r="AG1789" s="6"/>
      <c r="AH1789" s="7">
        <v>1</v>
      </c>
      <c r="AI1789" s="4"/>
      <c r="AJ1789" s="4">
        <f>=ROUNDDOWN({0},0)</f>
      </c>
      <c r="AK1789" s="5"/>
      <c r="AL1789" s="2" t="s">
        <v>233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233</v>
      </c>
      <c r="AW1789" s="8" t="s">
        <v>233</v>
      </c>
      <c r="AX1789" s="4" t="s">
        <v>233</v>
      </c>
      <c r="AY1789" s="8" t="s">
        <v>233</v>
      </c>
      <c r="AZ1789" s="7" t="s">
        <v>233</v>
      </c>
      <c r="BA1789" s="7" t="s">
        <v>233</v>
      </c>
      <c r="BB1789" s="7"/>
      <c r="BC1789" s="4" t="s">
        <v>233</v>
      </c>
      <c r="BD1789" s="8" t="s">
        <v>233</v>
      </c>
      <c r="BE1789" s="4" t="s">
        <v>233</v>
      </c>
      <c r="BF1789" s="8" t="s">
        <v>233</v>
      </c>
      <c r="BG1789" s="7" t="s">
        <v>233</v>
      </c>
      <c r="BH1789" s="7" t="s">
        <v>233</v>
      </c>
      <c r="BI1789" s="7"/>
      <c r="BJ1789" s="4">
        <v>52</v>
      </c>
      <c r="BK1789" s="8">
        <v>836.74</v>
      </c>
      <c r="BL1789" s="2" t="s">
        <v>8346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8347</v>
      </c>
      <c r="BV1789" s="2" t="s">
        <v>233</v>
      </c>
      <c r="BW1789" s="2" t="s">
        <v>233</v>
      </c>
      <c r="BX1789" s="2" t="s">
        <v>233</v>
      </c>
      <c r="BY1789" s="2" t="s">
        <v>280</v>
      </c>
      <c r="BZ1789" s="2" t="s">
        <v>245</v>
      </c>
      <c r="CA1789" s="2" t="s">
        <v>3133</v>
      </c>
      <c r="CB1789" s="2" t="s">
        <v>8344</v>
      </c>
      <c r="CC1789" s="2" t="s">
        <v>246</v>
      </c>
      <c r="CD1789" s="2" t="s">
        <v>233</v>
      </c>
      <c r="CE1789" s="4">
        <v>703</v>
      </c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>
        <v>240</v>
      </c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4"/>
      <c r="HG1789" s="4"/>
      <c r="HH1789" s="4"/>
      <c r="HI1789" s="4"/>
      <c r="HJ1789" s="4"/>
      <c r="HK1789" s="4"/>
      <c r="HL1789" s="4"/>
      <c r="HM1789" s="4"/>
      <c r="HN1789" s="4"/>
      <c r="HO1789" s="4"/>
      <c r="HP1789" s="4"/>
      <c r="HQ1789" s="4"/>
      <c r="HR1789" s="4"/>
    </row>
    <row r="1790">
      <c r="A1790" s="2" t="s">
        <v>8348</v>
      </c>
      <c r="B1790" s="2" t="s">
        <v>228</v>
      </c>
      <c r="C1790" s="2" t="s">
        <v>911</v>
      </c>
      <c r="D1790" s="2" t="s">
        <v>230</v>
      </c>
      <c r="E1790" s="2" t="s">
        <v>231</v>
      </c>
      <c r="F1790" s="2" t="s">
        <v>8320</v>
      </c>
      <c r="G1790" s="2" t="s">
        <v>8320</v>
      </c>
      <c r="H1790" s="2" t="s">
        <v>8320</v>
      </c>
      <c r="I1790" s="2" t="s">
        <v>8321</v>
      </c>
      <c r="J1790" s="2" t="s">
        <v>918</v>
      </c>
      <c r="K1790" s="2" t="s">
        <v>590</v>
      </c>
      <c r="L1790" s="3">
        <v>12.32</v>
      </c>
      <c r="M1790" s="3">
        <v>12.94</v>
      </c>
      <c r="N1790" s="3">
        <v>28.99</v>
      </c>
      <c r="O1790" s="2" t="s">
        <v>245</v>
      </c>
      <c r="P1790" s="2" t="s">
        <v>311</v>
      </c>
      <c r="Q1790" s="2" t="s">
        <v>239</v>
      </c>
      <c r="R1790" s="2" t="s">
        <v>233</v>
      </c>
      <c r="S1790" s="2" t="s">
        <v>8349</v>
      </c>
      <c r="T1790" s="2" t="s">
        <v>1622</v>
      </c>
      <c r="U1790" s="2" t="s">
        <v>233</v>
      </c>
      <c r="V1790" s="2" t="s">
        <v>241</v>
      </c>
      <c r="W1790" s="2" t="s">
        <v>275</v>
      </c>
      <c r="X1790" s="2" t="s">
        <v>233</v>
      </c>
      <c r="Y1790" s="2" t="s">
        <v>276</v>
      </c>
      <c r="Z1790" s="4">
        <v>18</v>
      </c>
      <c r="AA1790" s="4">
        <f>=ROUNDDOWN(0.72,0)</f>
      </c>
      <c r="AB1790" s="5">
        <v>25</v>
      </c>
      <c r="AC1790" s="2" t="s">
        <v>2388</v>
      </c>
      <c r="AD1790" s="4">
        <v>210</v>
      </c>
      <c r="AE1790" s="4">
        <v>630</v>
      </c>
      <c r="AF1790" s="6">
        <v>64</v>
      </c>
      <c r="AG1790" s="6"/>
      <c r="AH1790" s="7">
        <v>1</v>
      </c>
      <c r="AI1790" s="4"/>
      <c r="AJ1790" s="4">
        <f>=ROUNDDOWN({0},0)</f>
      </c>
      <c r="AK1790" s="5"/>
      <c r="AL1790" s="2" t="s">
        <v>233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 t="s">
        <v>233</v>
      </c>
      <c r="BD1790" s="8" t="s">
        <v>233</v>
      </c>
      <c r="BE1790" s="4" t="s">
        <v>233</v>
      </c>
      <c r="BF1790" s="8" t="s">
        <v>233</v>
      </c>
      <c r="BG1790" s="7" t="s">
        <v>233</v>
      </c>
      <c r="BH1790" s="7" t="s">
        <v>233</v>
      </c>
      <c r="BI1790" s="7"/>
      <c r="BJ1790" s="4">
        <v>97</v>
      </c>
      <c r="BK1790" s="8">
        <v>1177.86</v>
      </c>
      <c r="BL1790" s="2" t="s">
        <v>8350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8351</v>
      </c>
      <c r="BV1790" s="2" t="s">
        <v>233</v>
      </c>
      <c r="BW1790" s="2" t="s">
        <v>233</v>
      </c>
      <c r="BX1790" s="2" t="s">
        <v>595</v>
      </c>
      <c r="BY1790" s="2" t="s">
        <v>280</v>
      </c>
      <c r="BZ1790" s="2" t="s">
        <v>245</v>
      </c>
      <c r="CA1790" s="2" t="s">
        <v>7806</v>
      </c>
      <c r="CB1790" s="2" t="s">
        <v>8352</v>
      </c>
      <c r="CC1790" s="2" t="s">
        <v>246</v>
      </c>
      <c r="CD1790" s="2" t="s">
        <v>233</v>
      </c>
      <c r="CE1790" s="4">
        <v>18</v>
      </c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>
        <v>210</v>
      </c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>
        <v>420</v>
      </c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4"/>
      <c r="HH1790" s="4"/>
      <c r="HI1790" s="4"/>
      <c r="HJ1790" s="4"/>
      <c r="HK1790" s="4"/>
      <c r="HL1790" s="4"/>
      <c r="HM1790" s="4"/>
      <c r="HN1790" s="4"/>
      <c r="HO1790" s="4"/>
      <c r="HP1790" s="4"/>
      <c r="HQ1790" s="4"/>
      <c r="HR1790" s="4"/>
    </row>
    <row r="1791">
      <c r="A1791" s="2" t="s">
        <v>8353</v>
      </c>
      <c r="B1791" s="2" t="s">
        <v>228</v>
      </c>
      <c r="C1791" s="2" t="s">
        <v>911</v>
      </c>
      <c r="D1791" s="2" t="s">
        <v>230</v>
      </c>
      <c r="E1791" s="2" t="s">
        <v>231</v>
      </c>
      <c r="F1791" s="2" t="s">
        <v>8320</v>
      </c>
      <c r="G1791" s="2" t="s">
        <v>8320</v>
      </c>
      <c r="H1791" s="2" t="s">
        <v>8320</v>
      </c>
      <c r="I1791" s="2" t="s">
        <v>8321</v>
      </c>
      <c r="J1791" s="2" t="s">
        <v>328</v>
      </c>
      <c r="K1791" s="2" t="s">
        <v>1218</v>
      </c>
      <c r="L1791" s="3">
        <v>18.42</v>
      </c>
      <c r="M1791" s="3">
        <v>19.34</v>
      </c>
      <c r="N1791" s="3">
        <v>40.99</v>
      </c>
      <c r="O1791" s="2" t="s">
        <v>245</v>
      </c>
      <c r="P1791" s="2" t="s">
        <v>272</v>
      </c>
      <c r="Q1791" s="2" t="s">
        <v>239</v>
      </c>
      <c r="R1791" s="2" t="s">
        <v>233</v>
      </c>
      <c r="S1791" s="2" t="s">
        <v>8354</v>
      </c>
      <c r="T1791" s="2" t="s">
        <v>1622</v>
      </c>
      <c r="U1791" s="2" t="s">
        <v>233</v>
      </c>
      <c r="V1791" s="2" t="s">
        <v>241</v>
      </c>
      <c r="W1791" s="2" t="s">
        <v>275</v>
      </c>
      <c r="X1791" s="2" t="s">
        <v>233</v>
      </c>
      <c r="Y1791" s="2" t="s">
        <v>276</v>
      </c>
      <c r="Z1791" s="4">
        <v>309</v>
      </c>
      <c r="AA1791" s="4">
        <f>=ROUNDDOWN(11.8846153846154,0)</f>
      </c>
      <c r="AB1791" s="5">
        <v>26</v>
      </c>
      <c r="AC1791" s="2" t="s">
        <v>2388</v>
      </c>
      <c r="AD1791" s="4">
        <v>120</v>
      </c>
      <c r="AE1791" s="4">
        <v>460</v>
      </c>
      <c r="AF1791" s="6">
        <v>64</v>
      </c>
      <c r="AG1791" s="6"/>
      <c r="AH1791" s="7">
        <v>1</v>
      </c>
      <c r="AI1791" s="4"/>
      <c r="AJ1791" s="4">
        <f>=ROUNDDOWN({0},0)</f>
      </c>
      <c r="AK1791" s="5"/>
      <c r="AL1791" s="2" t="s">
        <v>233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 t="s">
        <v>233</v>
      </c>
      <c r="BD1791" s="8" t="s">
        <v>233</v>
      </c>
      <c r="BE1791" s="4" t="s">
        <v>233</v>
      </c>
      <c r="BF1791" s="8" t="s">
        <v>233</v>
      </c>
      <c r="BG1791" s="7" t="s">
        <v>233</v>
      </c>
      <c r="BH1791" s="7" t="s">
        <v>233</v>
      </c>
      <c r="BI1791" s="7"/>
      <c r="BJ1791" s="4">
        <v>84</v>
      </c>
      <c r="BK1791" s="8">
        <v>1543.52</v>
      </c>
      <c r="BL1791" s="2" t="s">
        <v>8355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8356</v>
      </c>
      <c r="BV1791" s="2" t="s">
        <v>233</v>
      </c>
      <c r="BW1791" s="2" t="s">
        <v>233</v>
      </c>
      <c r="BX1791" s="2" t="s">
        <v>233</v>
      </c>
      <c r="BY1791" s="2" t="s">
        <v>280</v>
      </c>
      <c r="BZ1791" s="2" t="s">
        <v>245</v>
      </c>
      <c r="CA1791" s="2" t="s">
        <v>281</v>
      </c>
      <c r="CB1791" s="2" t="s">
        <v>3945</v>
      </c>
      <c r="CC1791" s="2" t="s">
        <v>246</v>
      </c>
      <c r="CD1791" s="2" t="s">
        <v>233</v>
      </c>
      <c r="CE1791" s="4">
        <v>309</v>
      </c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>
        <v>120</v>
      </c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>
        <v>140</v>
      </c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>
        <v>200</v>
      </c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  <c r="HG1791" s="4"/>
      <c r="HH1791" s="4"/>
      <c r="HI1791" s="4"/>
      <c r="HJ1791" s="4"/>
      <c r="HK1791" s="4"/>
      <c r="HL1791" s="4"/>
      <c r="HM1791" s="4"/>
      <c r="HN1791" s="4"/>
      <c r="HO1791" s="4"/>
      <c r="HP1791" s="4"/>
      <c r="HQ1791" s="4"/>
      <c r="HR1791" s="4"/>
    </row>
    <row r="1792">
      <c r="A1792" s="2" t="s">
        <v>8357</v>
      </c>
      <c r="B1792" s="2" t="s">
        <v>228</v>
      </c>
      <c r="C1792" s="2" t="s">
        <v>701</v>
      </c>
      <c r="D1792" s="2" t="s">
        <v>3847</v>
      </c>
      <c r="E1792" s="2" t="s">
        <v>3848</v>
      </c>
      <c r="F1792" s="2" t="s">
        <v>8358</v>
      </c>
      <c r="G1792" s="2" t="s">
        <v>8358</v>
      </c>
      <c r="H1792" s="2" t="s">
        <v>8358</v>
      </c>
      <c r="I1792" s="2" t="s">
        <v>8359</v>
      </c>
      <c r="J1792" s="2" t="s">
        <v>328</v>
      </c>
      <c r="K1792" s="2" t="s">
        <v>236</v>
      </c>
      <c r="L1792" s="3">
        <v>100</v>
      </c>
      <c r="M1792" s="3">
        <v>105</v>
      </c>
      <c r="N1792" s="3">
        <v>209.99</v>
      </c>
      <c r="O1792" s="2" t="s">
        <v>245</v>
      </c>
      <c r="P1792" s="2" t="s">
        <v>272</v>
      </c>
      <c r="Q1792" s="2" t="s">
        <v>239</v>
      </c>
      <c r="R1792" s="2" t="s">
        <v>233</v>
      </c>
      <c r="S1792" s="2" t="s">
        <v>8360</v>
      </c>
      <c r="T1792" s="2" t="s">
        <v>1622</v>
      </c>
      <c r="U1792" s="2" t="s">
        <v>396</v>
      </c>
      <c r="V1792" s="2" t="s">
        <v>241</v>
      </c>
      <c r="W1792" s="2" t="s">
        <v>275</v>
      </c>
      <c r="X1792" s="2" t="s">
        <v>233</v>
      </c>
      <c r="Y1792" s="2" t="s">
        <v>8361</v>
      </c>
      <c r="Z1792" s="4"/>
      <c r="AA1792" s="4">
        <f>=ROUNDDOWN({0},0)</f>
      </c>
      <c r="AB1792" s="5">
        <v>31</v>
      </c>
      <c r="AC1792" s="2" t="s">
        <v>825</v>
      </c>
      <c r="AD1792" s="4">
        <v>200</v>
      </c>
      <c r="AE1792" s="4">
        <v>200</v>
      </c>
      <c r="AF1792" s="6">
        <v>65</v>
      </c>
      <c r="AG1792" s="6"/>
      <c r="AH1792" s="7">
        <v>0</v>
      </c>
      <c r="AI1792" s="4"/>
      <c r="AJ1792" s="4">
        <f>=ROUNDDOWN({0},0)</f>
      </c>
      <c r="AK1792" s="5"/>
      <c r="AL1792" s="2" t="s">
        <v>233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233</v>
      </c>
      <c r="BD1792" s="8" t="s">
        <v>233</v>
      </c>
      <c r="BE1792" s="4" t="s">
        <v>233</v>
      </c>
      <c r="BF1792" s="8" t="s">
        <v>233</v>
      </c>
      <c r="BG1792" s="7" t="s">
        <v>233</v>
      </c>
      <c r="BH1792" s="7" t="s">
        <v>233</v>
      </c>
      <c r="BI1792" s="7"/>
      <c r="BJ1792" s="4"/>
      <c r="BK1792" s="8"/>
      <c r="BL1792" s="2" t="s">
        <v>233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8362</v>
      </c>
      <c r="BV1792" s="2" t="s">
        <v>233</v>
      </c>
      <c r="BW1792" s="2" t="s">
        <v>233</v>
      </c>
      <c r="BX1792" s="2" t="s">
        <v>233</v>
      </c>
      <c r="BY1792" s="2" t="s">
        <v>280</v>
      </c>
      <c r="BZ1792" s="2" t="s">
        <v>245</v>
      </c>
      <c r="CA1792" s="2" t="s">
        <v>3584</v>
      </c>
      <c r="CB1792" s="2" t="s">
        <v>2119</v>
      </c>
      <c r="CC1792" s="2" t="s">
        <v>246</v>
      </c>
      <c r="CD1792" s="2" t="s">
        <v>233</v>
      </c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>
        <v>200</v>
      </c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  <c r="HG1792" s="4"/>
      <c r="HH1792" s="4"/>
      <c r="HI1792" s="4"/>
      <c r="HJ1792" s="4"/>
      <c r="HK1792" s="4"/>
      <c r="HL1792" s="4"/>
      <c r="HM1792" s="4"/>
      <c r="HN1792" s="4"/>
      <c r="HO1792" s="4"/>
      <c r="HP1792" s="4"/>
      <c r="HQ1792" s="4"/>
      <c r="HR1792" s="4"/>
    </row>
    <row r="1793">
      <c r="A1793" s="2" t="s">
        <v>8363</v>
      </c>
      <c r="B1793" s="2" t="s">
        <v>228</v>
      </c>
      <c r="C1793" s="2" t="s">
        <v>701</v>
      </c>
      <c r="D1793" s="2" t="s">
        <v>3847</v>
      </c>
      <c r="E1793" s="2" t="s">
        <v>3848</v>
      </c>
      <c r="F1793" s="2" t="s">
        <v>8358</v>
      </c>
      <c r="G1793" s="2" t="s">
        <v>8358</v>
      </c>
      <c r="H1793" s="2" t="s">
        <v>8358</v>
      </c>
      <c r="I1793" s="2" t="s">
        <v>8359</v>
      </c>
      <c r="J1793" s="2" t="s">
        <v>328</v>
      </c>
      <c r="K1793" s="2" t="s">
        <v>569</v>
      </c>
      <c r="L1793" s="3">
        <v>100</v>
      </c>
      <c r="M1793" s="3">
        <v>105</v>
      </c>
      <c r="N1793" s="3">
        <v>209.99</v>
      </c>
      <c r="O1793" s="2" t="s">
        <v>245</v>
      </c>
      <c r="P1793" s="2" t="s">
        <v>272</v>
      </c>
      <c r="Q1793" s="2" t="s">
        <v>239</v>
      </c>
      <c r="R1793" s="2" t="s">
        <v>233</v>
      </c>
      <c r="S1793" s="2" t="s">
        <v>8364</v>
      </c>
      <c r="T1793" s="2" t="s">
        <v>1622</v>
      </c>
      <c r="U1793" s="2" t="s">
        <v>396</v>
      </c>
      <c r="V1793" s="2" t="s">
        <v>241</v>
      </c>
      <c r="W1793" s="2" t="s">
        <v>275</v>
      </c>
      <c r="X1793" s="2" t="s">
        <v>233</v>
      </c>
      <c r="Y1793" s="2" t="s">
        <v>8361</v>
      </c>
      <c r="Z1793" s="4"/>
      <c r="AA1793" s="4">
        <f>=ROUNDDOWN({0},0)</f>
      </c>
      <c r="AB1793" s="5">
        <v>22</v>
      </c>
      <c r="AC1793" s="2" t="s">
        <v>825</v>
      </c>
      <c r="AD1793" s="4">
        <v>150</v>
      </c>
      <c r="AE1793" s="4">
        <v>150</v>
      </c>
      <c r="AF1793" s="6">
        <v>65</v>
      </c>
      <c r="AG1793" s="6"/>
      <c r="AH1793" s="7">
        <v>0</v>
      </c>
      <c r="AI1793" s="4"/>
      <c r="AJ1793" s="4">
        <f>=ROUNDDOWN({0},0)</f>
      </c>
      <c r="AK1793" s="5"/>
      <c r="AL1793" s="2" t="s">
        <v>233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 t="s">
        <v>233</v>
      </c>
      <c r="BD1793" s="8" t="s">
        <v>233</v>
      </c>
      <c r="BE1793" s="4" t="s">
        <v>233</v>
      </c>
      <c r="BF1793" s="8" t="s">
        <v>233</v>
      </c>
      <c r="BG1793" s="7" t="s">
        <v>233</v>
      </c>
      <c r="BH1793" s="7" t="s">
        <v>233</v>
      </c>
      <c r="BI1793" s="7"/>
      <c r="BJ1793" s="4"/>
      <c r="BK1793" s="8"/>
      <c r="BL1793" s="2" t="s">
        <v>233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8365</v>
      </c>
      <c r="BV1793" s="2" t="s">
        <v>233</v>
      </c>
      <c r="BW1793" s="2" t="s">
        <v>233</v>
      </c>
      <c r="BX1793" s="2" t="s">
        <v>233</v>
      </c>
      <c r="BY1793" s="2" t="s">
        <v>280</v>
      </c>
      <c r="BZ1793" s="2" t="s">
        <v>245</v>
      </c>
      <c r="CA1793" s="2" t="s">
        <v>3584</v>
      </c>
      <c r="CB1793" s="2" t="s">
        <v>1614</v>
      </c>
      <c r="CC1793" s="2" t="s">
        <v>246</v>
      </c>
      <c r="CD1793" s="2" t="s">
        <v>233</v>
      </c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>
        <v>150</v>
      </c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  <c r="HG1793" s="4"/>
      <c r="HH1793" s="4"/>
      <c r="HI1793" s="4"/>
      <c r="HJ1793" s="4"/>
      <c r="HK1793" s="4"/>
      <c r="HL1793" s="4"/>
      <c r="HM1793" s="4"/>
      <c r="HN1793" s="4"/>
      <c r="HO1793" s="4"/>
      <c r="HP1793" s="4"/>
      <c r="HQ1793" s="4"/>
      <c r="HR1793" s="4"/>
    </row>
    <row r="1794">
      <c r="A1794" s="2" t="s">
        <v>8366</v>
      </c>
      <c r="B1794" s="2" t="s">
        <v>228</v>
      </c>
      <c r="C1794" s="2" t="s">
        <v>701</v>
      </c>
      <c r="D1794" s="2" t="s">
        <v>3847</v>
      </c>
      <c r="E1794" s="2" t="s">
        <v>3848</v>
      </c>
      <c r="F1794" s="2" t="s">
        <v>8358</v>
      </c>
      <c r="G1794" s="2" t="s">
        <v>8358</v>
      </c>
      <c r="H1794" s="2" t="s">
        <v>8358</v>
      </c>
      <c r="I1794" s="2" t="s">
        <v>8359</v>
      </c>
      <c r="J1794" s="2" t="s">
        <v>348</v>
      </c>
      <c r="K1794" s="2" t="s">
        <v>2197</v>
      </c>
      <c r="L1794" s="3">
        <v>95.23</v>
      </c>
      <c r="M1794" s="3">
        <v>99.99</v>
      </c>
      <c r="N1794" s="3">
        <v>199.99</v>
      </c>
      <c r="O1794" s="2" t="s">
        <v>245</v>
      </c>
      <c r="P1794" s="2" t="s">
        <v>272</v>
      </c>
      <c r="Q1794" s="2" t="s">
        <v>239</v>
      </c>
      <c r="R1794" s="2" t="s">
        <v>233</v>
      </c>
      <c r="S1794" s="2" t="s">
        <v>8367</v>
      </c>
      <c r="T1794" s="2" t="s">
        <v>1622</v>
      </c>
      <c r="U1794" s="2" t="s">
        <v>396</v>
      </c>
      <c r="V1794" s="2" t="s">
        <v>241</v>
      </c>
      <c r="W1794" s="2" t="s">
        <v>275</v>
      </c>
      <c r="X1794" s="2" t="s">
        <v>233</v>
      </c>
      <c r="Y1794" s="2" t="s">
        <v>8361</v>
      </c>
      <c r="Z1794" s="4">
        <v>267</v>
      </c>
      <c r="AA1794" s="4">
        <f>=ROUNDDOWN(26.7,0)</f>
      </c>
      <c r="AB1794" s="5">
        <v>10</v>
      </c>
      <c r="AC1794" s="2" t="s">
        <v>233</v>
      </c>
      <c r="AD1794" s="4"/>
      <c r="AE1794" s="4"/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233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233</v>
      </c>
      <c r="AW1794" s="8" t="s">
        <v>233</v>
      </c>
      <c r="AX1794" s="4" t="s">
        <v>233</v>
      </c>
      <c r="AY1794" s="8" t="s">
        <v>233</v>
      </c>
      <c r="AZ1794" s="7" t="s">
        <v>233</v>
      </c>
      <c r="BA1794" s="7" t="s">
        <v>233</v>
      </c>
      <c r="BB1794" s="7"/>
      <c r="BC1794" s="4" t="s">
        <v>233</v>
      </c>
      <c r="BD1794" s="8" t="s">
        <v>233</v>
      </c>
      <c r="BE1794" s="4" t="s">
        <v>233</v>
      </c>
      <c r="BF1794" s="8" t="s">
        <v>233</v>
      </c>
      <c r="BG1794" s="7" t="s">
        <v>233</v>
      </c>
      <c r="BH1794" s="7" t="s">
        <v>233</v>
      </c>
      <c r="BI1794" s="7"/>
      <c r="BJ1794" s="4">
        <v>4</v>
      </c>
      <c r="BK1794" s="8">
        <v>417.96</v>
      </c>
      <c r="BL1794" s="2" t="s">
        <v>8368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8369</v>
      </c>
      <c r="BV1794" s="2" t="s">
        <v>233</v>
      </c>
      <c r="BW1794" s="2" t="s">
        <v>233</v>
      </c>
      <c r="BX1794" s="2" t="s">
        <v>233</v>
      </c>
      <c r="BY1794" s="2" t="s">
        <v>280</v>
      </c>
      <c r="BZ1794" s="2" t="s">
        <v>245</v>
      </c>
      <c r="CA1794" s="2" t="s">
        <v>3584</v>
      </c>
      <c r="CB1794" s="2" t="s">
        <v>8267</v>
      </c>
      <c r="CC1794" s="2" t="s">
        <v>246</v>
      </c>
      <c r="CD1794" s="2" t="s">
        <v>233</v>
      </c>
      <c r="CE1794" s="4">
        <v>267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  <c r="HG1794" s="4"/>
      <c r="HH1794" s="4"/>
      <c r="HI1794" s="4"/>
      <c r="HJ1794" s="4"/>
      <c r="HK1794" s="4"/>
      <c r="HL1794" s="4"/>
      <c r="HM1794" s="4"/>
      <c r="HN1794" s="4"/>
      <c r="HO1794" s="4"/>
      <c r="HP1794" s="4"/>
      <c r="HQ1794" s="4"/>
      <c r="HR1794" s="4"/>
    </row>
    <row r="1795">
      <c r="A1795" s="2" t="s">
        <v>8370</v>
      </c>
      <c r="B1795" s="2" t="s">
        <v>228</v>
      </c>
      <c r="C1795" s="2" t="s">
        <v>701</v>
      </c>
      <c r="D1795" s="2" t="s">
        <v>3847</v>
      </c>
      <c r="E1795" s="2" t="s">
        <v>3848</v>
      </c>
      <c r="F1795" s="2" t="s">
        <v>8358</v>
      </c>
      <c r="G1795" s="2" t="s">
        <v>8358</v>
      </c>
      <c r="H1795" s="2" t="s">
        <v>8358</v>
      </c>
      <c r="I1795" s="2" t="s">
        <v>8359</v>
      </c>
      <c r="J1795" s="2" t="s">
        <v>328</v>
      </c>
      <c r="K1795" s="2" t="s">
        <v>2197</v>
      </c>
      <c r="L1795" s="3">
        <v>100</v>
      </c>
      <c r="M1795" s="3">
        <v>105</v>
      </c>
      <c r="N1795" s="3">
        <v>209.99</v>
      </c>
      <c r="O1795" s="2" t="s">
        <v>245</v>
      </c>
      <c r="P1795" s="2" t="s">
        <v>272</v>
      </c>
      <c r="Q1795" s="2" t="s">
        <v>239</v>
      </c>
      <c r="R1795" s="2" t="s">
        <v>233</v>
      </c>
      <c r="S1795" s="2" t="s">
        <v>8367</v>
      </c>
      <c r="T1795" s="2" t="s">
        <v>1622</v>
      </c>
      <c r="U1795" s="2" t="s">
        <v>396</v>
      </c>
      <c r="V1795" s="2" t="s">
        <v>241</v>
      </c>
      <c r="W1795" s="2" t="s">
        <v>275</v>
      </c>
      <c r="X1795" s="2" t="s">
        <v>233</v>
      </c>
      <c r="Y1795" s="2" t="s">
        <v>8361</v>
      </c>
      <c r="Z1795" s="4">
        <v>2</v>
      </c>
      <c r="AA1795" s="4">
        <f>=ROUNDDOWN(0.111111111111111,0)</f>
      </c>
      <c r="AB1795" s="5">
        <v>18</v>
      </c>
      <c r="AC1795" s="2" t="s">
        <v>825</v>
      </c>
      <c r="AD1795" s="4">
        <v>150</v>
      </c>
      <c r="AE1795" s="4">
        <v>150</v>
      </c>
      <c r="AF1795" s="6">
        <v>65</v>
      </c>
      <c r="AG1795" s="6"/>
      <c r="AH1795" s="7">
        <v>0.0323</v>
      </c>
      <c r="AI1795" s="4"/>
      <c r="AJ1795" s="4">
        <f>=ROUNDDOWN({0},0)</f>
      </c>
      <c r="AK1795" s="5"/>
      <c r="AL1795" s="2" t="s">
        <v>233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233</v>
      </c>
      <c r="AW1795" s="8" t="s">
        <v>233</v>
      </c>
      <c r="AX1795" s="4" t="s">
        <v>233</v>
      </c>
      <c r="AY1795" s="8" t="s">
        <v>233</v>
      </c>
      <c r="AZ1795" s="7" t="s">
        <v>233</v>
      </c>
      <c r="BA1795" s="7" t="s">
        <v>233</v>
      </c>
      <c r="BB1795" s="7"/>
      <c r="BC1795" s="4" t="s">
        <v>233</v>
      </c>
      <c r="BD1795" s="8" t="s">
        <v>233</v>
      </c>
      <c r="BE1795" s="4" t="s">
        <v>233</v>
      </c>
      <c r="BF1795" s="8" t="s">
        <v>233</v>
      </c>
      <c r="BG1795" s="7" t="s">
        <v>233</v>
      </c>
      <c r="BH1795" s="7" t="s">
        <v>233</v>
      </c>
      <c r="BI1795" s="7"/>
      <c r="BJ1795" s="4">
        <v>1</v>
      </c>
      <c r="BK1795" s="8">
        <v>110.25</v>
      </c>
      <c r="BL1795" s="2" t="s">
        <v>1592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8371</v>
      </c>
      <c r="BV1795" s="2" t="s">
        <v>233</v>
      </c>
      <c r="BW1795" s="2" t="s">
        <v>233</v>
      </c>
      <c r="BX1795" s="2" t="s">
        <v>233</v>
      </c>
      <c r="BY1795" s="2" t="s">
        <v>280</v>
      </c>
      <c r="BZ1795" s="2" t="s">
        <v>245</v>
      </c>
      <c r="CA1795" s="2" t="s">
        <v>3584</v>
      </c>
      <c r="CB1795" s="2" t="s">
        <v>3382</v>
      </c>
      <c r="CC1795" s="2" t="s">
        <v>246</v>
      </c>
      <c r="CD1795" s="2" t="s">
        <v>233</v>
      </c>
      <c r="CE1795" s="4">
        <v>2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>
        <v>150</v>
      </c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  <c r="HG1795" s="4"/>
      <c r="HH1795" s="4"/>
      <c r="HI1795" s="4"/>
      <c r="HJ1795" s="4"/>
      <c r="HK1795" s="4"/>
      <c r="HL1795" s="4"/>
      <c r="HM1795" s="4"/>
      <c r="HN1795" s="4"/>
      <c r="HO1795" s="4"/>
      <c r="HP1795" s="4"/>
      <c r="HQ1795" s="4"/>
      <c r="HR1795" s="4"/>
    </row>
    <row r="1796">
      <c r="A1796" s="2" t="s">
        <v>8372</v>
      </c>
      <c r="B1796" s="2" t="s">
        <v>928</v>
      </c>
      <c r="C1796" s="2" t="s">
        <v>530</v>
      </c>
      <c r="D1796" s="2" t="s">
        <v>961</v>
      </c>
      <c r="E1796" s="2" t="s">
        <v>2028</v>
      </c>
      <c r="F1796" s="2" t="s">
        <v>8373</v>
      </c>
      <c r="G1796" s="2" t="s">
        <v>8373</v>
      </c>
      <c r="H1796" s="2" t="s">
        <v>8373</v>
      </c>
      <c r="I1796" s="2" t="s">
        <v>8374</v>
      </c>
      <c r="J1796" s="2" t="s">
        <v>892</v>
      </c>
      <c r="K1796" s="2" t="s">
        <v>297</v>
      </c>
      <c r="L1796" s="3">
        <v>31.35</v>
      </c>
      <c r="M1796" s="3">
        <v>32.92</v>
      </c>
      <c r="N1796" s="3">
        <v>69.99</v>
      </c>
      <c r="O1796" s="2" t="s">
        <v>237</v>
      </c>
      <c r="P1796" s="2" t="s">
        <v>311</v>
      </c>
      <c r="Q1796" s="2" t="s">
        <v>239</v>
      </c>
      <c r="R1796" s="2" t="s">
        <v>233</v>
      </c>
      <c r="S1796" s="2" t="s">
        <v>8375</v>
      </c>
      <c r="T1796" s="2" t="s">
        <v>233</v>
      </c>
      <c r="U1796" s="2" t="s">
        <v>396</v>
      </c>
      <c r="V1796" s="2" t="s">
        <v>1272</v>
      </c>
      <c r="W1796" s="2" t="s">
        <v>451</v>
      </c>
      <c r="X1796" s="2" t="s">
        <v>233</v>
      </c>
      <c r="Y1796" s="2" t="s">
        <v>8376</v>
      </c>
      <c r="Z1796" s="4">
        <v>55</v>
      </c>
      <c r="AA1796" s="4">
        <f>=ROUNDDOWN(27.5,0)</f>
      </c>
      <c r="AB1796" s="5">
        <v>2</v>
      </c>
      <c r="AC1796" s="2" t="s">
        <v>233</v>
      </c>
      <c r="AD1796" s="4"/>
      <c r="AE1796" s="4"/>
      <c r="AF1796" s="6">
        <v>63</v>
      </c>
      <c r="AG1796" s="6"/>
      <c r="AH1796" s="7">
        <v>1</v>
      </c>
      <c r="AI1796" s="4"/>
      <c r="AJ1796" s="4">
        <f>=ROUNDDOWN({0},0)</f>
      </c>
      <c r="AK1796" s="5"/>
      <c r="AL1796" s="2" t="s">
        <v>233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/>
      <c r="BD1796" s="8"/>
      <c r="BE1796" s="4"/>
      <c r="BF1796" s="8"/>
      <c r="BG1796" s="7"/>
      <c r="BH1796" s="7"/>
      <c r="BI1796" s="7"/>
      <c r="BJ1796" s="4">
        <v>7</v>
      </c>
      <c r="BK1796" s="8">
        <v>223.42</v>
      </c>
      <c r="BL1796" s="2" t="s">
        <v>8377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8378</v>
      </c>
      <c r="BV1796" s="2" t="s">
        <v>233</v>
      </c>
      <c r="BW1796" s="2" t="s">
        <v>233</v>
      </c>
      <c r="BX1796" s="2" t="s">
        <v>233</v>
      </c>
      <c r="BY1796" s="2" t="s">
        <v>280</v>
      </c>
      <c r="BZ1796" s="2" t="s">
        <v>245</v>
      </c>
      <c r="CA1796" s="2" t="s">
        <v>8376</v>
      </c>
      <c r="CB1796" s="2" t="s">
        <v>302</v>
      </c>
      <c r="CC1796" s="2" t="s">
        <v>246</v>
      </c>
      <c r="CD1796" s="2" t="s">
        <v>233</v>
      </c>
      <c r="CE1796" s="4"/>
      <c r="CF1796" s="4">
        <v>55</v>
      </c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  <c r="HG1796" s="4"/>
      <c r="HH1796" s="4"/>
      <c r="HI1796" s="4"/>
      <c r="HJ1796" s="4"/>
      <c r="HK1796" s="4"/>
      <c r="HL1796" s="4"/>
      <c r="HM1796" s="4"/>
      <c r="HN1796" s="4"/>
      <c r="HO1796" s="4"/>
      <c r="HP1796" s="4"/>
      <c r="HQ1796" s="4"/>
      <c r="HR1796" s="4"/>
    </row>
    <row r="1797">
      <c r="A1797" s="2" t="s">
        <v>8379</v>
      </c>
      <c r="B1797" s="2" t="s">
        <v>928</v>
      </c>
      <c r="C1797" s="2" t="s">
        <v>530</v>
      </c>
      <c r="D1797" s="2" t="s">
        <v>961</v>
      </c>
      <c r="E1797" s="2" t="s">
        <v>2028</v>
      </c>
      <c r="F1797" s="2" t="s">
        <v>8380</v>
      </c>
      <c r="G1797" s="2" t="s">
        <v>8380</v>
      </c>
      <c r="H1797" s="2" t="s">
        <v>8380</v>
      </c>
      <c r="I1797" s="2" t="s">
        <v>8381</v>
      </c>
      <c r="J1797" s="2" t="s">
        <v>892</v>
      </c>
      <c r="K1797" s="2" t="s">
        <v>271</v>
      </c>
      <c r="L1797" s="3">
        <v>58.22</v>
      </c>
      <c r="M1797" s="3">
        <v>61.13</v>
      </c>
      <c r="N1797" s="3">
        <v>118.99</v>
      </c>
      <c r="O1797" s="2" t="s">
        <v>245</v>
      </c>
      <c r="P1797" s="2" t="s">
        <v>393</v>
      </c>
      <c r="Q1797" s="2" t="s">
        <v>239</v>
      </c>
      <c r="R1797" s="2" t="s">
        <v>233</v>
      </c>
      <c r="S1797" s="2" t="s">
        <v>8382</v>
      </c>
      <c r="T1797" s="2" t="s">
        <v>233</v>
      </c>
      <c r="U1797" s="2" t="s">
        <v>1482</v>
      </c>
      <c r="V1797" s="2" t="s">
        <v>921</v>
      </c>
      <c r="W1797" s="2" t="s">
        <v>397</v>
      </c>
      <c r="X1797" s="2" t="s">
        <v>233</v>
      </c>
      <c r="Y1797" s="2" t="s">
        <v>8383</v>
      </c>
      <c r="Z1797" s="4">
        <v>45</v>
      </c>
      <c r="AA1797" s="4">
        <f>=ROUNDDOWN(22.5,0)</f>
      </c>
      <c r="AB1797" s="5">
        <v>2</v>
      </c>
      <c r="AC1797" s="2" t="s">
        <v>233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233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>
        <v>9</v>
      </c>
      <c r="BK1797" s="8">
        <v>572.02</v>
      </c>
      <c r="BL1797" s="2" t="s">
        <v>8384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8385</v>
      </c>
      <c r="BV1797" s="2" t="s">
        <v>233</v>
      </c>
      <c r="BW1797" s="2" t="s">
        <v>233</v>
      </c>
      <c r="BX1797" s="2" t="s">
        <v>233</v>
      </c>
      <c r="BY1797" s="2" t="s">
        <v>280</v>
      </c>
      <c r="BZ1797" s="2" t="s">
        <v>245</v>
      </c>
      <c r="CA1797" s="2" t="s">
        <v>3130</v>
      </c>
      <c r="CB1797" s="2" t="s">
        <v>306</v>
      </c>
      <c r="CC1797" s="2" t="s">
        <v>246</v>
      </c>
      <c r="CD1797" s="2" t="s">
        <v>233</v>
      </c>
      <c r="CE1797" s="4"/>
      <c r="CF1797" s="4">
        <v>45</v>
      </c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4"/>
      <c r="HH1797" s="4"/>
      <c r="HI1797" s="4"/>
      <c r="HJ1797" s="4"/>
      <c r="HK1797" s="4"/>
      <c r="HL1797" s="4"/>
      <c r="HM1797" s="4"/>
      <c r="HN1797" s="4"/>
      <c r="HO1797" s="4"/>
      <c r="HP1797" s="4"/>
      <c r="HQ1797" s="4"/>
      <c r="HR1797" s="4"/>
    </row>
    <row r="1798">
      <c r="A1798" s="2" t="s">
        <v>8386</v>
      </c>
      <c r="B1798" s="2" t="s">
        <v>1242</v>
      </c>
      <c r="C1798" s="2" t="s">
        <v>901</v>
      </c>
      <c r="D1798" s="2" t="s">
        <v>912</v>
      </c>
      <c r="E1798" s="2" t="s">
        <v>1139</v>
      </c>
      <c r="F1798" s="2" t="s">
        <v>4749</v>
      </c>
      <c r="G1798" s="2" t="s">
        <v>4749</v>
      </c>
      <c r="H1798" s="2" t="s">
        <v>4749</v>
      </c>
      <c r="I1798" s="2" t="s">
        <v>8387</v>
      </c>
      <c r="J1798" s="2" t="s">
        <v>1142</v>
      </c>
      <c r="K1798" s="2" t="s">
        <v>1953</v>
      </c>
      <c r="L1798" s="3">
        <v>65.55</v>
      </c>
      <c r="M1798" s="3">
        <v>68.83</v>
      </c>
      <c r="N1798" s="3">
        <v>139.99</v>
      </c>
      <c r="O1798" s="2" t="s">
        <v>245</v>
      </c>
      <c r="P1798" s="2" t="s">
        <v>272</v>
      </c>
      <c r="Q1798" s="2" t="s">
        <v>239</v>
      </c>
      <c r="R1798" s="2" t="s">
        <v>233</v>
      </c>
      <c r="S1798" s="2" t="s">
        <v>8388</v>
      </c>
      <c r="T1798" s="2" t="s">
        <v>341</v>
      </c>
      <c r="U1798" s="2" t="s">
        <v>475</v>
      </c>
      <c r="V1798" s="2" t="s">
        <v>3103</v>
      </c>
      <c r="W1798" s="2" t="s">
        <v>1763</v>
      </c>
      <c r="X1798" s="2" t="s">
        <v>977</v>
      </c>
      <c r="Y1798" s="2" t="s">
        <v>5884</v>
      </c>
      <c r="Z1798" s="4">
        <v>166</v>
      </c>
      <c r="AA1798" s="4">
        <f>=ROUNDDOWN(27.6666666666667,0)</f>
      </c>
      <c r="AB1798" s="5">
        <v>6</v>
      </c>
      <c r="AC1798" s="2" t="s">
        <v>233</v>
      </c>
      <c r="AD1798" s="4"/>
      <c r="AE1798" s="4"/>
      <c r="AF1798" s="6">
        <v>66</v>
      </c>
      <c r="AG1798" s="6"/>
      <c r="AH1798" s="7">
        <v>1</v>
      </c>
      <c r="AI1798" s="4"/>
      <c r="AJ1798" s="4">
        <f>=ROUNDDOWN({0},0)</f>
      </c>
      <c r="AK1798" s="5"/>
      <c r="AL1798" s="2" t="s">
        <v>233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/>
      <c r="BK1798" s="8"/>
      <c r="BL1798" s="2" t="s">
        <v>233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8389</v>
      </c>
      <c r="BV1798" s="2" t="s">
        <v>233</v>
      </c>
      <c r="BW1798" s="2" t="s">
        <v>233</v>
      </c>
      <c r="BX1798" s="2" t="s">
        <v>243</v>
      </c>
      <c r="BY1798" s="2" t="s">
        <v>280</v>
      </c>
      <c r="BZ1798" s="2" t="s">
        <v>245</v>
      </c>
      <c r="CA1798" s="2" t="s">
        <v>6463</v>
      </c>
      <c r="CB1798" s="2" t="s">
        <v>233</v>
      </c>
      <c r="CC1798" s="2" t="s">
        <v>246</v>
      </c>
      <c r="CD1798" s="2" t="s">
        <v>233</v>
      </c>
      <c r="CE1798" s="4">
        <v>166</v>
      </c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4"/>
      <c r="HH1798" s="4"/>
      <c r="HI1798" s="4"/>
      <c r="HJ1798" s="4"/>
      <c r="HK1798" s="4"/>
      <c r="HL1798" s="4"/>
      <c r="HM1798" s="4"/>
      <c r="HN1798" s="4"/>
      <c r="HO1798" s="4"/>
      <c r="HP1798" s="4"/>
      <c r="HQ1798" s="4"/>
      <c r="HR1798" s="4"/>
    </row>
    <row r="1799">
      <c r="A1799" s="2" t="s">
        <v>8390</v>
      </c>
      <c r="B1799" s="2" t="s">
        <v>910</v>
      </c>
      <c r="C1799" s="2" t="s">
        <v>911</v>
      </c>
      <c r="D1799" s="2" t="s">
        <v>969</v>
      </c>
      <c r="E1799" s="2" t="s">
        <v>1078</v>
      </c>
      <c r="F1799" s="2" t="s">
        <v>8391</v>
      </c>
      <c r="G1799" s="2" t="s">
        <v>7095</v>
      </c>
      <c r="H1799" s="2" t="s">
        <v>6075</v>
      </c>
      <c r="I1799" s="2" t="s">
        <v>8392</v>
      </c>
      <c r="J1799" s="2" t="s">
        <v>918</v>
      </c>
      <c r="K1799" s="2" t="s">
        <v>3101</v>
      </c>
      <c r="L1799" s="3">
        <v>23.8</v>
      </c>
      <c r="M1799" s="3">
        <v>24.99</v>
      </c>
      <c r="N1799" s="3">
        <v>49.99</v>
      </c>
      <c r="O1799" s="2" t="s">
        <v>245</v>
      </c>
      <c r="P1799" s="2" t="s">
        <v>238</v>
      </c>
      <c r="Q1799" s="2" t="s">
        <v>239</v>
      </c>
      <c r="R1799" s="2" t="s">
        <v>233</v>
      </c>
      <c r="S1799" s="2" t="s">
        <v>8393</v>
      </c>
      <c r="T1799" s="2" t="s">
        <v>395</v>
      </c>
      <c r="U1799" s="2" t="s">
        <v>342</v>
      </c>
      <c r="V1799" s="2" t="s">
        <v>1085</v>
      </c>
      <c r="W1799" s="2" t="s">
        <v>397</v>
      </c>
      <c r="X1799" s="2" t="s">
        <v>233</v>
      </c>
      <c r="Y1799" s="2" t="s">
        <v>1838</v>
      </c>
      <c r="Z1799" s="4">
        <v>119</v>
      </c>
      <c r="AA1799" s="4">
        <f>=ROUNDDOWN({0},0)</f>
      </c>
      <c r="AB1799" s="5"/>
      <c r="AC1799" s="2" t="s">
        <v>361</v>
      </c>
      <c r="AD1799" s="4">
        <v>120</v>
      </c>
      <c r="AE1799" s="4">
        <v>120</v>
      </c>
      <c r="AF1799" s="6">
        <v>64</v>
      </c>
      <c r="AG1799" s="6"/>
      <c r="AH1799" s="7">
        <v>1</v>
      </c>
      <c r="AI1799" s="4"/>
      <c r="AJ1799" s="4">
        <f>=ROUNDDOWN({0},0)</f>
      </c>
      <c r="AK1799" s="5"/>
      <c r="AL1799" s="2" t="s">
        <v>233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 t="s">
        <v>233</v>
      </c>
      <c r="AW1799" s="8" t="s">
        <v>233</v>
      </c>
      <c r="AX1799" s="4" t="s">
        <v>233</v>
      </c>
      <c r="AY1799" s="8" t="s">
        <v>233</v>
      </c>
      <c r="AZ1799" s="7" t="s">
        <v>233</v>
      </c>
      <c r="BA1799" s="7" t="s">
        <v>233</v>
      </c>
      <c r="BB1799" s="7"/>
      <c r="BC1799" s="4" t="s">
        <v>233</v>
      </c>
      <c r="BD1799" s="8" t="s">
        <v>233</v>
      </c>
      <c r="BE1799" s="4" t="s">
        <v>233</v>
      </c>
      <c r="BF1799" s="8" t="s">
        <v>233</v>
      </c>
      <c r="BG1799" s="7" t="s">
        <v>233</v>
      </c>
      <c r="BH1799" s="7" t="s">
        <v>233</v>
      </c>
      <c r="BI1799" s="7"/>
      <c r="BJ1799" s="4"/>
      <c r="BK1799" s="8"/>
      <c r="BL1799" s="2" t="s">
        <v>233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8394</v>
      </c>
      <c r="BV1799" s="2" t="s">
        <v>233</v>
      </c>
      <c r="BW1799" s="2" t="s">
        <v>233</v>
      </c>
      <c r="BX1799" s="2" t="s">
        <v>243</v>
      </c>
      <c r="BY1799" s="2" t="s">
        <v>280</v>
      </c>
      <c r="BZ1799" s="2" t="s">
        <v>245</v>
      </c>
      <c r="CA1799" s="2" t="s">
        <v>2568</v>
      </c>
      <c r="CB1799" s="2" t="s">
        <v>233</v>
      </c>
      <c r="CC1799" s="2" t="s">
        <v>246</v>
      </c>
      <c r="CD1799" s="2" t="s">
        <v>233</v>
      </c>
      <c r="CE1799" s="4">
        <v>119</v>
      </c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>
        <v>120</v>
      </c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  <c r="HM1799" s="4"/>
      <c r="HN1799" s="4"/>
      <c r="HO1799" s="4"/>
      <c r="HP1799" s="4"/>
      <c r="HQ1799" s="4"/>
      <c r="HR1799" s="4"/>
    </row>
    <row r="1800">
      <c r="A1800" s="2" t="s">
        <v>8395</v>
      </c>
      <c r="B1800" s="2" t="s">
        <v>910</v>
      </c>
      <c r="C1800" s="2" t="s">
        <v>911</v>
      </c>
      <c r="D1800" s="2" t="s">
        <v>969</v>
      </c>
      <c r="E1800" s="2" t="s">
        <v>1078</v>
      </c>
      <c r="F1800" s="2" t="s">
        <v>8391</v>
      </c>
      <c r="G1800" s="2" t="s">
        <v>7095</v>
      </c>
      <c r="H1800" s="2" t="s">
        <v>6075</v>
      </c>
      <c r="I1800" s="2" t="s">
        <v>8392</v>
      </c>
      <c r="J1800" s="2" t="s">
        <v>981</v>
      </c>
      <c r="K1800" s="2" t="s">
        <v>3101</v>
      </c>
      <c r="L1800" s="3">
        <v>28.57</v>
      </c>
      <c r="M1800" s="3">
        <v>30</v>
      </c>
      <c r="N1800" s="3">
        <v>59.99</v>
      </c>
      <c r="O1800" s="2" t="s">
        <v>245</v>
      </c>
      <c r="P1800" s="2" t="s">
        <v>238</v>
      </c>
      <c r="Q1800" s="2" t="s">
        <v>239</v>
      </c>
      <c r="R1800" s="2" t="s">
        <v>233</v>
      </c>
      <c r="S1800" s="2" t="s">
        <v>8393</v>
      </c>
      <c r="T1800" s="2" t="s">
        <v>395</v>
      </c>
      <c r="U1800" s="2" t="s">
        <v>1482</v>
      </c>
      <c r="V1800" s="2" t="s">
        <v>1085</v>
      </c>
      <c r="W1800" s="2" t="s">
        <v>397</v>
      </c>
      <c r="X1800" s="2" t="s">
        <v>233</v>
      </c>
      <c r="Y1800" s="2" t="s">
        <v>1838</v>
      </c>
      <c r="Z1800" s="4">
        <v>180</v>
      </c>
      <c r="AA1800" s="4">
        <f>=ROUNDDOWN({0},0)</f>
      </c>
      <c r="AB1800" s="5"/>
      <c r="AC1800" s="2" t="s">
        <v>361</v>
      </c>
      <c r="AD1800" s="4">
        <v>180</v>
      </c>
      <c r="AE1800" s="4">
        <v>180</v>
      </c>
      <c r="AF1800" s="6">
        <v>64</v>
      </c>
      <c r="AG1800" s="6"/>
      <c r="AH1800" s="7">
        <v>1</v>
      </c>
      <c r="AI1800" s="4"/>
      <c r="AJ1800" s="4">
        <f>=ROUNDDOWN({0},0)</f>
      </c>
      <c r="AK1800" s="5"/>
      <c r="AL1800" s="2" t="s">
        <v>233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233</v>
      </c>
      <c r="AW1800" s="8" t="s">
        <v>233</v>
      </c>
      <c r="AX1800" s="4" t="s">
        <v>233</v>
      </c>
      <c r="AY1800" s="8" t="s">
        <v>233</v>
      </c>
      <c r="AZ1800" s="7" t="s">
        <v>233</v>
      </c>
      <c r="BA1800" s="7" t="s">
        <v>233</v>
      </c>
      <c r="BB1800" s="7"/>
      <c r="BC1800" s="4" t="s">
        <v>233</v>
      </c>
      <c r="BD1800" s="8" t="s">
        <v>233</v>
      </c>
      <c r="BE1800" s="4" t="s">
        <v>233</v>
      </c>
      <c r="BF1800" s="8" t="s">
        <v>233</v>
      </c>
      <c r="BG1800" s="7" t="s">
        <v>233</v>
      </c>
      <c r="BH1800" s="7" t="s">
        <v>233</v>
      </c>
      <c r="BI1800" s="7"/>
      <c r="BJ1800" s="4"/>
      <c r="BK1800" s="8"/>
      <c r="BL1800" s="2" t="s">
        <v>233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8396</v>
      </c>
      <c r="BV1800" s="2" t="s">
        <v>233</v>
      </c>
      <c r="BW1800" s="2" t="s">
        <v>233</v>
      </c>
      <c r="BX1800" s="2" t="s">
        <v>243</v>
      </c>
      <c r="BY1800" s="2" t="s">
        <v>280</v>
      </c>
      <c r="BZ1800" s="2" t="s">
        <v>245</v>
      </c>
      <c r="CA1800" s="2" t="s">
        <v>2568</v>
      </c>
      <c r="CB1800" s="2" t="s">
        <v>233</v>
      </c>
      <c r="CC1800" s="2" t="s">
        <v>246</v>
      </c>
      <c r="CD1800" s="2" t="s">
        <v>233</v>
      </c>
      <c r="CE1800" s="4">
        <v>180</v>
      </c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>
        <v>180</v>
      </c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  <c r="HG1800" s="4"/>
      <c r="HH1800" s="4"/>
      <c r="HI1800" s="4"/>
      <c r="HJ1800" s="4"/>
      <c r="HK1800" s="4"/>
      <c r="HL1800" s="4"/>
      <c r="HM1800" s="4"/>
      <c r="HN1800" s="4"/>
      <c r="HO1800" s="4"/>
      <c r="HP1800" s="4"/>
      <c r="HQ1800" s="4"/>
      <c r="HR1800" s="4"/>
    </row>
    <row r="1801">
      <c r="A1801" s="2" t="s">
        <v>8397</v>
      </c>
      <c r="B1801" s="2" t="s">
        <v>1242</v>
      </c>
      <c r="C1801" s="2" t="s">
        <v>901</v>
      </c>
      <c r="D1801" s="2" t="s">
        <v>912</v>
      </c>
      <c r="E1801" s="2" t="s">
        <v>1139</v>
      </c>
      <c r="F1801" s="2" t="s">
        <v>8398</v>
      </c>
      <c r="G1801" s="2" t="s">
        <v>8398</v>
      </c>
      <c r="H1801" s="2" t="s">
        <v>8398</v>
      </c>
      <c r="I1801" s="2" t="s">
        <v>8399</v>
      </c>
      <c r="J1801" s="2" t="s">
        <v>981</v>
      </c>
      <c r="K1801" s="2" t="s">
        <v>236</v>
      </c>
      <c r="L1801" s="3">
        <v>49.35</v>
      </c>
      <c r="M1801" s="3">
        <v>51.81</v>
      </c>
      <c r="N1801" s="3">
        <v>104.99</v>
      </c>
      <c r="O1801" s="2" t="s">
        <v>252</v>
      </c>
      <c r="P1801" s="2" t="s">
        <v>311</v>
      </c>
      <c r="Q1801" s="2" t="s">
        <v>239</v>
      </c>
      <c r="R1801" s="2" t="s">
        <v>233</v>
      </c>
      <c r="S1801" s="2" t="s">
        <v>8400</v>
      </c>
      <c r="T1801" s="2" t="s">
        <v>341</v>
      </c>
      <c r="U1801" s="2" t="s">
        <v>475</v>
      </c>
      <c r="V1801" s="2" t="s">
        <v>5099</v>
      </c>
      <c r="W1801" s="2" t="s">
        <v>2882</v>
      </c>
      <c r="X1801" s="2" t="s">
        <v>977</v>
      </c>
      <c r="Y1801" s="2" t="s">
        <v>242</v>
      </c>
      <c r="Z1801" s="4">
        <v>136</v>
      </c>
      <c r="AA1801" s="4">
        <f>=ROUNDDOWN(136,0)</f>
      </c>
      <c r="AB1801" s="5">
        <v>1</v>
      </c>
      <c r="AC1801" s="2" t="s">
        <v>233</v>
      </c>
      <c r="AD1801" s="4"/>
      <c r="AE1801" s="4"/>
      <c r="AF1801" s="6">
        <v>67</v>
      </c>
      <c r="AG1801" s="6"/>
      <c r="AH1801" s="7">
        <v>1</v>
      </c>
      <c r="AI1801" s="4"/>
      <c r="AJ1801" s="4">
        <f>=ROUNDDOWN({0},0)</f>
      </c>
      <c r="AK1801" s="5"/>
      <c r="AL1801" s="2" t="s">
        <v>233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/>
      <c r="BD1801" s="8"/>
      <c r="BE1801" s="4"/>
      <c r="BF1801" s="8"/>
      <c r="BG1801" s="7"/>
      <c r="BH1801" s="7"/>
      <c r="BI1801" s="7"/>
      <c r="BJ1801" s="4">
        <v>4</v>
      </c>
      <c r="BK1801" s="8">
        <v>104.78</v>
      </c>
      <c r="BL1801" s="2" t="s">
        <v>7216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8401</v>
      </c>
      <c r="BV1801" s="2" t="s">
        <v>233</v>
      </c>
      <c r="BW1801" s="2" t="s">
        <v>233</v>
      </c>
      <c r="BX1801" s="2" t="s">
        <v>233</v>
      </c>
      <c r="BY1801" s="2" t="s">
        <v>280</v>
      </c>
      <c r="BZ1801" s="2" t="s">
        <v>245</v>
      </c>
      <c r="CA1801" s="2" t="s">
        <v>8402</v>
      </c>
      <c r="CB1801" s="2" t="s">
        <v>8403</v>
      </c>
      <c r="CC1801" s="2" t="s">
        <v>246</v>
      </c>
      <c r="CD1801" s="2" t="s">
        <v>233</v>
      </c>
      <c r="CE1801" s="4">
        <v>136</v>
      </c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4"/>
      <c r="HH1801" s="4"/>
      <c r="HI1801" s="4"/>
      <c r="HJ1801" s="4"/>
      <c r="HK1801" s="4"/>
      <c r="HL1801" s="4"/>
      <c r="HM1801" s="4"/>
      <c r="HN1801" s="4"/>
      <c r="HO1801" s="4"/>
      <c r="HP1801" s="4"/>
      <c r="HQ1801" s="4"/>
      <c r="HR1801" s="4"/>
    </row>
    <row r="1802">
      <c r="A1802" s="2" t="s">
        <v>8404</v>
      </c>
      <c r="B1802" s="2" t="s">
        <v>1066</v>
      </c>
      <c r="C1802" s="2" t="s">
        <v>530</v>
      </c>
      <c r="D1802" s="2" t="s">
        <v>1851</v>
      </c>
      <c r="E1802" s="2" t="s">
        <v>1852</v>
      </c>
      <c r="F1802" s="2" t="s">
        <v>8405</v>
      </c>
      <c r="G1802" s="2" t="s">
        <v>8406</v>
      </c>
      <c r="H1802" s="2" t="s">
        <v>8407</v>
      </c>
      <c r="I1802" s="2" t="s">
        <v>8408</v>
      </c>
      <c r="J1802" s="2" t="s">
        <v>892</v>
      </c>
      <c r="K1802" s="2" t="s">
        <v>8409</v>
      </c>
      <c r="L1802" s="3">
        <v>183.83</v>
      </c>
      <c r="M1802" s="3">
        <v>193.02</v>
      </c>
      <c r="N1802" s="3">
        <v>389</v>
      </c>
      <c r="O1802" s="2" t="s">
        <v>237</v>
      </c>
      <c r="P1802" s="2" t="s">
        <v>311</v>
      </c>
      <c r="Q1802" s="2" t="s">
        <v>239</v>
      </c>
      <c r="R1802" s="2" t="s">
        <v>233</v>
      </c>
      <c r="S1802" s="2" t="s">
        <v>233</v>
      </c>
      <c r="T1802" s="2" t="s">
        <v>233</v>
      </c>
      <c r="U1802" s="2" t="s">
        <v>396</v>
      </c>
      <c r="V1802" s="2" t="s">
        <v>241</v>
      </c>
      <c r="W1802" s="2" t="s">
        <v>451</v>
      </c>
      <c r="X1802" s="2" t="s">
        <v>397</v>
      </c>
      <c r="Y1802" s="2" t="s">
        <v>8410</v>
      </c>
      <c r="Z1802" s="4">
        <v>26</v>
      </c>
      <c r="AA1802" s="4">
        <f>=ROUNDDOWN(9.62962962962963,0)</f>
      </c>
      <c r="AB1802" s="5">
        <v>2.7</v>
      </c>
      <c r="AC1802" s="2" t="s">
        <v>233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233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>
        <v>7</v>
      </c>
      <c r="BK1802" s="8">
        <v>1323.17</v>
      </c>
      <c r="BL1802" s="2" t="s">
        <v>5415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8411</v>
      </c>
      <c r="BV1802" s="2" t="s">
        <v>233</v>
      </c>
      <c r="BW1802" s="2" t="s">
        <v>233</v>
      </c>
      <c r="BX1802" s="2" t="s">
        <v>233</v>
      </c>
      <c r="BY1802" s="2" t="s">
        <v>280</v>
      </c>
      <c r="BZ1802" s="2" t="s">
        <v>245</v>
      </c>
      <c r="CA1802" s="2" t="s">
        <v>8412</v>
      </c>
      <c r="CB1802" s="2" t="s">
        <v>8413</v>
      </c>
      <c r="CC1802" s="2" t="s">
        <v>246</v>
      </c>
      <c r="CD1802" s="2" t="s">
        <v>233</v>
      </c>
      <c r="CE1802" s="4"/>
      <c r="CF1802" s="4">
        <v>26</v>
      </c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  <c r="HG1802" s="4"/>
      <c r="HH1802" s="4"/>
      <c r="HI1802" s="4"/>
      <c r="HJ1802" s="4"/>
      <c r="HK1802" s="4"/>
      <c r="HL1802" s="4"/>
      <c r="HM1802" s="4"/>
      <c r="HN1802" s="4"/>
      <c r="HO1802" s="4"/>
      <c r="HP1802" s="4"/>
      <c r="HQ1802" s="4"/>
      <c r="HR1802" s="4"/>
    </row>
    <row r="1803">
      <c r="A1803" s="2" t="s">
        <v>8414</v>
      </c>
      <c r="B1803" s="2" t="s">
        <v>886</v>
      </c>
      <c r="C1803" s="2" t="s">
        <v>901</v>
      </c>
      <c r="D1803" s="2" t="s">
        <v>888</v>
      </c>
      <c r="E1803" s="2" t="s">
        <v>889</v>
      </c>
      <c r="F1803" s="2" t="s">
        <v>8415</v>
      </c>
      <c r="G1803" s="2" t="s">
        <v>8415</v>
      </c>
      <c r="H1803" s="2" t="s">
        <v>8415</v>
      </c>
      <c r="I1803" s="2" t="s">
        <v>1225</v>
      </c>
      <c r="J1803" s="2" t="s">
        <v>892</v>
      </c>
      <c r="K1803" s="2" t="s">
        <v>1171</v>
      </c>
      <c r="L1803" s="3">
        <v>76.64</v>
      </c>
      <c r="M1803" s="3">
        <v>80.47</v>
      </c>
      <c r="N1803" s="3">
        <v>174.99</v>
      </c>
      <c r="O1803" s="2" t="s">
        <v>245</v>
      </c>
      <c r="P1803" s="2" t="s">
        <v>311</v>
      </c>
      <c r="Q1803" s="2" t="s">
        <v>239</v>
      </c>
      <c r="R1803" s="2" t="s">
        <v>233</v>
      </c>
      <c r="S1803" s="2" t="s">
        <v>233</v>
      </c>
      <c r="T1803" s="2" t="s">
        <v>233</v>
      </c>
      <c r="U1803" s="2" t="s">
        <v>396</v>
      </c>
      <c r="V1803" s="2" t="s">
        <v>893</v>
      </c>
      <c r="W1803" s="2" t="s">
        <v>397</v>
      </c>
      <c r="X1803" s="2" t="s">
        <v>233</v>
      </c>
      <c r="Y1803" s="2" t="s">
        <v>2256</v>
      </c>
      <c r="Z1803" s="4">
        <v>76</v>
      </c>
      <c r="AA1803" s="4">
        <f>=ROUNDDOWN(63.3333333333333,0)</f>
      </c>
      <c r="AB1803" s="5">
        <v>1.2</v>
      </c>
      <c r="AC1803" s="2" t="s">
        <v>233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233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 t="s">
        <v>233</v>
      </c>
      <c r="BD1803" s="8" t="s">
        <v>233</v>
      </c>
      <c r="BE1803" s="4" t="s">
        <v>233</v>
      </c>
      <c r="BF1803" s="8" t="s">
        <v>233</v>
      </c>
      <c r="BG1803" s="7" t="s">
        <v>233</v>
      </c>
      <c r="BH1803" s="7" t="s">
        <v>233</v>
      </c>
      <c r="BI1803" s="7"/>
      <c r="BJ1803" s="4">
        <v>1</v>
      </c>
      <c r="BK1803" s="8">
        <v>86.9</v>
      </c>
      <c r="BL1803" s="2" t="s">
        <v>8416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8417</v>
      </c>
      <c r="BV1803" s="2" t="s">
        <v>233</v>
      </c>
      <c r="BW1803" s="2" t="s">
        <v>233</v>
      </c>
      <c r="BX1803" s="2" t="s">
        <v>233</v>
      </c>
      <c r="BY1803" s="2" t="s">
        <v>280</v>
      </c>
      <c r="BZ1803" s="2" t="s">
        <v>245</v>
      </c>
      <c r="CA1803" s="2" t="s">
        <v>2509</v>
      </c>
      <c r="CB1803" s="2" t="s">
        <v>1796</v>
      </c>
      <c r="CC1803" s="2" t="s">
        <v>246</v>
      </c>
      <c r="CD1803" s="2" t="s">
        <v>233</v>
      </c>
      <c r="CE1803" s="4"/>
      <c r="CF1803" s="4">
        <v>76</v>
      </c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4"/>
      <c r="HH1803" s="4"/>
      <c r="HI1803" s="4"/>
      <c r="HJ1803" s="4"/>
      <c r="HK1803" s="4"/>
      <c r="HL1803" s="4"/>
      <c r="HM1803" s="4"/>
      <c r="HN1803" s="4"/>
      <c r="HO1803" s="4"/>
      <c r="HP1803" s="4"/>
      <c r="HQ1803" s="4"/>
      <c r="HR1803" s="4"/>
    </row>
    <row r="1804">
      <c r="A1804" s="2" t="s">
        <v>8418</v>
      </c>
      <c r="B1804" s="2" t="s">
        <v>1066</v>
      </c>
      <c r="C1804" s="2" t="s">
        <v>901</v>
      </c>
      <c r="D1804" s="2" t="s">
        <v>1782</v>
      </c>
      <c r="E1804" s="2" t="s">
        <v>1783</v>
      </c>
      <c r="F1804" s="2" t="s">
        <v>8415</v>
      </c>
      <c r="G1804" s="2" t="s">
        <v>233</v>
      </c>
      <c r="H1804" s="2" t="s">
        <v>233</v>
      </c>
      <c r="I1804" s="2" t="s">
        <v>1783</v>
      </c>
      <c r="J1804" s="2" t="s">
        <v>892</v>
      </c>
      <c r="K1804" s="2" t="s">
        <v>297</v>
      </c>
      <c r="L1804" s="3">
        <v>99.75</v>
      </c>
      <c r="M1804" s="3">
        <v>104.74</v>
      </c>
      <c r="N1804" s="3">
        <v>199.99</v>
      </c>
      <c r="O1804" s="2" t="s">
        <v>237</v>
      </c>
      <c r="P1804" s="2" t="s">
        <v>311</v>
      </c>
      <c r="Q1804" s="2" t="s">
        <v>239</v>
      </c>
      <c r="R1804" s="2" t="s">
        <v>233</v>
      </c>
      <c r="S1804" s="2" t="s">
        <v>8419</v>
      </c>
      <c r="T1804" s="2" t="s">
        <v>233</v>
      </c>
      <c r="U1804" s="2" t="s">
        <v>233</v>
      </c>
      <c r="V1804" s="2" t="s">
        <v>241</v>
      </c>
      <c r="W1804" s="2" t="s">
        <v>397</v>
      </c>
      <c r="X1804" s="2" t="s">
        <v>233</v>
      </c>
      <c r="Y1804" s="2" t="s">
        <v>276</v>
      </c>
      <c r="Z1804" s="4">
        <v>84</v>
      </c>
      <c r="AA1804" s="4">
        <f>=ROUNDDOWN(210,0)</f>
      </c>
      <c r="AB1804" s="5">
        <v>0.4</v>
      </c>
      <c r="AC1804" s="2" t="s">
        <v>233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233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233</v>
      </c>
      <c r="BD1804" s="8" t="s">
        <v>233</v>
      </c>
      <c r="BE1804" s="4" t="s">
        <v>233</v>
      </c>
      <c r="BF1804" s="8" t="s">
        <v>233</v>
      </c>
      <c r="BG1804" s="7" t="s">
        <v>233</v>
      </c>
      <c r="BH1804" s="7" t="s">
        <v>233</v>
      </c>
      <c r="BI1804" s="7"/>
      <c r="BJ1804" s="4">
        <v>1</v>
      </c>
      <c r="BK1804" s="8">
        <v>43.87</v>
      </c>
      <c r="BL1804" s="2" t="s">
        <v>1023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8420</v>
      </c>
      <c r="BV1804" s="2" t="s">
        <v>233</v>
      </c>
      <c r="BW1804" s="2" t="s">
        <v>233</v>
      </c>
      <c r="BX1804" s="2" t="s">
        <v>233</v>
      </c>
      <c r="BY1804" s="2" t="s">
        <v>280</v>
      </c>
      <c r="BZ1804" s="2" t="s">
        <v>245</v>
      </c>
      <c r="CA1804" s="2" t="s">
        <v>2663</v>
      </c>
      <c r="CB1804" s="2" t="s">
        <v>306</v>
      </c>
      <c r="CC1804" s="2" t="s">
        <v>246</v>
      </c>
      <c r="CD1804" s="2" t="s">
        <v>233</v>
      </c>
      <c r="CE1804" s="4"/>
      <c r="CF1804" s="4">
        <v>84</v>
      </c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4"/>
      <c r="HH1804" s="4"/>
      <c r="HI1804" s="4"/>
      <c r="HJ1804" s="4"/>
      <c r="HK1804" s="4"/>
      <c r="HL1804" s="4"/>
      <c r="HM1804" s="4"/>
      <c r="HN1804" s="4"/>
      <c r="HO1804" s="4"/>
      <c r="HP1804" s="4"/>
      <c r="HQ1804" s="4"/>
      <c r="HR1804" s="4"/>
    </row>
    <row r="1805">
      <c r="A1805" s="2" t="s">
        <v>8421</v>
      </c>
      <c r="B1805" s="2" t="s">
        <v>1242</v>
      </c>
      <c r="C1805" s="2" t="s">
        <v>2145</v>
      </c>
      <c r="D1805" s="2" t="s">
        <v>912</v>
      </c>
      <c r="E1805" s="2" t="s">
        <v>1139</v>
      </c>
      <c r="F1805" s="2" t="s">
        <v>5954</v>
      </c>
      <c r="G1805" s="2" t="s">
        <v>8422</v>
      </c>
      <c r="H1805" s="2" t="s">
        <v>8423</v>
      </c>
      <c r="I1805" s="2" t="s">
        <v>8424</v>
      </c>
      <c r="J1805" s="2" t="s">
        <v>918</v>
      </c>
      <c r="K1805" s="2" t="s">
        <v>3384</v>
      </c>
      <c r="L1805" s="3">
        <v>16.9</v>
      </c>
      <c r="M1805" s="3">
        <v>17.75</v>
      </c>
      <c r="N1805" s="3">
        <v>35.49</v>
      </c>
      <c r="O1805" s="2" t="s">
        <v>245</v>
      </c>
      <c r="P1805" s="2" t="s">
        <v>272</v>
      </c>
      <c r="Q1805" s="2" t="s">
        <v>239</v>
      </c>
      <c r="R1805" s="2" t="s">
        <v>233</v>
      </c>
      <c r="S1805" s="2" t="s">
        <v>8425</v>
      </c>
      <c r="T1805" s="2" t="s">
        <v>1481</v>
      </c>
      <c r="U1805" s="2" t="s">
        <v>491</v>
      </c>
      <c r="V1805" s="2" t="s">
        <v>241</v>
      </c>
      <c r="W1805" s="2" t="s">
        <v>275</v>
      </c>
      <c r="X1805" s="2" t="s">
        <v>397</v>
      </c>
      <c r="Y1805" s="2" t="s">
        <v>1009</v>
      </c>
      <c r="Z1805" s="4">
        <v>111</v>
      </c>
      <c r="AA1805" s="4">
        <f>=ROUNDDOWN(9.25,0)</f>
      </c>
      <c r="AB1805" s="5">
        <v>12</v>
      </c>
      <c r="AC1805" s="2" t="s">
        <v>319</v>
      </c>
      <c r="AD1805" s="4">
        <v>100</v>
      </c>
      <c r="AE1805" s="4">
        <v>184</v>
      </c>
      <c r="AF1805" s="6">
        <v>63</v>
      </c>
      <c r="AG1805" s="6">
        <v>46</v>
      </c>
      <c r="AH1805" s="7">
        <v>0.4194</v>
      </c>
      <c r="AI1805" s="4"/>
      <c r="AJ1805" s="4">
        <f>=ROUNDDOWN({0},0)</f>
      </c>
      <c r="AK1805" s="5"/>
      <c r="AL1805" s="2" t="s">
        <v>233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6</v>
      </c>
      <c r="BK1805" s="8">
        <v>111.02</v>
      </c>
      <c r="BL1805" s="2" t="s">
        <v>8426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8427</v>
      </c>
      <c r="BV1805" s="2" t="s">
        <v>233</v>
      </c>
      <c r="BW1805" s="2" t="s">
        <v>233</v>
      </c>
      <c r="BX1805" s="2" t="s">
        <v>6794</v>
      </c>
      <c r="BY1805" s="2" t="s">
        <v>280</v>
      </c>
      <c r="BZ1805" s="2" t="s">
        <v>245</v>
      </c>
      <c r="CA1805" s="2" t="s">
        <v>1009</v>
      </c>
      <c r="CB1805" s="2" t="s">
        <v>1951</v>
      </c>
      <c r="CC1805" s="2" t="s">
        <v>246</v>
      </c>
      <c r="CD1805" s="2" t="s">
        <v>233</v>
      </c>
      <c r="CE1805" s="4">
        <v>62</v>
      </c>
      <c r="CF1805" s="4"/>
      <c r="CG1805" s="4"/>
      <c r="CH1805" s="4"/>
      <c r="CI1805" s="4">
        <v>49</v>
      </c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>
        <v>100</v>
      </c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>
        <v>84</v>
      </c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  <c r="HG1805" s="4"/>
      <c r="HH1805" s="4"/>
      <c r="HI1805" s="4"/>
      <c r="HJ1805" s="4"/>
      <c r="HK1805" s="4"/>
      <c r="HL1805" s="4"/>
      <c r="HM1805" s="4"/>
      <c r="HN1805" s="4"/>
      <c r="HO1805" s="4"/>
      <c r="HP1805" s="4"/>
      <c r="HQ1805" s="4"/>
      <c r="HR1805" s="4"/>
    </row>
    <row r="1806">
      <c r="A1806" s="2" t="s">
        <v>8428</v>
      </c>
      <c r="B1806" s="2" t="s">
        <v>910</v>
      </c>
      <c r="C1806" s="2" t="s">
        <v>911</v>
      </c>
      <c r="D1806" s="2" t="s">
        <v>969</v>
      </c>
      <c r="E1806" s="2" t="s">
        <v>970</v>
      </c>
      <c r="F1806" s="2" t="s">
        <v>8429</v>
      </c>
      <c r="G1806" s="2" t="s">
        <v>5800</v>
      </c>
      <c r="H1806" s="2" t="s">
        <v>8430</v>
      </c>
      <c r="I1806" s="2" t="s">
        <v>8431</v>
      </c>
      <c r="J1806" s="2" t="s">
        <v>918</v>
      </c>
      <c r="K1806" s="2" t="s">
        <v>1083</v>
      </c>
      <c r="L1806" s="3">
        <v>33.33</v>
      </c>
      <c r="M1806" s="3">
        <v>35</v>
      </c>
      <c r="N1806" s="3">
        <v>69.99</v>
      </c>
      <c r="O1806" s="2" t="s">
        <v>245</v>
      </c>
      <c r="P1806" s="2" t="s">
        <v>238</v>
      </c>
      <c r="Q1806" s="2" t="s">
        <v>239</v>
      </c>
      <c r="R1806" s="2" t="s">
        <v>233</v>
      </c>
      <c r="S1806" s="2" t="s">
        <v>8432</v>
      </c>
      <c r="T1806" s="2" t="s">
        <v>3570</v>
      </c>
      <c r="U1806" s="2" t="s">
        <v>491</v>
      </c>
      <c r="V1806" s="2" t="s">
        <v>241</v>
      </c>
      <c r="W1806" s="2" t="s">
        <v>705</v>
      </c>
      <c r="X1806" s="2" t="s">
        <v>275</v>
      </c>
      <c r="Y1806" s="2" t="s">
        <v>233</v>
      </c>
      <c r="Z1806" s="4"/>
      <c r="AA1806" s="4">
        <f>=ROUNDDOWN({0},0)</f>
      </c>
      <c r="AB1806" s="5"/>
      <c r="AC1806" s="2" t="s">
        <v>5332</v>
      </c>
      <c r="AD1806" s="4">
        <v>70</v>
      </c>
      <c r="AE1806" s="4">
        <v>140</v>
      </c>
      <c r="AF1806" s="6">
        <v>66</v>
      </c>
      <c r="AG1806" s="6"/>
      <c r="AH1806" s="7">
        <v>0</v>
      </c>
      <c r="AI1806" s="4"/>
      <c r="AJ1806" s="4">
        <f>=ROUNDDOWN({0},0)</f>
      </c>
      <c r="AK1806" s="5"/>
      <c r="AL1806" s="2" t="s">
        <v>233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233</v>
      </c>
      <c r="AW1806" s="8" t="s">
        <v>233</v>
      </c>
      <c r="AX1806" s="4" t="s">
        <v>233</v>
      </c>
      <c r="AY1806" s="8" t="s">
        <v>233</v>
      </c>
      <c r="AZ1806" s="7" t="s">
        <v>233</v>
      </c>
      <c r="BA1806" s="7" t="s">
        <v>233</v>
      </c>
      <c r="BB1806" s="7"/>
      <c r="BC1806" s="4" t="s">
        <v>233</v>
      </c>
      <c r="BD1806" s="8" t="s">
        <v>233</v>
      </c>
      <c r="BE1806" s="4" t="s">
        <v>233</v>
      </c>
      <c r="BF1806" s="8" t="s">
        <v>233</v>
      </c>
      <c r="BG1806" s="7" t="s">
        <v>233</v>
      </c>
      <c r="BH1806" s="7" t="s">
        <v>233</v>
      </c>
      <c r="BI1806" s="7"/>
      <c r="BJ1806" s="4"/>
      <c r="BK1806" s="8"/>
      <c r="BL1806" s="2" t="s">
        <v>233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243</v>
      </c>
      <c r="BV1806" s="2" t="s">
        <v>233</v>
      </c>
      <c r="BW1806" s="2" t="s">
        <v>233</v>
      </c>
      <c r="BX1806" s="2" t="s">
        <v>243</v>
      </c>
      <c r="BY1806" s="2" t="s">
        <v>244</v>
      </c>
      <c r="BZ1806" s="2" t="s">
        <v>245</v>
      </c>
      <c r="CA1806" s="2" t="s">
        <v>233</v>
      </c>
      <c r="CB1806" s="2" t="s">
        <v>233</v>
      </c>
      <c r="CC1806" s="2" t="s">
        <v>246</v>
      </c>
      <c r="CD1806" s="2" t="s">
        <v>233</v>
      </c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>
        <v>70</v>
      </c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>
        <v>70</v>
      </c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  <c r="HF1806" s="4"/>
      <c r="HG1806" s="4"/>
      <c r="HH1806" s="4"/>
      <c r="HI1806" s="4"/>
      <c r="HJ1806" s="4"/>
      <c r="HK1806" s="4"/>
      <c r="HL1806" s="4"/>
      <c r="HM1806" s="4"/>
      <c r="HN1806" s="4"/>
      <c r="HO1806" s="4"/>
      <c r="HP1806" s="4"/>
      <c r="HQ1806" s="4"/>
      <c r="HR1806" s="4"/>
    </row>
    <row r="1807">
      <c r="A1807" s="2" t="s">
        <v>8433</v>
      </c>
      <c r="B1807" s="2" t="s">
        <v>910</v>
      </c>
      <c r="C1807" s="2" t="s">
        <v>911</v>
      </c>
      <c r="D1807" s="2" t="s">
        <v>969</v>
      </c>
      <c r="E1807" s="2" t="s">
        <v>970</v>
      </c>
      <c r="F1807" s="2" t="s">
        <v>8429</v>
      </c>
      <c r="G1807" s="2" t="s">
        <v>5800</v>
      </c>
      <c r="H1807" s="2" t="s">
        <v>8430</v>
      </c>
      <c r="I1807" s="2" t="s">
        <v>8431</v>
      </c>
      <c r="J1807" s="2" t="s">
        <v>981</v>
      </c>
      <c r="K1807" s="2" t="s">
        <v>1083</v>
      </c>
      <c r="L1807" s="3">
        <v>42.85</v>
      </c>
      <c r="M1807" s="3">
        <v>44.99</v>
      </c>
      <c r="N1807" s="3">
        <v>89.99</v>
      </c>
      <c r="O1807" s="2" t="s">
        <v>245</v>
      </c>
      <c r="P1807" s="2" t="s">
        <v>238</v>
      </c>
      <c r="Q1807" s="2" t="s">
        <v>239</v>
      </c>
      <c r="R1807" s="2" t="s">
        <v>233</v>
      </c>
      <c r="S1807" s="2" t="s">
        <v>8432</v>
      </c>
      <c r="T1807" s="2" t="s">
        <v>3570</v>
      </c>
      <c r="U1807" s="2" t="s">
        <v>475</v>
      </c>
      <c r="V1807" s="2" t="s">
        <v>241</v>
      </c>
      <c r="W1807" s="2" t="s">
        <v>705</v>
      </c>
      <c r="X1807" s="2" t="s">
        <v>275</v>
      </c>
      <c r="Y1807" s="2" t="s">
        <v>233</v>
      </c>
      <c r="Z1807" s="4"/>
      <c r="AA1807" s="4">
        <f>=ROUNDDOWN({0},0)</f>
      </c>
      <c r="AB1807" s="5"/>
      <c r="AC1807" s="2" t="s">
        <v>5332</v>
      </c>
      <c r="AD1807" s="4">
        <v>190</v>
      </c>
      <c r="AE1807" s="4">
        <v>380</v>
      </c>
      <c r="AF1807" s="6">
        <v>66</v>
      </c>
      <c r="AG1807" s="6"/>
      <c r="AH1807" s="7">
        <v>0</v>
      </c>
      <c r="AI1807" s="4"/>
      <c r="AJ1807" s="4">
        <f>=ROUNDDOWN({0},0)</f>
      </c>
      <c r="AK1807" s="5"/>
      <c r="AL1807" s="2" t="s">
        <v>233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 t="s">
        <v>233</v>
      </c>
      <c r="AW1807" s="8" t="s">
        <v>233</v>
      </c>
      <c r="AX1807" s="4" t="s">
        <v>233</v>
      </c>
      <c r="AY1807" s="8" t="s">
        <v>233</v>
      </c>
      <c r="AZ1807" s="7" t="s">
        <v>233</v>
      </c>
      <c r="BA1807" s="7" t="s">
        <v>233</v>
      </c>
      <c r="BB1807" s="7"/>
      <c r="BC1807" s="4" t="s">
        <v>233</v>
      </c>
      <c r="BD1807" s="8" t="s">
        <v>233</v>
      </c>
      <c r="BE1807" s="4" t="s">
        <v>233</v>
      </c>
      <c r="BF1807" s="8" t="s">
        <v>233</v>
      </c>
      <c r="BG1807" s="7" t="s">
        <v>233</v>
      </c>
      <c r="BH1807" s="7" t="s">
        <v>233</v>
      </c>
      <c r="BI1807" s="7"/>
      <c r="BJ1807" s="4"/>
      <c r="BK1807" s="8"/>
      <c r="BL1807" s="2" t="s">
        <v>233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243</v>
      </c>
      <c r="BV1807" s="2" t="s">
        <v>233</v>
      </c>
      <c r="BW1807" s="2" t="s">
        <v>233</v>
      </c>
      <c r="BX1807" s="2" t="s">
        <v>243</v>
      </c>
      <c r="BY1807" s="2" t="s">
        <v>244</v>
      </c>
      <c r="BZ1807" s="2" t="s">
        <v>245</v>
      </c>
      <c r="CA1807" s="2" t="s">
        <v>233</v>
      </c>
      <c r="CB1807" s="2" t="s">
        <v>233</v>
      </c>
      <c r="CC1807" s="2" t="s">
        <v>246</v>
      </c>
      <c r="CD1807" s="2" t="s">
        <v>233</v>
      </c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>
        <v>190</v>
      </c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>
        <v>190</v>
      </c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  <c r="HF1807" s="4"/>
      <c r="HG1807" s="4"/>
      <c r="HH1807" s="4"/>
      <c r="HI1807" s="4"/>
      <c r="HJ1807" s="4"/>
      <c r="HK1807" s="4"/>
      <c r="HL1807" s="4"/>
      <c r="HM1807" s="4"/>
      <c r="HN1807" s="4"/>
      <c r="HO1807" s="4"/>
      <c r="HP1807" s="4"/>
      <c r="HQ1807" s="4"/>
      <c r="HR1807" s="4"/>
    </row>
    <row r="1808">
      <c r="A1808" s="2" t="s">
        <v>8434</v>
      </c>
      <c r="B1808" s="2" t="s">
        <v>910</v>
      </c>
      <c r="C1808" s="2" t="s">
        <v>911</v>
      </c>
      <c r="D1808" s="2" t="s">
        <v>969</v>
      </c>
      <c r="E1808" s="2" t="s">
        <v>970</v>
      </c>
      <c r="F1808" s="2" t="s">
        <v>8429</v>
      </c>
      <c r="G1808" s="2" t="s">
        <v>5800</v>
      </c>
      <c r="H1808" s="2" t="s">
        <v>8430</v>
      </c>
      <c r="I1808" s="2" t="s">
        <v>8431</v>
      </c>
      <c r="J1808" s="2" t="s">
        <v>1142</v>
      </c>
      <c r="K1808" s="2" t="s">
        <v>1083</v>
      </c>
      <c r="L1808" s="3">
        <v>47.61</v>
      </c>
      <c r="M1808" s="3">
        <v>49.99</v>
      </c>
      <c r="N1808" s="3">
        <v>99.99</v>
      </c>
      <c r="O1808" s="2" t="s">
        <v>245</v>
      </c>
      <c r="P1808" s="2" t="s">
        <v>238</v>
      </c>
      <c r="Q1808" s="2" t="s">
        <v>239</v>
      </c>
      <c r="R1808" s="2" t="s">
        <v>233</v>
      </c>
      <c r="S1808" s="2" t="s">
        <v>8432</v>
      </c>
      <c r="T1808" s="2" t="s">
        <v>3570</v>
      </c>
      <c r="U1808" s="2" t="s">
        <v>475</v>
      </c>
      <c r="V1808" s="2" t="s">
        <v>241</v>
      </c>
      <c r="W1808" s="2" t="s">
        <v>705</v>
      </c>
      <c r="X1808" s="2" t="s">
        <v>275</v>
      </c>
      <c r="Y1808" s="2" t="s">
        <v>233</v>
      </c>
      <c r="Z1808" s="4"/>
      <c r="AA1808" s="4">
        <f>=ROUNDDOWN({0},0)</f>
      </c>
      <c r="AB1808" s="5"/>
      <c r="AC1808" s="2" t="s">
        <v>5332</v>
      </c>
      <c r="AD1808" s="4">
        <v>140</v>
      </c>
      <c r="AE1808" s="4">
        <v>280</v>
      </c>
      <c r="AF1808" s="6">
        <v>66</v>
      </c>
      <c r="AG1808" s="6"/>
      <c r="AH1808" s="7">
        <v>0</v>
      </c>
      <c r="AI1808" s="4"/>
      <c r="AJ1808" s="4">
        <f>=ROUNDDOWN({0},0)</f>
      </c>
      <c r="AK1808" s="5"/>
      <c r="AL1808" s="2" t="s">
        <v>233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 t="s">
        <v>233</v>
      </c>
      <c r="AW1808" s="8" t="s">
        <v>233</v>
      </c>
      <c r="AX1808" s="4" t="s">
        <v>233</v>
      </c>
      <c r="AY1808" s="8" t="s">
        <v>233</v>
      </c>
      <c r="AZ1808" s="7" t="s">
        <v>233</v>
      </c>
      <c r="BA1808" s="7" t="s">
        <v>233</v>
      </c>
      <c r="BB1808" s="7"/>
      <c r="BC1808" s="4" t="s">
        <v>233</v>
      </c>
      <c r="BD1808" s="8" t="s">
        <v>233</v>
      </c>
      <c r="BE1808" s="4" t="s">
        <v>233</v>
      </c>
      <c r="BF1808" s="8" t="s">
        <v>233</v>
      </c>
      <c r="BG1808" s="7" t="s">
        <v>233</v>
      </c>
      <c r="BH1808" s="7" t="s">
        <v>233</v>
      </c>
      <c r="BI1808" s="7"/>
      <c r="BJ1808" s="4"/>
      <c r="BK1808" s="8"/>
      <c r="BL1808" s="2" t="s">
        <v>233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243</v>
      </c>
      <c r="BV1808" s="2" t="s">
        <v>233</v>
      </c>
      <c r="BW1808" s="2" t="s">
        <v>233</v>
      </c>
      <c r="BX1808" s="2" t="s">
        <v>243</v>
      </c>
      <c r="BY1808" s="2" t="s">
        <v>244</v>
      </c>
      <c r="BZ1808" s="2" t="s">
        <v>245</v>
      </c>
      <c r="CA1808" s="2" t="s">
        <v>233</v>
      </c>
      <c r="CB1808" s="2" t="s">
        <v>233</v>
      </c>
      <c r="CC1808" s="2" t="s">
        <v>246</v>
      </c>
      <c r="CD1808" s="2" t="s">
        <v>233</v>
      </c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>
        <v>140</v>
      </c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>
        <v>140</v>
      </c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  <c r="HF1808" s="4"/>
      <c r="HG1808" s="4"/>
      <c r="HH1808" s="4"/>
      <c r="HI1808" s="4"/>
      <c r="HJ1808" s="4"/>
      <c r="HK1808" s="4"/>
      <c r="HL1808" s="4"/>
      <c r="HM1808" s="4"/>
      <c r="HN1808" s="4"/>
      <c r="HO1808" s="4"/>
      <c r="HP1808" s="4"/>
      <c r="HQ1808" s="4"/>
      <c r="HR1808" s="4"/>
    </row>
    <row r="1809">
      <c r="A1809" s="2" t="s">
        <v>8435</v>
      </c>
      <c r="B1809" s="2" t="s">
        <v>910</v>
      </c>
      <c r="C1809" s="2" t="s">
        <v>911</v>
      </c>
      <c r="D1809" s="2" t="s">
        <v>969</v>
      </c>
      <c r="E1809" s="2" t="s">
        <v>970</v>
      </c>
      <c r="F1809" s="2" t="s">
        <v>8429</v>
      </c>
      <c r="G1809" s="2" t="s">
        <v>5800</v>
      </c>
      <c r="H1809" s="2" t="s">
        <v>8430</v>
      </c>
      <c r="I1809" s="2" t="s">
        <v>8431</v>
      </c>
      <c r="J1809" s="2" t="s">
        <v>918</v>
      </c>
      <c r="K1809" s="2" t="s">
        <v>645</v>
      </c>
      <c r="L1809" s="3">
        <v>33.33</v>
      </c>
      <c r="M1809" s="3">
        <v>35</v>
      </c>
      <c r="N1809" s="3">
        <v>69.99</v>
      </c>
      <c r="O1809" s="2" t="s">
        <v>245</v>
      </c>
      <c r="P1809" s="2" t="s">
        <v>238</v>
      </c>
      <c r="Q1809" s="2" t="s">
        <v>239</v>
      </c>
      <c r="R1809" s="2" t="s">
        <v>233</v>
      </c>
      <c r="S1809" s="2" t="s">
        <v>8436</v>
      </c>
      <c r="T1809" s="2" t="s">
        <v>3570</v>
      </c>
      <c r="U1809" s="2" t="s">
        <v>491</v>
      </c>
      <c r="V1809" s="2" t="s">
        <v>241</v>
      </c>
      <c r="W1809" s="2" t="s">
        <v>705</v>
      </c>
      <c r="X1809" s="2" t="s">
        <v>275</v>
      </c>
      <c r="Y1809" s="2" t="s">
        <v>233</v>
      </c>
      <c r="Z1809" s="4"/>
      <c r="AA1809" s="4">
        <f>=ROUNDDOWN({0},0)</f>
      </c>
      <c r="AB1809" s="5"/>
      <c r="AC1809" s="2" t="s">
        <v>5332</v>
      </c>
      <c r="AD1809" s="4">
        <v>65</v>
      </c>
      <c r="AE1809" s="4">
        <v>130</v>
      </c>
      <c r="AF1809" s="6">
        <v>66</v>
      </c>
      <c r="AG1809" s="6"/>
      <c r="AH1809" s="7">
        <v>0</v>
      </c>
      <c r="AI1809" s="4"/>
      <c r="AJ1809" s="4">
        <f>=ROUNDDOWN({0},0)</f>
      </c>
      <c r="AK1809" s="5"/>
      <c r="AL1809" s="2" t="s">
        <v>233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 t="s">
        <v>233</v>
      </c>
      <c r="AW1809" s="8" t="s">
        <v>233</v>
      </c>
      <c r="AX1809" s="4" t="s">
        <v>233</v>
      </c>
      <c r="AY1809" s="8" t="s">
        <v>233</v>
      </c>
      <c r="AZ1809" s="7" t="s">
        <v>233</v>
      </c>
      <c r="BA1809" s="7" t="s">
        <v>233</v>
      </c>
      <c r="BB1809" s="7"/>
      <c r="BC1809" s="4" t="s">
        <v>233</v>
      </c>
      <c r="BD1809" s="8" t="s">
        <v>233</v>
      </c>
      <c r="BE1809" s="4" t="s">
        <v>233</v>
      </c>
      <c r="BF1809" s="8" t="s">
        <v>233</v>
      </c>
      <c r="BG1809" s="7" t="s">
        <v>233</v>
      </c>
      <c r="BH1809" s="7" t="s">
        <v>233</v>
      </c>
      <c r="BI1809" s="7"/>
      <c r="BJ1809" s="4"/>
      <c r="BK1809" s="8"/>
      <c r="BL1809" s="2" t="s">
        <v>233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243</v>
      </c>
      <c r="BV1809" s="2" t="s">
        <v>233</v>
      </c>
      <c r="BW1809" s="2" t="s">
        <v>233</v>
      </c>
      <c r="BX1809" s="2" t="s">
        <v>243</v>
      </c>
      <c r="BY1809" s="2" t="s">
        <v>244</v>
      </c>
      <c r="BZ1809" s="2" t="s">
        <v>245</v>
      </c>
      <c r="CA1809" s="2" t="s">
        <v>233</v>
      </c>
      <c r="CB1809" s="2" t="s">
        <v>233</v>
      </c>
      <c r="CC1809" s="2" t="s">
        <v>246</v>
      </c>
      <c r="CD1809" s="2" t="s">
        <v>233</v>
      </c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>
        <v>65</v>
      </c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>
        <v>65</v>
      </c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  <c r="HF1809" s="4"/>
      <c r="HG1809" s="4"/>
      <c r="HH1809" s="4"/>
      <c r="HI1809" s="4"/>
      <c r="HJ1809" s="4"/>
      <c r="HK1809" s="4"/>
      <c r="HL1809" s="4"/>
      <c r="HM1809" s="4"/>
      <c r="HN1809" s="4"/>
      <c r="HO1809" s="4"/>
      <c r="HP1809" s="4"/>
      <c r="HQ1809" s="4"/>
      <c r="HR1809" s="4"/>
    </row>
    <row r="1810">
      <c r="A1810" s="2" t="s">
        <v>8437</v>
      </c>
      <c r="B1810" s="2" t="s">
        <v>910</v>
      </c>
      <c r="C1810" s="2" t="s">
        <v>911</v>
      </c>
      <c r="D1810" s="2" t="s">
        <v>969</v>
      </c>
      <c r="E1810" s="2" t="s">
        <v>970</v>
      </c>
      <c r="F1810" s="2" t="s">
        <v>8429</v>
      </c>
      <c r="G1810" s="2" t="s">
        <v>5800</v>
      </c>
      <c r="H1810" s="2" t="s">
        <v>8430</v>
      </c>
      <c r="I1810" s="2" t="s">
        <v>8431</v>
      </c>
      <c r="J1810" s="2" t="s">
        <v>981</v>
      </c>
      <c r="K1810" s="2" t="s">
        <v>645</v>
      </c>
      <c r="L1810" s="3">
        <v>42.85</v>
      </c>
      <c r="M1810" s="3">
        <v>44.99</v>
      </c>
      <c r="N1810" s="3">
        <v>89.99</v>
      </c>
      <c r="O1810" s="2" t="s">
        <v>245</v>
      </c>
      <c r="P1810" s="2" t="s">
        <v>238</v>
      </c>
      <c r="Q1810" s="2" t="s">
        <v>239</v>
      </c>
      <c r="R1810" s="2" t="s">
        <v>233</v>
      </c>
      <c r="S1810" s="2" t="s">
        <v>8436</v>
      </c>
      <c r="T1810" s="2" t="s">
        <v>3570</v>
      </c>
      <c r="U1810" s="2" t="s">
        <v>475</v>
      </c>
      <c r="V1810" s="2" t="s">
        <v>241</v>
      </c>
      <c r="W1810" s="2" t="s">
        <v>705</v>
      </c>
      <c r="X1810" s="2" t="s">
        <v>275</v>
      </c>
      <c r="Y1810" s="2" t="s">
        <v>233</v>
      </c>
      <c r="Z1810" s="4"/>
      <c r="AA1810" s="4">
        <f>=ROUNDDOWN({0},0)</f>
      </c>
      <c r="AB1810" s="5"/>
      <c r="AC1810" s="2" t="s">
        <v>5332</v>
      </c>
      <c r="AD1810" s="4">
        <v>250</v>
      </c>
      <c r="AE1810" s="4">
        <v>500</v>
      </c>
      <c r="AF1810" s="6">
        <v>66</v>
      </c>
      <c r="AG1810" s="6"/>
      <c r="AH1810" s="7">
        <v>0</v>
      </c>
      <c r="AI1810" s="4"/>
      <c r="AJ1810" s="4">
        <f>=ROUNDDOWN({0},0)</f>
      </c>
      <c r="AK1810" s="5"/>
      <c r="AL1810" s="2" t="s">
        <v>233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233</v>
      </c>
      <c r="AW1810" s="8" t="s">
        <v>233</v>
      </c>
      <c r="AX1810" s="4" t="s">
        <v>233</v>
      </c>
      <c r="AY1810" s="8" t="s">
        <v>233</v>
      </c>
      <c r="AZ1810" s="7" t="s">
        <v>233</v>
      </c>
      <c r="BA1810" s="7" t="s">
        <v>233</v>
      </c>
      <c r="BB1810" s="7"/>
      <c r="BC1810" s="4" t="s">
        <v>233</v>
      </c>
      <c r="BD1810" s="8" t="s">
        <v>233</v>
      </c>
      <c r="BE1810" s="4" t="s">
        <v>233</v>
      </c>
      <c r="BF1810" s="8" t="s">
        <v>233</v>
      </c>
      <c r="BG1810" s="7" t="s">
        <v>233</v>
      </c>
      <c r="BH1810" s="7" t="s">
        <v>233</v>
      </c>
      <c r="BI1810" s="7"/>
      <c r="BJ1810" s="4"/>
      <c r="BK1810" s="8"/>
      <c r="BL1810" s="2" t="s">
        <v>233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243</v>
      </c>
      <c r="BV1810" s="2" t="s">
        <v>233</v>
      </c>
      <c r="BW1810" s="2" t="s">
        <v>233</v>
      </c>
      <c r="BX1810" s="2" t="s">
        <v>243</v>
      </c>
      <c r="BY1810" s="2" t="s">
        <v>244</v>
      </c>
      <c r="BZ1810" s="2" t="s">
        <v>245</v>
      </c>
      <c r="CA1810" s="2" t="s">
        <v>233</v>
      </c>
      <c r="CB1810" s="2" t="s">
        <v>233</v>
      </c>
      <c r="CC1810" s="2" t="s">
        <v>246</v>
      </c>
      <c r="CD1810" s="2" t="s">
        <v>233</v>
      </c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>
        <v>250</v>
      </c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>
        <v>250</v>
      </c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  <c r="HF1810" s="4"/>
      <c r="HG1810" s="4"/>
      <c r="HH1810" s="4"/>
      <c r="HI1810" s="4"/>
      <c r="HJ1810" s="4"/>
      <c r="HK1810" s="4"/>
      <c r="HL1810" s="4"/>
      <c r="HM1810" s="4"/>
      <c r="HN1810" s="4"/>
      <c r="HO1810" s="4"/>
      <c r="HP1810" s="4"/>
      <c r="HQ1810" s="4"/>
      <c r="HR1810" s="4"/>
    </row>
    <row r="1811">
      <c r="A1811" s="2" t="s">
        <v>8438</v>
      </c>
      <c r="B1811" s="2" t="s">
        <v>910</v>
      </c>
      <c r="C1811" s="2" t="s">
        <v>911</v>
      </c>
      <c r="D1811" s="2" t="s">
        <v>969</v>
      </c>
      <c r="E1811" s="2" t="s">
        <v>970</v>
      </c>
      <c r="F1811" s="2" t="s">
        <v>8429</v>
      </c>
      <c r="G1811" s="2" t="s">
        <v>5800</v>
      </c>
      <c r="H1811" s="2" t="s">
        <v>8430</v>
      </c>
      <c r="I1811" s="2" t="s">
        <v>8431</v>
      </c>
      <c r="J1811" s="2" t="s">
        <v>1142</v>
      </c>
      <c r="K1811" s="2" t="s">
        <v>645</v>
      </c>
      <c r="L1811" s="3">
        <v>47.61</v>
      </c>
      <c r="M1811" s="3">
        <v>49.99</v>
      </c>
      <c r="N1811" s="3">
        <v>99.99</v>
      </c>
      <c r="O1811" s="2" t="s">
        <v>245</v>
      </c>
      <c r="P1811" s="2" t="s">
        <v>238</v>
      </c>
      <c r="Q1811" s="2" t="s">
        <v>239</v>
      </c>
      <c r="R1811" s="2" t="s">
        <v>233</v>
      </c>
      <c r="S1811" s="2" t="s">
        <v>8436</v>
      </c>
      <c r="T1811" s="2" t="s">
        <v>3570</v>
      </c>
      <c r="U1811" s="2" t="s">
        <v>475</v>
      </c>
      <c r="V1811" s="2" t="s">
        <v>241</v>
      </c>
      <c r="W1811" s="2" t="s">
        <v>705</v>
      </c>
      <c r="X1811" s="2" t="s">
        <v>275</v>
      </c>
      <c r="Y1811" s="2" t="s">
        <v>233</v>
      </c>
      <c r="Z1811" s="4"/>
      <c r="AA1811" s="4">
        <f>=ROUNDDOWN({0},0)</f>
      </c>
      <c r="AB1811" s="5"/>
      <c r="AC1811" s="2" t="s">
        <v>5332</v>
      </c>
      <c r="AD1811" s="4">
        <v>135</v>
      </c>
      <c r="AE1811" s="4">
        <v>270</v>
      </c>
      <c r="AF1811" s="6">
        <v>66</v>
      </c>
      <c r="AG1811" s="6"/>
      <c r="AH1811" s="7">
        <v>0</v>
      </c>
      <c r="AI1811" s="4"/>
      <c r="AJ1811" s="4">
        <f>=ROUNDDOWN({0},0)</f>
      </c>
      <c r="AK1811" s="5"/>
      <c r="AL1811" s="2" t="s">
        <v>233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 t="s">
        <v>233</v>
      </c>
      <c r="AW1811" s="8" t="s">
        <v>233</v>
      </c>
      <c r="AX1811" s="4" t="s">
        <v>233</v>
      </c>
      <c r="AY1811" s="8" t="s">
        <v>233</v>
      </c>
      <c r="AZ1811" s="7" t="s">
        <v>233</v>
      </c>
      <c r="BA1811" s="7" t="s">
        <v>233</v>
      </c>
      <c r="BB1811" s="7"/>
      <c r="BC1811" s="4" t="s">
        <v>233</v>
      </c>
      <c r="BD1811" s="8" t="s">
        <v>233</v>
      </c>
      <c r="BE1811" s="4" t="s">
        <v>233</v>
      </c>
      <c r="BF1811" s="8" t="s">
        <v>233</v>
      </c>
      <c r="BG1811" s="7" t="s">
        <v>233</v>
      </c>
      <c r="BH1811" s="7" t="s">
        <v>233</v>
      </c>
      <c r="BI1811" s="7"/>
      <c r="BJ1811" s="4"/>
      <c r="BK1811" s="8"/>
      <c r="BL1811" s="2" t="s">
        <v>233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243</v>
      </c>
      <c r="BV1811" s="2" t="s">
        <v>233</v>
      </c>
      <c r="BW1811" s="2" t="s">
        <v>233</v>
      </c>
      <c r="BX1811" s="2" t="s">
        <v>243</v>
      </c>
      <c r="BY1811" s="2" t="s">
        <v>244</v>
      </c>
      <c r="BZ1811" s="2" t="s">
        <v>245</v>
      </c>
      <c r="CA1811" s="2" t="s">
        <v>233</v>
      </c>
      <c r="CB1811" s="2" t="s">
        <v>233</v>
      </c>
      <c r="CC1811" s="2" t="s">
        <v>246</v>
      </c>
      <c r="CD1811" s="2" t="s">
        <v>233</v>
      </c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>
        <v>135</v>
      </c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>
        <v>135</v>
      </c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  <c r="HF1811" s="4"/>
      <c r="HG1811" s="4"/>
      <c r="HH1811" s="4"/>
      <c r="HI1811" s="4"/>
      <c r="HJ1811" s="4"/>
      <c r="HK1811" s="4"/>
      <c r="HL1811" s="4"/>
      <c r="HM1811" s="4"/>
      <c r="HN1811" s="4"/>
      <c r="HO1811" s="4"/>
      <c r="HP1811" s="4"/>
      <c r="HQ1811" s="4"/>
      <c r="HR1811" s="4"/>
    </row>
    <row r="1812">
      <c r="A1812" s="2" t="s">
        <v>8439</v>
      </c>
      <c r="B1812" s="2" t="s">
        <v>910</v>
      </c>
      <c r="C1812" s="2" t="s">
        <v>911</v>
      </c>
      <c r="D1812" s="2" t="s">
        <v>969</v>
      </c>
      <c r="E1812" s="2" t="s">
        <v>970</v>
      </c>
      <c r="F1812" s="2" t="s">
        <v>8429</v>
      </c>
      <c r="G1812" s="2" t="s">
        <v>5800</v>
      </c>
      <c r="H1812" s="2" t="s">
        <v>8430</v>
      </c>
      <c r="I1812" s="2" t="s">
        <v>8431</v>
      </c>
      <c r="J1812" s="2" t="s">
        <v>918</v>
      </c>
      <c r="K1812" s="2" t="s">
        <v>552</v>
      </c>
      <c r="L1812" s="3">
        <v>33.33</v>
      </c>
      <c r="M1812" s="3">
        <v>35</v>
      </c>
      <c r="N1812" s="3">
        <v>69.99</v>
      </c>
      <c r="O1812" s="2" t="s">
        <v>245</v>
      </c>
      <c r="P1812" s="2" t="s">
        <v>272</v>
      </c>
      <c r="Q1812" s="2" t="s">
        <v>239</v>
      </c>
      <c r="R1812" s="2" t="s">
        <v>233</v>
      </c>
      <c r="S1812" s="2" t="s">
        <v>8440</v>
      </c>
      <c r="T1812" s="2" t="s">
        <v>3570</v>
      </c>
      <c r="U1812" s="2" t="s">
        <v>491</v>
      </c>
      <c r="V1812" s="2" t="s">
        <v>241</v>
      </c>
      <c r="W1812" s="2" t="s">
        <v>705</v>
      </c>
      <c r="X1812" s="2" t="s">
        <v>275</v>
      </c>
      <c r="Y1812" s="2" t="s">
        <v>1026</v>
      </c>
      <c r="Z1812" s="4">
        <v>105</v>
      </c>
      <c r="AA1812" s="4">
        <f>=ROUNDDOWN(35,0)</f>
      </c>
      <c r="AB1812" s="5">
        <v>3</v>
      </c>
      <c r="AC1812" s="2" t="s">
        <v>2183</v>
      </c>
      <c r="AD1812" s="4">
        <v>120</v>
      </c>
      <c r="AE1812" s="4">
        <v>300</v>
      </c>
      <c r="AF1812" s="6">
        <v>64</v>
      </c>
      <c r="AG1812" s="6"/>
      <c r="AH1812" s="7">
        <v>1</v>
      </c>
      <c r="AI1812" s="4"/>
      <c r="AJ1812" s="4">
        <f>=ROUNDDOWN({0},0)</f>
      </c>
      <c r="AK1812" s="5"/>
      <c r="AL1812" s="2" t="s">
        <v>233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 t="s">
        <v>233</v>
      </c>
      <c r="AW1812" s="8" t="s">
        <v>233</v>
      </c>
      <c r="AX1812" s="4" t="s">
        <v>233</v>
      </c>
      <c r="AY1812" s="8" t="s">
        <v>233</v>
      </c>
      <c r="AZ1812" s="7" t="s">
        <v>233</v>
      </c>
      <c r="BA1812" s="7" t="s">
        <v>233</v>
      </c>
      <c r="BB1812" s="7"/>
      <c r="BC1812" s="4" t="s">
        <v>233</v>
      </c>
      <c r="BD1812" s="8" t="s">
        <v>233</v>
      </c>
      <c r="BE1812" s="4" t="s">
        <v>233</v>
      </c>
      <c r="BF1812" s="8" t="s">
        <v>233</v>
      </c>
      <c r="BG1812" s="7" t="s">
        <v>233</v>
      </c>
      <c r="BH1812" s="7" t="s">
        <v>233</v>
      </c>
      <c r="BI1812" s="7"/>
      <c r="BJ1812" s="4">
        <v>10</v>
      </c>
      <c r="BK1812" s="8">
        <v>369.38</v>
      </c>
      <c r="BL1812" s="2" t="s">
        <v>8441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8442</v>
      </c>
      <c r="BV1812" s="2" t="s">
        <v>233</v>
      </c>
      <c r="BW1812" s="2" t="s">
        <v>233</v>
      </c>
      <c r="BX1812" s="2" t="s">
        <v>243</v>
      </c>
      <c r="BY1812" s="2" t="s">
        <v>280</v>
      </c>
      <c r="BZ1812" s="2" t="s">
        <v>245</v>
      </c>
      <c r="CA1812" s="2" t="s">
        <v>2373</v>
      </c>
      <c r="CB1812" s="2" t="s">
        <v>1951</v>
      </c>
      <c r="CC1812" s="2" t="s">
        <v>246</v>
      </c>
      <c r="CD1812" s="2" t="s">
        <v>233</v>
      </c>
      <c r="CE1812" s="4">
        <v>105</v>
      </c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>
        <v>120</v>
      </c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>
        <v>180</v>
      </c>
      <c r="GX1812" s="4"/>
      <c r="GY1812" s="4"/>
      <c r="GZ1812" s="4"/>
      <c r="HA1812" s="4"/>
      <c r="HB1812" s="4"/>
      <c r="HC1812" s="4"/>
      <c r="HD1812" s="4"/>
      <c r="HE1812" s="4"/>
      <c r="HF1812" s="4"/>
      <c r="HG1812" s="4"/>
      <c r="HH1812" s="4"/>
      <c r="HI1812" s="4"/>
      <c r="HJ1812" s="4"/>
      <c r="HK1812" s="4"/>
      <c r="HL1812" s="4"/>
      <c r="HM1812" s="4"/>
      <c r="HN1812" s="4"/>
      <c r="HO1812" s="4"/>
      <c r="HP1812" s="4"/>
      <c r="HQ1812" s="4"/>
      <c r="HR1812" s="4"/>
    </row>
    <row r="1813">
      <c r="A1813" s="2" t="s">
        <v>8443</v>
      </c>
      <c r="B1813" s="2" t="s">
        <v>910</v>
      </c>
      <c r="C1813" s="2" t="s">
        <v>911</v>
      </c>
      <c r="D1813" s="2" t="s">
        <v>969</v>
      </c>
      <c r="E1813" s="2" t="s">
        <v>970</v>
      </c>
      <c r="F1813" s="2" t="s">
        <v>8429</v>
      </c>
      <c r="G1813" s="2" t="s">
        <v>5800</v>
      </c>
      <c r="H1813" s="2" t="s">
        <v>8430</v>
      </c>
      <c r="I1813" s="2" t="s">
        <v>8431</v>
      </c>
      <c r="J1813" s="2" t="s">
        <v>981</v>
      </c>
      <c r="K1813" s="2" t="s">
        <v>552</v>
      </c>
      <c r="L1813" s="3">
        <v>42.85</v>
      </c>
      <c r="M1813" s="3">
        <v>44.99</v>
      </c>
      <c r="N1813" s="3">
        <v>89.99</v>
      </c>
      <c r="O1813" s="2" t="s">
        <v>245</v>
      </c>
      <c r="P1813" s="2" t="s">
        <v>272</v>
      </c>
      <c r="Q1813" s="2" t="s">
        <v>239</v>
      </c>
      <c r="R1813" s="2" t="s">
        <v>233</v>
      </c>
      <c r="S1813" s="2" t="s">
        <v>8440</v>
      </c>
      <c r="T1813" s="2" t="s">
        <v>3570</v>
      </c>
      <c r="U1813" s="2" t="s">
        <v>475</v>
      </c>
      <c r="V1813" s="2" t="s">
        <v>241</v>
      </c>
      <c r="W1813" s="2" t="s">
        <v>705</v>
      </c>
      <c r="X1813" s="2" t="s">
        <v>275</v>
      </c>
      <c r="Y1813" s="2" t="s">
        <v>5717</v>
      </c>
      <c r="Z1813" s="4">
        <v>162</v>
      </c>
      <c r="AA1813" s="4">
        <f>=ROUNDDOWN(20.25,0)</f>
      </c>
      <c r="AB1813" s="5">
        <v>8</v>
      </c>
      <c r="AC1813" s="2" t="s">
        <v>2183</v>
      </c>
      <c r="AD1813" s="4">
        <v>270</v>
      </c>
      <c r="AE1813" s="4">
        <v>740</v>
      </c>
      <c r="AF1813" s="6">
        <v>64</v>
      </c>
      <c r="AG1813" s="6"/>
      <c r="AH1813" s="7">
        <v>1</v>
      </c>
      <c r="AI1813" s="4"/>
      <c r="AJ1813" s="4">
        <f>=ROUNDDOWN({0},0)</f>
      </c>
      <c r="AK1813" s="5"/>
      <c r="AL1813" s="2" t="s">
        <v>233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233</v>
      </c>
      <c r="AW1813" s="8" t="s">
        <v>233</v>
      </c>
      <c r="AX1813" s="4" t="s">
        <v>233</v>
      </c>
      <c r="AY1813" s="8" t="s">
        <v>233</v>
      </c>
      <c r="AZ1813" s="7" t="s">
        <v>233</v>
      </c>
      <c r="BA1813" s="7" t="s">
        <v>233</v>
      </c>
      <c r="BB1813" s="7"/>
      <c r="BC1813" s="4" t="s">
        <v>233</v>
      </c>
      <c r="BD1813" s="8" t="s">
        <v>233</v>
      </c>
      <c r="BE1813" s="4" t="s">
        <v>233</v>
      </c>
      <c r="BF1813" s="8" t="s">
        <v>233</v>
      </c>
      <c r="BG1813" s="7" t="s">
        <v>233</v>
      </c>
      <c r="BH1813" s="7" t="s">
        <v>233</v>
      </c>
      <c r="BI1813" s="7"/>
      <c r="BJ1813" s="4">
        <v>8</v>
      </c>
      <c r="BK1813" s="8">
        <v>365.32</v>
      </c>
      <c r="BL1813" s="2" t="s">
        <v>8444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8445</v>
      </c>
      <c r="BV1813" s="2" t="s">
        <v>233</v>
      </c>
      <c r="BW1813" s="2" t="s">
        <v>233</v>
      </c>
      <c r="BX1813" s="2" t="s">
        <v>243</v>
      </c>
      <c r="BY1813" s="2" t="s">
        <v>280</v>
      </c>
      <c r="BZ1813" s="2" t="s">
        <v>245</v>
      </c>
      <c r="CA1813" s="2" t="s">
        <v>2373</v>
      </c>
      <c r="CB1813" s="2" t="s">
        <v>1882</v>
      </c>
      <c r="CC1813" s="2" t="s">
        <v>246</v>
      </c>
      <c r="CD1813" s="2" t="s">
        <v>233</v>
      </c>
      <c r="CE1813" s="4">
        <v>162</v>
      </c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>
        <v>270</v>
      </c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>
        <v>470</v>
      </c>
      <c r="GX1813" s="4"/>
      <c r="GY1813" s="4"/>
      <c r="GZ1813" s="4"/>
      <c r="HA1813" s="4"/>
      <c r="HB1813" s="4"/>
      <c r="HC1813" s="4"/>
      <c r="HD1813" s="4"/>
      <c r="HE1813" s="4"/>
      <c r="HF1813" s="4"/>
      <c r="HG1813" s="4"/>
      <c r="HH1813" s="4"/>
      <c r="HI1813" s="4"/>
      <c r="HJ1813" s="4"/>
      <c r="HK1813" s="4"/>
      <c r="HL1813" s="4"/>
      <c r="HM1813" s="4"/>
      <c r="HN1813" s="4"/>
      <c r="HO1813" s="4"/>
      <c r="HP1813" s="4"/>
      <c r="HQ1813" s="4"/>
      <c r="HR1813" s="4"/>
    </row>
    <row r="1814">
      <c r="A1814" s="2" t="s">
        <v>8446</v>
      </c>
      <c r="B1814" s="2" t="s">
        <v>910</v>
      </c>
      <c r="C1814" s="2" t="s">
        <v>911</v>
      </c>
      <c r="D1814" s="2" t="s">
        <v>969</v>
      </c>
      <c r="E1814" s="2" t="s">
        <v>970</v>
      </c>
      <c r="F1814" s="2" t="s">
        <v>8429</v>
      </c>
      <c r="G1814" s="2" t="s">
        <v>5800</v>
      </c>
      <c r="H1814" s="2" t="s">
        <v>8430</v>
      </c>
      <c r="I1814" s="2" t="s">
        <v>8431</v>
      </c>
      <c r="J1814" s="2" t="s">
        <v>918</v>
      </c>
      <c r="K1814" s="2" t="s">
        <v>3284</v>
      </c>
      <c r="L1814" s="3">
        <v>33.33</v>
      </c>
      <c r="M1814" s="3">
        <v>35</v>
      </c>
      <c r="N1814" s="3">
        <v>69.99</v>
      </c>
      <c r="O1814" s="2" t="s">
        <v>245</v>
      </c>
      <c r="P1814" s="2" t="s">
        <v>272</v>
      </c>
      <c r="Q1814" s="2" t="s">
        <v>239</v>
      </c>
      <c r="R1814" s="2" t="s">
        <v>233</v>
      </c>
      <c r="S1814" s="2" t="s">
        <v>8447</v>
      </c>
      <c r="T1814" s="2" t="s">
        <v>3570</v>
      </c>
      <c r="U1814" s="2" t="s">
        <v>491</v>
      </c>
      <c r="V1814" s="2" t="s">
        <v>241</v>
      </c>
      <c r="W1814" s="2" t="s">
        <v>705</v>
      </c>
      <c r="X1814" s="2" t="s">
        <v>275</v>
      </c>
      <c r="Y1814" s="2" t="s">
        <v>5717</v>
      </c>
      <c r="Z1814" s="4">
        <v>210</v>
      </c>
      <c r="AA1814" s="4">
        <f>=ROUNDDOWN(52.5,0)</f>
      </c>
      <c r="AB1814" s="5">
        <v>4</v>
      </c>
      <c r="AC1814" s="2" t="s">
        <v>2102</v>
      </c>
      <c r="AD1814" s="4">
        <v>220</v>
      </c>
      <c r="AE1814" s="4">
        <v>220</v>
      </c>
      <c r="AF1814" s="6">
        <v>64</v>
      </c>
      <c r="AG1814" s="6"/>
      <c r="AH1814" s="7">
        <v>0.5484</v>
      </c>
      <c r="AI1814" s="4"/>
      <c r="AJ1814" s="4">
        <f>=ROUNDDOWN({0},0)</f>
      </c>
      <c r="AK1814" s="5"/>
      <c r="AL1814" s="2" t="s">
        <v>233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233</v>
      </c>
      <c r="BD1814" s="8" t="s">
        <v>233</v>
      </c>
      <c r="BE1814" s="4" t="s">
        <v>233</v>
      </c>
      <c r="BF1814" s="8" t="s">
        <v>233</v>
      </c>
      <c r="BG1814" s="7" t="s">
        <v>233</v>
      </c>
      <c r="BH1814" s="7" t="s">
        <v>233</v>
      </c>
      <c r="BI1814" s="7"/>
      <c r="BJ1814" s="4">
        <v>2</v>
      </c>
      <c r="BK1814" s="8">
        <v>75.08</v>
      </c>
      <c r="BL1814" s="2" t="s">
        <v>6286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8448</v>
      </c>
      <c r="BV1814" s="2" t="s">
        <v>233</v>
      </c>
      <c r="BW1814" s="2" t="s">
        <v>233</v>
      </c>
      <c r="BX1814" s="2" t="s">
        <v>243</v>
      </c>
      <c r="BY1814" s="2" t="s">
        <v>280</v>
      </c>
      <c r="BZ1814" s="2" t="s">
        <v>245</v>
      </c>
      <c r="CA1814" s="2" t="s">
        <v>2373</v>
      </c>
      <c r="CB1814" s="2" t="s">
        <v>8449</v>
      </c>
      <c r="CC1814" s="2" t="s">
        <v>246</v>
      </c>
      <c r="CD1814" s="2" t="s">
        <v>233</v>
      </c>
      <c r="CE1814" s="4">
        <v>210</v>
      </c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>
        <v>220</v>
      </c>
      <c r="GX1814" s="4"/>
      <c r="GY1814" s="4"/>
      <c r="GZ1814" s="4"/>
      <c r="HA1814" s="4"/>
      <c r="HB1814" s="4"/>
      <c r="HC1814" s="4"/>
      <c r="HD1814" s="4"/>
      <c r="HE1814" s="4"/>
      <c r="HF1814" s="4"/>
      <c r="HG1814" s="4"/>
      <c r="HH1814" s="4"/>
      <c r="HI1814" s="4"/>
      <c r="HJ1814" s="4"/>
      <c r="HK1814" s="4"/>
      <c r="HL1814" s="4"/>
      <c r="HM1814" s="4"/>
      <c r="HN1814" s="4"/>
      <c r="HO1814" s="4"/>
      <c r="HP1814" s="4"/>
      <c r="HQ1814" s="4"/>
      <c r="HR1814" s="4"/>
    </row>
    <row r="1815">
      <c r="A1815" s="2" t="s">
        <v>8450</v>
      </c>
      <c r="B1815" s="2" t="s">
        <v>910</v>
      </c>
      <c r="C1815" s="2" t="s">
        <v>911</v>
      </c>
      <c r="D1815" s="2" t="s">
        <v>969</v>
      </c>
      <c r="E1815" s="2" t="s">
        <v>970</v>
      </c>
      <c r="F1815" s="2" t="s">
        <v>8429</v>
      </c>
      <c r="G1815" s="2" t="s">
        <v>5800</v>
      </c>
      <c r="H1815" s="2" t="s">
        <v>8430</v>
      </c>
      <c r="I1815" s="2" t="s">
        <v>8431</v>
      </c>
      <c r="J1815" s="2" t="s">
        <v>918</v>
      </c>
      <c r="K1815" s="2" t="s">
        <v>525</v>
      </c>
      <c r="L1815" s="3">
        <v>33.33</v>
      </c>
      <c r="M1815" s="3">
        <v>35</v>
      </c>
      <c r="N1815" s="3">
        <v>69.99</v>
      </c>
      <c r="O1815" s="2" t="s">
        <v>245</v>
      </c>
      <c r="P1815" s="2" t="s">
        <v>272</v>
      </c>
      <c r="Q1815" s="2" t="s">
        <v>239</v>
      </c>
      <c r="R1815" s="2" t="s">
        <v>233</v>
      </c>
      <c r="S1815" s="2" t="s">
        <v>8451</v>
      </c>
      <c r="T1815" s="2" t="s">
        <v>3570</v>
      </c>
      <c r="U1815" s="2" t="s">
        <v>491</v>
      </c>
      <c r="V1815" s="2" t="s">
        <v>241</v>
      </c>
      <c r="W1815" s="2" t="s">
        <v>705</v>
      </c>
      <c r="X1815" s="2" t="s">
        <v>275</v>
      </c>
      <c r="Y1815" s="2" t="s">
        <v>5717</v>
      </c>
      <c r="Z1815" s="4">
        <v>103</v>
      </c>
      <c r="AA1815" s="4">
        <f>=ROUNDDOWN(34.3333333333333,0)</f>
      </c>
      <c r="AB1815" s="5">
        <v>3</v>
      </c>
      <c r="AC1815" s="2" t="s">
        <v>2183</v>
      </c>
      <c r="AD1815" s="4">
        <v>90</v>
      </c>
      <c r="AE1815" s="4">
        <v>230</v>
      </c>
      <c r="AF1815" s="6">
        <v>64</v>
      </c>
      <c r="AG1815" s="6"/>
      <c r="AH1815" s="7">
        <v>1</v>
      </c>
      <c r="AI1815" s="4"/>
      <c r="AJ1815" s="4">
        <f>=ROUNDDOWN({0},0)</f>
      </c>
      <c r="AK1815" s="5"/>
      <c r="AL1815" s="2" t="s">
        <v>233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 t="s">
        <v>233</v>
      </c>
      <c r="AW1815" s="8" t="s">
        <v>233</v>
      </c>
      <c r="AX1815" s="4" t="s">
        <v>233</v>
      </c>
      <c r="AY1815" s="8" t="s">
        <v>233</v>
      </c>
      <c r="AZ1815" s="7" t="s">
        <v>233</v>
      </c>
      <c r="BA1815" s="7" t="s">
        <v>233</v>
      </c>
      <c r="BB1815" s="7"/>
      <c r="BC1815" s="4" t="s">
        <v>233</v>
      </c>
      <c r="BD1815" s="8" t="s">
        <v>233</v>
      </c>
      <c r="BE1815" s="4" t="s">
        <v>233</v>
      </c>
      <c r="BF1815" s="8" t="s">
        <v>233</v>
      </c>
      <c r="BG1815" s="7" t="s">
        <v>233</v>
      </c>
      <c r="BH1815" s="7" t="s">
        <v>233</v>
      </c>
      <c r="BI1815" s="7"/>
      <c r="BJ1815" s="4">
        <v>2</v>
      </c>
      <c r="BK1815" s="8">
        <v>72.8</v>
      </c>
      <c r="BL1815" s="2" t="s">
        <v>662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8452</v>
      </c>
      <c r="BV1815" s="2" t="s">
        <v>233</v>
      </c>
      <c r="BW1815" s="2" t="s">
        <v>233</v>
      </c>
      <c r="BX1815" s="2" t="s">
        <v>243</v>
      </c>
      <c r="BY1815" s="2" t="s">
        <v>280</v>
      </c>
      <c r="BZ1815" s="2" t="s">
        <v>245</v>
      </c>
      <c r="CA1815" s="2" t="s">
        <v>2373</v>
      </c>
      <c r="CB1815" s="2" t="s">
        <v>385</v>
      </c>
      <c r="CC1815" s="2" t="s">
        <v>246</v>
      </c>
      <c r="CD1815" s="2" t="s">
        <v>233</v>
      </c>
      <c r="CE1815" s="4">
        <v>103</v>
      </c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>
        <v>90</v>
      </c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>
        <v>140</v>
      </c>
      <c r="GX1815" s="4"/>
      <c r="GY1815" s="4"/>
      <c r="GZ1815" s="4"/>
      <c r="HA1815" s="4"/>
      <c r="HB1815" s="4"/>
      <c r="HC1815" s="4"/>
      <c r="HD1815" s="4"/>
      <c r="HE1815" s="4"/>
      <c r="HF1815" s="4"/>
      <c r="HG1815" s="4"/>
      <c r="HH1815" s="4"/>
      <c r="HI1815" s="4"/>
      <c r="HJ1815" s="4"/>
      <c r="HK1815" s="4"/>
      <c r="HL1815" s="4"/>
      <c r="HM1815" s="4"/>
      <c r="HN1815" s="4"/>
      <c r="HO1815" s="4"/>
      <c r="HP1815" s="4"/>
      <c r="HQ1815" s="4"/>
      <c r="HR1815" s="4"/>
    </row>
    <row r="1816">
      <c r="A1816" s="2" t="s">
        <v>8453</v>
      </c>
      <c r="B1816" s="2" t="s">
        <v>910</v>
      </c>
      <c r="C1816" s="2" t="s">
        <v>911</v>
      </c>
      <c r="D1816" s="2" t="s">
        <v>969</v>
      </c>
      <c r="E1816" s="2" t="s">
        <v>970</v>
      </c>
      <c r="F1816" s="2" t="s">
        <v>8429</v>
      </c>
      <c r="G1816" s="2" t="s">
        <v>5800</v>
      </c>
      <c r="H1816" s="2" t="s">
        <v>8430</v>
      </c>
      <c r="I1816" s="2" t="s">
        <v>8431</v>
      </c>
      <c r="J1816" s="2" t="s">
        <v>981</v>
      </c>
      <c r="K1816" s="2" t="s">
        <v>525</v>
      </c>
      <c r="L1816" s="3">
        <v>42.85</v>
      </c>
      <c r="M1816" s="3">
        <v>44.99</v>
      </c>
      <c r="N1816" s="3">
        <v>89.99</v>
      </c>
      <c r="O1816" s="2" t="s">
        <v>245</v>
      </c>
      <c r="P1816" s="2" t="s">
        <v>272</v>
      </c>
      <c r="Q1816" s="2" t="s">
        <v>239</v>
      </c>
      <c r="R1816" s="2" t="s">
        <v>233</v>
      </c>
      <c r="S1816" s="2" t="s">
        <v>8451</v>
      </c>
      <c r="T1816" s="2" t="s">
        <v>3570</v>
      </c>
      <c r="U1816" s="2" t="s">
        <v>475</v>
      </c>
      <c r="V1816" s="2" t="s">
        <v>241</v>
      </c>
      <c r="W1816" s="2" t="s">
        <v>705</v>
      </c>
      <c r="X1816" s="2" t="s">
        <v>275</v>
      </c>
      <c r="Y1816" s="2" t="s">
        <v>5717</v>
      </c>
      <c r="Z1816" s="4">
        <v>228</v>
      </c>
      <c r="AA1816" s="4">
        <f>=ROUNDDOWN(28.5,0)</f>
      </c>
      <c r="AB1816" s="5">
        <v>8</v>
      </c>
      <c r="AC1816" s="2" t="s">
        <v>2183</v>
      </c>
      <c r="AD1816" s="4">
        <v>160</v>
      </c>
      <c r="AE1816" s="4">
        <v>530</v>
      </c>
      <c r="AF1816" s="6">
        <v>64</v>
      </c>
      <c r="AG1816" s="6"/>
      <c r="AH1816" s="7">
        <v>1</v>
      </c>
      <c r="AI1816" s="4"/>
      <c r="AJ1816" s="4">
        <f>=ROUNDDOWN({0},0)</f>
      </c>
      <c r="AK1816" s="5"/>
      <c r="AL1816" s="2" t="s">
        <v>233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 t="s">
        <v>233</v>
      </c>
      <c r="AW1816" s="8" t="s">
        <v>233</v>
      </c>
      <c r="AX1816" s="4" t="s">
        <v>233</v>
      </c>
      <c r="AY1816" s="8" t="s">
        <v>233</v>
      </c>
      <c r="AZ1816" s="7" t="s">
        <v>233</v>
      </c>
      <c r="BA1816" s="7" t="s">
        <v>233</v>
      </c>
      <c r="BB1816" s="7"/>
      <c r="BC1816" s="4" t="s">
        <v>233</v>
      </c>
      <c r="BD1816" s="8" t="s">
        <v>233</v>
      </c>
      <c r="BE1816" s="4" t="s">
        <v>233</v>
      </c>
      <c r="BF1816" s="8" t="s">
        <v>233</v>
      </c>
      <c r="BG1816" s="7" t="s">
        <v>233</v>
      </c>
      <c r="BH1816" s="7" t="s">
        <v>233</v>
      </c>
      <c r="BI1816" s="7"/>
      <c r="BJ1816" s="4">
        <v>15</v>
      </c>
      <c r="BK1816" s="8">
        <v>651.03</v>
      </c>
      <c r="BL1816" s="2" t="s">
        <v>3290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8454</v>
      </c>
      <c r="BV1816" s="2" t="s">
        <v>233</v>
      </c>
      <c r="BW1816" s="2" t="s">
        <v>233</v>
      </c>
      <c r="BX1816" s="2" t="s">
        <v>243</v>
      </c>
      <c r="BY1816" s="2" t="s">
        <v>280</v>
      </c>
      <c r="BZ1816" s="2" t="s">
        <v>245</v>
      </c>
      <c r="CA1816" s="2" t="s">
        <v>2373</v>
      </c>
      <c r="CB1816" s="2" t="s">
        <v>1106</v>
      </c>
      <c r="CC1816" s="2" t="s">
        <v>246</v>
      </c>
      <c r="CD1816" s="2" t="s">
        <v>233</v>
      </c>
      <c r="CE1816" s="4">
        <v>228</v>
      </c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>
        <v>160</v>
      </c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>
        <v>370</v>
      </c>
      <c r="GX1816" s="4"/>
      <c r="GY1816" s="4"/>
      <c r="GZ1816" s="4"/>
      <c r="HA1816" s="4"/>
      <c r="HB1816" s="4"/>
      <c r="HC1816" s="4"/>
      <c r="HD1816" s="4"/>
      <c r="HE1816" s="4"/>
      <c r="HF1816" s="4"/>
      <c r="HG1816" s="4"/>
      <c r="HH1816" s="4"/>
      <c r="HI1816" s="4"/>
      <c r="HJ1816" s="4"/>
      <c r="HK1816" s="4"/>
      <c r="HL1816" s="4"/>
      <c r="HM1816" s="4"/>
      <c r="HN1816" s="4"/>
      <c r="HO1816" s="4"/>
      <c r="HP1816" s="4"/>
      <c r="HQ1816" s="4"/>
      <c r="HR1816" s="4"/>
    </row>
    <row r="1817">
      <c r="A1817" s="2" t="s">
        <v>8455</v>
      </c>
      <c r="B1817" s="2" t="s">
        <v>910</v>
      </c>
      <c r="C1817" s="2" t="s">
        <v>911</v>
      </c>
      <c r="D1817" s="2" t="s">
        <v>969</v>
      </c>
      <c r="E1817" s="2" t="s">
        <v>970</v>
      </c>
      <c r="F1817" s="2" t="s">
        <v>8429</v>
      </c>
      <c r="G1817" s="2" t="s">
        <v>5800</v>
      </c>
      <c r="H1817" s="2" t="s">
        <v>8430</v>
      </c>
      <c r="I1817" s="2" t="s">
        <v>8431</v>
      </c>
      <c r="J1817" s="2" t="s">
        <v>1142</v>
      </c>
      <c r="K1817" s="2" t="s">
        <v>525</v>
      </c>
      <c r="L1817" s="3">
        <v>47.61</v>
      </c>
      <c r="M1817" s="3">
        <v>49.99</v>
      </c>
      <c r="N1817" s="3">
        <v>99.99</v>
      </c>
      <c r="O1817" s="2" t="s">
        <v>245</v>
      </c>
      <c r="P1817" s="2" t="s">
        <v>272</v>
      </c>
      <c r="Q1817" s="2" t="s">
        <v>239</v>
      </c>
      <c r="R1817" s="2" t="s">
        <v>233</v>
      </c>
      <c r="S1817" s="2" t="s">
        <v>8451</v>
      </c>
      <c r="T1817" s="2" t="s">
        <v>3570</v>
      </c>
      <c r="U1817" s="2" t="s">
        <v>475</v>
      </c>
      <c r="V1817" s="2" t="s">
        <v>241</v>
      </c>
      <c r="W1817" s="2" t="s">
        <v>705</v>
      </c>
      <c r="X1817" s="2" t="s">
        <v>275</v>
      </c>
      <c r="Y1817" s="2" t="s">
        <v>5717</v>
      </c>
      <c r="Z1817" s="4">
        <v>214</v>
      </c>
      <c r="AA1817" s="4">
        <f>=ROUNDDOWN(30.5714285714286,0)</f>
      </c>
      <c r="AB1817" s="5">
        <v>7</v>
      </c>
      <c r="AC1817" s="2" t="s">
        <v>2183</v>
      </c>
      <c r="AD1817" s="4">
        <v>120</v>
      </c>
      <c r="AE1817" s="4">
        <v>330</v>
      </c>
      <c r="AF1817" s="6">
        <v>64</v>
      </c>
      <c r="AG1817" s="6"/>
      <c r="AH1817" s="7">
        <v>1</v>
      </c>
      <c r="AI1817" s="4"/>
      <c r="AJ1817" s="4">
        <f>=ROUNDDOWN({0},0)</f>
      </c>
      <c r="AK1817" s="5"/>
      <c r="AL1817" s="2" t="s">
        <v>233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 t="s">
        <v>233</v>
      </c>
      <c r="AW1817" s="8" t="s">
        <v>233</v>
      </c>
      <c r="AX1817" s="4" t="s">
        <v>233</v>
      </c>
      <c r="AY1817" s="8" t="s">
        <v>233</v>
      </c>
      <c r="AZ1817" s="7" t="s">
        <v>233</v>
      </c>
      <c r="BA1817" s="7" t="s">
        <v>233</v>
      </c>
      <c r="BB1817" s="7"/>
      <c r="BC1817" s="4" t="s">
        <v>233</v>
      </c>
      <c r="BD1817" s="8" t="s">
        <v>233</v>
      </c>
      <c r="BE1817" s="4" t="s">
        <v>233</v>
      </c>
      <c r="BF1817" s="8" t="s">
        <v>233</v>
      </c>
      <c r="BG1817" s="7" t="s">
        <v>233</v>
      </c>
      <c r="BH1817" s="7" t="s">
        <v>233</v>
      </c>
      <c r="BI1817" s="7"/>
      <c r="BJ1817" s="4">
        <v>8</v>
      </c>
      <c r="BK1817" s="8">
        <v>429.68</v>
      </c>
      <c r="BL1817" s="2" t="s">
        <v>8014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8456</v>
      </c>
      <c r="BV1817" s="2" t="s">
        <v>233</v>
      </c>
      <c r="BW1817" s="2" t="s">
        <v>233</v>
      </c>
      <c r="BX1817" s="2" t="s">
        <v>243</v>
      </c>
      <c r="BY1817" s="2" t="s">
        <v>280</v>
      </c>
      <c r="BZ1817" s="2" t="s">
        <v>245</v>
      </c>
      <c r="CA1817" s="2" t="s">
        <v>2373</v>
      </c>
      <c r="CB1817" s="2" t="s">
        <v>908</v>
      </c>
      <c r="CC1817" s="2" t="s">
        <v>246</v>
      </c>
      <c r="CD1817" s="2" t="s">
        <v>233</v>
      </c>
      <c r="CE1817" s="4">
        <v>214</v>
      </c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>
        <v>120</v>
      </c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>
        <v>210</v>
      </c>
      <c r="GX1817" s="4"/>
      <c r="GY1817" s="4"/>
      <c r="GZ1817" s="4"/>
      <c r="HA1817" s="4"/>
      <c r="HB1817" s="4"/>
      <c r="HC1817" s="4"/>
      <c r="HD1817" s="4"/>
      <c r="HE1817" s="4"/>
      <c r="HF1817" s="4"/>
      <c r="HG1817" s="4"/>
      <c r="HH1817" s="4"/>
      <c r="HI1817" s="4"/>
      <c r="HJ1817" s="4"/>
      <c r="HK1817" s="4"/>
      <c r="HL1817" s="4"/>
      <c r="HM1817" s="4"/>
      <c r="HN1817" s="4"/>
      <c r="HO1817" s="4"/>
      <c r="HP1817" s="4"/>
      <c r="HQ1817" s="4"/>
      <c r="HR1817" s="4"/>
    </row>
    <row r="1818">
      <c r="A1818" s="2" t="s">
        <v>8457</v>
      </c>
      <c r="B1818" s="2" t="s">
        <v>1174</v>
      </c>
      <c r="C1818" s="2" t="s">
        <v>1447</v>
      </c>
      <c r="D1818" s="2" t="s">
        <v>1175</v>
      </c>
      <c r="E1818" s="2" t="s">
        <v>1206</v>
      </c>
      <c r="F1818" s="2" t="s">
        <v>8458</v>
      </c>
      <c r="G1818" s="2" t="s">
        <v>8459</v>
      </c>
      <c r="H1818" s="2" t="s">
        <v>8460</v>
      </c>
      <c r="I1818" s="2" t="s">
        <v>8461</v>
      </c>
      <c r="J1818" s="2" t="s">
        <v>3314</v>
      </c>
      <c r="K1818" s="2" t="s">
        <v>1454</v>
      </c>
      <c r="L1818" s="3">
        <v>30.1</v>
      </c>
      <c r="M1818" s="3">
        <v>31.61</v>
      </c>
      <c r="N1818" s="3">
        <v>69.99</v>
      </c>
      <c r="O1818" s="2" t="s">
        <v>245</v>
      </c>
      <c r="P1818" s="2" t="s">
        <v>272</v>
      </c>
      <c r="Q1818" s="2" t="s">
        <v>239</v>
      </c>
      <c r="R1818" s="2" t="s">
        <v>233</v>
      </c>
      <c r="S1818" s="2" t="s">
        <v>8462</v>
      </c>
      <c r="T1818" s="2" t="s">
        <v>233</v>
      </c>
      <c r="U1818" s="2" t="s">
        <v>491</v>
      </c>
      <c r="V1818" s="2" t="s">
        <v>1456</v>
      </c>
      <c r="W1818" s="2" t="s">
        <v>705</v>
      </c>
      <c r="X1818" s="2" t="s">
        <v>1457</v>
      </c>
      <c r="Y1818" s="2" t="s">
        <v>8278</v>
      </c>
      <c r="Z1818" s="4">
        <v>452</v>
      </c>
      <c r="AA1818" s="4">
        <f>=ROUNDDOWN(56.5,0)</f>
      </c>
      <c r="AB1818" s="5">
        <v>8</v>
      </c>
      <c r="AC1818" s="2" t="s">
        <v>233</v>
      </c>
      <c r="AD1818" s="4"/>
      <c r="AE1818" s="4"/>
      <c r="AF1818" s="6">
        <v>68</v>
      </c>
      <c r="AG1818" s="6"/>
      <c r="AH1818" s="7">
        <v>1</v>
      </c>
      <c r="AI1818" s="4"/>
      <c r="AJ1818" s="4">
        <f>=ROUNDDOWN({0},0)</f>
      </c>
      <c r="AK1818" s="5"/>
      <c r="AL1818" s="2" t="s">
        <v>233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233</v>
      </c>
      <c r="AW1818" s="8" t="s">
        <v>233</v>
      </c>
      <c r="AX1818" s="4" t="s">
        <v>233</v>
      </c>
      <c r="AY1818" s="8" t="s">
        <v>233</v>
      </c>
      <c r="AZ1818" s="7" t="s">
        <v>233</v>
      </c>
      <c r="BA1818" s="7" t="s">
        <v>233</v>
      </c>
      <c r="BB1818" s="7"/>
      <c r="BC1818" s="4" t="s">
        <v>233</v>
      </c>
      <c r="BD1818" s="8" t="s">
        <v>233</v>
      </c>
      <c r="BE1818" s="4" t="s">
        <v>233</v>
      </c>
      <c r="BF1818" s="8" t="s">
        <v>233</v>
      </c>
      <c r="BG1818" s="7" t="s">
        <v>233</v>
      </c>
      <c r="BH1818" s="7" t="s">
        <v>233</v>
      </c>
      <c r="BI1818" s="7"/>
      <c r="BJ1818" s="4">
        <v>3</v>
      </c>
      <c r="BK1818" s="8">
        <v>83.75</v>
      </c>
      <c r="BL1818" s="2" t="s">
        <v>1588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8463</v>
      </c>
      <c r="BV1818" s="2" t="s">
        <v>233</v>
      </c>
      <c r="BW1818" s="2" t="s">
        <v>233</v>
      </c>
      <c r="BX1818" s="2" t="s">
        <v>233</v>
      </c>
      <c r="BY1818" s="2" t="s">
        <v>280</v>
      </c>
      <c r="BZ1818" s="2" t="s">
        <v>245</v>
      </c>
      <c r="CA1818" s="2" t="s">
        <v>401</v>
      </c>
      <c r="CB1818" s="2" t="s">
        <v>3288</v>
      </c>
      <c r="CC1818" s="2" t="s">
        <v>246</v>
      </c>
      <c r="CD1818" s="2" t="s">
        <v>233</v>
      </c>
      <c r="CE1818" s="4">
        <v>452</v>
      </c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  <c r="HF1818" s="4"/>
      <c r="HG1818" s="4"/>
      <c r="HH1818" s="4"/>
      <c r="HI1818" s="4"/>
      <c r="HJ1818" s="4"/>
      <c r="HK1818" s="4"/>
      <c r="HL1818" s="4"/>
      <c r="HM1818" s="4"/>
      <c r="HN1818" s="4"/>
      <c r="HO1818" s="4"/>
      <c r="HP1818" s="4"/>
      <c r="HQ1818" s="4"/>
      <c r="HR1818" s="4"/>
    </row>
    <row r="1819">
      <c r="A1819" s="2" t="s">
        <v>8464</v>
      </c>
      <c r="B1819" s="2" t="s">
        <v>1174</v>
      </c>
      <c r="C1819" s="2" t="s">
        <v>1447</v>
      </c>
      <c r="D1819" s="2" t="s">
        <v>1175</v>
      </c>
      <c r="E1819" s="2" t="s">
        <v>1448</v>
      </c>
      <c r="F1819" s="2" t="s">
        <v>8458</v>
      </c>
      <c r="G1819" s="2" t="s">
        <v>8459</v>
      </c>
      <c r="H1819" s="2" t="s">
        <v>8460</v>
      </c>
      <c r="I1819" s="2" t="s">
        <v>8465</v>
      </c>
      <c r="J1819" s="2" t="s">
        <v>1524</v>
      </c>
      <c r="K1819" s="2" t="s">
        <v>1454</v>
      </c>
      <c r="L1819" s="3">
        <v>16.8</v>
      </c>
      <c r="M1819" s="3">
        <v>17.64</v>
      </c>
      <c r="N1819" s="3">
        <v>39.99</v>
      </c>
      <c r="O1819" s="2" t="s">
        <v>245</v>
      </c>
      <c r="P1819" s="2" t="s">
        <v>763</v>
      </c>
      <c r="Q1819" s="2" t="s">
        <v>239</v>
      </c>
      <c r="R1819" s="2" t="s">
        <v>233</v>
      </c>
      <c r="S1819" s="2" t="s">
        <v>233</v>
      </c>
      <c r="T1819" s="2" t="s">
        <v>233</v>
      </c>
      <c r="U1819" s="2" t="s">
        <v>233</v>
      </c>
      <c r="V1819" s="2" t="s">
        <v>1456</v>
      </c>
      <c r="W1819" s="2" t="s">
        <v>705</v>
      </c>
      <c r="X1819" s="2" t="s">
        <v>1457</v>
      </c>
      <c r="Y1819" s="2" t="s">
        <v>4084</v>
      </c>
      <c r="Z1819" s="4">
        <v>862</v>
      </c>
      <c r="AA1819" s="4">
        <f>=ROUNDDOWN(18.3404255319149,0)</f>
      </c>
      <c r="AB1819" s="5">
        <v>47</v>
      </c>
      <c r="AC1819" s="2" t="s">
        <v>3277</v>
      </c>
      <c r="AD1819" s="4">
        <v>572</v>
      </c>
      <c r="AE1819" s="4">
        <v>640</v>
      </c>
      <c r="AF1819" s="6">
        <v>68</v>
      </c>
      <c r="AG1819" s="6"/>
      <c r="AH1819" s="7">
        <v>1</v>
      </c>
      <c r="AI1819" s="4"/>
      <c r="AJ1819" s="4">
        <f>=ROUNDDOWN({0},0)</f>
      </c>
      <c r="AK1819" s="5"/>
      <c r="AL1819" s="2" t="s">
        <v>233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233</v>
      </c>
      <c r="AW1819" s="8" t="s">
        <v>233</v>
      </c>
      <c r="AX1819" s="4" t="s">
        <v>233</v>
      </c>
      <c r="AY1819" s="8" t="s">
        <v>233</v>
      </c>
      <c r="AZ1819" s="7" t="s">
        <v>233</v>
      </c>
      <c r="BA1819" s="7" t="s">
        <v>233</v>
      </c>
      <c r="BB1819" s="7"/>
      <c r="BC1819" s="4" t="s">
        <v>233</v>
      </c>
      <c r="BD1819" s="8" t="s">
        <v>233</v>
      </c>
      <c r="BE1819" s="4" t="s">
        <v>233</v>
      </c>
      <c r="BF1819" s="8" t="s">
        <v>233</v>
      </c>
      <c r="BG1819" s="7" t="s">
        <v>233</v>
      </c>
      <c r="BH1819" s="7" t="s">
        <v>233</v>
      </c>
      <c r="BI1819" s="7"/>
      <c r="BJ1819" s="4">
        <v>126</v>
      </c>
      <c r="BK1819" s="8">
        <v>2144</v>
      </c>
      <c r="BL1819" s="2" t="s">
        <v>5592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8466</v>
      </c>
      <c r="BV1819" s="2" t="s">
        <v>233</v>
      </c>
      <c r="BW1819" s="2" t="s">
        <v>233</v>
      </c>
      <c r="BX1819" s="2" t="s">
        <v>233</v>
      </c>
      <c r="BY1819" s="2" t="s">
        <v>280</v>
      </c>
      <c r="BZ1819" s="2" t="s">
        <v>245</v>
      </c>
      <c r="CA1819" s="2" t="s">
        <v>3133</v>
      </c>
      <c r="CB1819" s="2" t="s">
        <v>3988</v>
      </c>
      <c r="CC1819" s="2" t="s">
        <v>246</v>
      </c>
      <c r="CD1819" s="2" t="s">
        <v>233</v>
      </c>
      <c r="CE1819" s="4">
        <v>862</v>
      </c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>
        <v>572</v>
      </c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>
        <v>68</v>
      </c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  <c r="HF1819" s="4"/>
      <c r="HG1819" s="4"/>
      <c r="HH1819" s="4"/>
      <c r="HI1819" s="4"/>
      <c r="HJ1819" s="4"/>
      <c r="HK1819" s="4"/>
      <c r="HL1819" s="4"/>
      <c r="HM1819" s="4"/>
      <c r="HN1819" s="4"/>
      <c r="HO1819" s="4"/>
      <c r="HP1819" s="4"/>
      <c r="HQ1819" s="4"/>
      <c r="HR1819" s="4"/>
    </row>
    <row r="1820">
      <c r="A1820" s="2" t="s">
        <v>8467</v>
      </c>
      <c r="B1820" s="2" t="s">
        <v>1174</v>
      </c>
      <c r="C1820" s="2" t="s">
        <v>1447</v>
      </c>
      <c r="D1820" s="2" t="s">
        <v>1175</v>
      </c>
      <c r="E1820" s="2" t="s">
        <v>1448</v>
      </c>
      <c r="F1820" s="2" t="s">
        <v>8458</v>
      </c>
      <c r="G1820" s="2" t="s">
        <v>8459</v>
      </c>
      <c r="H1820" s="2" t="s">
        <v>8460</v>
      </c>
      <c r="I1820" s="2" t="s">
        <v>8465</v>
      </c>
      <c r="J1820" s="2" t="s">
        <v>1490</v>
      </c>
      <c r="K1820" s="2" t="s">
        <v>257</v>
      </c>
      <c r="L1820" s="3">
        <v>18</v>
      </c>
      <c r="M1820" s="3">
        <v>18.9</v>
      </c>
      <c r="N1820" s="3">
        <v>44.99</v>
      </c>
      <c r="O1820" s="2" t="s">
        <v>245</v>
      </c>
      <c r="P1820" s="2" t="s">
        <v>272</v>
      </c>
      <c r="Q1820" s="2" t="s">
        <v>239</v>
      </c>
      <c r="R1820" s="2" t="s">
        <v>233</v>
      </c>
      <c r="S1820" s="2" t="s">
        <v>8468</v>
      </c>
      <c r="T1820" s="2" t="s">
        <v>233</v>
      </c>
      <c r="U1820" s="2" t="s">
        <v>396</v>
      </c>
      <c r="V1820" s="2" t="s">
        <v>1456</v>
      </c>
      <c r="W1820" s="2" t="s">
        <v>705</v>
      </c>
      <c r="X1820" s="2" t="s">
        <v>1457</v>
      </c>
      <c r="Y1820" s="2" t="s">
        <v>7779</v>
      </c>
      <c r="Z1820" s="4">
        <v>148</v>
      </c>
      <c r="AA1820" s="4">
        <f>=ROUNDDOWN(11.3846153846154,0)</f>
      </c>
      <c r="AB1820" s="5">
        <v>13</v>
      </c>
      <c r="AC1820" s="2" t="s">
        <v>1492</v>
      </c>
      <c r="AD1820" s="4">
        <v>196</v>
      </c>
      <c r="AE1820" s="4">
        <v>292</v>
      </c>
      <c r="AF1820" s="6">
        <v>68</v>
      </c>
      <c r="AG1820" s="6"/>
      <c r="AH1820" s="7">
        <v>1</v>
      </c>
      <c r="AI1820" s="4"/>
      <c r="AJ1820" s="4">
        <f>=ROUNDDOWN({0},0)</f>
      </c>
      <c r="AK1820" s="5"/>
      <c r="AL1820" s="2" t="s">
        <v>233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 t="s">
        <v>233</v>
      </c>
      <c r="AW1820" s="8" t="s">
        <v>233</v>
      </c>
      <c r="AX1820" s="4" t="s">
        <v>233</v>
      </c>
      <c r="AY1820" s="8" t="s">
        <v>233</v>
      </c>
      <c r="AZ1820" s="7" t="s">
        <v>233</v>
      </c>
      <c r="BA1820" s="7" t="s">
        <v>233</v>
      </c>
      <c r="BB1820" s="7"/>
      <c r="BC1820" s="4" t="s">
        <v>233</v>
      </c>
      <c r="BD1820" s="8" t="s">
        <v>233</v>
      </c>
      <c r="BE1820" s="4" t="s">
        <v>233</v>
      </c>
      <c r="BF1820" s="8" t="s">
        <v>233</v>
      </c>
      <c r="BG1820" s="7" t="s">
        <v>233</v>
      </c>
      <c r="BH1820" s="7" t="s">
        <v>233</v>
      </c>
      <c r="BI1820" s="7"/>
      <c r="BJ1820" s="4">
        <v>54</v>
      </c>
      <c r="BK1820" s="8">
        <v>1049.52</v>
      </c>
      <c r="BL1820" s="2" t="s">
        <v>8469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8470</v>
      </c>
      <c r="BV1820" s="2" t="s">
        <v>233</v>
      </c>
      <c r="BW1820" s="2" t="s">
        <v>233</v>
      </c>
      <c r="BX1820" s="2" t="s">
        <v>233</v>
      </c>
      <c r="BY1820" s="2" t="s">
        <v>280</v>
      </c>
      <c r="BZ1820" s="2" t="s">
        <v>245</v>
      </c>
      <c r="CA1820" s="2" t="s">
        <v>1410</v>
      </c>
      <c r="CB1820" s="2" t="s">
        <v>8471</v>
      </c>
      <c r="CC1820" s="2" t="s">
        <v>246</v>
      </c>
      <c r="CD1820" s="2" t="s">
        <v>233</v>
      </c>
      <c r="CE1820" s="4">
        <v>148</v>
      </c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>
        <v>196</v>
      </c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>
        <v>96</v>
      </c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4"/>
      <c r="HG1820" s="4"/>
      <c r="HH1820" s="4"/>
      <c r="HI1820" s="4"/>
      <c r="HJ1820" s="4"/>
      <c r="HK1820" s="4"/>
      <c r="HL1820" s="4"/>
      <c r="HM1820" s="4"/>
      <c r="HN1820" s="4"/>
      <c r="HO1820" s="4"/>
      <c r="HP1820" s="4"/>
      <c r="HQ1820" s="4"/>
      <c r="HR1820" s="4"/>
    </row>
    <row r="1821">
      <c r="A1821" s="2" t="s">
        <v>8472</v>
      </c>
      <c r="B1821" s="2" t="s">
        <v>1174</v>
      </c>
      <c r="C1821" s="2" t="s">
        <v>1447</v>
      </c>
      <c r="D1821" s="2" t="s">
        <v>1175</v>
      </c>
      <c r="E1821" s="2" t="s">
        <v>1448</v>
      </c>
      <c r="F1821" s="2" t="s">
        <v>8458</v>
      </c>
      <c r="G1821" s="2" t="s">
        <v>8459</v>
      </c>
      <c r="H1821" s="2" t="s">
        <v>8460</v>
      </c>
      <c r="I1821" s="2" t="s">
        <v>8465</v>
      </c>
      <c r="J1821" s="2" t="s">
        <v>1453</v>
      </c>
      <c r="K1821" s="2" t="s">
        <v>257</v>
      </c>
      <c r="L1821" s="3">
        <v>21</v>
      </c>
      <c r="M1821" s="3">
        <v>22.05</v>
      </c>
      <c r="N1821" s="3">
        <v>49.99</v>
      </c>
      <c r="O1821" s="2" t="s">
        <v>245</v>
      </c>
      <c r="P1821" s="2" t="s">
        <v>272</v>
      </c>
      <c r="Q1821" s="2" t="s">
        <v>239</v>
      </c>
      <c r="R1821" s="2" t="s">
        <v>233</v>
      </c>
      <c r="S1821" s="2" t="s">
        <v>8468</v>
      </c>
      <c r="T1821" s="2" t="s">
        <v>233</v>
      </c>
      <c r="U1821" s="2" t="s">
        <v>396</v>
      </c>
      <c r="V1821" s="2" t="s">
        <v>1456</v>
      </c>
      <c r="W1821" s="2" t="s">
        <v>705</v>
      </c>
      <c r="X1821" s="2" t="s">
        <v>1457</v>
      </c>
      <c r="Y1821" s="2" t="s">
        <v>7779</v>
      </c>
      <c r="Z1821" s="4">
        <v>113</v>
      </c>
      <c r="AA1821" s="4">
        <f>=ROUNDDOWN(10.2727272727273,0)</f>
      </c>
      <c r="AB1821" s="5">
        <v>11</v>
      </c>
      <c r="AC1821" s="2" t="s">
        <v>1492</v>
      </c>
      <c r="AD1821" s="4">
        <v>64</v>
      </c>
      <c r="AE1821" s="4">
        <v>532</v>
      </c>
      <c r="AF1821" s="6">
        <v>68</v>
      </c>
      <c r="AG1821" s="6"/>
      <c r="AH1821" s="7">
        <v>0.5161</v>
      </c>
      <c r="AI1821" s="4"/>
      <c r="AJ1821" s="4">
        <f>=ROUNDDOWN({0},0)</f>
      </c>
      <c r="AK1821" s="5"/>
      <c r="AL1821" s="2" t="s">
        <v>233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233</v>
      </c>
      <c r="AW1821" s="8" t="s">
        <v>233</v>
      </c>
      <c r="AX1821" s="4" t="s">
        <v>233</v>
      </c>
      <c r="AY1821" s="8" t="s">
        <v>233</v>
      </c>
      <c r="AZ1821" s="7" t="s">
        <v>233</v>
      </c>
      <c r="BA1821" s="7" t="s">
        <v>233</v>
      </c>
      <c r="BB1821" s="7"/>
      <c r="BC1821" s="4" t="s">
        <v>233</v>
      </c>
      <c r="BD1821" s="8" t="s">
        <v>233</v>
      </c>
      <c r="BE1821" s="4" t="s">
        <v>233</v>
      </c>
      <c r="BF1821" s="8" t="s">
        <v>233</v>
      </c>
      <c r="BG1821" s="7" t="s">
        <v>233</v>
      </c>
      <c r="BH1821" s="7" t="s">
        <v>233</v>
      </c>
      <c r="BI1821" s="7"/>
      <c r="BJ1821" s="4">
        <v>4</v>
      </c>
      <c r="BK1821" s="8">
        <v>86.4</v>
      </c>
      <c r="BL1821" s="2" t="s">
        <v>8473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8474</v>
      </c>
      <c r="BV1821" s="2" t="s">
        <v>233</v>
      </c>
      <c r="BW1821" s="2" t="s">
        <v>233</v>
      </c>
      <c r="BX1821" s="2" t="s">
        <v>233</v>
      </c>
      <c r="BY1821" s="2" t="s">
        <v>280</v>
      </c>
      <c r="BZ1821" s="2" t="s">
        <v>245</v>
      </c>
      <c r="CA1821" s="2" t="s">
        <v>1410</v>
      </c>
      <c r="CB1821" s="2" t="s">
        <v>8475</v>
      </c>
      <c r="CC1821" s="2" t="s">
        <v>246</v>
      </c>
      <c r="CD1821" s="2" t="s">
        <v>233</v>
      </c>
      <c r="CE1821" s="4">
        <v>113</v>
      </c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>
        <v>64</v>
      </c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>
        <v>468</v>
      </c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  <c r="HG1821" s="4"/>
      <c r="HH1821" s="4"/>
      <c r="HI1821" s="4"/>
      <c r="HJ1821" s="4"/>
      <c r="HK1821" s="4"/>
      <c r="HL1821" s="4"/>
      <c r="HM1821" s="4"/>
      <c r="HN1821" s="4"/>
      <c r="HO1821" s="4"/>
      <c r="HP1821" s="4"/>
      <c r="HQ1821" s="4"/>
      <c r="HR1821" s="4"/>
    </row>
    <row r="1822">
      <c r="A1822" s="2" t="s">
        <v>8476</v>
      </c>
      <c r="B1822" s="2" t="s">
        <v>1174</v>
      </c>
      <c r="C1822" s="2" t="s">
        <v>1447</v>
      </c>
      <c r="D1822" s="2" t="s">
        <v>1175</v>
      </c>
      <c r="E1822" s="2" t="s">
        <v>1448</v>
      </c>
      <c r="F1822" s="2" t="s">
        <v>8458</v>
      </c>
      <c r="G1822" s="2" t="s">
        <v>8459</v>
      </c>
      <c r="H1822" s="2" t="s">
        <v>8460</v>
      </c>
      <c r="I1822" s="2" t="s">
        <v>8465</v>
      </c>
      <c r="J1822" s="2" t="s">
        <v>1453</v>
      </c>
      <c r="K1822" s="2" t="s">
        <v>525</v>
      </c>
      <c r="L1822" s="3">
        <v>21</v>
      </c>
      <c r="M1822" s="3">
        <v>22.05</v>
      </c>
      <c r="N1822" s="3">
        <v>49.99</v>
      </c>
      <c r="O1822" s="2" t="s">
        <v>245</v>
      </c>
      <c r="P1822" s="2" t="s">
        <v>272</v>
      </c>
      <c r="Q1822" s="2" t="s">
        <v>239</v>
      </c>
      <c r="R1822" s="2" t="s">
        <v>233</v>
      </c>
      <c r="S1822" s="2" t="s">
        <v>233</v>
      </c>
      <c r="T1822" s="2" t="s">
        <v>233</v>
      </c>
      <c r="U1822" s="2" t="s">
        <v>233</v>
      </c>
      <c r="V1822" s="2" t="s">
        <v>1456</v>
      </c>
      <c r="W1822" s="2" t="s">
        <v>705</v>
      </c>
      <c r="X1822" s="2" t="s">
        <v>1457</v>
      </c>
      <c r="Y1822" s="2" t="s">
        <v>4084</v>
      </c>
      <c r="Z1822" s="4">
        <v>165</v>
      </c>
      <c r="AA1822" s="4">
        <f>=ROUNDDOWN(7.5,0)</f>
      </c>
      <c r="AB1822" s="5">
        <v>22</v>
      </c>
      <c r="AC1822" s="2" t="s">
        <v>547</v>
      </c>
      <c r="AD1822" s="4">
        <v>96</v>
      </c>
      <c r="AE1822" s="4">
        <v>684</v>
      </c>
      <c r="AF1822" s="6">
        <v>68</v>
      </c>
      <c r="AG1822" s="6"/>
      <c r="AH1822" s="7">
        <v>1</v>
      </c>
      <c r="AI1822" s="4"/>
      <c r="AJ1822" s="4">
        <f>=ROUNDDOWN({0},0)</f>
      </c>
      <c r="AK1822" s="5"/>
      <c r="AL1822" s="2" t="s">
        <v>233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233</v>
      </c>
      <c r="BD1822" s="8" t="s">
        <v>233</v>
      </c>
      <c r="BE1822" s="4" t="s">
        <v>233</v>
      </c>
      <c r="BF1822" s="8" t="s">
        <v>233</v>
      </c>
      <c r="BG1822" s="7" t="s">
        <v>233</v>
      </c>
      <c r="BH1822" s="7" t="s">
        <v>233</v>
      </c>
      <c r="BI1822" s="7"/>
      <c r="BJ1822" s="4">
        <v>50</v>
      </c>
      <c r="BK1822" s="8">
        <v>1025.9</v>
      </c>
      <c r="BL1822" s="2" t="s">
        <v>8477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8478</v>
      </c>
      <c r="BV1822" s="2" t="s">
        <v>233</v>
      </c>
      <c r="BW1822" s="2" t="s">
        <v>233</v>
      </c>
      <c r="BX1822" s="2" t="s">
        <v>233</v>
      </c>
      <c r="BY1822" s="2" t="s">
        <v>280</v>
      </c>
      <c r="BZ1822" s="2" t="s">
        <v>245</v>
      </c>
      <c r="CA1822" s="2" t="s">
        <v>3133</v>
      </c>
      <c r="CB1822" s="2" t="s">
        <v>8479</v>
      </c>
      <c r="CC1822" s="2" t="s">
        <v>246</v>
      </c>
      <c r="CD1822" s="2" t="s">
        <v>233</v>
      </c>
      <c r="CE1822" s="4">
        <v>165</v>
      </c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>
        <v>96</v>
      </c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>
        <v>588</v>
      </c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  <c r="HF1822" s="4"/>
      <c r="HG1822" s="4"/>
      <c r="HH1822" s="4"/>
      <c r="HI1822" s="4"/>
      <c r="HJ1822" s="4"/>
      <c r="HK1822" s="4"/>
      <c r="HL1822" s="4"/>
      <c r="HM1822" s="4"/>
      <c r="HN1822" s="4"/>
      <c r="HO1822" s="4"/>
      <c r="HP1822" s="4"/>
      <c r="HQ1822" s="4"/>
      <c r="HR1822" s="4"/>
    </row>
    <row r="1823">
      <c r="A1823" s="2" t="s">
        <v>8480</v>
      </c>
      <c r="B1823" s="2" t="s">
        <v>1242</v>
      </c>
      <c r="C1823" s="2" t="s">
        <v>243</v>
      </c>
      <c r="D1823" s="2" t="s">
        <v>969</v>
      </c>
      <c r="E1823" s="2" t="s">
        <v>970</v>
      </c>
      <c r="F1823" s="2" t="s">
        <v>8481</v>
      </c>
      <c r="G1823" s="2" t="s">
        <v>8482</v>
      </c>
      <c r="H1823" s="2" t="s">
        <v>8483</v>
      </c>
      <c r="I1823" s="2" t="s">
        <v>8484</v>
      </c>
      <c r="J1823" s="2" t="s">
        <v>918</v>
      </c>
      <c r="K1823" s="2" t="s">
        <v>271</v>
      </c>
      <c r="L1823" s="3">
        <v>19.04</v>
      </c>
      <c r="M1823" s="3">
        <v>19.99</v>
      </c>
      <c r="N1823" s="3">
        <v>39.99</v>
      </c>
      <c r="O1823" s="2" t="s">
        <v>245</v>
      </c>
      <c r="P1823" s="2" t="s">
        <v>974</v>
      </c>
      <c r="Q1823" s="2" t="s">
        <v>239</v>
      </c>
      <c r="R1823" s="2" t="s">
        <v>233</v>
      </c>
      <c r="S1823" s="2" t="s">
        <v>8485</v>
      </c>
      <c r="T1823" s="2" t="s">
        <v>395</v>
      </c>
      <c r="U1823" s="2" t="s">
        <v>491</v>
      </c>
      <c r="V1823" s="2" t="s">
        <v>1508</v>
      </c>
      <c r="W1823" s="2" t="s">
        <v>397</v>
      </c>
      <c r="X1823" s="2" t="s">
        <v>275</v>
      </c>
      <c r="Y1823" s="2" t="s">
        <v>233</v>
      </c>
      <c r="Z1823" s="4"/>
      <c r="AA1823" s="4">
        <f>=ROUNDDOWN({0},0)</f>
      </c>
      <c r="AB1823" s="5"/>
      <c r="AC1823" s="2" t="s">
        <v>3189</v>
      </c>
      <c r="AD1823" s="4">
        <v>444</v>
      </c>
      <c r="AE1823" s="4">
        <v>549</v>
      </c>
      <c r="AF1823" s="6"/>
      <c r="AG1823" s="6"/>
      <c r="AH1823" s="7">
        <v>0</v>
      </c>
      <c r="AI1823" s="4"/>
      <c r="AJ1823" s="4">
        <f>=ROUNDDOWN({0},0)</f>
      </c>
      <c r="AK1823" s="5"/>
      <c r="AL1823" s="2" t="s">
        <v>233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 t="s">
        <v>233</v>
      </c>
      <c r="AW1823" s="8" t="s">
        <v>233</v>
      </c>
      <c r="AX1823" s="4" t="s">
        <v>233</v>
      </c>
      <c r="AY1823" s="8" t="s">
        <v>233</v>
      </c>
      <c r="AZ1823" s="7" t="s">
        <v>233</v>
      </c>
      <c r="BA1823" s="7" t="s">
        <v>233</v>
      </c>
      <c r="BB1823" s="7"/>
      <c r="BC1823" s="4" t="s">
        <v>233</v>
      </c>
      <c r="BD1823" s="8" t="s">
        <v>233</v>
      </c>
      <c r="BE1823" s="4" t="s">
        <v>233</v>
      </c>
      <c r="BF1823" s="8" t="s">
        <v>233</v>
      </c>
      <c r="BG1823" s="7" t="s">
        <v>233</v>
      </c>
      <c r="BH1823" s="7" t="s">
        <v>233</v>
      </c>
      <c r="BI1823" s="7"/>
      <c r="BJ1823" s="4"/>
      <c r="BK1823" s="8"/>
      <c r="BL1823" s="2" t="s">
        <v>233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243</v>
      </c>
      <c r="BV1823" s="2" t="s">
        <v>233</v>
      </c>
      <c r="BW1823" s="2" t="s">
        <v>233</v>
      </c>
      <c r="BX1823" s="2" t="s">
        <v>243</v>
      </c>
      <c r="BY1823" s="2" t="s">
        <v>244</v>
      </c>
      <c r="BZ1823" s="2" t="s">
        <v>245</v>
      </c>
      <c r="CA1823" s="2" t="s">
        <v>233</v>
      </c>
      <c r="CB1823" s="2" t="s">
        <v>233</v>
      </c>
      <c r="CC1823" s="2" t="s">
        <v>246</v>
      </c>
      <c r="CD1823" s="2" t="s">
        <v>233</v>
      </c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>
        <v>444</v>
      </c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>
        <v>33</v>
      </c>
      <c r="FA1823" s="4"/>
      <c r="FB1823" s="4">
        <v>72</v>
      </c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  <c r="HF1823" s="4"/>
      <c r="HG1823" s="4"/>
      <c r="HH1823" s="4"/>
      <c r="HI1823" s="4"/>
      <c r="HJ1823" s="4"/>
      <c r="HK1823" s="4"/>
      <c r="HL1823" s="4"/>
      <c r="HM1823" s="4"/>
      <c r="HN1823" s="4"/>
      <c r="HO1823" s="4"/>
      <c r="HP1823" s="4"/>
      <c r="HQ1823" s="4"/>
      <c r="HR1823" s="4"/>
    </row>
    <row r="1824">
      <c r="A1824" s="2" t="s">
        <v>8486</v>
      </c>
      <c r="B1824" s="2" t="s">
        <v>1242</v>
      </c>
      <c r="C1824" s="2" t="s">
        <v>243</v>
      </c>
      <c r="D1824" s="2" t="s">
        <v>969</v>
      </c>
      <c r="E1824" s="2" t="s">
        <v>970</v>
      </c>
      <c r="F1824" s="2" t="s">
        <v>8481</v>
      </c>
      <c r="G1824" s="2" t="s">
        <v>8482</v>
      </c>
      <c r="H1824" s="2" t="s">
        <v>8483</v>
      </c>
      <c r="I1824" s="2" t="s">
        <v>8484</v>
      </c>
      <c r="J1824" s="2" t="s">
        <v>981</v>
      </c>
      <c r="K1824" s="2" t="s">
        <v>271</v>
      </c>
      <c r="L1824" s="3">
        <v>23.8</v>
      </c>
      <c r="M1824" s="3">
        <v>24.99</v>
      </c>
      <c r="N1824" s="3">
        <v>49.99</v>
      </c>
      <c r="O1824" s="2" t="s">
        <v>245</v>
      </c>
      <c r="P1824" s="2" t="s">
        <v>974</v>
      </c>
      <c r="Q1824" s="2" t="s">
        <v>239</v>
      </c>
      <c r="R1824" s="2" t="s">
        <v>233</v>
      </c>
      <c r="S1824" s="2" t="s">
        <v>8485</v>
      </c>
      <c r="T1824" s="2" t="s">
        <v>395</v>
      </c>
      <c r="U1824" s="2" t="s">
        <v>475</v>
      </c>
      <c r="V1824" s="2" t="s">
        <v>1508</v>
      </c>
      <c r="W1824" s="2" t="s">
        <v>397</v>
      </c>
      <c r="X1824" s="2" t="s">
        <v>275</v>
      </c>
      <c r="Y1824" s="2" t="s">
        <v>233</v>
      </c>
      <c r="Z1824" s="4"/>
      <c r="AA1824" s="4">
        <f>=ROUNDDOWN({0},0)</f>
      </c>
      <c r="AB1824" s="5"/>
      <c r="AC1824" s="2" t="s">
        <v>3189</v>
      </c>
      <c r="AD1824" s="4">
        <v>1074</v>
      </c>
      <c r="AE1824" s="4">
        <v>1629</v>
      </c>
      <c r="AF1824" s="6"/>
      <c r="AG1824" s="6"/>
      <c r="AH1824" s="7">
        <v>0</v>
      </c>
      <c r="AI1824" s="4"/>
      <c r="AJ1824" s="4">
        <f>=ROUNDDOWN({0},0)</f>
      </c>
      <c r="AK1824" s="5"/>
      <c r="AL1824" s="2" t="s">
        <v>233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 t="s">
        <v>233</v>
      </c>
      <c r="AW1824" s="8" t="s">
        <v>233</v>
      </c>
      <c r="AX1824" s="4" t="s">
        <v>233</v>
      </c>
      <c r="AY1824" s="8" t="s">
        <v>233</v>
      </c>
      <c r="AZ1824" s="7" t="s">
        <v>233</v>
      </c>
      <c r="BA1824" s="7" t="s">
        <v>233</v>
      </c>
      <c r="BB1824" s="7"/>
      <c r="BC1824" s="4" t="s">
        <v>233</v>
      </c>
      <c r="BD1824" s="8" t="s">
        <v>233</v>
      </c>
      <c r="BE1824" s="4" t="s">
        <v>233</v>
      </c>
      <c r="BF1824" s="8" t="s">
        <v>233</v>
      </c>
      <c r="BG1824" s="7" t="s">
        <v>233</v>
      </c>
      <c r="BH1824" s="7" t="s">
        <v>233</v>
      </c>
      <c r="BI1824" s="7"/>
      <c r="BJ1824" s="4"/>
      <c r="BK1824" s="8"/>
      <c r="BL1824" s="2" t="s">
        <v>233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243</v>
      </c>
      <c r="BV1824" s="2" t="s">
        <v>233</v>
      </c>
      <c r="BW1824" s="2" t="s">
        <v>233</v>
      </c>
      <c r="BX1824" s="2" t="s">
        <v>243</v>
      </c>
      <c r="BY1824" s="2" t="s">
        <v>244</v>
      </c>
      <c r="BZ1824" s="2" t="s">
        <v>245</v>
      </c>
      <c r="CA1824" s="2" t="s">
        <v>233</v>
      </c>
      <c r="CB1824" s="2" t="s">
        <v>233</v>
      </c>
      <c r="CC1824" s="2" t="s">
        <v>246</v>
      </c>
      <c r="CD1824" s="2" t="s">
        <v>233</v>
      </c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>
        <v>1074</v>
      </c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>
        <v>258</v>
      </c>
      <c r="FA1824" s="4"/>
      <c r="FB1824" s="4">
        <v>297</v>
      </c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  <c r="HF1824" s="4"/>
      <c r="HG1824" s="4"/>
      <c r="HH1824" s="4"/>
      <c r="HI1824" s="4"/>
      <c r="HJ1824" s="4"/>
      <c r="HK1824" s="4"/>
      <c r="HL1824" s="4"/>
      <c r="HM1824" s="4"/>
      <c r="HN1824" s="4"/>
      <c r="HO1824" s="4"/>
      <c r="HP1824" s="4"/>
      <c r="HQ1824" s="4"/>
      <c r="HR1824" s="4"/>
    </row>
    <row r="1825">
      <c r="A1825" s="2" t="s">
        <v>8487</v>
      </c>
      <c r="B1825" s="2" t="s">
        <v>1242</v>
      </c>
      <c r="C1825" s="2" t="s">
        <v>243</v>
      </c>
      <c r="D1825" s="2" t="s">
        <v>969</v>
      </c>
      <c r="E1825" s="2" t="s">
        <v>970</v>
      </c>
      <c r="F1825" s="2" t="s">
        <v>8481</v>
      </c>
      <c r="G1825" s="2" t="s">
        <v>8482</v>
      </c>
      <c r="H1825" s="2" t="s">
        <v>8483</v>
      </c>
      <c r="I1825" s="2" t="s">
        <v>8484</v>
      </c>
      <c r="J1825" s="2" t="s">
        <v>1142</v>
      </c>
      <c r="K1825" s="2" t="s">
        <v>271</v>
      </c>
      <c r="L1825" s="3">
        <v>26.19</v>
      </c>
      <c r="M1825" s="3">
        <v>27.5</v>
      </c>
      <c r="N1825" s="3">
        <v>54.99</v>
      </c>
      <c r="O1825" s="2" t="s">
        <v>245</v>
      </c>
      <c r="P1825" s="2" t="s">
        <v>974</v>
      </c>
      <c r="Q1825" s="2" t="s">
        <v>239</v>
      </c>
      <c r="R1825" s="2" t="s">
        <v>233</v>
      </c>
      <c r="S1825" s="2" t="s">
        <v>8485</v>
      </c>
      <c r="T1825" s="2" t="s">
        <v>395</v>
      </c>
      <c r="U1825" s="2" t="s">
        <v>475</v>
      </c>
      <c r="V1825" s="2" t="s">
        <v>1508</v>
      </c>
      <c r="W1825" s="2" t="s">
        <v>397</v>
      </c>
      <c r="X1825" s="2" t="s">
        <v>275</v>
      </c>
      <c r="Y1825" s="2" t="s">
        <v>233</v>
      </c>
      <c r="Z1825" s="4"/>
      <c r="AA1825" s="4">
        <f>=ROUNDDOWN({0},0)</f>
      </c>
      <c r="AB1825" s="5"/>
      <c r="AC1825" s="2" t="s">
        <v>3189</v>
      </c>
      <c r="AD1825" s="4">
        <v>861</v>
      </c>
      <c r="AE1825" s="4">
        <v>1305</v>
      </c>
      <c r="AF1825" s="6"/>
      <c r="AG1825" s="6"/>
      <c r="AH1825" s="7">
        <v>0</v>
      </c>
      <c r="AI1825" s="4"/>
      <c r="AJ1825" s="4">
        <f>=ROUNDDOWN({0},0)</f>
      </c>
      <c r="AK1825" s="5"/>
      <c r="AL1825" s="2" t="s">
        <v>233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 t="s">
        <v>233</v>
      </c>
      <c r="AW1825" s="8" t="s">
        <v>233</v>
      </c>
      <c r="AX1825" s="4" t="s">
        <v>233</v>
      </c>
      <c r="AY1825" s="8" t="s">
        <v>233</v>
      </c>
      <c r="AZ1825" s="7" t="s">
        <v>233</v>
      </c>
      <c r="BA1825" s="7" t="s">
        <v>233</v>
      </c>
      <c r="BB1825" s="7"/>
      <c r="BC1825" s="4" t="s">
        <v>233</v>
      </c>
      <c r="BD1825" s="8" t="s">
        <v>233</v>
      </c>
      <c r="BE1825" s="4" t="s">
        <v>233</v>
      </c>
      <c r="BF1825" s="8" t="s">
        <v>233</v>
      </c>
      <c r="BG1825" s="7" t="s">
        <v>233</v>
      </c>
      <c r="BH1825" s="7" t="s">
        <v>233</v>
      </c>
      <c r="BI1825" s="7"/>
      <c r="BJ1825" s="4"/>
      <c r="BK1825" s="8"/>
      <c r="BL1825" s="2" t="s">
        <v>233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243</v>
      </c>
      <c r="BV1825" s="2" t="s">
        <v>233</v>
      </c>
      <c r="BW1825" s="2" t="s">
        <v>233</v>
      </c>
      <c r="BX1825" s="2" t="s">
        <v>243</v>
      </c>
      <c r="BY1825" s="2" t="s">
        <v>244</v>
      </c>
      <c r="BZ1825" s="2" t="s">
        <v>245</v>
      </c>
      <c r="CA1825" s="2" t="s">
        <v>233</v>
      </c>
      <c r="CB1825" s="2" t="s">
        <v>233</v>
      </c>
      <c r="CC1825" s="2" t="s">
        <v>246</v>
      </c>
      <c r="CD1825" s="2" t="s">
        <v>233</v>
      </c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>
        <v>861</v>
      </c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>
        <v>225</v>
      </c>
      <c r="FA1825" s="4"/>
      <c r="FB1825" s="4">
        <v>219</v>
      </c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  <c r="HF1825" s="4"/>
      <c r="HG1825" s="4"/>
      <c r="HH1825" s="4"/>
      <c r="HI1825" s="4"/>
      <c r="HJ1825" s="4"/>
      <c r="HK1825" s="4"/>
      <c r="HL1825" s="4"/>
      <c r="HM1825" s="4"/>
      <c r="HN1825" s="4"/>
      <c r="HO1825" s="4"/>
      <c r="HP1825" s="4"/>
      <c r="HQ1825" s="4"/>
      <c r="HR1825" s="4"/>
    </row>
    <row r="1826">
      <c r="A1826" s="2" t="s">
        <v>8488</v>
      </c>
      <c r="B1826" s="2" t="s">
        <v>1242</v>
      </c>
      <c r="C1826" s="2" t="s">
        <v>701</v>
      </c>
      <c r="D1826" s="2" t="s">
        <v>969</v>
      </c>
      <c r="E1826" s="2" t="s">
        <v>970</v>
      </c>
      <c r="F1826" s="2" t="s">
        <v>8481</v>
      </c>
      <c r="G1826" s="2" t="s">
        <v>8481</v>
      </c>
      <c r="H1826" s="2" t="s">
        <v>8481</v>
      </c>
      <c r="I1826" s="2" t="s">
        <v>8489</v>
      </c>
      <c r="J1826" s="2" t="s">
        <v>981</v>
      </c>
      <c r="K1826" s="2" t="s">
        <v>236</v>
      </c>
      <c r="L1826" s="3">
        <v>45.71</v>
      </c>
      <c r="M1826" s="3">
        <v>48</v>
      </c>
      <c r="N1826" s="3">
        <v>99</v>
      </c>
      <c r="O1826" s="2" t="s">
        <v>237</v>
      </c>
      <c r="P1826" s="2" t="s">
        <v>311</v>
      </c>
      <c r="Q1826" s="2" t="s">
        <v>239</v>
      </c>
      <c r="R1826" s="2" t="s">
        <v>233</v>
      </c>
      <c r="S1826" s="2" t="s">
        <v>8490</v>
      </c>
      <c r="T1826" s="2" t="s">
        <v>233</v>
      </c>
      <c r="U1826" s="2" t="s">
        <v>475</v>
      </c>
      <c r="V1826" s="2" t="s">
        <v>241</v>
      </c>
      <c r="W1826" s="2" t="s">
        <v>275</v>
      </c>
      <c r="X1826" s="2" t="s">
        <v>233</v>
      </c>
      <c r="Y1826" s="2" t="s">
        <v>3237</v>
      </c>
      <c r="Z1826" s="4">
        <v>84</v>
      </c>
      <c r="AA1826" s="4">
        <f>=ROUNDDOWN(30,0)</f>
      </c>
      <c r="AB1826" s="5">
        <v>2.8</v>
      </c>
      <c r="AC1826" s="2" t="s">
        <v>233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233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 t="s">
        <v>233</v>
      </c>
      <c r="AW1826" s="8" t="s">
        <v>233</v>
      </c>
      <c r="AX1826" s="4" t="s">
        <v>233</v>
      </c>
      <c r="AY1826" s="8" t="s">
        <v>233</v>
      </c>
      <c r="AZ1826" s="7" t="s">
        <v>233</v>
      </c>
      <c r="BA1826" s="7" t="s">
        <v>233</v>
      </c>
      <c r="BB1826" s="7" t="s">
        <v>233</v>
      </c>
      <c r="BC1826" s="4" t="s">
        <v>233</v>
      </c>
      <c r="BD1826" s="8" t="s">
        <v>233</v>
      </c>
      <c r="BE1826" s="4" t="s">
        <v>233</v>
      </c>
      <c r="BF1826" s="8" t="s">
        <v>233</v>
      </c>
      <c r="BG1826" s="7" t="s">
        <v>233</v>
      </c>
      <c r="BH1826" s="7" t="s">
        <v>233</v>
      </c>
      <c r="BI1826" s="7"/>
      <c r="BJ1826" s="4">
        <v>10</v>
      </c>
      <c r="BK1826" s="8">
        <v>475.92</v>
      </c>
      <c r="BL1826" s="2" t="s">
        <v>8491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8492</v>
      </c>
      <c r="BV1826" s="2" t="s">
        <v>233</v>
      </c>
      <c r="BW1826" s="2" t="s">
        <v>233</v>
      </c>
      <c r="BX1826" s="2" t="s">
        <v>233</v>
      </c>
      <c r="BY1826" s="2" t="s">
        <v>280</v>
      </c>
      <c r="BZ1826" s="2" t="s">
        <v>245</v>
      </c>
      <c r="CA1826" s="2" t="s">
        <v>5594</v>
      </c>
      <c r="CB1826" s="2" t="s">
        <v>3635</v>
      </c>
      <c r="CC1826" s="2" t="s">
        <v>246</v>
      </c>
      <c r="CD1826" s="2" t="s">
        <v>233</v>
      </c>
      <c r="CE1826" s="4">
        <v>84</v>
      </c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  <c r="HF1826" s="4"/>
      <c r="HG1826" s="4"/>
      <c r="HH1826" s="4"/>
      <c r="HI1826" s="4"/>
      <c r="HJ1826" s="4"/>
      <c r="HK1826" s="4"/>
      <c r="HL1826" s="4"/>
      <c r="HM1826" s="4"/>
      <c r="HN1826" s="4"/>
      <c r="HO1826" s="4"/>
      <c r="HP1826" s="4"/>
      <c r="HQ1826" s="4"/>
      <c r="HR1826" s="4"/>
    </row>
    <row r="1827">
      <c r="A1827" s="2" t="s">
        <v>8493</v>
      </c>
      <c r="B1827" s="2" t="s">
        <v>1242</v>
      </c>
      <c r="C1827" s="2" t="s">
        <v>701</v>
      </c>
      <c r="D1827" s="2" t="s">
        <v>912</v>
      </c>
      <c r="E1827" s="2" t="s">
        <v>1139</v>
      </c>
      <c r="F1827" s="2" t="s">
        <v>8481</v>
      </c>
      <c r="G1827" s="2" t="s">
        <v>8481</v>
      </c>
      <c r="H1827" s="2" t="s">
        <v>8481</v>
      </c>
      <c r="I1827" s="2" t="s">
        <v>8494</v>
      </c>
      <c r="J1827" s="2" t="s">
        <v>981</v>
      </c>
      <c r="K1827" s="2" t="s">
        <v>236</v>
      </c>
      <c r="L1827" s="3">
        <v>32</v>
      </c>
      <c r="M1827" s="3">
        <v>33.6</v>
      </c>
      <c r="N1827" s="3">
        <v>69.99</v>
      </c>
      <c r="O1827" s="2" t="s">
        <v>245</v>
      </c>
      <c r="P1827" s="2" t="s">
        <v>311</v>
      </c>
      <c r="Q1827" s="2" t="s">
        <v>239</v>
      </c>
      <c r="R1827" s="2" t="s">
        <v>233</v>
      </c>
      <c r="S1827" s="2" t="s">
        <v>8490</v>
      </c>
      <c r="T1827" s="2" t="s">
        <v>233</v>
      </c>
      <c r="U1827" s="2" t="s">
        <v>475</v>
      </c>
      <c r="V1827" s="2" t="s">
        <v>241</v>
      </c>
      <c r="W1827" s="2" t="s">
        <v>275</v>
      </c>
      <c r="X1827" s="2" t="s">
        <v>233</v>
      </c>
      <c r="Y1827" s="2" t="s">
        <v>3237</v>
      </c>
      <c r="Z1827" s="4">
        <v>76</v>
      </c>
      <c r="AA1827" s="4">
        <f>=ROUNDDOWN(38,0)</f>
      </c>
      <c r="AB1827" s="5">
        <v>2</v>
      </c>
      <c r="AC1827" s="2" t="s">
        <v>233</v>
      </c>
      <c r="AD1827" s="4"/>
      <c r="AE1827" s="4"/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233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 t="s">
        <v>233</v>
      </c>
      <c r="AW1827" s="8" t="s">
        <v>233</v>
      </c>
      <c r="AX1827" s="4" t="s">
        <v>233</v>
      </c>
      <c r="AY1827" s="8" t="s">
        <v>233</v>
      </c>
      <c r="AZ1827" s="7" t="s">
        <v>233</v>
      </c>
      <c r="BA1827" s="7" t="s">
        <v>233</v>
      </c>
      <c r="BB1827" s="7" t="s">
        <v>233</v>
      </c>
      <c r="BC1827" s="4" t="s">
        <v>233</v>
      </c>
      <c r="BD1827" s="8" t="s">
        <v>233</v>
      </c>
      <c r="BE1827" s="4" t="s">
        <v>233</v>
      </c>
      <c r="BF1827" s="8" t="s">
        <v>233</v>
      </c>
      <c r="BG1827" s="7" t="s">
        <v>233</v>
      </c>
      <c r="BH1827" s="7" t="s">
        <v>233</v>
      </c>
      <c r="BI1827" s="7"/>
      <c r="BJ1827" s="4">
        <v>4</v>
      </c>
      <c r="BK1827" s="8">
        <v>139.78</v>
      </c>
      <c r="BL1827" s="2" t="s">
        <v>8416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8495</v>
      </c>
      <c r="BV1827" s="2" t="s">
        <v>233</v>
      </c>
      <c r="BW1827" s="2" t="s">
        <v>233</v>
      </c>
      <c r="BX1827" s="2" t="s">
        <v>233</v>
      </c>
      <c r="BY1827" s="2" t="s">
        <v>280</v>
      </c>
      <c r="BZ1827" s="2" t="s">
        <v>245</v>
      </c>
      <c r="CA1827" s="2" t="s">
        <v>5594</v>
      </c>
      <c r="CB1827" s="2" t="s">
        <v>233</v>
      </c>
      <c r="CC1827" s="2" t="s">
        <v>246</v>
      </c>
      <c r="CD1827" s="2" t="s">
        <v>233</v>
      </c>
      <c r="CE1827" s="4">
        <v>76</v>
      </c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  <c r="HF1827" s="4"/>
      <c r="HG1827" s="4"/>
      <c r="HH1827" s="4"/>
      <c r="HI1827" s="4"/>
      <c r="HJ1827" s="4"/>
      <c r="HK1827" s="4"/>
      <c r="HL1827" s="4"/>
      <c r="HM1827" s="4"/>
      <c r="HN1827" s="4"/>
      <c r="HO1827" s="4"/>
      <c r="HP1827" s="4"/>
      <c r="HQ1827" s="4"/>
      <c r="HR1827" s="4"/>
    </row>
    <row r="1828">
      <c r="A1828" s="2" t="s">
        <v>8496</v>
      </c>
      <c r="B1828" s="2" t="s">
        <v>1242</v>
      </c>
      <c r="C1828" s="2" t="s">
        <v>701</v>
      </c>
      <c r="D1828" s="2" t="s">
        <v>912</v>
      </c>
      <c r="E1828" s="2" t="s">
        <v>1139</v>
      </c>
      <c r="F1828" s="2" t="s">
        <v>8481</v>
      </c>
      <c r="G1828" s="2" t="s">
        <v>8481</v>
      </c>
      <c r="H1828" s="2" t="s">
        <v>8481</v>
      </c>
      <c r="I1828" s="2" t="s">
        <v>8494</v>
      </c>
      <c r="J1828" s="2" t="s">
        <v>1142</v>
      </c>
      <c r="K1828" s="2" t="s">
        <v>236</v>
      </c>
      <c r="L1828" s="3">
        <v>36.57</v>
      </c>
      <c r="M1828" s="3">
        <v>38.4</v>
      </c>
      <c r="N1828" s="3">
        <v>79.99</v>
      </c>
      <c r="O1828" s="2" t="s">
        <v>245</v>
      </c>
      <c r="P1828" s="2" t="s">
        <v>311</v>
      </c>
      <c r="Q1828" s="2" t="s">
        <v>239</v>
      </c>
      <c r="R1828" s="2" t="s">
        <v>233</v>
      </c>
      <c r="S1828" s="2" t="s">
        <v>8490</v>
      </c>
      <c r="T1828" s="2" t="s">
        <v>233</v>
      </c>
      <c r="U1828" s="2" t="s">
        <v>475</v>
      </c>
      <c r="V1828" s="2" t="s">
        <v>241</v>
      </c>
      <c r="W1828" s="2" t="s">
        <v>275</v>
      </c>
      <c r="X1828" s="2" t="s">
        <v>233</v>
      </c>
      <c r="Y1828" s="2" t="s">
        <v>3237</v>
      </c>
      <c r="Z1828" s="4">
        <v>115</v>
      </c>
      <c r="AA1828" s="4">
        <f>=ROUNDDOWN(57.5,0)</f>
      </c>
      <c r="AB1828" s="5">
        <v>2</v>
      </c>
      <c r="AC1828" s="2" t="s">
        <v>233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233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 t="s">
        <v>233</v>
      </c>
      <c r="AW1828" s="8" t="s">
        <v>233</v>
      </c>
      <c r="AX1828" s="4" t="s">
        <v>233</v>
      </c>
      <c r="AY1828" s="8" t="s">
        <v>233</v>
      </c>
      <c r="AZ1828" s="7" t="s">
        <v>233</v>
      </c>
      <c r="BA1828" s="7" t="s">
        <v>233</v>
      </c>
      <c r="BB1828" s="7"/>
      <c r="BC1828" s="4" t="s">
        <v>233</v>
      </c>
      <c r="BD1828" s="8" t="s">
        <v>233</v>
      </c>
      <c r="BE1828" s="4" t="s">
        <v>233</v>
      </c>
      <c r="BF1828" s="8" t="s">
        <v>233</v>
      </c>
      <c r="BG1828" s="7" t="s">
        <v>233</v>
      </c>
      <c r="BH1828" s="7" t="s">
        <v>233</v>
      </c>
      <c r="BI1828" s="7"/>
      <c r="BJ1828" s="4">
        <v>1</v>
      </c>
      <c r="BK1828" s="8">
        <v>41.47</v>
      </c>
      <c r="BL1828" s="2" t="s">
        <v>465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8497</v>
      </c>
      <c r="BV1828" s="2" t="s">
        <v>233</v>
      </c>
      <c r="BW1828" s="2" t="s">
        <v>233</v>
      </c>
      <c r="BX1828" s="2" t="s">
        <v>233</v>
      </c>
      <c r="BY1828" s="2" t="s">
        <v>280</v>
      </c>
      <c r="BZ1828" s="2" t="s">
        <v>245</v>
      </c>
      <c r="CA1828" s="2" t="s">
        <v>5594</v>
      </c>
      <c r="CB1828" s="2" t="s">
        <v>2338</v>
      </c>
      <c r="CC1828" s="2" t="s">
        <v>246</v>
      </c>
      <c r="CD1828" s="2" t="s">
        <v>233</v>
      </c>
      <c r="CE1828" s="4">
        <v>115</v>
      </c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  <c r="HF1828" s="4"/>
      <c r="HG1828" s="4"/>
      <c r="HH1828" s="4"/>
      <c r="HI1828" s="4"/>
      <c r="HJ1828" s="4"/>
      <c r="HK1828" s="4"/>
      <c r="HL1828" s="4"/>
      <c r="HM1828" s="4"/>
      <c r="HN1828" s="4"/>
      <c r="HO1828" s="4"/>
      <c r="HP1828" s="4"/>
      <c r="HQ1828" s="4"/>
      <c r="HR1828" s="4"/>
    </row>
    <row r="1829">
      <c r="A1829" s="2" t="s">
        <v>8498</v>
      </c>
      <c r="B1829" s="2" t="s">
        <v>1242</v>
      </c>
      <c r="C1829" s="2" t="s">
        <v>243</v>
      </c>
      <c r="D1829" s="2" t="s">
        <v>969</v>
      </c>
      <c r="E1829" s="2" t="s">
        <v>970</v>
      </c>
      <c r="F1829" s="2" t="s">
        <v>8481</v>
      </c>
      <c r="G1829" s="2" t="s">
        <v>8482</v>
      </c>
      <c r="H1829" s="2" t="s">
        <v>8483</v>
      </c>
      <c r="I1829" s="2" t="s">
        <v>8484</v>
      </c>
      <c r="J1829" s="2" t="s">
        <v>918</v>
      </c>
      <c r="K1829" s="2" t="s">
        <v>255</v>
      </c>
      <c r="L1829" s="3">
        <v>19.04</v>
      </c>
      <c r="M1829" s="3">
        <v>19.99</v>
      </c>
      <c r="N1829" s="3">
        <v>39.99</v>
      </c>
      <c r="O1829" s="2" t="s">
        <v>245</v>
      </c>
      <c r="P1829" s="2" t="s">
        <v>974</v>
      </c>
      <c r="Q1829" s="2" t="s">
        <v>239</v>
      </c>
      <c r="R1829" s="2" t="s">
        <v>233</v>
      </c>
      <c r="S1829" s="2" t="s">
        <v>8499</v>
      </c>
      <c r="T1829" s="2" t="s">
        <v>395</v>
      </c>
      <c r="U1829" s="2" t="s">
        <v>491</v>
      </c>
      <c r="V1829" s="2" t="s">
        <v>1508</v>
      </c>
      <c r="W1829" s="2" t="s">
        <v>397</v>
      </c>
      <c r="X1829" s="2" t="s">
        <v>275</v>
      </c>
      <c r="Y1829" s="2" t="s">
        <v>233</v>
      </c>
      <c r="Z1829" s="4"/>
      <c r="AA1829" s="4">
        <f>=ROUNDDOWN({0},0)</f>
      </c>
      <c r="AB1829" s="5"/>
      <c r="AC1829" s="2" t="s">
        <v>3189</v>
      </c>
      <c r="AD1829" s="4">
        <v>426</v>
      </c>
      <c r="AE1829" s="4">
        <v>618</v>
      </c>
      <c r="AF1829" s="6"/>
      <c r="AG1829" s="6"/>
      <c r="AH1829" s="7">
        <v>0</v>
      </c>
      <c r="AI1829" s="4"/>
      <c r="AJ1829" s="4">
        <f>=ROUNDDOWN({0},0)</f>
      </c>
      <c r="AK1829" s="5"/>
      <c r="AL1829" s="2" t="s">
        <v>233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 t="s">
        <v>233</v>
      </c>
      <c r="AW1829" s="8" t="s">
        <v>233</v>
      </c>
      <c r="AX1829" s="4" t="s">
        <v>233</v>
      </c>
      <c r="AY1829" s="8" t="s">
        <v>233</v>
      </c>
      <c r="AZ1829" s="7" t="s">
        <v>233</v>
      </c>
      <c r="BA1829" s="7" t="s">
        <v>233</v>
      </c>
      <c r="BB1829" s="7"/>
      <c r="BC1829" s="4" t="s">
        <v>233</v>
      </c>
      <c r="BD1829" s="8" t="s">
        <v>233</v>
      </c>
      <c r="BE1829" s="4" t="s">
        <v>233</v>
      </c>
      <c r="BF1829" s="8" t="s">
        <v>233</v>
      </c>
      <c r="BG1829" s="7" t="s">
        <v>233</v>
      </c>
      <c r="BH1829" s="7" t="s">
        <v>233</v>
      </c>
      <c r="BI1829" s="7"/>
      <c r="BJ1829" s="4"/>
      <c r="BK1829" s="8"/>
      <c r="BL1829" s="2" t="s">
        <v>233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243</v>
      </c>
      <c r="BV1829" s="2" t="s">
        <v>233</v>
      </c>
      <c r="BW1829" s="2" t="s">
        <v>233</v>
      </c>
      <c r="BX1829" s="2" t="s">
        <v>243</v>
      </c>
      <c r="BY1829" s="2" t="s">
        <v>244</v>
      </c>
      <c r="BZ1829" s="2" t="s">
        <v>245</v>
      </c>
      <c r="CA1829" s="2" t="s">
        <v>233</v>
      </c>
      <c r="CB1829" s="2" t="s">
        <v>233</v>
      </c>
      <c r="CC1829" s="2" t="s">
        <v>246</v>
      </c>
      <c r="CD1829" s="2" t="s">
        <v>233</v>
      </c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>
        <v>426</v>
      </c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>
        <v>66</v>
      </c>
      <c r="FA1829" s="4"/>
      <c r="FB1829" s="4">
        <v>126</v>
      </c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  <c r="HF1829" s="4"/>
      <c r="HG1829" s="4"/>
      <c r="HH1829" s="4"/>
      <c r="HI1829" s="4"/>
      <c r="HJ1829" s="4"/>
      <c r="HK1829" s="4"/>
      <c r="HL1829" s="4"/>
      <c r="HM1829" s="4"/>
      <c r="HN1829" s="4"/>
      <c r="HO1829" s="4"/>
      <c r="HP1829" s="4"/>
      <c r="HQ1829" s="4"/>
      <c r="HR1829" s="4"/>
    </row>
    <row r="1830">
      <c r="A1830" s="2" t="s">
        <v>8500</v>
      </c>
      <c r="B1830" s="2" t="s">
        <v>1242</v>
      </c>
      <c r="C1830" s="2" t="s">
        <v>243</v>
      </c>
      <c r="D1830" s="2" t="s">
        <v>969</v>
      </c>
      <c r="E1830" s="2" t="s">
        <v>970</v>
      </c>
      <c r="F1830" s="2" t="s">
        <v>8481</v>
      </c>
      <c r="G1830" s="2" t="s">
        <v>8482</v>
      </c>
      <c r="H1830" s="2" t="s">
        <v>8483</v>
      </c>
      <c r="I1830" s="2" t="s">
        <v>8484</v>
      </c>
      <c r="J1830" s="2" t="s">
        <v>981</v>
      </c>
      <c r="K1830" s="2" t="s">
        <v>255</v>
      </c>
      <c r="L1830" s="3">
        <v>23.8</v>
      </c>
      <c r="M1830" s="3">
        <v>24.99</v>
      </c>
      <c r="N1830" s="3">
        <v>49.99</v>
      </c>
      <c r="O1830" s="2" t="s">
        <v>245</v>
      </c>
      <c r="P1830" s="2" t="s">
        <v>974</v>
      </c>
      <c r="Q1830" s="2" t="s">
        <v>239</v>
      </c>
      <c r="R1830" s="2" t="s">
        <v>233</v>
      </c>
      <c r="S1830" s="2" t="s">
        <v>8499</v>
      </c>
      <c r="T1830" s="2" t="s">
        <v>395</v>
      </c>
      <c r="U1830" s="2" t="s">
        <v>475</v>
      </c>
      <c r="V1830" s="2" t="s">
        <v>1508</v>
      </c>
      <c r="W1830" s="2" t="s">
        <v>397</v>
      </c>
      <c r="X1830" s="2" t="s">
        <v>275</v>
      </c>
      <c r="Y1830" s="2" t="s">
        <v>233</v>
      </c>
      <c r="Z1830" s="4"/>
      <c r="AA1830" s="4">
        <f>=ROUNDDOWN({0},0)</f>
      </c>
      <c r="AB1830" s="5"/>
      <c r="AC1830" s="2" t="s">
        <v>3189</v>
      </c>
      <c r="AD1830" s="4">
        <v>1440</v>
      </c>
      <c r="AE1830" s="4">
        <v>2205</v>
      </c>
      <c r="AF1830" s="6"/>
      <c r="AG1830" s="6"/>
      <c r="AH1830" s="7">
        <v>0</v>
      </c>
      <c r="AI1830" s="4"/>
      <c r="AJ1830" s="4">
        <f>=ROUNDDOWN({0},0)</f>
      </c>
      <c r="AK1830" s="5"/>
      <c r="AL1830" s="2" t="s">
        <v>233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 t="s">
        <v>233</v>
      </c>
      <c r="AW1830" s="8" t="s">
        <v>233</v>
      </c>
      <c r="AX1830" s="4" t="s">
        <v>233</v>
      </c>
      <c r="AY1830" s="8" t="s">
        <v>233</v>
      </c>
      <c r="AZ1830" s="7" t="s">
        <v>233</v>
      </c>
      <c r="BA1830" s="7" t="s">
        <v>233</v>
      </c>
      <c r="BB1830" s="7"/>
      <c r="BC1830" s="4" t="s">
        <v>233</v>
      </c>
      <c r="BD1830" s="8" t="s">
        <v>233</v>
      </c>
      <c r="BE1830" s="4" t="s">
        <v>233</v>
      </c>
      <c r="BF1830" s="8" t="s">
        <v>233</v>
      </c>
      <c r="BG1830" s="7" t="s">
        <v>233</v>
      </c>
      <c r="BH1830" s="7" t="s">
        <v>233</v>
      </c>
      <c r="BI1830" s="7"/>
      <c r="BJ1830" s="4"/>
      <c r="BK1830" s="8"/>
      <c r="BL1830" s="2" t="s">
        <v>233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243</v>
      </c>
      <c r="BV1830" s="2" t="s">
        <v>233</v>
      </c>
      <c r="BW1830" s="2" t="s">
        <v>233</v>
      </c>
      <c r="BX1830" s="2" t="s">
        <v>243</v>
      </c>
      <c r="BY1830" s="2" t="s">
        <v>244</v>
      </c>
      <c r="BZ1830" s="2" t="s">
        <v>245</v>
      </c>
      <c r="CA1830" s="2" t="s">
        <v>233</v>
      </c>
      <c r="CB1830" s="2" t="s">
        <v>233</v>
      </c>
      <c r="CC1830" s="2" t="s">
        <v>246</v>
      </c>
      <c r="CD1830" s="2" t="s">
        <v>233</v>
      </c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>
        <v>1440</v>
      </c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>
        <v>243</v>
      </c>
      <c r="FA1830" s="4"/>
      <c r="FB1830" s="4">
        <v>522</v>
      </c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  <c r="HF1830" s="4"/>
      <c r="HG1830" s="4"/>
      <c r="HH1830" s="4"/>
      <c r="HI1830" s="4"/>
      <c r="HJ1830" s="4"/>
      <c r="HK1830" s="4"/>
      <c r="HL1830" s="4"/>
      <c r="HM1830" s="4"/>
      <c r="HN1830" s="4"/>
      <c r="HO1830" s="4"/>
      <c r="HP1830" s="4"/>
      <c r="HQ1830" s="4"/>
      <c r="HR1830" s="4"/>
    </row>
    <row r="1831">
      <c r="A1831" s="2" t="s">
        <v>8501</v>
      </c>
      <c r="B1831" s="2" t="s">
        <v>1242</v>
      </c>
      <c r="C1831" s="2" t="s">
        <v>243</v>
      </c>
      <c r="D1831" s="2" t="s">
        <v>969</v>
      </c>
      <c r="E1831" s="2" t="s">
        <v>970</v>
      </c>
      <c r="F1831" s="2" t="s">
        <v>8481</v>
      </c>
      <c r="G1831" s="2" t="s">
        <v>8482</v>
      </c>
      <c r="H1831" s="2" t="s">
        <v>8483</v>
      </c>
      <c r="I1831" s="2" t="s">
        <v>8484</v>
      </c>
      <c r="J1831" s="2" t="s">
        <v>1142</v>
      </c>
      <c r="K1831" s="2" t="s">
        <v>255</v>
      </c>
      <c r="L1831" s="3">
        <v>26.19</v>
      </c>
      <c r="M1831" s="3">
        <v>27.5</v>
      </c>
      <c r="N1831" s="3">
        <v>54.99</v>
      </c>
      <c r="O1831" s="2" t="s">
        <v>245</v>
      </c>
      <c r="P1831" s="2" t="s">
        <v>974</v>
      </c>
      <c r="Q1831" s="2" t="s">
        <v>239</v>
      </c>
      <c r="R1831" s="2" t="s">
        <v>233</v>
      </c>
      <c r="S1831" s="2" t="s">
        <v>8499</v>
      </c>
      <c r="T1831" s="2" t="s">
        <v>395</v>
      </c>
      <c r="U1831" s="2" t="s">
        <v>475</v>
      </c>
      <c r="V1831" s="2" t="s">
        <v>1508</v>
      </c>
      <c r="W1831" s="2" t="s">
        <v>397</v>
      </c>
      <c r="X1831" s="2" t="s">
        <v>275</v>
      </c>
      <c r="Y1831" s="2" t="s">
        <v>233</v>
      </c>
      <c r="Z1831" s="4"/>
      <c r="AA1831" s="4">
        <f>=ROUNDDOWN({0},0)</f>
      </c>
      <c r="AB1831" s="5"/>
      <c r="AC1831" s="2" t="s">
        <v>3189</v>
      </c>
      <c r="AD1831" s="4">
        <v>1161</v>
      </c>
      <c r="AE1831" s="4">
        <v>1845</v>
      </c>
      <c r="AF1831" s="6"/>
      <c r="AG1831" s="6"/>
      <c r="AH1831" s="7">
        <v>0</v>
      </c>
      <c r="AI1831" s="4"/>
      <c r="AJ1831" s="4">
        <f>=ROUNDDOWN({0},0)</f>
      </c>
      <c r="AK1831" s="5"/>
      <c r="AL1831" s="2" t="s">
        <v>233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233</v>
      </c>
      <c r="AW1831" s="8" t="s">
        <v>233</v>
      </c>
      <c r="AX1831" s="4" t="s">
        <v>233</v>
      </c>
      <c r="AY1831" s="8" t="s">
        <v>233</v>
      </c>
      <c r="AZ1831" s="7" t="s">
        <v>233</v>
      </c>
      <c r="BA1831" s="7" t="s">
        <v>233</v>
      </c>
      <c r="BB1831" s="7"/>
      <c r="BC1831" s="4" t="s">
        <v>233</v>
      </c>
      <c r="BD1831" s="8" t="s">
        <v>233</v>
      </c>
      <c r="BE1831" s="4" t="s">
        <v>233</v>
      </c>
      <c r="BF1831" s="8" t="s">
        <v>233</v>
      </c>
      <c r="BG1831" s="7" t="s">
        <v>233</v>
      </c>
      <c r="BH1831" s="7" t="s">
        <v>233</v>
      </c>
      <c r="BI1831" s="7"/>
      <c r="BJ1831" s="4"/>
      <c r="BK1831" s="8"/>
      <c r="BL1831" s="2" t="s">
        <v>233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243</v>
      </c>
      <c r="BV1831" s="2" t="s">
        <v>233</v>
      </c>
      <c r="BW1831" s="2" t="s">
        <v>233</v>
      </c>
      <c r="BX1831" s="2" t="s">
        <v>243</v>
      </c>
      <c r="BY1831" s="2" t="s">
        <v>244</v>
      </c>
      <c r="BZ1831" s="2" t="s">
        <v>245</v>
      </c>
      <c r="CA1831" s="2" t="s">
        <v>233</v>
      </c>
      <c r="CB1831" s="2" t="s">
        <v>233</v>
      </c>
      <c r="CC1831" s="2" t="s">
        <v>246</v>
      </c>
      <c r="CD1831" s="2" t="s">
        <v>233</v>
      </c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>
        <v>1161</v>
      </c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>
        <v>261</v>
      </c>
      <c r="FA1831" s="4"/>
      <c r="FB1831" s="4">
        <v>423</v>
      </c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  <c r="HF1831" s="4"/>
      <c r="HG1831" s="4"/>
      <c r="HH1831" s="4"/>
      <c r="HI1831" s="4"/>
      <c r="HJ1831" s="4"/>
      <c r="HK1831" s="4"/>
      <c r="HL1831" s="4"/>
      <c r="HM1831" s="4"/>
      <c r="HN1831" s="4"/>
      <c r="HO1831" s="4"/>
      <c r="HP1831" s="4"/>
      <c r="HQ1831" s="4"/>
      <c r="HR1831" s="4"/>
    </row>
    <row r="1832">
      <c r="A1832" s="2" t="s">
        <v>8502</v>
      </c>
      <c r="B1832" s="2" t="s">
        <v>1242</v>
      </c>
      <c r="C1832" s="2" t="s">
        <v>701</v>
      </c>
      <c r="D1832" s="2" t="s">
        <v>969</v>
      </c>
      <c r="E1832" s="2" t="s">
        <v>970</v>
      </c>
      <c r="F1832" s="2" t="s">
        <v>8481</v>
      </c>
      <c r="G1832" s="2" t="s">
        <v>8481</v>
      </c>
      <c r="H1832" s="2" t="s">
        <v>8481</v>
      </c>
      <c r="I1832" s="2" t="s">
        <v>8489</v>
      </c>
      <c r="J1832" s="2" t="s">
        <v>981</v>
      </c>
      <c r="K1832" s="2" t="s">
        <v>1537</v>
      </c>
      <c r="L1832" s="3">
        <v>45.71</v>
      </c>
      <c r="M1832" s="3">
        <v>48</v>
      </c>
      <c r="N1832" s="3">
        <v>99.99</v>
      </c>
      <c r="O1832" s="2" t="s">
        <v>237</v>
      </c>
      <c r="P1832" s="2" t="s">
        <v>311</v>
      </c>
      <c r="Q1832" s="2" t="s">
        <v>239</v>
      </c>
      <c r="R1832" s="2" t="s">
        <v>233</v>
      </c>
      <c r="S1832" s="2" t="s">
        <v>8503</v>
      </c>
      <c r="T1832" s="2" t="s">
        <v>233</v>
      </c>
      <c r="U1832" s="2" t="s">
        <v>475</v>
      </c>
      <c r="V1832" s="2" t="s">
        <v>241</v>
      </c>
      <c r="W1832" s="2" t="s">
        <v>275</v>
      </c>
      <c r="X1832" s="2" t="s">
        <v>233</v>
      </c>
      <c r="Y1832" s="2" t="s">
        <v>3237</v>
      </c>
      <c r="Z1832" s="4">
        <v>140</v>
      </c>
      <c r="AA1832" s="4">
        <f>=ROUNDDOWN(70,0)</f>
      </c>
      <c r="AB1832" s="5">
        <v>2</v>
      </c>
      <c r="AC1832" s="2" t="s">
        <v>233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233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 t="s">
        <v>233</v>
      </c>
      <c r="AW1832" s="8" t="s">
        <v>233</v>
      </c>
      <c r="AX1832" s="4" t="s">
        <v>233</v>
      </c>
      <c r="AY1832" s="8" t="s">
        <v>233</v>
      </c>
      <c r="AZ1832" s="7" t="s">
        <v>233</v>
      </c>
      <c r="BA1832" s="7" t="s">
        <v>233</v>
      </c>
      <c r="BB1832" s="7" t="s">
        <v>233</v>
      </c>
      <c r="BC1832" s="4" t="s">
        <v>233</v>
      </c>
      <c r="BD1832" s="8" t="s">
        <v>233</v>
      </c>
      <c r="BE1832" s="4" t="s">
        <v>233</v>
      </c>
      <c r="BF1832" s="8" t="s">
        <v>233</v>
      </c>
      <c r="BG1832" s="7" t="s">
        <v>233</v>
      </c>
      <c r="BH1832" s="7" t="s">
        <v>233</v>
      </c>
      <c r="BI1832" s="7"/>
      <c r="BJ1832" s="4">
        <v>4</v>
      </c>
      <c r="BK1832" s="8">
        <v>210.24</v>
      </c>
      <c r="BL1832" s="2" t="s">
        <v>8504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8505</v>
      </c>
      <c r="BV1832" s="2" t="s">
        <v>233</v>
      </c>
      <c r="BW1832" s="2" t="s">
        <v>233</v>
      </c>
      <c r="BX1832" s="2" t="s">
        <v>233</v>
      </c>
      <c r="BY1832" s="2" t="s">
        <v>280</v>
      </c>
      <c r="BZ1832" s="2" t="s">
        <v>245</v>
      </c>
      <c r="CA1832" s="2" t="s">
        <v>5594</v>
      </c>
      <c r="CB1832" s="2" t="s">
        <v>478</v>
      </c>
      <c r="CC1832" s="2" t="s">
        <v>246</v>
      </c>
      <c r="CD1832" s="2" t="s">
        <v>233</v>
      </c>
      <c r="CE1832" s="4">
        <v>140</v>
      </c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  <c r="HF1832" s="4"/>
      <c r="HG1832" s="4"/>
      <c r="HH1832" s="4"/>
      <c r="HI1832" s="4"/>
      <c r="HJ1832" s="4"/>
      <c r="HK1832" s="4"/>
      <c r="HL1832" s="4"/>
      <c r="HM1832" s="4"/>
      <c r="HN1832" s="4"/>
      <c r="HO1832" s="4"/>
      <c r="HP1832" s="4"/>
      <c r="HQ1832" s="4"/>
      <c r="HR1832" s="4"/>
    </row>
    <row r="1833">
      <c r="A1833" s="2" t="s">
        <v>8506</v>
      </c>
      <c r="B1833" s="2" t="s">
        <v>1242</v>
      </c>
      <c r="C1833" s="2" t="s">
        <v>701</v>
      </c>
      <c r="D1833" s="2" t="s">
        <v>912</v>
      </c>
      <c r="E1833" s="2" t="s">
        <v>1139</v>
      </c>
      <c r="F1833" s="2" t="s">
        <v>8481</v>
      </c>
      <c r="G1833" s="2" t="s">
        <v>8481</v>
      </c>
      <c r="H1833" s="2" t="s">
        <v>8481</v>
      </c>
      <c r="I1833" s="2" t="s">
        <v>8494</v>
      </c>
      <c r="J1833" s="2" t="s">
        <v>981</v>
      </c>
      <c r="K1833" s="2" t="s">
        <v>1537</v>
      </c>
      <c r="L1833" s="3">
        <v>32</v>
      </c>
      <c r="M1833" s="3">
        <v>33.6</v>
      </c>
      <c r="N1833" s="3">
        <v>69.99</v>
      </c>
      <c r="O1833" s="2" t="s">
        <v>245</v>
      </c>
      <c r="P1833" s="2" t="s">
        <v>311</v>
      </c>
      <c r="Q1833" s="2" t="s">
        <v>239</v>
      </c>
      <c r="R1833" s="2" t="s">
        <v>233</v>
      </c>
      <c r="S1833" s="2" t="s">
        <v>8503</v>
      </c>
      <c r="T1833" s="2" t="s">
        <v>233</v>
      </c>
      <c r="U1833" s="2" t="s">
        <v>475</v>
      </c>
      <c r="V1833" s="2" t="s">
        <v>241</v>
      </c>
      <c r="W1833" s="2" t="s">
        <v>275</v>
      </c>
      <c r="X1833" s="2" t="s">
        <v>233</v>
      </c>
      <c r="Y1833" s="2" t="s">
        <v>3237</v>
      </c>
      <c r="Z1833" s="4">
        <v>89</v>
      </c>
      <c r="AA1833" s="4">
        <f>=ROUNDDOWN(44.5,0)</f>
      </c>
      <c r="AB1833" s="5">
        <v>2</v>
      </c>
      <c r="AC1833" s="2" t="s">
        <v>233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233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233</v>
      </c>
      <c r="AW1833" s="8" t="s">
        <v>233</v>
      </c>
      <c r="AX1833" s="4" t="s">
        <v>233</v>
      </c>
      <c r="AY1833" s="8" t="s">
        <v>233</v>
      </c>
      <c r="AZ1833" s="7" t="s">
        <v>233</v>
      </c>
      <c r="BA1833" s="7" t="s">
        <v>233</v>
      </c>
      <c r="BB1833" s="7" t="s">
        <v>233</v>
      </c>
      <c r="BC1833" s="4" t="s">
        <v>233</v>
      </c>
      <c r="BD1833" s="8" t="s">
        <v>233</v>
      </c>
      <c r="BE1833" s="4" t="s">
        <v>233</v>
      </c>
      <c r="BF1833" s="8" t="s">
        <v>233</v>
      </c>
      <c r="BG1833" s="7" t="s">
        <v>233</v>
      </c>
      <c r="BH1833" s="7" t="s">
        <v>233</v>
      </c>
      <c r="BI1833" s="7"/>
      <c r="BJ1833" s="4"/>
      <c r="BK1833" s="8"/>
      <c r="BL1833" s="2" t="s">
        <v>2404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8507</v>
      </c>
      <c r="BV1833" s="2" t="s">
        <v>233</v>
      </c>
      <c r="BW1833" s="2" t="s">
        <v>233</v>
      </c>
      <c r="BX1833" s="2" t="s">
        <v>233</v>
      </c>
      <c r="BY1833" s="2" t="s">
        <v>280</v>
      </c>
      <c r="BZ1833" s="2" t="s">
        <v>245</v>
      </c>
      <c r="CA1833" s="2" t="s">
        <v>5594</v>
      </c>
      <c r="CB1833" s="2" t="s">
        <v>1613</v>
      </c>
      <c r="CC1833" s="2" t="s">
        <v>246</v>
      </c>
      <c r="CD1833" s="2" t="s">
        <v>233</v>
      </c>
      <c r="CE1833" s="4">
        <v>89</v>
      </c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  <c r="HF1833" s="4"/>
      <c r="HG1833" s="4"/>
      <c r="HH1833" s="4"/>
      <c r="HI1833" s="4"/>
      <c r="HJ1833" s="4"/>
      <c r="HK1833" s="4"/>
      <c r="HL1833" s="4"/>
      <c r="HM1833" s="4"/>
      <c r="HN1833" s="4"/>
      <c r="HO1833" s="4"/>
      <c r="HP1833" s="4"/>
      <c r="HQ1833" s="4"/>
      <c r="HR1833" s="4"/>
    </row>
    <row r="1834">
      <c r="A1834" s="2" t="s">
        <v>8508</v>
      </c>
      <c r="B1834" s="2" t="s">
        <v>1242</v>
      </c>
      <c r="C1834" s="2" t="s">
        <v>701</v>
      </c>
      <c r="D1834" s="2" t="s">
        <v>969</v>
      </c>
      <c r="E1834" s="2" t="s">
        <v>970</v>
      </c>
      <c r="F1834" s="2" t="s">
        <v>8481</v>
      </c>
      <c r="G1834" s="2" t="s">
        <v>8481</v>
      </c>
      <c r="H1834" s="2" t="s">
        <v>8481</v>
      </c>
      <c r="I1834" s="2" t="s">
        <v>8489</v>
      </c>
      <c r="J1834" s="2" t="s">
        <v>1142</v>
      </c>
      <c r="K1834" s="2" t="s">
        <v>1537</v>
      </c>
      <c r="L1834" s="3">
        <v>50.28</v>
      </c>
      <c r="M1834" s="3">
        <v>52.79</v>
      </c>
      <c r="N1834" s="3">
        <v>109.99</v>
      </c>
      <c r="O1834" s="2" t="s">
        <v>237</v>
      </c>
      <c r="P1834" s="2" t="s">
        <v>311</v>
      </c>
      <c r="Q1834" s="2" t="s">
        <v>239</v>
      </c>
      <c r="R1834" s="2" t="s">
        <v>233</v>
      </c>
      <c r="S1834" s="2" t="s">
        <v>8503</v>
      </c>
      <c r="T1834" s="2" t="s">
        <v>233</v>
      </c>
      <c r="U1834" s="2" t="s">
        <v>475</v>
      </c>
      <c r="V1834" s="2" t="s">
        <v>241</v>
      </c>
      <c r="W1834" s="2" t="s">
        <v>275</v>
      </c>
      <c r="X1834" s="2" t="s">
        <v>233</v>
      </c>
      <c r="Y1834" s="2" t="s">
        <v>3237</v>
      </c>
      <c r="Z1834" s="4">
        <v>166</v>
      </c>
      <c r="AA1834" s="4">
        <f>=ROUNDDOWN(83,0)</f>
      </c>
      <c r="AB1834" s="5">
        <v>2</v>
      </c>
      <c r="AC1834" s="2" t="s">
        <v>233</v>
      </c>
      <c r="AD1834" s="4"/>
      <c r="AE1834" s="4"/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233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 t="s">
        <v>233</v>
      </c>
      <c r="AW1834" s="8" t="s">
        <v>233</v>
      </c>
      <c r="AX1834" s="4" t="s">
        <v>233</v>
      </c>
      <c r="AY1834" s="8" t="s">
        <v>233</v>
      </c>
      <c r="AZ1834" s="7" t="s">
        <v>233</v>
      </c>
      <c r="BA1834" s="7" t="s">
        <v>233</v>
      </c>
      <c r="BB1834" s="7" t="s">
        <v>233</v>
      </c>
      <c r="BC1834" s="4" t="s">
        <v>233</v>
      </c>
      <c r="BD1834" s="8" t="s">
        <v>233</v>
      </c>
      <c r="BE1834" s="4" t="s">
        <v>233</v>
      </c>
      <c r="BF1834" s="8" t="s">
        <v>233</v>
      </c>
      <c r="BG1834" s="7" t="s">
        <v>233</v>
      </c>
      <c r="BH1834" s="7" t="s">
        <v>233</v>
      </c>
      <c r="BI1834" s="7"/>
      <c r="BJ1834" s="4">
        <v>8</v>
      </c>
      <c r="BK1834" s="8">
        <v>388.83</v>
      </c>
      <c r="BL1834" s="2" t="s">
        <v>516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8509</v>
      </c>
      <c r="BV1834" s="2" t="s">
        <v>233</v>
      </c>
      <c r="BW1834" s="2" t="s">
        <v>233</v>
      </c>
      <c r="BX1834" s="2" t="s">
        <v>233</v>
      </c>
      <c r="BY1834" s="2" t="s">
        <v>280</v>
      </c>
      <c r="BZ1834" s="2" t="s">
        <v>245</v>
      </c>
      <c r="CA1834" s="2" t="s">
        <v>5594</v>
      </c>
      <c r="CB1834" s="2" t="s">
        <v>2547</v>
      </c>
      <c r="CC1834" s="2" t="s">
        <v>246</v>
      </c>
      <c r="CD1834" s="2" t="s">
        <v>233</v>
      </c>
      <c r="CE1834" s="4">
        <v>166</v>
      </c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  <c r="HF1834" s="4"/>
      <c r="HG1834" s="4"/>
      <c r="HH1834" s="4"/>
      <c r="HI1834" s="4"/>
      <c r="HJ1834" s="4"/>
      <c r="HK1834" s="4"/>
      <c r="HL1834" s="4"/>
      <c r="HM1834" s="4"/>
      <c r="HN1834" s="4"/>
      <c r="HO1834" s="4"/>
      <c r="HP1834" s="4"/>
      <c r="HQ1834" s="4"/>
      <c r="HR1834" s="4"/>
    </row>
    <row r="1835">
      <c r="A1835" s="2" t="s">
        <v>8510</v>
      </c>
      <c r="B1835" s="2" t="s">
        <v>1242</v>
      </c>
      <c r="C1835" s="2" t="s">
        <v>701</v>
      </c>
      <c r="D1835" s="2" t="s">
        <v>912</v>
      </c>
      <c r="E1835" s="2" t="s">
        <v>1139</v>
      </c>
      <c r="F1835" s="2" t="s">
        <v>8481</v>
      </c>
      <c r="G1835" s="2" t="s">
        <v>8481</v>
      </c>
      <c r="H1835" s="2" t="s">
        <v>8481</v>
      </c>
      <c r="I1835" s="2" t="s">
        <v>8494</v>
      </c>
      <c r="J1835" s="2" t="s">
        <v>1142</v>
      </c>
      <c r="K1835" s="2" t="s">
        <v>1537</v>
      </c>
      <c r="L1835" s="3">
        <v>36.57</v>
      </c>
      <c r="M1835" s="3">
        <v>38.4</v>
      </c>
      <c r="N1835" s="3">
        <v>79.99</v>
      </c>
      <c r="O1835" s="2" t="s">
        <v>245</v>
      </c>
      <c r="P1835" s="2" t="s">
        <v>311</v>
      </c>
      <c r="Q1835" s="2" t="s">
        <v>239</v>
      </c>
      <c r="R1835" s="2" t="s">
        <v>233</v>
      </c>
      <c r="S1835" s="2" t="s">
        <v>8503</v>
      </c>
      <c r="T1835" s="2" t="s">
        <v>233</v>
      </c>
      <c r="U1835" s="2" t="s">
        <v>475</v>
      </c>
      <c r="V1835" s="2" t="s">
        <v>241</v>
      </c>
      <c r="W1835" s="2" t="s">
        <v>275</v>
      </c>
      <c r="X1835" s="2" t="s">
        <v>233</v>
      </c>
      <c r="Y1835" s="2" t="s">
        <v>3237</v>
      </c>
      <c r="Z1835" s="4">
        <v>124</v>
      </c>
      <c r="AA1835" s="4">
        <f>=ROUNDDOWN(62,0)</f>
      </c>
      <c r="AB1835" s="5">
        <v>2</v>
      </c>
      <c r="AC1835" s="2" t="s">
        <v>233</v>
      </c>
      <c r="AD1835" s="4"/>
      <c r="AE1835" s="4"/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233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 t="s">
        <v>233</v>
      </c>
      <c r="AW1835" s="8" t="s">
        <v>233</v>
      </c>
      <c r="AX1835" s="4" t="s">
        <v>233</v>
      </c>
      <c r="AY1835" s="8" t="s">
        <v>233</v>
      </c>
      <c r="AZ1835" s="7" t="s">
        <v>233</v>
      </c>
      <c r="BA1835" s="7" t="s">
        <v>233</v>
      </c>
      <c r="BB1835" s="7" t="s">
        <v>233</v>
      </c>
      <c r="BC1835" s="4" t="s">
        <v>233</v>
      </c>
      <c r="BD1835" s="8" t="s">
        <v>233</v>
      </c>
      <c r="BE1835" s="4" t="s">
        <v>233</v>
      </c>
      <c r="BF1835" s="8" t="s">
        <v>233</v>
      </c>
      <c r="BG1835" s="7" t="s">
        <v>233</v>
      </c>
      <c r="BH1835" s="7" t="s">
        <v>233</v>
      </c>
      <c r="BI1835" s="7"/>
      <c r="BJ1835" s="4">
        <v>2</v>
      </c>
      <c r="BK1835" s="8">
        <v>79.87</v>
      </c>
      <c r="BL1835" s="2" t="s">
        <v>6389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8511</v>
      </c>
      <c r="BV1835" s="2" t="s">
        <v>233</v>
      </c>
      <c r="BW1835" s="2" t="s">
        <v>233</v>
      </c>
      <c r="BX1835" s="2" t="s">
        <v>233</v>
      </c>
      <c r="BY1835" s="2" t="s">
        <v>280</v>
      </c>
      <c r="BZ1835" s="2" t="s">
        <v>245</v>
      </c>
      <c r="CA1835" s="2" t="s">
        <v>5594</v>
      </c>
      <c r="CB1835" s="2" t="s">
        <v>2503</v>
      </c>
      <c r="CC1835" s="2" t="s">
        <v>246</v>
      </c>
      <c r="CD1835" s="2" t="s">
        <v>233</v>
      </c>
      <c r="CE1835" s="4">
        <v>124</v>
      </c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  <c r="HG1835" s="4"/>
      <c r="HH1835" s="4"/>
      <c r="HI1835" s="4"/>
      <c r="HJ1835" s="4"/>
      <c r="HK1835" s="4"/>
      <c r="HL1835" s="4"/>
      <c r="HM1835" s="4"/>
      <c r="HN1835" s="4"/>
      <c r="HO1835" s="4"/>
      <c r="HP1835" s="4"/>
      <c r="HQ1835" s="4"/>
      <c r="HR1835" s="4"/>
    </row>
    <row r="1836">
      <c r="A1836" s="2" t="s">
        <v>8512</v>
      </c>
      <c r="B1836" s="2" t="s">
        <v>1242</v>
      </c>
      <c r="C1836" s="2" t="s">
        <v>243</v>
      </c>
      <c r="D1836" s="2" t="s">
        <v>969</v>
      </c>
      <c r="E1836" s="2" t="s">
        <v>970</v>
      </c>
      <c r="F1836" s="2" t="s">
        <v>8481</v>
      </c>
      <c r="G1836" s="2" t="s">
        <v>8482</v>
      </c>
      <c r="H1836" s="2" t="s">
        <v>8483</v>
      </c>
      <c r="I1836" s="2" t="s">
        <v>8484</v>
      </c>
      <c r="J1836" s="2" t="s">
        <v>918</v>
      </c>
      <c r="K1836" s="2" t="s">
        <v>2942</v>
      </c>
      <c r="L1836" s="3">
        <v>19.04</v>
      </c>
      <c r="M1836" s="3">
        <v>19.99</v>
      </c>
      <c r="N1836" s="3">
        <v>39.99</v>
      </c>
      <c r="O1836" s="2" t="s">
        <v>245</v>
      </c>
      <c r="P1836" s="2" t="s">
        <v>974</v>
      </c>
      <c r="Q1836" s="2" t="s">
        <v>239</v>
      </c>
      <c r="R1836" s="2" t="s">
        <v>233</v>
      </c>
      <c r="S1836" s="2" t="s">
        <v>8513</v>
      </c>
      <c r="T1836" s="2" t="s">
        <v>395</v>
      </c>
      <c r="U1836" s="2" t="s">
        <v>491</v>
      </c>
      <c r="V1836" s="2" t="s">
        <v>1508</v>
      </c>
      <c r="W1836" s="2" t="s">
        <v>397</v>
      </c>
      <c r="X1836" s="2" t="s">
        <v>275</v>
      </c>
      <c r="Y1836" s="2" t="s">
        <v>233</v>
      </c>
      <c r="Z1836" s="4"/>
      <c r="AA1836" s="4">
        <f>=ROUNDDOWN({0},0)</f>
      </c>
      <c r="AB1836" s="5"/>
      <c r="AC1836" s="2" t="s">
        <v>3189</v>
      </c>
      <c r="AD1836" s="4">
        <v>429</v>
      </c>
      <c r="AE1836" s="4">
        <v>534</v>
      </c>
      <c r="AF1836" s="6"/>
      <c r="AG1836" s="6"/>
      <c r="AH1836" s="7">
        <v>0</v>
      </c>
      <c r="AI1836" s="4"/>
      <c r="AJ1836" s="4">
        <f>=ROUNDDOWN({0},0)</f>
      </c>
      <c r="AK1836" s="5"/>
      <c r="AL1836" s="2" t="s">
        <v>233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 t="s">
        <v>233</v>
      </c>
      <c r="AW1836" s="8" t="s">
        <v>233</v>
      </c>
      <c r="AX1836" s="4" t="s">
        <v>233</v>
      </c>
      <c r="AY1836" s="8" t="s">
        <v>233</v>
      </c>
      <c r="AZ1836" s="7" t="s">
        <v>233</v>
      </c>
      <c r="BA1836" s="7" t="s">
        <v>233</v>
      </c>
      <c r="BB1836" s="7"/>
      <c r="BC1836" s="4" t="s">
        <v>233</v>
      </c>
      <c r="BD1836" s="8" t="s">
        <v>233</v>
      </c>
      <c r="BE1836" s="4" t="s">
        <v>233</v>
      </c>
      <c r="BF1836" s="8" t="s">
        <v>233</v>
      </c>
      <c r="BG1836" s="7" t="s">
        <v>233</v>
      </c>
      <c r="BH1836" s="7" t="s">
        <v>233</v>
      </c>
      <c r="BI1836" s="7"/>
      <c r="BJ1836" s="4"/>
      <c r="BK1836" s="8"/>
      <c r="BL1836" s="2" t="s">
        <v>233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243</v>
      </c>
      <c r="BV1836" s="2" t="s">
        <v>233</v>
      </c>
      <c r="BW1836" s="2" t="s">
        <v>233</v>
      </c>
      <c r="BX1836" s="2" t="s">
        <v>243</v>
      </c>
      <c r="BY1836" s="2" t="s">
        <v>244</v>
      </c>
      <c r="BZ1836" s="2" t="s">
        <v>245</v>
      </c>
      <c r="CA1836" s="2" t="s">
        <v>233</v>
      </c>
      <c r="CB1836" s="2" t="s">
        <v>233</v>
      </c>
      <c r="CC1836" s="2" t="s">
        <v>246</v>
      </c>
      <c r="CD1836" s="2" t="s">
        <v>233</v>
      </c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>
        <v>429</v>
      </c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>
        <v>33</v>
      </c>
      <c r="FA1836" s="4"/>
      <c r="FB1836" s="4">
        <v>72</v>
      </c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/>
      <c r="GQ1836" s="4"/>
      <c r="GR1836" s="4"/>
      <c r="GS1836" s="4"/>
      <c r="GT1836" s="4"/>
      <c r="GU1836" s="4"/>
      <c r="GV1836" s="4"/>
      <c r="GW1836" s="4"/>
      <c r="GX1836" s="4"/>
      <c r="GY1836" s="4"/>
      <c r="GZ1836" s="4"/>
      <c r="HA1836" s="4"/>
      <c r="HB1836" s="4"/>
      <c r="HC1836" s="4"/>
      <c r="HD1836" s="4"/>
      <c r="HE1836" s="4"/>
      <c r="HF1836" s="4"/>
      <c r="HG1836" s="4"/>
      <c r="HH1836" s="4"/>
      <c r="HI1836" s="4"/>
      <c r="HJ1836" s="4"/>
      <c r="HK1836" s="4"/>
      <c r="HL1836" s="4"/>
      <c r="HM1836" s="4"/>
      <c r="HN1836" s="4"/>
      <c r="HO1836" s="4"/>
      <c r="HP1836" s="4"/>
      <c r="HQ1836" s="4"/>
      <c r="HR1836" s="4"/>
    </row>
    <row r="1837">
      <c r="A1837" s="2" t="s">
        <v>8514</v>
      </c>
      <c r="B1837" s="2" t="s">
        <v>1242</v>
      </c>
      <c r="C1837" s="2" t="s">
        <v>243</v>
      </c>
      <c r="D1837" s="2" t="s">
        <v>969</v>
      </c>
      <c r="E1837" s="2" t="s">
        <v>970</v>
      </c>
      <c r="F1837" s="2" t="s">
        <v>8481</v>
      </c>
      <c r="G1837" s="2" t="s">
        <v>8482</v>
      </c>
      <c r="H1837" s="2" t="s">
        <v>8483</v>
      </c>
      <c r="I1837" s="2" t="s">
        <v>8484</v>
      </c>
      <c r="J1837" s="2" t="s">
        <v>981</v>
      </c>
      <c r="K1837" s="2" t="s">
        <v>2942</v>
      </c>
      <c r="L1837" s="3">
        <v>23.8</v>
      </c>
      <c r="M1837" s="3">
        <v>24.99</v>
      </c>
      <c r="N1837" s="3">
        <v>49.99</v>
      </c>
      <c r="O1837" s="2" t="s">
        <v>245</v>
      </c>
      <c r="P1837" s="2" t="s">
        <v>974</v>
      </c>
      <c r="Q1837" s="2" t="s">
        <v>239</v>
      </c>
      <c r="R1837" s="2" t="s">
        <v>233</v>
      </c>
      <c r="S1837" s="2" t="s">
        <v>8513</v>
      </c>
      <c r="T1837" s="2" t="s">
        <v>395</v>
      </c>
      <c r="U1837" s="2" t="s">
        <v>475</v>
      </c>
      <c r="V1837" s="2" t="s">
        <v>1508</v>
      </c>
      <c r="W1837" s="2" t="s">
        <v>397</v>
      </c>
      <c r="X1837" s="2" t="s">
        <v>275</v>
      </c>
      <c r="Y1837" s="2" t="s">
        <v>233</v>
      </c>
      <c r="Z1837" s="4"/>
      <c r="AA1837" s="4">
        <f>=ROUNDDOWN({0},0)</f>
      </c>
      <c r="AB1837" s="5"/>
      <c r="AC1837" s="2" t="s">
        <v>3189</v>
      </c>
      <c r="AD1837" s="4">
        <v>1002</v>
      </c>
      <c r="AE1837" s="4">
        <v>1554</v>
      </c>
      <c r="AF1837" s="6"/>
      <c r="AG1837" s="6"/>
      <c r="AH1837" s="7">
        <v>0</v>
      </c>
      <c r="AI1837" s="4"/>
      <c r="AJ1837" s="4">
        <f>=ROUNDDOWN({0},0)</f>
      </c>
      <c r="AK1837" s="5"/>
      <c r="AL1837" s="2" t="s">
        <v>233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 t="s">
        <v>233</v>
      </c>
      <c r="AW1837" s="8" t="s">
        <v>233</v>
      </c>
      <c r="AX1837" s="4" t="s">
        <v>233</v>
      </c>
      <c r="AY1837" s="8" t="s">
        <v>233</v>
      </c>
      <c r="AZ1837" s="7" t="s">
        <v>233</v>
      </c>
      <c r="BA1837" s="7" t="s">
        <v>233</v>
      </c>
      <c r="BB1837" s="7"/>
      <c r="BC1837" s="4" t="s">
        <v>233</v>
      </c>
      <c r="BD1837" s="8" t="s">
        <v>233</v>
      </c>
      <c r="BE1837" s="4" t="s">
        <v>233</v>
      </c>
      <c r="BF1837" s="8" t="s">
        <v>233</v>
      </c>
      <c r="BG1837" s="7" t="s">
        <v>233</v>
      </c>
      <c r="BH1837" s="7" t="s">
        <v>233</v>
      </c>
      <c r="BI1837" s="7"/>
      <c r="BJ1837" s="4"/>
      <c r="BK1837" s="8"/>
      <c r="BL1837" s="2" t="s">
        <v>233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243</v>
      </c>
      <c r="BV1837" s="2" t="s">
        <v>233</v>
      </c>
      <c r="BW1837" s="2" t="s">
        <v>233</v>
      </c>
      <c r="BX1837" s="2" t="s">
        <v>243</v>
      </c>
      <c r="BY1837" s="2" t="s">
        <v>244</v>
      </c>
      <c r="BZ1837" s="2" t="s">
        <v>245</v>
      </c>
      <c r="CA1837" s="2" t="s">
        <v>233</v>
      </c>
      <c r="CB1837" s="2" t="s">
        <v>233</v>
      </c>
      <c r="CC1837" s="2" t="s">
        <v>246</v>
      </c>
      <c r="CD1837" s="2" t="s">
        <v>233</v>
      </c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>
        <v>1002</v>
      </c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>
        <v>252</v>
      </c>
      <c r="FA1837" s="4"/>
      <c r="FB1837" s="4">
        <v>300</v>
      </c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/>
      <c r="GN1837" s="4"/>
      <c r="GO1837" s="4"/>
      <c r="GP1837" s="4"/>
      <c r="GQ1837" s="4"/>
      <c r="GR1837" s="4"/>
      <c r="GS1837" s="4"/>
      <c r="GT1837" s="4"/>
      <c r="GU1837" s="4"/>
      <c r="GV1837" s="4"/>
      <c r="GW1837" s="4"/>
      <c r="GX1837" s="4"/>
      <c r="GY1837" s="4"/>
      <c r="GZ1837" s="4"/>
      <c r="HA1837" s="4"/>
      <c r="HB1837" s="4"/>
      <c r="HC1837" s="4"/>
      <c r="HD1837" s="4"/>
      <c r="HE1837" s="4"/>
      <c r="HF1837" s="4"/>
      <c r="HG1837" s="4"/>
      <c r="HH1837" s="4"/>
      <c r="HI1837" s="4"/>
      <c r="HJ1837" s="4"/>
      <c r="HK1837" s="4"/>
      <c r="HL1837" s="4"/>
      <c r="HM1837" s="4"/>
      <c r="HN1837" s="4"/>
      <c r="HO1837" s="4"/>
      <c r="HP1837" s="4"/>
      <c r="HQ1837" s="4"/>
      <c r="HR1837" s="4"/>
    </row>
    <row r="1838">
      <c r="A1838" s="2" t="s">
        <v>8515</v>
      </c>
      <c r="B1838" s="2" t="s">
        <v>1242</v>
      </c>
      <c r="C1838" s="2" t="s">
        <v>243</v>
      </c>
      <c r="D1838" s="2" t="s">
        <v>969</v>
      </c>
      <c r="E1838" s="2" t="s">
        <v>970</v>
      </c>
      <c r="F1838" s="2" t="s">
        <v>8481</v>
      </c>
      <c r="G1838" s="2" t="s">
        <v>8482</v>
      </c>
      <c r="H1838" s="2" t="s">
        <v>8483</v>
      </c>
      <c r="I1838" s="2" t="s">
        <v>8484</v>
      </c>
      <c r="J1838" s="2" t="s">
        <v>1142</v>
      </c>
      <c r="K1838" s="2" t="s">
        <v>2942</v>
      </c>
      <c r="L1838" s="3">
        <v>26.19</v>
      </c>
      <c r="M1838" s="3">
        <v>27.5</v>
      </c>
      <c r="N1838" s="3">
        <v>54.99</v>
      </c>
      <c r="O1838" s="2" t="s">
        <v>245</v>
      </c>
      <c r="P1838" s="2" t="s">
        <v>974</v>
      </c>
      <c r="Q1838" s="2" t="s">
        <v>239</v>
      </c>
      <c r="R1838" s="2" t="s">
        <v>233</v>
      </c>
      <c r="S1838" s="2" t="s">
        <v>8513</v>
      </c>
      <c r="T1838" s="2" t="s">
        <v>395</v>
      </c>
      <c r="U1838" s="2" t="s">
        <v>475</v>
      </c>
      <c r="V1838" s="2" t="s">
        <v>1508</v>
      </c>
      <c r="W1838" s="2" t="s">
        <v>397</v>
      </c>
      <c r="X1838" s="2" t="s">
        <v>275</v>
      </c>
      <c r="Y1838" s="2" t="s">
        <v>233</v>
      </c>
      <c r="Z1838" s="4"/>
      <c r="AA1838" s="4">
        <f>=ROUNDDOWN({0},0)</f>
      </c>
      <c r="AB1838" s="5"/>
      <c r="AC1838" s="2" t="s">
        <v>3189</v>
      </c>
      <c r="AD1838" s="4">
        <v>819</v>
      </c>
      <c r="AE1838" s="4">
        <v>1257</v>
      </c>
      <c r="AF1838" s="6"/>
      <c r="AG1838" s="6"/>
      <c r="AH1838" s="7">
        <v>0</v>
      </c>
      <c r="AI1838" s="4"/>
      <c r="AJ1838" s="4">
        <f>=ROUNDDOWN({0},0)</f>
      </c>
      <c r="AK1838" s="5"/>
      <c r="AL1838" s="2" t="s">
        <v>233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 t="s">
        <v>233</v>
      </c>
      <c r="AW1838" s="8" t="s">
        <v>233</v>
      </c>
      <c r="AX1838" s="4" t="s">
        <v>233</v>
      </c>
      <c r="AY1838" s="8" t="s">
        <v>233</v>
      </c>
      <c r="AZ1838" s="7" t="s">
        <v>233</v>
      </c>
      <c r="BA1838" s="7" t="s">
        <v>233</v>
      </c>
      <c r="BB1838" s="7"/>
      <c r="BC1838" s="4" t="s">
        <v>233</v>
      </c>
      <c r="BD1838" s="8" t="s">
        <v>233</v>
      </c>
      <c r="BE1838" s="4" t="s">
        <v>233</v>
      </c>
      <c r="BF1838" s="8" t="s">
        <v>233</v>
      </c>
      <c r="BG1838" s="7" t="s">
        <v>233</v>
      </c>
      <c r="BH1838" s="7" t="s">
        <v>233</v>
      </c>
      <c r="BI1838" s="7"/>
      <c r="BJ1838" s="4"/>
      <c r="BK1838" s="8"/>
      <c r="BL1838" s="2" t="s">
        <v>233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243</v>
      </c>
      <c r="BV1838" s="2" t="s">
        <v>233</v>
      </c>
      <c r="BW1838" s="2" t="s">
        <v>233</v>
      </c>
      <c r="BX1838" s="2" t="s">
        <v>243</v>
      </c>
      <c r="BY1838" s="2" t="s">
        <v>244</v>
      </c>
      <c r="BZ1838" s="2" t="s">
        <v>245</v>
      </c>
      <c r="CA1838" s="2" t="s">
        <v>233</v>
      </c>
      <c r="CB1838" s="2" t="s">
        <v>233</v>
      </c>
      <c r="CC1838" s="2" t="s">
        <v>246</v>
      </c>
      <c r="CD1838" s="2" t="s">
        <v>233</v>
      </c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>
        <v>819</v>
      </c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>
        <v>216</v>
      </c>
      <c r="FA1838" s="4"/>
      <c r="FB1838" s="4">
        <v>222</v>
      </c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/>
      <c r="HA1838" s="4"/>
      <c r="HB1838" s="4"/>
      <c r="HC1838" s="4"/>
      <c r="HD1838" s="4"/>
      <c r="HE1838" s="4"/>
      <c r="HF1838" s="4"/>
      <c r="HG1838" s="4"/>
      <c r="HH1838" s="4"/>
      <c r="HI1838" s="4"/>
      <c r="HJ1838" s="4"/>
      <c r="HK1838" s="4"/>
      <c r="HL1838" s="4"/>
      <c r="HM1838" s="4"/>
      <c r="HN1838" s="4"/>
      <c r="HO1838" s="4"/>
      <c r="HP1838" s="4"/>
      <c r="HQ1838" s="4"/>
      <c r="HR1838" s="4"/>
    </row>
    <row r="1839">
      <c r="A1839" s="2" t="s">
        <v>8516</v>
      </c>
      <c r="B1839" s="2" t="s">
        <v>1066</v>
      </c>
      <c r="C1839" s="2" t="s">
        <v>901</v>
      </c>
      <c r="D1839" s="2" t="s">
        <v>5853</v>
      </c>
      <c r="E1839" s="2" t="s">
        <v>2650</v>
      </c>
      <c r="F1839" s="2" t="s">
        <v>5573</v>
      </c>
      <c r="G1839" s="2" t="s">
        <v>5573</v>
      </c>
      <c r="H1839" s="2" t="s">
        <v>5573</v>
      </c>
      <c r="I1839" s="2" t="s">
        <v>8517</v>
      </c>
      <c r="J1839" s="2" t="s">
        <v>8518</v>
      </c>
      <c r="K1839" s="2" t="s">
        <v>2188</v>
      </c>
      <c r="L1839" s="3">
        <v>157.5</v>
      </c>
      <c r="M1839" s="3">
        <v>165.38</v>
      </c>
      <c r="N1839" s="3">
        <v>329</v>
      </c>
      <c r="O1839" s="2" t="s">
        <v>245</v>
      </c>
      <c r="P1839" s="2" t="s">
        <v>238</v>
      </c>
      <c r="Q1839" s="2" t="s">
        <v>239</v>
      </c>
      <c r="R1839" s="2" t="s">
        <v>233</v>
      </c>
      <c r="S1839" s="2" t="s">
        <v>233</v>
      </c>
      <c r="T1839" s="2" t="s">
        <v>233</v>
      </c>
      <c r="U1839" s="2" t="s">
        <v>396</v>
      </c>
      <c r="V1839" s="2" t="s">
        <v>893</v>
      </c>
      <c r="W1839" s="2" t="s">
        <v>397</v>
      </c>
      <c r="X1839" s="2" t="s">
        <v>275</v>
      </c>
      <c r="Y1839" s="2" t="s">
        <v>5352</v>
      </c>
      <c r="Z1839" s="4">
        <v>73</v>
      </c>
      <c r="AA1839" s="4">
        <f>=ROUNDDOWN(36.5,0)</f>
      </c>
      <c r="AB1839" s="5">
        <v>2</v>
      </c>
      <c r="AC1839" s="2" t="s">
        <v>233</v>
      </c>
      <c r="AD1839" s="4"/>
      <c r="AE1839" s="4"/>
      <c r="AF1839" s="6">
        <v>74</v>
      </c>
      <c r="AG1839" s="6"/>
      <c r="AH1839" s="7">
        <v>1</v>
      </c>
      <c r="AI1839" s="4"/>
      <c r="AJ1839" s="4">
        <f>=ROUNDDOWN({0},0)</f>
      </c>
      <c r="AK1839" s="5"/>
      <c r="AL1839" s="2" t="s">
        <v>233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 t="s">
        <v>233</v>
      </c>
      <c r="AW1839" s="8" t="s">
        <v>233</v>
      </c>
      <c r="AX1839" s="4" t="s">
        <v>233</v>
      </c>
      <c r="AY1839" s="8" t="s">
        <v>233</v>
      </c>
      <c r="AZ1839" s="7" t="s">
        <v>233</v>
      </c>
      <c r="BA1839" s="7" t="s">
        <v>233</v>
      </c>
      <c r="BB1839" s="7"/>
      <c r="BC1839" s="4" t="s">
        <v>233</v>
      </c>
      <c r="BD1839" s="8" t="s">
        <v>233</v>
      </c>
      <c r="BE1839" s="4" t="s">
        <v>233</v>
      </c>
      <c r="BF1839" s="8" t="s">
        <v>233</v>
      </c>
      <c r="BG1839" s="7" t="s">
        <v>233</v>
      </c>
      <c r="BH1839" s="7" t="s">
        <v>233</v>
      </c>
      <c r="BI1839" s="7"/>
      <c r="BJ1839" s="4">
        <v>4</v>
      </c>
      <c r="BK1839" s="8">
        <v>666.48</v>
      </c>
      <c r="BL1839" s="2" t="s">
        <v>1023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8519</v>
      </c>
      <c r="BV1839" s="2" t="s">
        <v>233</v>
      </c>
      <c r="BW1839" s="2" t="s">
        <v>233</v>
      </c>
      <c r="BX1839" s="2" t="s">
        <v>243</v>
      </c>
      <c r="BY1839" s="2" t="s">
        <v>280</v>
      </c>
      <c r="BZ1839" s="2" t="s">
        <v>245</v>
      </c>
      <c r="CA1839" s="2" t="s">
        <v>385</v>
      </c>
      <c r="CB1839" s="2" t="s">
        <v>2136</v>
      </c>
      <c r="CC1839" s="2" t="s">
        <v>246</v>
      </c>
      <c r="CD1839" s="2" t="s">
        <v>233</v>
      </c>
      <c r="CE1839" s="4"/>
      <c r="CF1839" s="4">
        <v>73</v>
      </c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/>
      <c r="HA1839" s="4"/>
      <c r="HB1839" s="4"/>
      <c r="HC1839" s="4"/>
      <c r="HD1839" s="4"/>
      <c r="HE1839" s="4"/>
      <c r="HF1839" s="4"/>
      <c r="HG1839" s="4"/>
      <c r="HH1839" s="4"/>
      <c r="HI1839" s="4"/>
      <c r="HJ1839" s="4"/>
      <c r="HK1839" s="4"/>
      <c r="HL1839" s="4"/>
      <c r="HM1839" s="4"/>
      <c r="HN1839" s="4"/>
      <c r="HO1839" s="4"/>
      <c r="HP1839" s="4"/>
      <c r="HQ1839" s="4"/>
      <c r="HR1839" s="4"/>
    </row>
    <row r="1840">
      <c r="A1840" s="2" t="s">
        <v>8520</v>
      </c>
      <c r="B1840" s="2" t="s">
        <v>1066</v>
      </c>
      <c r="C1840" s="2" t="s">
        <v>901</v>
      </c>
      <c r="D1840" s="2" t="s">
        <v>5853</v>
      </c>
      <c r="E1840" s="2" t="s">
        <v>1852</v>
      </c>
      <c r="F1840" s="2" t="s">
        <v>5573</v>
      </c>
      <c r="G1840" s="2" t="s">
        <v>5573</v>
      </c>
      <c r="H1840" s="2" t="s">
        <v>5573</v>
      </c>
      <c r="I1840" s="2" t="s">
        <v>8521</v>
      </c>
      <c r="J1840" s="2" t="s">
        <v>1852</v>
      </c>
      <c r="K1840" s="2" t="s">
        <v>2188</v>
      </c>
      <c r="L1840" s="3">
        <v>118.8</v>
      </c>
      <c r="M1840" s="3">
        <v>124.74</v>
      </c>
      <c r="N1840" s="3">
        <v>249</v>
      </c>
      <c r="O1840" s="2" t="s">
        <v>245</v>
      </c>
      <c r="P1840" s="2" t="s">
        <v>238</v>
      </c>
      <c r="Q1840" s="2" t="s">
        <v>239</v>
      </c>
      <c r="R1840" s="2" t="s">
        <v>233</v>
      </c>
      <c r="S1840" s="2" t="s">
        <v>233</v>
      </c>
      <c r="T1840" s="2" t="s">
        <v>233</v>
      </c>
      <c r="U1840" s="2" t="s">
        <v>396</v>
      </c>
      <c r="V1840" s="2" t="s">
        <v>893</v>
      </c>
      <c r="W1840" s="2" t="s">
        <v>397</v>
      </c>
      <c r="X1840" s="2" t="s">
        <v>275</v>
      </c>
      <c r="Y1840" s="2" t="s">
        <v>5352</v>
      </c>
      <c r="Z1840" s="4">
        <v>33</v>
      </c>
      <c r="AA1840" s="4">
        <f>=ROUNDDOWN(33,0)</f>
      </c>
      <c r="AB1840" s="5">
        <v>1</v>
      </c>
      <c r="AC1840" s="2" t="s">
        <v>233</v>
      </c>
      <c r="AD1840" s="4"/>
      <c r="AE1840" s="4"/>
      <c r="AF1840" s="6">
        <v>74</v>
      </c>
      <c r="AG1840" s="6"/>
      <c r="AH1840" s="7">
        <v>1</v>
      </c>
      <c r="AI1840" s="4"/>
      <c r="AJ1840" s="4">
        <f>=ROUNDDOWN({0},0)</f>
      </c>
      <c r="AK1840" s="5"/>
      <c r="AL1840" s="2" t="s">
        <v>233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 t="s">
        <v>233</v>
      </c>
      <c r="AW1840" s="8" t="s">
        <v>233</v>
      </c>
      <c r="AX1840" s="4" t="s">
        <v>233</v>
      </c>
      <c r="AY1840" s="8" t="s">
        <v>233</v>
      </c>
      <c r="AZ1840" s="7" t="s">
        <v>233</v>
      </c>
      <c r="BA1840" s="7" t="s">
        <v>233</v>
      </c>
      <c r="BB1840" s="7"/>
      <c r="BC1840" s="4" t="s">
        <v>233</v>
      </c>
      <c r="BD1840" s="8" t="s">
        <v>233</v>
      </c>
      <c r="BE1840" s="4" t="s">
        <v>233</v>
      </c>
      <c r="BF1840" s="8" t="s">
        <v>233</v>
      </c>
      <c r="BG1840" s="7" t="s">
        <v>233</v>
      </c>
      <c r="BH1840" s="7" t="s">
        <v>233</v>
      </c>
      <c r="BI1840" s="7"/>
      <c r="BJ1840" s="4">
        <v>2</v>
      </c>
      <c r="BK1840" s="8">
        <v>249.48</v>
      </c>
      <c r="BL1840" s="2" t="s">
        <v>744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8522</v>
      </c>
      <c r="BV1840" s="2" t="s">
        <v>233</v>
      </c>
      <c r="BW1840" s="2" t="s">
        <v>233</v>
      </c>
      <c r="BX1840" s="2" t="s">
        <v>243</v>
      </c>
      <c r="BY1840" s="2" t="s">
        <v>280</v>
      </c>
      <c r="BZ1840" s="2" t="s">
        <v>245</v>
      </c>
      <c r="CA1840" s="2" t="s">
        <v>385</v>
      </c>
      <c r="CB1840" s="2" t="s">
        <v>2136</v>
      </c>
      <c r="CC1840" s="2" t="s">
        <v>246</v>
      </c>
      <c r="CD1840" s="2" t="s">
        <v>233</v>
      </c>
      <c r="CE1840" s="4"/>
      <c r="CF1840" s="4">
        <v>33</v>
      </c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  <c r="HF1840" s="4"/>
      <c r="HG1840" s="4"/>
      <c r="HH1840" s="4"/>
      <c r="HI1840" s="4"/>
      <c r="HJ1840" s="4"/>
      <c r="HK1840" s="4"/>
      <c r="HL1840" s="4"/>
      <c r="HM1840" s="4"/>
      <c r="HN1840" s="4"/>
      <c r="HO1840" s="4"/>
      <c r="HP1840" s="4"/>
      <c r="HQ1840" s="4"/>
      <c r="HR1840" s="4"/>
    </row>
    <row r="1841">
      <c r="A1841" s="2" t="s">
        <v>8523</v>
      </c>
      <c r="B1841" s="2" t="s">
        <v>1066</v>
      </c>
      <c r="C1841" s="2" t="s">
        <v>901</v>
      </c>
      <c r="D1841" s="2" t="s">
        <v>5853</v>
      </c>
      <c r="E1841" s="2" t="s">
        <v>8524</v>
      </c>
      <c r="F1841" s="2" t="s">
        <v>5573</v>
      </c>
      <c r="G1841" s="2" t="s">
        <v>5573</v>
      </c>
      <c r="H1841" s="2" t="s">
        <v>5573</v>
      </c>
      <c r="I1841" s="2" t="s">
        <v>8525</v>
      </c>
      <c r="J1841" s="2" t="s">
        <v>892</v>
      </c>
      <c r="K1841" s="2" t="s">
        <v>2188</v>
      </c>
      <c r="L1841" s="3">
        <v>442.76</v>
      </c>
      <c r="M1841" s="3">
        <v>464.9</v>
      </c>
      <c r="N1841" s="3">
        <v>929</v>
      </c>
      <c r="O1841" s="2" t="s">
        <v>245</v>
      </c>
      <c r="P1841" s="2" t="s">
        <v>1118</v>
      </c>
      <c r="Q1841" s="2" t="s">
        <v>239</v>
      </c>
      <c r="R1841" s="2" t="s">
        <v>233</v>
      </c>
      <c r="S1841" s="2" t="s">
        <v>233</v>
      </c>
      <c r="T1841" s="2" t="s">
        <v>233</v>
      </c>
      <c r="U1841" s="2" t="s">
        <v>475</v>
      </c>
      <c r="V1841" s="2" t="s">
        <v>893</v>
      </c>
      <c r="W1841" s="2" t="s">
        <v>397</v>
      </c>
      <c r="X1841" s="2" t="s">
        <v>275</v>
      </c>
      <c r="Y1841" s="2" t="s">
        <v>5352</v>
      </c>
      <c r="Z1841" s="4">
        <v>33</v>
      </c>
      <c r="AA1841" s="4">
        <f>=ROUNDDOWN({0},0)</f>
      </c>
      <c r="AB1841" s="5"/>
      <c r="AC1841" s="2" t="s">
        <v>233</v>
      </c>
      <c r="AD1841" s="4"/>
      <c r="AE1841" s="4"/>
      <c r="AF1841" s="6"/>
      <c r="AG1841" s="6"/>
      <c r="AH1841" s="7">
        <v>1</v>
      </c>
      <c r="AI1841" s="4"/>
      <c r="AJ1841" s="4">
        <f>=ROUNDDOWN({0},0)</f>
      </c>
      <c r="AK1841" s="5"/>
      <c r="AL1841" s="2" t="s">
        <v>233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 t="s">
        <v>233</v>
      </c>
      <c r="AW1841" s="8" t="s">
        <v>233</v>
      </c>
      <c r="AX1841" s="4" t="s">
        <v>233</v>
      </c>
      <c r="AY1841" s="8" t="s">
        <v>233</v>
      </c>
      <c r="AZ1841" s="7" t="s">
        <v>233</v>
      </c>
      <c r="BA1841" s="7" t="s">
        <v>233</v>
      </c>
      <c r="BB1841" s="7" t="s">
        <v>233</v>
      </c>
      <c r="BC1841" s="4" t="s">
        <v>233</v>
      </c>
      <c r="BD1841" s="8" t="s">
        <v>233</v>
      </c>
      <c r="BE1841" s="4" t="s">
        <v>233</v>
      </c>
      <c r="BF1841" s="8" t="s">
        <v>233</v>
      </c>
      <c r="BG1841" s="7" t="s">
        <v>233</v>
      </c>
      <c r="BH1841" s="7" t="s">
        <v>233</v>
      </c>
      <c r="BI1841" s="7"/>
      <c r="BJ1841" s="4"/>
      <c r="BK1841" s="8"/>
      <c r="BL1841" s="2" t="s">
        <v>233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8526</v>
      </c>
      <c r="BV1841" s="2" t="s">
        <v>233</v>
      </c>
      <c r="BW1841" s="2" t="s">
        <v>233</v>
      </c>
      <c r="BX1841" s="2" t="s">
        <v>243</v>
      </c>
      <c r="BY1841" s="2" t="s">
        <v>280</v>
      </c>
      <c r="BZ1841" s="2" t="s">
        <v>245</v>
      </c>
      <c r="CA1841" s="2" t="s">
        <v>385</v>
      </c>
      <c r="CB1841" s="2" t="s">
        <v>233</v>
      </c>
      <c r="CC1841" s="2" t="s">
        <v>246</v>
      </c>
      <c r="CD1841" s="2" t="s">
        <v>233</v>
      </c>
      <c r="CE1841" s="4"/>
      <c r="CF1841" s="4">
        <v>33</v>
      </c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  <c r="HF1841" s="4"/>
      <c r="HG1841" s="4"/>
      <c r="HH1841" s="4"/>
      <c r="HI1841" s="4"/>
      <c r="HJ1841" s="4"/>
      <c r="HK1841" s="4"/>
      <c r="HL1841" s="4"/>
      <c r="HM1841" s="4"/>
      <c r="HN1841" s="4"/>
      <c r="HO1841" s="4"/>
      <c r="HP1841" s="4"/>
      <c r="HQ1841" s="4"/>
      <c r="HR1841" s="4"/>
    </row>
    <row r="1842">
      <c r="A1842" s="2" t="s">
        <v>8527</v>
      </c>
      <c r="B1842" s="2" t="s">
        <v>1066</v>
      </c>
      <c r="C1842" s="2" t="s">
        <v>901</v>
      </c>
      <c r="D1842" s="2" t="s">
        <v>5853</v>
      </c>
      <c r="E1842" s="2" t="s">
        <v>8524</v>
      </c>
      <c r="F1842" s="2" t="s">
        <v>5573</v>
      </c>
      <c r="G1842" s="2" t="s">
        <v>5573</v>
      </c>
      <c r="H1842" s="2" t="s">
        <v>5573</v>
      </c>
      <c r="I1842" s="2" t="s">
        <v>8528</v>
      </c>
      <c r="J1842" s="2" t="s">
        <v>892</v>
      </c>
      <c r="K1842" s="2" t="s">
        <v>2188</v>
      </c>
      <c r="L1842" s="3">
        <v>591.02</v>
      </c>
      <c r="M1842" s="3">
        <v>620.57</v>
      </c>
      <c r="N1842" s="3">
        <v>1239</v>
      </c>
      <c r="O1842" s="2" t="s">
        <v>245</v>
      </c>
      <c r="P1842" s="2" t="s">
        <v>1118</v>
      </c>
      <c r="Q1842" s="2" t="s">
        <v>239</v>
      </c>
      <c r="R1842" s="2" t="s">
        <v>233</v>
      </c>
      <c r="S1842" s="2" t="s">
        <v>233</v>
      </c>
      <c r="T1842" s="2" t="s">
        <v>233</v>
      </c>
      <c r="U1842" s="2" t="s">
        <v>342</v>
      </c>
      <c r="V1842" s="2" t="s">
        <v>893</v>
      </c>
      <c r="W1842" s="2" t="s">
        <v>397</v>
      </c>
      <c r="X1842" s="2" t="s">
        <v>275</v>
      </c>
      <c r="Y1842" s="2" t="s">
        <v>5352</v>
      </c>
      <c r="Z1842" s="4">
        <v>33</v>
      </c>
      <c r="AA1842" s="4">
        <f>=ROUNDDOWN({0},0)</f>
      </c>
      <c r="AB1842" s="5"/>
      <c r="AC1842" s="2" t="s">
        <v>233</v>
      </c>
      <c r="AD1842" s="4"/>
      <c r="AE1842" s="4"/>
      <c r="AF1842" s="6"/>
      <c r="AG1842" s="6"/>
      <c r="AH1842" s="7">
        <v>1</v>
      </c>
      <c r="AI1842" s="4"/>
      <c r="AJ1842" s="4">
        <f>=ROUNDDOWN({0},0)</f>
      </c>
      <c r="AK1842" s="5"/>
      <c r="AL1842" s="2" t="s">
        <v>233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 t="s">
        <v>233</v>
      </c>
      <c r="AW1842" s="8" t="s">
        <v>233</v>
      </c>
      <c r="AX1842" s="4" t="s">
        <v>233</v>
      </c>
      <c r="AY1842" s="8" t="s">
        <v>233</v>
      </c>
      <c r="AZ1842" s="7" t="s">
        <v>233</v>
      </c>
      <c r="BA1842" s="7" t="s">
        <v>233</v>
      </c>
      <c r="BB1842" s="7" t="s">
        <v>233</v>
      </c>
      <c r="BC1842" s="4" t="s">
        <v>233</v>
      </c>
      <c r="BD1842" s="8" t="s">
        <v>233</v>
      </c>
      <c r="BE1842" s="4" t="s">
        <v>233</v>
      </c>
      <c r="BF1842" s="8" t="s">
        <v>233</v>
      </c>
      <c r="BG1842" s="7" t="s">
        <v>233</v>
      </c>
      <c r="BH1842" s="7" t="s">
        <v>233</v>
      </c>
      <c r="BI1842" s="7"/>
      <c r="BJ1842" s="4">
        <v>1</v>
      </c>
      <c r="BK1842" s="8">
        <v>620.57</v>
      </c>
      <c r="BL1842" s="2" t="s">
        <v>744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8529</v>
      </c>
      <c r="BV1842" s="2" t="s">
        <v>233</v>
      </c>
      <c r="BW1842" s="2" t="s">
        <v>233</v>
      </c>
      <c r="BX1842" s="2" t="s">
        <v>243</v>
      </c>
      <c r="BY1842" s="2" t="s">
        <v>280</v>
      </c>
      <c r="BZ1842" s="2" t="s">
        <v>245</v>
      </c>
      <c r="CA1842" s="2" t="s">
        <v>385</v>
      </c>
      <c r="CB1842" s="2" t="s">
        <v>3327</v>
      </c>
      <c r="CC1842" s="2" t="s">
        <v>246</v>
      </c>
      <c r="CD1842" s="2" t="s">
        <v>233</v>
      </c>
      <c r="CE1842" s="4"/>
      <c r="CF1842" s="4">
        <v>33</v>
      </c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  <c r="HF1842" s="4"/>
      <c r="HG1842" s="4"/>
      <c r="HH1842" s="4"/>
      <c r="HI1842" s="4"/>
      <c r="HJ1842" s="4"/>
      <c r="HK1842" s="4"/>
      <c r="HL1842" s="4"/>
      <c r="HM1842" s="4"/>
      <c r="HN1842" s="4"/>
      <c r="HO1842" s="4"/>
      <c r="HP1842" s="4"/>
      <c r="HQ1842" s="4"/>
      <c r="HR1842" s="4"/>
    </row>
    <row r="1843">
      <c r="A1843" s="2" t="s">
        <v>8530</v>
      </c>
      <c r="B1843" s="2" t="s">
        <v>1066</v>
      </c>
      <c r="C1843" s="2" t="s">
        <v>901</v>
      </c>
      <c r="D1843" s="2" t="s">
        <v>5853</v>
      </c>
      <c r="E1843" s="2" t="s">
        <v>2543</v>
      </c>
      <c r="F1843" s="2" t="s">
        <v>5573</v>
      </c>
      <c r="G1843" s="2" t="s">
        <v>5573</v>
      </c>
      <c r="H1843" s="2" t="s">
        <v>5573</v>
      </c>
      <c r="I1843" s="2" t="s">
        <v>8531</v>
      </c>
      <c r="J1843" s="2" t="s">
        <v>892</v>
      </c>
      <c r="K1843" s="2" t="s">
        <v>2188</v>
      </c>
      <c r="L1843" s="3">
        <v>326.34</v>
      </c>
      <c r="M1843" s="3">
        <v>342.66</v>
      </c>
      <c r="N1843" s="3">
        <v>689</v>
      </c>
      <c r="O1843" s="2" t="s">
        <v>245</v>
      </c>
      <c r="P1843" s="2" t="s">
        <v>1118</v>
      </c>
      <c r="Q1843" s="2" t="s">
        <v>239</v>
      </c>
      <c r="R1843" s="2" t="s">
        <v>233</v>
      </c>
      <c r="S1843" s="2" t="s">
        <v>233</v>
      </c>
      <c r="T1843" s="2" t="s">
        <v>233</v>
      </c>
      <c r="U1843" s="2" t="s">
        <v>491</v>
      </c>
      <c r="V1843" s="2" t="s">
        <v>893</v>
      </c>
      <c r="W1843" s="2" t="s">
        <v>397</v>
      </c>
      <c r="X1843" s="2" t="s">
        <v>275</v>
      </c>
      <c r="Y1843" s="2" t="s">
        <v>5352</v>
      </c>
      <c r="Z1843" s="4">
        <v>58</v>
      </c>
      <c r="AA1843" s="4">
        <f>=ROUNDDOWN({0},0)</f>
      </c>
      <c r="AB1843" s="5"/>
      <c r="AC1843" s="2" t="s">
        <v>233</v>
      </c>
      <c r="AD1843" s="4"/>
      <c r="AE1843" s="4"/>
      <c r="AF1843" s="6"/>
      <c r="AG1843" s="6"/>
      <c r="AH1843" s="7">
        <v>1</v>
      </c>
      <c r="AI1843" s="4"/>
      <c r="AJ1843" s="4">
        <f>=ROUNDDOWN({0},0)</f>
      </c>
      <c r="AK1843" s="5"/>
      <c r="AL1843" s="2" t="s">
        <v>233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 t="s">
        <v>233</v>
      </c>
      <c r="AW1843" s="8" t="s">
        <v>233</v>
      </c>
      <c r="AX1843" s="4" t="s">
        <v>233</v>
      </c>
      <c r="AY1843" s="8" t="s">
        <v>233</v>
      </c>
      <c r="AZ1843" s="7" t="s">
        <v>233</v>
      </c>
      <c r="BA1843" s="7" t="s">
        <v>233</v>
      </c>
      <c r="BB1843" s="7" t="s">
        <v>233</v>
      </c>
      <c r="BC1843" s="4" t="s">
        <v>233</v>
      </c>
      <c r="BD1843" s="8" t="s">
        <v>233</v>
      </c>
      <c r="BE1843" s="4" t="s">
        <v>233</v>
      </c>
      <c r="BF1843" s="8" t="s">
        <v>233</v>
      </c>
      <c r="BG1843" s="7" t="s">
        <v>233</v>
      </c>
      <c r="BH1843" s="7" t="s">
        <v>233</v>
      </c>
      <c r="BI1843" s="7"/>
      <c r="BJ1843" s="4"/>
      <c r="BK1843" s="8"/>
      <c r="BL1843" s="2" t="s">
        <v>233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8532</v>
      </c>
      <c r="BV1843" s="2" t="s">
        <v>233</v>
      </c>
      <c r="BW1843" s="2" t="s">
        <v>233</v>
      </c>
      <c r="BX1843" s="2" t="s">
        <v>243</v>
      </c>
      <c r="BY1843" s="2" t="s">
        <v>280</v>
      </c>
      <c r="BZ1843" s="2" t="s">
        <v>245</v>
      </c>
      <c r="CA1843" s="2" t="s">
        <v>385</v>
      </c>
      <c r="CB1843" s="2" t="s">
        <v>233</v>
      </c>
      <c r="CC1843" s="2" t="s">
        <v>246</v>
      </c>
      <c r="CD1843" s="2" t="s">
        <v>233</v>
      </c>
      <c r="CE1843" s="4"/>
      <c r="CF1843" s="4">
        <v>58</v>
      </c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  <c r="HF1843" s="4"/>
      <c r="HG1843" s="4"/>
      <c r="HH1843" s="4"/>
      <c r="HI1843" s="4"/>
      <c r="HJ1843" s="4"/>
      <c r="HK1843" s="4"/>
      <c r="HL1843" s="4"/>
      <c r="HM1843" s="4"/>
      <c r="HN1843" s="4"/>
      <c r="HO1843" s="4"/>
      <c r="HP1843" s="4"/>
      <c r="HQ1843" s="4"/>
      <c r="HR1843" s="4"/>
    </row>
    <row r="1844">
      <c r="A1844" s="2" t="s">
        <v>8533</v>
      </c>
      <c r="B1844" s="2" t="s">
        <v>1066</v>
      </c>
      <c r="C1844" s="2" t="s">
        <v>901</v>
      </c>
      <c r="D1844" s="2" t="s">
        <v>5853</v>
      </c>
      <c r="E1844" s="2" t="s">
        <v>2543</v>
      </c>
      <c r="F1844" s="2" t="s">
        <v>5573</v>
      </c>
      <c r="G1844" s="2" t="s">
        <v>5573</v>
      </c>
      <c r="H1844" s="2" t="s">
        <v>5573</v>
      </c>
      <c r="I1844" s="2" t="s">
        <v>8534</v>
      </c>
      <c r="J1844" s="2" t="s">
        <v>892</v>
      </c>
      <c r="K1844" s="2" t="s">
        <v>2188</v>
      </c>
      <c r="L1844" s="3">
        <v>785.99</v>
      </c>
      <c r="M1844" s="3">
        <v>825.29</v>
      </c>
      <c r="N1844" s="3">
        <v>1649</v>
      </c>
      <c r="O1844" s="2" t="s">
        <v>245</v>
      </c>
      <c r="P1844" s="2" t="s">
        <v>1118</v>
      </c>
      <c r="Q1844" s="2" t="s">
        <v>239</v>
      </c>
      <c r="R1844" s="2" t="s">
        <v>233</v>
      </c>
      <c r="S1844" s="2" t="s">
        <v>233</v>
      </c>
      <c r="T1844" s="2" t="s">
        <v>233</v>
      </c>
      <c r="U1844" s="2" t="s">
        <v>1482</v>
      </c>
      <c r="V1844" s="2" t="s">
        <v>893</v>
      </c>
      <c r="W1844" s="2" t="s">
        <v>397</v>
      </c>
      <c r="X1844" s="2" t="s">
        <v>275</v>
      </c>
      <c r="Y1844" s="2" t="s">
        <v>5352</v>
      </c>
      <c r="Z1844" s="4">
        <v>36</v>
      </c>
      <c r="AA1844" s="4">
        <f>=ROUNDDOWN({0},0)</f>
      </c>
      <c r="AB1844" s="5"/>
      <c r="AC1844" s="2" t="s">
        <v>233</v>
      </c>
      <c r="AD1844" s="4"/>
      <c r="AE1844" s="4"/>
      <c r="AF1844" s="6"/>
      <c r="AG1844" s="6"/>
      <c r="AH1844" s="7">
        <v>1</v>
      </c>
      <c r="AI1844" s="4"/>
      <c r="AJ1844" s="4">
        <f>=ROUNDDOWN({0},0)</f>
      </c>
      <c r="AK1844" s="5"/>
      <c r="AL1844" s="2" t="s">
        <v>233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 t="s">
        <v>233</v>
      </c>
      <c r="AW1844" s="8" t="s">
        <v>233</v>
      </c>
      <c r="AX1844" s="4" t="s">
        <v>233</v>
      </c>
      <c r="AY1844" s="8" t="s">
        <v>233</v>
      </c>
      <c r="AZ1844" s="7" t="s">
        <v>233</v>
      </c>
      <c r="BA1844" s="7" t="s">
        <v>233</v>
      </c>
      <c r="BB1844" s="7" t="s">
        <v>233</v>
      </c>
      <c r="BC1844" s="4" t="s">
        <v>233</v>
      </c>
      <c r="BD1844" s="8" t="s">
        <v>233</v>
      </c>
      <c r="BE1844" s="4" t="s">
        <v>233</v>
      </c>
      <c r="BF1844" s="8" t="s">
        <v>233</v>
      </c>
      <c r="BG1844" s="7" t="s">
        <v>233</v>
      </c>
      <c r="BH1844" s="7" t="s">
        <v>233</v>
      </c>
      <c r="BI1844" s="7"/>
      <c r="BJ1844" s="4"/>
      <c r="BK1844" s="8"/>
      <c r="BL1844" s="2" t="s">
        <v>233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8535</v>
      </c>
      <c r="BV1844" s="2" t="s">
        <v>233</v>
      </c>
      <c r="BW1844" s="2" t="s">
        <v>233</v>
      </c>
      <c r="BX1844" s="2" t="s">
        <v>243</v>
      </c>
      <c r="BY1844" s="2" t="s">
        <v>280</v>
      </c>
      <c r="BZ1844" s="2" t="s">
        <v>245</v>
      </c>
      <c r="CA1844" s="2" t="s">
        <v>385</v>
      </c>
      <c r="CB1844" s="2" t="s">
        <v>233</v>
      </c>
      <c r="CC1844" s="2" t="s">
        <v>246</v>
      </c>
      <c r="CD1844" s="2" t="s">
        <v>233</v>
      </c>
      <c r="CE1844" s="4"/>
      <c r="CF1844" s="4">
        <v>36</v>
      </c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  <c r="HG1844" s="4"/>
      <c r="HH1844" s="4"/>
      <c r="HI1844" s="4"/>
      <c r="HJ1844" s="4"/>
      <c r="HK1844" s="4"/>
      <c r="HL1844" s="4"/>
      <c r="HM1844" s="4"/>
      <c r="HN1844" s="4"/>
      <c r="HO1844" s="4"/>
      <c r="HP1844" s="4"/>
      <c r="HQ1844" s="4"/>
      <c r="HR1844" s="4"/>
    </row>
    <row r="1845">
      <c r="A1845" s="2" t="s">
        <v>8536</v>
      </c>
      <c r="B1845" s="2" t="s">
        <v>1066</v>
      </c>
      <c r="C1845" s="2" t="s">
        <v>901</v>
      </c>
      <c r="D1845" s="2" t="s">
        <v>5853</v>
      </c>
      <c r="E1845" s="2" t="s">
        <v>2543</v>
      </c>
      <c r="F1845" s="2" t="s">
        <v>5573</v>
      </c>
      <c r="G1845" s="2" t="s">
        <v>5573</v>
      </c>
      <c r="H1845" s="2" t="s">
        <v>5573</v>
      </c>
      <c r="I1845" s="2" t="s">
        <v>8537</v>
      </c>
      <c r="J1845" s="2" t="s">
        <v>892</v>
      </c>
      <c r="K1845" s="2" t="s">
        <v>2188</v>
      </c>
      <c r="L1845" s="3">
        <v>480.69</v>
      </c>
      <c r="M1845" s="3">
        <v>504.72</v>
      </c>
      <c r="N1845" s="3">
        <v>999</v>
      </c>
      <c r="O1845" s="2" t="s">
        <v>245</v>
      </c>
      <c r="P1845" s="2" t="s">
        <v>1118</v>
      </c>
      <c r="Q1845" s="2" t="s">
        <v>239</v>
      </c>
      <c r="R1845" s="2" t="s">
        <v>233</v>
      </c>
      <c r="S1845" s="2" t="s">
        <v>233</v>
      </c>
      <c r="T1845" s="2" t="s">
        <v>233</v>
      </c>
      <c r="U1845" s="2" t="s">
        <v>475</v>
      </c>
      <c r="V1845" s="2" t="s">
        <v>893</v>
      </c>
      <c r="W1845" s="2" t="s">
        <v>397</v>
      </c>
      <c r="X1845" s="2" t="s">
        <v>275</v>
      </c>
      <c r="Y1845" s="2" t="s">
        <v>5352</v>
      </c>
      <c r="Z1845" s="4">
        <v>58</v>
      </c>
      <c r="AA1845" s="4">
        <f>=ROUNDDOWN({0},0)</f>
      </c>
      <c r="AB1845" s="5"/>
      <c r="AC1845" s="2" t="s">
        <v>233</v>
      </c>
      <c r="AD1845" s="4"/>
      <c r="AE1845" s="4"/>
      <c r="AF1845" s="6"/>
      <c r="AG1845" s="6"/>
      <c r="AH1845" s="7">
        <v>1</v>
      </c>
      <c r="AI1845" s="4"/>
      <c r="AJ1845" s="4">
        <f>=ROUNDDOWN({0},0)</f>
      </c>
      <c r="AK1845" s="5"/>
      <c r="AL1845" s="2" t="s">
        <v>233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 t="s">
        <v>233</v>
      </c>
      <c r="AW1845" s="8" t="s">
        <v>233</v>
      </c>
      <c r="AX1845" s="4" t="s">
        <v>233</v>
      </c>
      <c r="AY1845" s="8" t="s">
        <v>233</v>
      </c>
      <c r="AZ1845" s="7" t="s">
        <v>233</v>
      </c>
      <c r="BA1845" s="7" t="s">
        <v>233</v>
      </c>
      <c r="BB1845" s="7" t="s">
        <v>233</v>
      </c>
      <c r="BC1845" s="4" t="s">
        <v>233</v>
      </c>
      <c r="BD1845" s="8" t="s">
        <v>233</v>
      </c>
      <c r="BE1845" s="4" t="s">
        <v>233</v>
      </c>
      <c r="BF1845" s="8" t="s">
        <v>233</v>
      </c>
      <c r="BG1845" s="7" t="s">
        <v>233</v>
      </c>
      <c r="BH1845" s="7" t="s">
        <v>233</v>
      </c>
      <c r="BI1845" s="7"/>
      <c r="BJ1845" s="4"/>
      <c r="BK1845" s="8"/>
      <c r="BL1845" s="2" t="s">
        <v>233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8538</v>
      </c>
      <c r="BV1845" s="2" t="s">
        <v>233</v>
      </c>
      <c r="BW1845" s="2" t="s">
        <v>233</v>
      </c>
      <c r="BX1845" s="2" t="s">
        <v>243</v>
      </c>
      <c r="BY1845" s="2" t="s">
        <v>280</v>
      </c>
      <c r="BZ1845" s="2" t="s">
        <v>245</v>
      </c>
      <c r="CA1845" s="2" t="s">
        <v>385</v>
      </c>
      <c r="CB1845" s="2" t="s">
        <v>233</v>
      </c>
      <c r="CC1845" s="2" t="s">
        <v>246</v>
      </c>
      <c r="CD1845" s="2" t="s">
        <v>233</v>
      </c>
      <c r="CE1845" s="4"/>
      <c r="CF1845" s="4">
        <v>58</v>
      </c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  <c r="HF1845" s="4"/>
      <c r="HG1845" s="4"/>
      <c r="HH1845" s="4"/>
      <c r="HI1845" s="4"/>
      <c r="HJ1845" s="4"/>
      <c r="HK1845" s="4"/>
      <c r="HL1845" s="4"/>
      <c r="HM1845" s="4"/>
      <c r="HN1845" s="4"/>
      <c r="HO1845" s="4"/>
      <c r="HP1845" s="4"/>
      <c r="HQ1845" s="4"/>
      <c r="HR1845" s="4"/>
    </row>
    <row r="1846">
      <c r="A1846" s="2" t="s">
        <v>8539</v>
      </c>
      <c r="B1846" s="2" t="s">
        <v>1066</v>
      </c>
      <c r="C1846" s="2" t="s">
        <v>901</v>
      </c>
      <c r="D1846" s="2" t="s">
        <v>5853</v>
      </c>
      <c r="E1846" s="2" t="s">
        <v>2543</v>
      </c>
      <c r="F1846" s="2" t="s">
        <v>5573</v>
      </c>
      <c r="G1846" s="2" t="s">
        <v>5573</v>
      </c>
      <c r="H1846" s="2" t="s">
        <v>5573</v>
      </c>
      <c r="I1846" s="2" t="s">
        <v>8540</v>
      </c>
      <c r="J1846" s="2" t="s">
        <v>892</v>
      </c>
      <c r="K1846" s="2" t="s">
        <v>2188</v>
      </c>
      <c r="L1846" s="3">
        <v>777.31</v>
      </c>
      <c r="M1846" s="3">
        <v>816.18</v>
      </c>
      <c r="N1846" s="3">
        <v>1629</v>
      </c>
      <c r="O1846" s="2" t="s">
        <v>245</v>
      </c>
      <c r="P1846" s="2" t="s">
        <v>1118</v>
      </c>
      <c r="Q1846" s="2" t="s">
        <v>239</v>
      </c>
      <c r="R1846" s="2" t="s">
        <v>233</v>
      </c>
      <c r="S1846" s="2" t="s">
        <v>233</v>
      </c>
      <c r="T1846" s="2" t="s">
        <v>233</v>
      </c>
      <c r="U1846" s="2" t="s">
        <v>1482</v>
      </c>
      <c r="V1846" s="2" t="s">
        <v>893</v>
      </c>
      <c r="W1846" s="2" t="s">
        <v>397</v>
      </c>
      <c r="X1846" s="2" t="s">
        <v>275</v>
      </c>
      <c r="Y1846" s="2" t="s">
        <v>5352</v>
      </c>
      <c r="Z1846" s="4">
        <v>24</v>
      </c>
      <c r="AA1846" s="4">
        <f>=ROUNDDOWN(240,0)</f>
      </c>
      <c r="AB1846" s="5">
        <v>0.1</v>
      </c>
      <c r="AC1846" s="2" t="s">
        <v>233</v>
      </c>
      <c r="AD1846" s="4"/>
      <c r="AE1846" s="4"/>
      <c r="AF1846" s="6"/>
      <c r="AG1846" s="6"/>
      <c r="AH1846" s="7">
        <v>1</v>
      </c>
      <c r="AI1846" s="4"/>
      <c r="AJ1846" s="4">
        <f>=ROUNDDOWN({0},0)</f>
      </c>
      <c r="AK1846" s="5"/>
      <c r="AL1846" s="2" t="s">
        <v>233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 t="s">
        <v>233</v>
      </c>
      <c r="AW1846" s="8" t="s">
        <v>233</v>
      </c>
      <c r="AX1846" s="4" t="s">
        <v>233</v>
      </c>
      <c r="AY1846" s="8" t="s">
        <v>233</v>
      </c>
      <c r="AZ1846" s="7" t="s">
        <v>233</v>
      </c>
      <c r="BA1846" s="7" t="s">
        <v>233</v>
      </c>
      <c r="BB1846" s="7" t="s">
        <v>233</v>
      </c>
      <c r="BC1846" s="4" t="s">
        <v>233</v>
      </c>
      <c r="BD1846" s="8" t="s">
        <v>233</v>
      </c>
      <c r="BE1846" s="4" t="s">
        <v>233</v>
      </c>
      <c r="BF1846" s="8" t="s">
        <v>233</v>
      </c>
      <c r="BG1846" s="7" t="s">
        <v>233</v>
      </c>
      <c r="BH1846" s="7" t="s">
        <v>233</v>
      </c>
      <c r="BI1846" s="7"/>
      <c r="BJ1846" s="4"/>
      <c r="BK1846" s="8"/>
      <c r="BL1846" s="2" t="s">
        <v>233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8541</v>
      </c>
      <c r="BV1846" s="2" t="s">
        <v>233</v>
      </c>
      <c r="BW1846" s="2" t="s">
        <v>233</v>
      </c>
      <c r="BX1846" s="2" t="s">
        <v>243</v>
      </c>
      <c r="BY1846" s="2" t="s">
        <v>280</v>
      </c>
      <c r="BZ1846" s="2" t="s">
        <v>245</v>
      </c>
      <c r="CA1846" s="2" t="s">
        <v>385</v>
      </c>
      <c r="CB1846" s="2" t="s">
        <v>233</v>
      </c>
      <c r="CC1846" s="2" t="s">
        <v>246</v>
      </c>
      <c r="CD1846" s="2" t="s">
        <v>233</v>
      </c>
      <c r="CE1846" s="4"/>
      <c r="CF1846" s="4">
        <v>24</v>
      </c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  <c r="HF1846" s="4"/>
      <c r="HG1846" s="4"/>
      <c r="HH1846" s="4"/>
      <c r="HI1846" s="4"/>
      <c r="HJ1846" s="4"/>
      <c r="HK1846" s="4"/>
      <c r="HL1846" s="4"/>
      <c r="HM1846" s="4"/>
      <c r="HN1846" s="4"/>
      <c r="HO1846" s="4"/>
      <c r="HP1846" s="4"/>
      <c r="HQ1846" s="4"/>
      <c r="HR1846" s="4"/>
    </row>
    <row r="1847">
      <c r="A1847" s="2" t="s">
        <v>8542</v>
      </c>
      <c r="B1847" s="2" t="s">
        <v>1066</v>
      </c>
      <c r="C1847" s="2" t="s">
        <v>901</v>
      </c>
      <c r="D1847" s="2" t="s">
        <v>5853</v>
      </c>
      <c r="E1847" s="2" t="s">
        <v>2650</v>
      </c>
      <c r="F1847" s="2" t="s">
        <v>5573</v>
      </c>
      <c r="G1847" s="2" t="s">
        <v>5573</v>
      </c>
      <c r="H1847" s="2" t="s">
        <v>5573</v>
      </c>
      <c r="I1847" s="2" t="s">
        <v>8517</v>
      </c>
      <c r="J1847" s="2" t="s">
        <v>8518</v>
      </c>
      <c r="K1847" s="2" t="s">
        <v>8543</v>
      </c>
      <c r="L1847" s="3">
        <v>157.5</v>
      </c>
      <c r="M1847" s="3">
        <v>165.38</v>
      </c>
      <c r="N1847" s="3">
        <v>329</v>
      </c>
      <c r="O1847" s="2" t="s">
        <v>245</v>
      </c>
      <c r="P1847" s="2" t="s">
        <v>272</v>
      </c>
      <c r="Q1847" s="2" t="s">
        <v>239</v>
      </c>
      <c r="R1847" s="2" t="s">
        <v>233</v>
      </c>
      <c r="S1847" s="2" t="s">
        <v>233</v>
      </c>
      <c r="T1847" s="2" t="s">
        <v>233</v>
      </c>
      <c r="U1847" s="2" t="s">
        <v>396</v>
      </c>
      <c r="V1847" s="2" t="s">
        <v>893</v>
      </c>
      <c r="W1847" s="2" t="s">
        <v>397</v>
      </c>
      <c r="X1847" s="2" t="s">
        <v>275</v>
      </c>
      <c r="Y1847" s="2" t="s">
        <v>8544</v>
      </c>
      <c r="Z1847" s="4">
        <v>16</v>
      </c>
      <c r="AA1847" s="4">
        <f>=ROUNDDOWN(5.33333333333333,0)</f>
      </c>
      <c r="AB1847" s="5">
        <v>3</v>
      </c>
      <c r="AC1847" s="2" t="s">
        <v>2872</v>
      </c>
      <c r="AD1847" s="4">
        <v>100</v>
      </c>
      <c r="AE1847" s="4">
        <v>100</v>
      </c>
      <c r="AF1847" s="6">
        <v>74</v>
      </c>
      <c r="AG1847" s="6"/>
      <c r="AH1847" s="7">
        <v>1</v>
      </c>
      <c r="AI1847" s="4"/>
      <c r="AJ1847" s="4">
        <f>=ROUNDDOWN({0},0)</f>
      </c>
      <c r="AK1847" s="5"/>
      <c r="AL1847" s="2" t="s">
        <v>233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 t="s">
        <v>233</v>
      </c>
      <c r="AW1847" s="8" t="s">
        <v>233</v>
      </c>
      <c r="AX1847" s="4" t="s">
        <v>233</v>
      </c>
      <c r="AY1847" s="8" t="s">
        <v>233</v>
      </c>
      <c r="AZ1847" s="7" t="s">
        <v>233</v>
      </c>
      <c r="BA1847" s="7" t="s">
        <v>233</v>
      </c>
      <c r="BB1847" s="7"/>
      <c r="BC1847" s="4" t="s">
        <v>233</v>
      </c>
      <c r="BD1847" s="8" t="s">
        <v>233</v>
      </c>
      <c r="BE1847" s="4" t="s">
        <v>233</v>
      </c>
      <c r="BF1847" s="8" t="s">
        <v>233</v>
      </c>
      <c r="BG1847" s="7" t="s">
        <v>233</v>
      </c>
      <c r="BH1847" s="7" t="s">
        <v>233</v>
      </c>
      <c r="BI1847" s="7"/>
      <c r="BJ1847" s="4">
        <v>13</v>
      </c>
      <c r="BK1847" s="8">
        <v>2188.65</v>
      </c>
      <c r="BL1847" s="2" t="s">
        <v>744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8545</v>
      </c>
      <c r="BV1847" s="2" t="s">
        <v>233</v>
      </c>
      <c r="BW1847" s="2" t="s">
        <v>233</v>
      </c>
      <c r="BX1847" s="2" t="s">
        <v>243</v>
      </c>
      <c r="BY1847" s="2" t="s">
        <v>280</v>
      </c>
      <c r="BZ1847" s="2" t="s">
        <v>245</v>
      </c>
      <c r="CA1847" s="2" t="s">
        <v>8289</v>
      </c>
      <c r="CB1847" s="2" t="s">
        <v>5900</v>
      </c>
      <c r="CC1847" s="2" t="s">
        <v>246</v>
      </c>
      <c r="CD1847" s="2" t="s">
        <v>233</v>
      </c>
      <c r="CE1847" s="4"/>
      <c r="CF1847" s="4">
        <v>16</v>
      </c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>
        <v>100</v>
      </c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4"/>
      <c r="HE1847" s="4"/>
      <c r="HF1847" s="4"/>
      <c r="HG1847" s="4"/>
      <c r="HH1847" s="4"/>
      <c r="HI1847" s="4"/>
      <c r="HJ1847" s="4"/>
      <c r="HK1847" s="4"/>
      <c r="HL1847" s="4"/>
      <c r="HM1847" s="4"/>
      <c r="HN1847" s="4"/>
      <c r="HO1847" s="4"/>
      <c r="HP1847" s="4"/>
      <c r="HQ1847" s="4"/>
      <c r="HR1847" s="4"/>
    </row>
    <row r="1848">
      <c r="A1848" s="2" t="s">
        <v>8546</v>
      </c>
      <c r="B1848" s="2" t="s">
        <v>1066</v>
      </c>
      <c r="C1848" s="2" t="s">
        <v>901</v>
      </c>
      <c r="D1848" s="2" t="s">
        <v>5853</v>
      </c>
      <c r="E1848" s="2" t="s">
        <v>2650</v>
      </c>
      <c r="F1848" s="2" t="s">
        <v>5573</v>
      </c>
      <c r="G1848" s="2" t="s">
        <v>5573</v>
      </c>
      <c r="H1848" s="2" t="s">
        <v>5573</v>
      </c>
      <c r="I1848" s="2" t="s">
        <v>8547</v>
      </c>
      <c r="J1848" s="2" t="s">
        <v>8548</v>
      </c>
      <c r="K1848" s="2" t="s">
        <v>8543</v>
      </c>
      <c r="L1848" s="3">
        <v>166.5</v>
      </c>
      <c r="M1848" s="3">
        <v>174.82</v>
      </c>
      <c r="N1848" s="3">
        <v>349</v>
      </c>
      <c r="O1848" s="2" t="s">
        <v>245</v>
      </c>
      <c r="P1848" s="2" t="s">
        <v>272</v>
      </c>
      <c r="Q1848" s="2" t="s">
        <v>239</v>
      </c>
      <c r="R1848" s="2" t="s">
        <v>233</v>
      </c>
      <c r="S1848" s="2" t="s">
        <v>233</v>
      </c>
      <c r="T1848" s="2" t="s">
        <v>233</v>
      </c>
      <c r="U1848" s="2" t="s">
        <v>396</v>
      </c>
      <c r="V1848" s="2" t="s">
        <v>893</v>
      </c>
      <c r="W1848" s="2" t="s">
        <v>397</v>
      </c>
      <c r="X1848" s="2" t="s">
        <v>275</v>
      </c>
      <c r="Y1848" s="2" t="s">
        <v>8544</v>
      </c>
      <c r="Z1848" s="4">
        <v>72</v>
      </c>
      <c r="AA1848" s="4">
        <f>=ROUNDDOWN(18,0)</f>
      </c>
      <c r="AB1848" s="5">
        <v>4</v>
      </c>
      <c r="AC1848" s="2" t="s">
        <v>5751</v>
      </c>
      <c r="AD1848" s="4">
        <v>72</v>
      </c>
      <c r="AE1848" s="4">
        <v>72</v>
      </c>
      <c r="AF1848" s="6">
        <v>74</v>
      </c>
      <c r="AG1848" s="6"/>
      <c r="AH1848" s="7">
        <v>1</v>
      </c>
      <c r="AI1848" s="4"/>
      <c r="AJ1848" s="4">
        <f>=ROUNDDOWN({0},0)</f>
      </c>
      <c r="AK1848" s="5"/>
      <c r="AL1848" s="2" t="s">
        <v>233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 t="s">
        <v>233</v>
      </c>
      <c r="AW1848" s="8" t="s">
        <v>233</v>
      </c>
      <c r="AX1848" s="4" t="s">
        <v>233</v>
      </c>
      <c r="AY1848" s="8" t="s">
        <v>233</v>
      </c>
      <c r="AZ1848" s="7" t="s">
        <v>233</v>
      </c>
      <c r="BA1848" s="7" t="s">
        <v>233</v>
      </c>
      <c r="BB1848" s="7"/>
      <c r="BC1848" s="4" t="s">
        <v>233</v>
      </c>
      <c r="BD1848" s="8" t="s">
        <v>233</v>
      </c>
      <c r="BE1848" s="4" t="s">
        <v>233</v>
      </c>
      <c r="BF1848" s="8" t="s">
        <v>233</v>
      </c>
      <c r="BG1848" s="7" t="s">
        <v>233</v>
      </c>
      <c r="BH1848" s="7" t="s">
        <v>233</v>
      </c>
      <c r="BI1848" s="7"/>
      <c r="BJ1848" s="4">
        <v>13</v>
      </c>
      <c r="BK1848" s="8">
        <v>2456.76</v>
      </c>
      <c r="BL1848" s="2" t="s">
        <v>1023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8549</v>
      </c>
      <c r="BV1848" s="2" t="s">
        <v>233</v>
      </c>
      <c r="BW1848" s="2" t="s">
        <v>233</v>
      </c>
      <c r="BX1848" s="2" t="s">
        <v>243</v>
      </c>
      <c r="BY1848" s="2" t="s">
        <v>280</v>
      </c>
      <c r="BZ1848" s="2" t="s">
        <v>245</v>
      </c>
      <c r="CA1848" s="2" t="s">
        <v>8289</v>
      </c>
      <c r="CB1848" s="2" t="s">
        <v>5570</v>
      </c>
      <c r="CC1848" s="2" t="s">
        <v>246</v>
      </c>
      <c r="CD1848" s="2" t="s">
        <v>233</v>
      </c>
      <c r="CE1848" s="4"/>
      <c r="CF1848" s="4">
        <v>72</v>
      </c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>
        <v>72</v>
      </c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  <c r="HF1848" s="4"/>
      <c r="HG1848" s="4"/>
      <c r="HH1848" s="4"/>
      <c r="HI1848" s="4"/>
      <c r="HJ1848" s="4"/>
      <c r="HK1848" s="4"/>
      <c r="HL1848" s="4"/>
      <c r="HM1848" s="4"/>
      <c r="HN1848" s="4"/>
      <c r="HO1848" s="4"/>
      <c r="HP1848" s="4"/>
      <c r="HQ1848" s="4"/>
      <c r="HR1848" s="4"/>
    </row>
    <row r="1849">
      <c r="A1849" s="2" t="s">
        <v>8550</v>
      </c>
      <c r="B1849" s="2" t="s">
        <v>1066</v>
      </c>
      <c r="C1849" s="2" t="s">
        <v>901</v>
      </c>
      <c r="D1849" s="2" t="s">
        <v>5853</v>
      </c>
      <c r="E1849" s="2" t="s">
        <v>1852</v>
      </c>
      <c r="F1849" s="2" t="s">
        <v>5573</v>
      </c>
      <c r="G1849" s="2" t="s">
        <v>5573</v>
      </c>
      <c r="H1849" s="2" t="s">
        <v>5573</v>
      </c>
      <c r="I1849" s="2" t="s">
        <v>8521</v>
      </c>
      <c r="J1849" s="2" t="s">
        <v>1852</v>
      </c>
      <c r="K1849" s="2" t="s">
        <v>8543</v>
      </c>
      <c r="L1849" s="3">
        <v>118.8</v>
      </c>
      <c r="M1849" s="3">
        <v>124.74</v>
      </c>
      <c r="N1849" s="3">
        <v>249</v>
      </c>
      <c r="O1849" s="2" t="s">
        <v>245</v>
      </c>
      <c r="P1849" s="2" t="s">
        <v>393</v>
      </c>
      <c r="Q1849" s="2" t="s">
        <v>239</v>
      </c>
      <c r="R1849" s="2" t="s">
        <v>233</v>
      </c>
      <c r="S1849" s="2" t="s">
        <v>233</v>
      </c>
      <c r="T1849" s="2" t="s">
        <v>233</v>
      </c>
      <c r="U1849" s="2" t="s">
        <v>396</v>
      </c>
      <c r="V1849" s="2" t="s">
        <v>893</v>
      </c>
      <c r="W1849" s="2" t="s">
        <v>397</v>
      </c>
      <c r="X1849" s="2" t="s">
        <v>275</v>
      </c>
      <c r="Y1849" s="2" t="s">
        <v>8544</v>
      </c>
      <c r="Z1849" s="4">
        <v>57</v>
      </c>
      <c r="AA1849" s="4">
        <f>=ROUNDDOWN(28.5,0)</f>
      </c>
      <c r="AB1849" s="5">
        <v>2</v>
      </c>
      <c r="AC1849" s="2" t="s">
        <v>233</v>
      </c>
      <c r="AD1849" s="4"/>
      <c r="AE1849" s="4"/>
      <c r="AF1849" s="6">
        <v>74</v>
      </c>
      <c r="AG1849" s="6"/>
      <c r="AH1849" s="7">
        <v>1</v>
      </c>
      <c r="AI1849" s="4"/>
      <c r="AJ1849" s="4">
        <f>=ROUNDDOWN({0},0)</f>
      </c>
      <c r="AK1849" s="5"/>
      <c r="AL1849" s="2" t="s">
        <v>233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 t="s">
        <v>233</v>
      </c>
      <c r="AW1849" s="8" t="s">
        <v>233</v>
      </c>
      <c r="AX1849" s="4" t="s">
        <v>233</v>
      </c>
      <c r="AY1849" s="8" t="s">
        <v>233</v>
      </c>
      <c r="AZ1849" s="7" t="s">
        <v>233</v>
      </c>
      <c r="BA1849" s="7" t="s">
        <v>233</v>
      </c>
      <c r="BB1849" s="7"/>
      <c r="BC1849" s="4" t="s">
        <v>233</v>
      </c>
      <c r="BD1849" s="8" t="s">
        <v>233</v>
      </c>
      <c r="BE1849" s="4" t="s">
        <v>233</v>
      </c>
      <c r="BF1849" s="8" t="s">
        <v>233</v>
      </c>
      <c r="BG1849" s="7" t="s">
        <v>233</v>
      </c>
      <c r="BH1849" s="7" t="s">
        <v>233</v>
      </c>
      <c r="BI1849" s="7"/>
      <c r="BJ1849" s="4">
        <v>6</v>
      </c>
      <c r="BK1849" s="8">
        <v>787.71</v>
      </c>
      <c r="BL1849" s="2" t="s">
        <v>1023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8551</v>
      </c>
      <c r="BV1849" s="2" t="s">
        <v>233</v>
      </c>
      <c r="BW1849" s="2" t="s">
        <v>233</v>
      </c>
      <c r="BX1849" s="2" t="s">
        <v>243</v>
      </c>
      <c r="BY1849" s="2" t="s">
        <v>280</v>
      </c>
      <c r="BZ1849" s="2" t="s">
        <v>245</v>
      </c>
      <c r="CA1849" s="2" t="s">
        <v>8289</v>
      </c>
      <c r="CB1849" s="2" t="s">
        <v>2115</v>
      </c>
      <c r="CC1849" s="2" t="s">
        <v>246</v>
      </c>
      <c r="CD1849" s="2" t="s">
        <v>233</v>
      </c>
      <c r="CE1849" s="4"/>
      <c r="CF1849" s="4">
        <v>57</v>
      </c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  <c r="HF1849" s="4"/>
      <c r="HG1849" s="4"/>
      <c r="HH1849" s="4"/>
      <c r="HI1849" s="4"/>
      <c r="HJ1849" s="4"/>
      <c r="HK1849" s="4"/>
      <c r="HL1849" s="4"/>
      <c r="HM1849" s="4"/>
      <c r="HN1849" s="4"/>
      <c r="HO1849" s="4"/>
      <c r="HP1849" s="4"/>
      <c r="HQ1849" s="4"/>
      <c r="HR1849" s="4"/>
    </row>
    <row r="1850">
      <c r="A1850" s="2" t="s">
        <v>8552</v>
      </c>
      <c r="B1850" s="2" t="s">
        <v>1066</v>
      </c>
      <c r="C1850" s="2" t="s">
        <v>901</v>
      </c>
      <c r="D1850" s="2" t="s">
        <v>5853</v>
      </c>
      <c r="E1850" s="2" t="s">
        <v>8553</v>
      </c>
      <c r="F1850" s="2" t="s">
        <v>5573</v>
      </c>
      <c r="G1850" s="2" t="s">
        <v>5573</v>
      </c>
      <c r="H1850" s="2" t="s">
        <v>5573</v>
      </c>
      <c r="I1850" s="2" t="s">
        <v>8525</v>
      </c>
      <c r="J1850" s="2" t="s">
        <v>892</v>
      </c>
      <c r="K1850" s="2" t="s">
        <v>8543</v>
      </c>
      <c r="L1850" s="3">
        <v>442.76</v>
      </c>
      <c r="M1850" s="3">
        <v>464.9</v>
      </c>
      <c r="N1850" s="3">
        <v>929</v>
      </c>
      <c r="O1850" s="2" t="s">
        <v>245</v>
      </c>
      <c r="P1850" s="2" t="s">
        <v>1118</v>
      </c>
      <c r="Q1850" s="2" t="s">
        <v>239</v>
      </c>
      <c r="R1850" s="2" t="s">
        <v>233</v>
      </c>
      <c r="S1850" s="2" t="s">
        <v>233</v>
      </c>
      <c r="T1850" s="2" t="s">
        <v>233</v>
      </c>
      <c r="U1850" s="2" t="s">
        <v>475</v>
      </c>
      <c r="V1850" s="2" t="s">
        <v>893</v>
      </c>
      <c r="W1850" s="2" t="s">
        <v>397</v>
      </c>
      <c r="X1850" s="2" t="s">
        <v>275</v>
      </c>
      <c r="Y1850" s="2" t="s">
        <v>8289</v>
      </c>
      <c r="Z1850" s="4">
        <v>36</v>
      </c>
      <c r="AA1850" s="4">
        <f>=ROUNDDOWN(360,0)</f>
      </c>
      <c r="AB1850" s="5">
        <v>0.1</v>
      </c>
      <c r="AC1850" s="2" t="s">
        <v>233</v>
      </c>
      <c r="AD1850" s="4"/>
      <c r="AE1850" s="4"/>
      <c r="AF1850" s="6"/>
      <c r="AG1850" s="6"/>
      <c r="AH1850" s="7">
        <v>1</v>
      </c>
      <c r="AI1850" s="4"/>
      <c r="AJ1850" s="4">
        <f>=ROUNDDOWN({0},0)</f>
      </c>
      <c r="AK1850" s="5"/>
      <c r="AL1850" s="2" t="s">
        <v>233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 t="s">
        <v>233</v>
      </c>
      <c r="AW1850" s="8" t="s">
        <v>233</v>
      </c>
      <c r="AX1850" s="4" t="s">
        <v>233</v>
      </c>
      <c r="AY1850" s="8" t="s">
        <v>233</v>
      </c>
      <c r="AZ1850" s="7" t="s">
        <v>233</v>
      </c>
      <c r="BA1850" s="7" t="s">
        <v>233</v>
      </c>
      <c r="BB1850" s="7" t="s">
        <v>233</v>
      </c>
      <c r="BC1850" s="4" t="s">
        <v>233</v>
      </c>
      <c r="BD1850" s="8" t="s">
        <v>233</v>
      </c>
      <c r="BE1850" s="4" t="s">
        <v>233</v>
      </c>
      <c r="BF1850" s="8" t="s">
        <v>233</v>
      </c>
      <c r="BG1850" s="7" t="s">
        <v>233</v>
      </c>
      <c r="BH1850" s="7" t="s">
        <v>233</v>
      </c>
      <c r="BI1850" s="7"/>
      <c r="BJ1850" s="4">
        <v>1</v>
      </c>
      <c r="BK1850" s="8">
        <v>464.9</v>
      </c>
      <c r="BL1850" s="2" t="s">
        <v>744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8554</v>
      </c>
      <c r="BV1850" s="2" t="s">
        <v>233</v>
      </c>
      <c r="BW1850" s="2" t="s">
        <v>233</v>
      </c>
      <c r="BX1850" s="2" t="s">
        <v>243</v>
      </c>
      <c r="BY1850" s="2" t="s">
        <v>280</v>
      </c>
      <c r="BZ1850" s="2" t="s">
        <v>245</v>
      </c>
      <c r="CA1850" s="2" t="s">
        <v>4929</v>
      </c>
      <c r="CB1850" s="2" t="s">
        <v>233</v>
      </c>
      <c r="CC1850" s="2" t="s">
        <v>246</v>
      </c>
      <c r="CD1850" s="2" t="s">
        <v>233</v>
      </c>
      <c r="CE1850" s="4"/>
      <c r="CF1850" s="4">
        <v>36</v>
      </c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/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  <c r="HF1850" s="4"/>
      <c r="HG1850" s="4"/>
      <c r="HH1850" s="4"/>
      <c r="HI1850" s="4"/>
      <c r="HJ1850" s="4"/>
      <c r="HK1850" s="4"/>
      <c r="HL1850" s="4"/>
      <c r="HM1850" s="4"/>
      <c r="HN1850" s="4"/>
      <c r="HO1850" s="4"/>
      <c r="HP1850" s="4"/>
      <c r="HQ1850" s="4"/>
      <c r="HR1850" s="4"/>
    </row>
    <row r="1851">
      <c r="A1851" s="2" t="s">
        <v>8555</v>
      </c>
      <c r="B1851" s="2" t="s">
        <v>1066</v>
      </c>
      <c r="C1851" s="2" t="s">
        <v>901</v>
      </c>
      <c r="D1851" s="2" t="s">
        <v>5853</v>
      </c>
      <c r="E1851" s="2" t="s">
        <v>8553</v>
      </c>
      <c r="F1851" s="2" t="s">
        <v>5573</v>
      </c>
      <c r="G1851" s="2" t="s">
        <v>5573</v>
      </c>
      <c r="H1851" s="2" t="s">
        <v>5573</v>
      </c>
      <c r="I1851" s="2" t="s">
        <v>8528</v>
      </c>
      <c r="J1851" s="2" t="s">
        <v>892</v>
      </c>
      <c r="K1851" s="2" t="s">
        <v>8543</v>
      </c>
      <c r="L1851" s="3">
        <v>591.02</v>
      </c>
      <c r="M1851" s="3">
        <v>620.57</v>
      </c>
      <c r="N1851" s="3">
        <v>1239</v>
      </c>
      <c r="O1851" s="2" t="s">
        <v>245</v>
      </c>
      <c r="P1851" s="2" t="s">
        <v>1118</v>
      </c>
      <c r="Q1851" s="2" t="s">
        <v>239</v>
      </c>
      <c r="R1851" s="2" t="s">
        <v>233</v>
      </c>
      <c r="S1851" s="2" t="s">
        <v>233</v>
      </c>
      <c r="T1851" s="2" t="s">
        <v>233</v>
      </c>
      <c r="U1851" s="2" t="s">
        <v>342</v>
      </c>
      <c r="V1851" s="2" t="s">
        <v>893</v>
      </c>
      <c r="W1851" s="2" t="s">
        <v>397</v>
      </c>
      <c r="X1851" s="2" t="s">
        <v>275</v>
      </c>
      <c r="Y1851" s="2" t="s">
        <v>8289</v>
      </c>
      <c r="Z1851" s="4">
        <v>16</v>
      </c>
      <c r="AA1851" s="4">
        <f>=ROUNDDOWN(160,0)</f>
      </c>
      <c r="AB1851" s="5">
        <v>0.1</v>
      </c>
      <c r="AC1851" s="2" t="s">
        <v>233</v>
      </c>
      <c r="AD1851" s="4"/>
      <c r="AE1851" s="4"/>
      <c r="AF1851" s="6"/>
      <c r="AG1851" s="6"/>
      <c r="AH1851" s="7">
        <v>1</v>
      </c>
      <c r="AI1851" s="4"/>
      <c r="AJ1851" s="4">
        <f>=ROUNDDOWN({0},0)</f>
      </c>
      <c r="AK1851" s="5"/>
      <c r="AL1851" s="2" t="s">
        <v>233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 t="s">
        <v>233</v>
      </c>
      <c r="AW1851" s="8" t="s">
        <v>233</v>
      </c>
      <c r="AX1851" s="4" t="s">
        <v>233</v>
      </c>
      <c r="AY1851" s="8" t="s">
        <v>233</v>
      </c>
      <c r="AZ1851" s="7" t="s">
        <v>233</v>
      </c>
      <c r="BA1851" s="7" t="s">
        <v>233</v>
      </c>
      <c r="BB1851" s="7" t="s">
        <v>233</v>
      </c>
      <c r="BC1851" s="4" t="s">
        <v>233</v>
      </c>
      <c r="BD1851" s="8" t="s">
        <v>233</v>
      </c>
      <c r="BE1851" s="4" t="s">
        <v>233</v>
      </c>
      <c r="BF1851" s="8" t="s">
        <v>233</v>
      </c>
      <c r="BG1851" s="7" t="s">
        <v>233</v>
      </c>
      <c r="BH1851" s="7" t="s">
        <v>233</v>
      </c>
      <c r="BI1851" s="7"/>
      <c r="BJ1851" s="4"/>
      <c r="BK1851" s="8"/>
      <c r="BL1851" s="2" t="s">
        <v>233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8556</v>
      </c>
      <c r="BV1851" s="2" t="s">
        <v>233</v>
      </c>
      <c r="BW1851" s="2" t="s">
        <v>233</v>
      </c>
      <c r="BX1851" s="2" t="s">
        <v>243</v>
      </c>
      <c r="BY1851" s="2" t="s">
        <v>280</v>
      </c>
      <c r="BZ1851" s="2" t="s">
        <v>245</v>
      </c>
      <c r="CA1851" s="2" t="s">
        <v>4929</v>
      </c>
      <c r="CB1851" s="2" t="s">
        <v>233</v>
      </c>
      <c r="CC1851" s="2" t="s">
        <v>246</v>
      </c>
      <c r="CD1851" s="2" t="s">
        <v>233</v>
      </c>
      <c r="CE1851" s="4"/>
      <c r="CF1851" s="4">
        <v>16</v>
      </c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  <c r="GQ1851" s="4"/>
      <c r="GR1851" s="4"/>
      <c r="GS1851" s="4"/>
      <c r="GT1851" s="4"/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  <c r="HF1851" s="4"/>
      <c r="HG1851" s="4"/>
      <c r="HH1851" s="4"/>
      <c r="HI1851" s="4"/>
      <c r="HJ1851" s="4"/>
      <c r="HK1851" s="4"/>
      <c r="HL1851" s="4"/>
      <c r="HM1851" s="4"/>
      <c r="HN1851" s="4"/>
      <c r="HO1851" s="4"/>
      <c r="HP1851" s="4"/>
      <c r="HQ1851" s="4"/>
      <c r="HR1851" s="4"/>
    </row>
    <row r="1852">
      <c r="A1852" s="2" t="s">
        <v>8557</v>
      </c>
      <c r="B1852" s="2" t="s">
        <v>1066</v>
      </c>
      <c r="C1852" s="2" t="s">
        <v>901</v>
      </c>
      <c r="D1852" s="2" t="s">
        <v>5853</v>
      </c>
      <c r="E1852" s="2" t="s">
        <v>2543</v>
      </c>
      <c r="F1852" s="2" t="s">
        <v>5573</v>
      </c>
      <c r="G1852" s="2" t="s">
        <v>5573</v>
      </c>
      <c r="H1852" s="2" t="s">
        <v>5573</v>
      </c>
      <c r="I1852" s="2" t="s">
        <v>8531</v>
      </c>
      <c r="J1852" s="2" t="s">
        <v>892</v>
      </c>
      <c r="K1852" s="2" t="s">
        <v>8543</v>
      </c>
      <c r="L1852" s="3">
        <v>326.34</v>
      </c>
      <c r="M1852" s="3">
        <v>342.66</v>
      </c>
      <c r="N1852" s="3">
        <v>689</v>
      </c>
      <c r="O1852" s="2" t="s">
        <v>245</v>
      </c>
      <c r="P1852" s="2" t="s">
        <v>1118</v>
      </c>
      <c r="Q1852" s="2" t="s">
        <v>239</v>
      </c>
      <c r="R1852" s="2" t="s">
        <v>233</v>
      </c>
      <c r="S1852" s="2" t="s">
        <v>233</v>
      </c>
      <c r="T1852" s="2" t="s">
        <v>233</v>
      </c>
      <c r="U1852" s="2" t="s">
        <v>491</v>
      </c>
      <c r="V1852" s="2" t="s">
        <v>893</v>
      </c>
      <c r="W1852" s="2" t="s">
        <v>397</v>
      </c>
      <c r="X1852" s="2" t="s">
        <v>275</v>
      </c>
      <c r="Y1852" s="2" t="s">
        <v>8289</v>
      </c>
      <c r="Z1852" s="4">
        <v>36</v>
      </c>
      <c r="AA1852" s="4">
        <f>=ROUNDDOWN({0},0)</f>
      </c>
      <c r="AB1852" s="5"/>
      <c r="AC1852" s="2" t="s">
        <v>233</v>
      </c>
      <c r="AD1852" s="4"/>
      <c r="AE1852" s="4"/>
      <c r="AF1852" s="6"/>
      <c r="AG1852" s="6"/>
      <c r="AH1852" s="7">
        <v>1</v>
      </c>
      <c r="AI1852" s="4"/>
      <c r="AJ1852" s="4">
        <f>=ROUNDDOWN({0},0)</f>
      </c>
      <c r="AK1852" s="5"/>
      <c r="AL1852" s="2" t="s">
        <v>233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 t="s">
        <v>233</v>
      </c>
      <c r="AW1852" s="8" t="s">
        <v>233</v>
      </c>
      <c r="AX1852" s="4" t="s">
        <v>233</v>
      </c>
      <c r="AY1852" s="8" t="s">
        <v>233</v>
      </c>
      <c r="AZ1852" s="7" t="s">
        <v>233</v>
      </c>
      <c r="BA1852" s="7" t="s">
        <v>233</v>
      </c>
      <c r="BB1852" s="7" t="s">
        <v>233</v>
      </c>
      <c r="BC1852" s="4" t="s">
        <v>233</v>
      </c>
      <c r="BD1852" s="8" t="s">
        <v>233</v>
      </c>
      <c r="BE1852" s="4" t="s">
        <v>233</v>
      </c>
      <c r="BF1852" s="8" t="s">
        <v>233</v>
      </c>
      <c r="BG1852" s="7" t="s">
        <v>233</v>
      </c>
      <c r="BH1852" s="7" t="s">
        <v>233</v>
      </c>
      <c r="BI1852" s="7"/>
      <c r="BJ1852" s="4"/>
      <c r="BK1852" s="8"/>
      <c r="BL1852" s="2" t="s">
        <v>233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8558</v>
      </c>
      <c r="BV1852" s="2" t="s">
        <v>233</v>
      </c>
      <c r="BW1852" s="2" t="s">
        <v>233</v>
      </c>
      <c r="BX1852" s="2" t="s">
        <v>243</v>
      </c>
      <c r="BY1852" s="2" t="s">
        <v>280</v>
      </c>
      <c r="BZ1852" s="2" t="s">
        <v>245</v>
      </c>
      <c r="CA1852" s="2" t="s">
        <v>4929</v>
      </c>
      <c r="CB1852" s="2" t="s">
        <v>233</v>
      </c>
      <c r="CC1852" s="2" t="s">
        <v>246</v>
      </c>
      <c r="CD1852" s="2" t="s">
        <v>233</v>
      </c>
      <c r="CE1852" s="4"/>
      <c r="CF1852" s="4">
        <v>36</v>
      </c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/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  <c r="HF1852" s="4"/>
      <c r="HG1852" s="4"/>
      <c r="HH1852" s="4"/>
      <c r="HI1852" s="4"/>
      <c r="HJ1852" s="4"/>
      <c r="HK1852" s="4"/>
      <c r="HL1852" s="4"/>
      <c r="HM1852" s="4"/>
      <c r="HN1852" s="4"/>
      <c r="HO1852" s="4"/>
      <c r="HP1852" s="4"/>
      <c r="HQ1852" s="4"/>
      <c r="HR1852" s="4"/>
    </row>
    <row r="1853">
      <c r="A1853" s="2" t="s">
        <v>8559</v>
      </c>
      <c r="B1853" s="2" t="s">
        <v>1066</v>
      </c>
      <c r="C1853" s="2" t="s">
        <v>901</v>
      </c>
      <c r="D1853" s="2" t="s">
        <v>5853</v>
      </c>
      <c r="E1853" s="2" t="s">
        <v>2543</v>
      </c>
      <c r="F1853" s="2" t="s">
        <v>5573</v>
      </c>
      <c r="G1853" s="2" t="s">
        <v>5573</v>
      </c>
      <c r="H1853" s="2" t="s">
        <v>5573</v>
      </c>
      <c r="I1853" s="2" t="s">
        <v>8534</v>
      </c>
      <c r="J1853" s="2" t="s">
        <v>892</v>
      </c>
      <c r="K1853" s="2" t="s">
        <v>8543</v>
      </c>
      <c r="L1853" s="3">
        <v>785.99</v>
      </c>
      <c r="M1853" s="3">
        <v>825.29</v>
      </c>
      <c r="N1853" s="3">
        <v>1649</v>
      </c>
      <c r="O1853" s="2" t="s">
        <v>245</v>
      </c>
      <c r="P1853" s="2" t="s">
        <v>1118</v>
      </c>
      <c r="Q1853" s="2" t="s">
        <v>239</v>
      </c>
      <c r="R1853" s="2" t="s">
        <v>233</v>
      </c>
      <c r="S1853" s="2" t="s">
        <v>233</v>
      </c>
      <c r="T1853" s="2" t="s">
        <v>233</v>
      </c>
      <c r="U1853" s="2" t="s">
        <v>1482</v>
      </c>
      <c r="V1853" s="2" t="s">
        <v>893</v>
      </c>
      <c r="W1853" s="2" t="s">
        <v>397</v>
      </c>
      <c r="X1853" s="2" t="s">
        <v>275</v>
      </c>
      <c r="Y1853" s="2" t="s">
        <v>8289</v>
      </c>
      <c r="Z1853" s="4">
        <v>8</v>
      </c>
      <c r="AA1853" s="4">
        <f>=ROUNDDOWN({0},0)</f>
      </c>
      <c r="AB1853" s="5"/>
      <c r="AC1853" s="2" t="s">
        <v>233</v>
      </c>
      <c r="AD1853" s="4"/>
      <c r="AE1853" s="4"/>
      <c r="AF1853" s="6"/>
      <c r="AG1853" s="6"/>
      <c r="AH1853" s="7">
        <v>1</v>
      </c>
      <c r="AI1853" s="4"/>
      <c r="AJ1853" s="4">
        <f>=ROUNDDOWN({0},0)</f>
      </c>
      <c r="AK1853" s="5"/>
      <c r="AL1853" s="2" t="s">
        <v>233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 t="s">
        <v>233</v>
      </c>
      <c r="AW1853" s="8" t="s">
        <v>233</v>
      </c>
      <c r="AX1853" s="4" t="s">
        <v>233</v>
      </c>
      <c r="AY1853" s="8" t="s">
        <v>233</v>
      </c>
      <c r="AZ1853" s="7" t="s">
        <v>233</v>
      </c>
      <c r="BA1853" s="7" t="s">
        <v>233</v>
      </c>
      <c r="BB1853" s="7" t="s">
        <v>233</v>
      </c>
      <c r="BC1853" s="4" t="s">
        <v>233</v>
      </c>
      <c r="BD1853" s="8" t="s">
        <v>233</v>
      </c>
      <c r="BE1853" s="4" t="s">
        <v>233</v>
      </c>
      <c r="BF1853" s="8" t="s">
        <v>233</v>
      </c>
      <c r="BG1853" s="7" t="s">
        <v>233</v>
      </c>
      <c r="BH1853" s="7" t="s">
        <v>233</v>
      </c>
      <c r="BI1853" s="7"/>
      <c r="BJ1853" s="4"/>
      <c r="BK1853" s="8"/>
      <c r="BL1853" s="2" t="s">
        <v>233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8560</v>
      </c>
      <c r="BV1853" s="2" t="s">
        <v>233</v>
      </c>
      <c r="BW1853" s="2" t="s">
        <v>233</v>
      </c>
      <c r="BX1853" s="2" t="s">
        <v>243</v>
      </c>
      <c r="BY1853" s="2" t="s">
        <v>280</v>
      </c>
      <c r="BZ1853" s="2" t="s">
        <v>245</v>
      </c>
      <c r="CA1853" s="2" t="s">
        <v>4929</v>
      </c>
      <c r="CB1853" s="2" t="s">
        <v>233</v>
      </c>
      <c r="CC1853" s="2" t="s">
        <v>246</v>
      </c>
      <c r="CD1853" s="2" t="s">
        <v>233</v>
      </c>
      <c r="CE1853" s="4"/>
      <c r="CF1853" s="4">
        <v>8</v>
      </c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/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  <c r="HF1853" s="4"/>
      <c r="HG1853" s="4"/>
      <c r="HH1853" s="4"/>
      <c r="HI1853" s="4"/>
      <c r="HJ1853" s="4"/>
      <c r="HK1853" s="4"/>
      <c r="HL1853" s="4"/>
      <c r="HM1853" s="4"/>
      <c r="HN1853" s="4"/>
      <c r="HO1853" s="4"/>
      <c r="HP1853" s="4"/>
      <c r="HQ1853" s="4"/>
      <c r="HR1853" s="4"/>
    </row>
    <row r="1854">
      <c r="A1854" s="2" t="s">
        <v>8561</v>
      </c>
      <c r="B1854" s="2" t="s">
        <v>1066</v>
      </c>
      <c r="C1854" s="2" t="s">
        <v>901</v>
      </c>
      <c r="D1854" s="2" t="s">
        <v>5853</v>
      </c>
      <c r="E1854" s="2" t="s">
        <v>2543</v>
      </c>
      <c r="F1854" s="2" t="s">
        <v>5573</v>
      </c>
      <c r="G1854" s="2" t="s">
        <v>5573</v>
      </c>
      <c r="H1854" s="2" t="s">
        <v>5573</v>
      </c>
      <c r="I1854" s="2" t="s">
        <v>8537</v>
      </c>
      <c r="J1854" s="2" t="s">
        <v>892</v>
      </c>
      <c r="K1854" s="2" t="s">
        <v>8543</v>
      </c>
      <c r="L1854" s="3">
        <v>480.69</v>
      </c>
      <c r="M1854" s="3">
        <v>504.72</v>
      </c>
      <c r="N1854" s="3">
        <v>999</v>
      </c>
      <c r="O1854" s="2" t="s">
        <v>245</v>
      </c>
      <c r="P1854" s="2" t="s">
        <v>1118</v>
      </c>
      <c r="Q1854" s="2" t="s">
        <v>239</v>
      </c>
      <c r="R1854" s="2" t="s">
        <v>233</v>
      </c>
      <c r="S1854" s="2" t="s">
        <v>233</v>
      </c>
      <c r="T1854" s="2" t="s">
        <v>233</v>
      </c>
      <c r="U1854" s="2" t="s">
        <v>475</v>
      </c>
      <c r="V1854" s="2" t="s">
        <v>893</v>
      </c>
      <c r="W1854" s="2" t="s">
        <v>397</v>
      </c>
      <c r="X1854" s="2" t="s">
        <v>275</v>
      </c>
      <c r="Y1854" s="2" t="s">
        <v>8289</v>
      </c>
      <c r="Z1854" s="4">
        <v>16</v>
      </c>
      <c r="AA1854" s="4">
        <f>=ROUNDDOWN({0},0)</f>
      </c>
      <c r="AB1854" s="5"/>
      <c r="AC1854" s="2" t="s">
        <v>233</v>
      </c>
      <c r="AD1854" s="4"/>
      <c r="AE1854" s="4"/>
      <c r="AF1854" s="6"/>
      <c r="AG1854" s="6"/>
      <c r="AH1854" s="7">
        <v>1</v>
      </c>
      <c r="AI1854" s="4"/>
      <c r="AJ1854" s="4">
        <f>=ROUNDDOWN({0},0)</f>
      </c>
      <c r="AK1854" s="5"/>
      <c r="AL1854" s="2" t="s">
        <v>233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 t="s">
        <v>233</v>
      </c>
      <c r="AW1854" s="8" t="s">
        <v>233</v>
      </c>
      <c r="AX1854" s="4" t="s">
        <v>233</v>
      </c>
      <c r="AY1854" s="8" t="s">
        <v>233</v>
      </c>
      <c r="AZ1854" s="7" t="s">
        <v>233</v>
      </c>
      <c r="BA1854" s="7" t="s">
        <v>233</v>
      </c>
      <c r="BB1854" s="7" t="s">
        <v>233</v>
      </c>
      <c r="BC1854" s="4" t="s">
        <v>233</v>
      </c>
      <c r="BD1854" s="8" t="s">
        <v>233</v>
      </c>
      <c r="BE1854" s="4" t="s">
        <v>233</v>
      </c>
      <c r="BF1854" s="8" t="s">
        <v>233</v>
      </c>
      <c r="BG1854" s="7" t="s">
        <v>233</v>
      </c>
      <c r="BH1854" s="7" t="s">
        <v>233</v>
      </c>
      <c r="BI1854" s="7"/>
      <c r="BJ1854" s="4"/>
      <c r="BK1854" s="8"/>
      <c r="BL1854" s="2" t="s">
        <v>233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8562</v>
      </c>
      <c r="BV1854" s="2" t="s">
        <v>233</v>
      </c>
      <c r="BW1854" s="2" t="s">
        <v>233</v>
      </c>
      <c r="BX1854" s="2" t="s">
        <v>243</v>
      </c>
      <c r="BY1854" s="2" t="s">
        <v>280</v>
      </c>
      <c r="BZ1854" s="2" t="s">
        <v>245</v>
      </c>
      <c r="CA1854" s="2" t="s">
        <v>4929</v>
      </c>
      <c r="CB1854" s="2" t="s">
        <v>233</v>
      </c>
      <c r="CC1854" s="2" t="s">
        <v>246</v>
      </c>
      <c r="CD1854" s="2" t="s">
        <v>233</v>
      </c>
      <c r="CE1854" s="4"/>
      <c r="CF1854" s="4">
        <v>16</v>
      </c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/>
      <c r="HF1854" s="4"/>
      <c r="HG1854" s="4"/>
      <c r="HH1854" s="4"/>
      <c r="HI1854" s="4"/>
      <c r="HJ1854" s="4"/>
      <c r="HK1854" s="4"/>
      <c r="HL1854" s="4"/>
      <c r="HM1854" s="4"/>
      <c r="HN1854" s="4"/>
      <c r="HO1854" s="4"/>
      <c r="HP1854" s="4"/>
      <c r="HQ1854" s="4"/>
      <c r="HR1854" s="4"/>
    </row>
    <row r="1855">
      <c r="A1855" s="2" t="s">
        <v>8563</v>
      </c>
      <c r="B1855" s="2" t="s">
        <v>1066</v>
      </c>
      <c r="C1855" s="2" t="s">
        <v>901</v>
      </c>
      <c r="D1855" s="2" t="s">
        <v>5853</v>
      </c>
      <c r="E1855" s="2" t="s">
        <v>2543</v>
      </c>
      <c r="F1855" s="2" t="s">
        <v>5573</v>
      </c>
      <c r="G1855" s="2" t="s">
        <v>5573</v>
      </c>
      <c r="H1855" s="2" t="s">
        <v>5573</v>
      </c>
      <c r="I1855" s="2" t="s">
        <v>8540</v>
      </c>
      <c r="J1855" s="2" t="s">
        <v>892</v>
      </c>
      <c r="K1855" s="2" t="s">
        <v>8543</v>
      </c>
      <c r="L1855" s="3">
        <v>777.31</v>
      </c>
      <c r="M1855" s="3">
        <v>816.18</v>
      </c>
      <c r="N1855" s="3">
        <v>1629</v>
      </c>
      <c r="O1855" s="2" t="s">
        <v>245</v>
      </c>
      <c r="P1855" s="2" t="s">
        <v>1118</v>
      </c>
      <c r="Q1855" s="2" t="s">
        <v>239</v>
      </c>
      <c r="R1855" s="2" t="s">
        <v>233</v>
      </c>
      <c r="S1855" s="2" t="s">
        <v>233</v>
      </c>
      <c r="T1855" s="2" t="s">
        <v>233</v>
      </c>
      <c r="U1855" s="2" t="s">
        <v>1482</v>
      </c>
      <c r="V1855" s="2" t="s">
        <v>893</v>
      </c>
      <c r="W1855" s="2" t="s">
        <v>397</v>
      </c>
      <c r="X1855" s="2" t="s">
        <v>275</v>
      </c>
      <c r="Y1855" s="2" t="s">
        <v>8289</v>
      </c>
      <c r="Z1855" s="4">
        <v>5</v>
      </c>
      <c r="AA1855" s="4">
        <f>=ROUNDDOWN({0},0)</f>
      </c>
      <c r="AB1855" s="5"/>
      <c r="AC1855" s="2" t="s">
        <v>233</v>
      </c>
      <c r="AD1855" s="4"/>
      <c r="AE1855" s="4"/>
      <c r="AF1855" s="6"/>
      <c r="AG1855" s="6"/>
      <c r="AH1855" s="7">
        <v>1</v>
      </c>
      <c r="AI1855" s="4"/>
      <c r="AJ1855" s="4">
        <f>=ROUNDDOWN({0},0)</f>
      </c>
      <c r="AK1855" s="5"/>
      <c r="AL1855" s="2" t="s">
        <v>233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 t="s">
        <v>233</v>
      </c>
      <c r="AW1855" s="8" t="s">
        <v>233</v>
      </c>
      <c r="AX1855" s="4" t="s">
        <v>233</v>
      </c>
      <c r="AY1855" s="8" t="s">
        <v>233</v>
      </c>
      <c r="AZ1855" s="7" t="s">
        <v>233</v>
      </c>
      <c r="BA1855" s="7" t="s">
        <v>233</v>
      </c>
      <c r="BB1855" s="7" t="s">
        <v>233</v>
      </c>
      <c r="BC1855" s="4" t="s">
        <v>233</v>
      </c>
      <c r="BD1855" s="8" t="s">
        <v>233</v>
      </c>
      <c r="BE1855" s="4" t="s">
        <v>233</v>
      </c>
      <c r="BF1855" s="8" t="s">
        <v>233</v>
      </c>
      <c r="BG1855" s="7" t="s">
        <v>233</v>
      </c>
      <c r="BH1855" s="7" t="s">
        <v>233</v>
      </c>
      <c r="BI1855" s="7"/>
      <c r="BJ1855" s="4"/>
      <c r="BK1855" s="8"/>
      <c r="BL1855" s="2" t="s">
        <v>233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8564</v>
      </c>
      <c r="BV1855" s="2" t="s">
        <v>233</v>
      </c>
      <c r="BW1855" s="2" t="s">
        <v>233</v>
      </c>
      <c r="BX1855" s="2" t="s">
        <v>243</v>
      </c>
      <c r="BY1855" s="2" t="s">
        <v>280</v>
      </c>
      <c r="BZ1855" s="2" t="s">
        <v>245</v>
      </c>
      <c r="CA1855" s="2" t="s">
        <v>4929</v>
      </c>
      <c r="CB1855" s="2" t="s">
        <v>233</v>
      </c>
      <c r="CC1855" s="2" t="s">
        <v>246</v>
      </c>
      <c r="CD1855" s="2" t="s">
        <v>233</v>
      </c>
      <c r="CE1855" s="4"/>
      <c r="CF1855" s="4">
        <v>5</v>
      </c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/>
      <c r="HF1855" s="4"/>
      <c r="HG1855" s="4"/>
      <c r="HH1855" s="4"/>
      <c r="HI1855" s="4"/>
      <c r="HJ1855" s="4"/>
      <c r="HK1855" s="4"/>
      <c r="HL1855" s="4"/>
      <c r="HM1855" s="4"/>
      <c r="HN1855" s="4"/>
      <c r="HO1855" s="4"/>
      <c r="HP1855" s="4"/>
      <c r="HQ1855" s="4"/>
      <c r="HR1855" s="4"/>
    </row>
    <row r="1856">
      <c r="A1856" s="2" t="s">
        <v>8565</v>
      </c>
      <c r="B1856" s="2" t="s">
        <v>1066</v>
      </c>
      <c r="C1856" s="2" t="s">
        <v>1157</v>
      </c>
      <c r="D1856" s="2" t="s">
        <v>1782</v>
      </c>
      <c r="E1856" s="2" t="s">
        <v>2309</v>
      </c>
      <c r="F1856" s="2" t="s">
        <v>8566</v>
      </c>
      <c r="G1856" s="2" t="s">
        <v>8566</v>
      </c>
      <c r="H1856" s="2" t="s">
        <v>8566</v>
      </c>
      <c r="I1856" s="2" t="s">
        <v>8567</v>
      </c>
      <c r="J1856" s="2" t="s">
        <v>892</v>
      </c>
      <c r="K1856" s="2" t="s">
        <v>8568</v>
      </c>
      <c r="L1856" s="3">
        <v>95.64</v>
      </c>
      <c r="M1856" s="3">
        <v>100.42</v>
      </c>
      <c r="N1856" s="3">
        <v>189.99</v>
      </c>
      <c r="O1856" s="2" t="s">
        <v>237</v>
      </c>
      <c r="P1856" s="2" t="s">
        <v>311</v>
      </c>
      <c r="Q1856" s="2" t="s">
        <v>239</v>
      </c>
      <c r="R1856" s="2" t="s">
        <v>233</v>
      </c>
      <c r="S1856" s="2" t="s">
        <v>233</v>
      </c>
      <c r="T1856" s="2" t="s">
        <v>233</v>
      </c>
      <c r="U1856" s="2" t="s">
        <v>233</v>
      </c>
      <c r="V1856" s="2" t="s">
        <v>893</v>
      </c>
      <c r="W1856" s="2" t="s">
        <v>397</v>
      </c>
      <c r="X1856" s="2" t="s">
        <v>451</v>
      </c>
      <c r="Y1856" s="2" t="s">
        <v>7198</v>
      </c>
      <c r="Z1856" s="4">
        <v>220</v>
      </c>
      <c r="AA1856" s="4">
        <f>=ROUNDDOWN(73.3333333333333,0)</f>
      </c>
      <c r="AB1856" s="5">
        <v>3</v>
      </c>
      <c r="AC1856" s="2" t="s">
        <v>233</v>
      </c>
      <c r="AD1856" s="4"/>
      <c r="AE1856" s="4"/>
      <c r="AF1856" s="6">
        <v>74</v>
      </c>
      <c r="AG1856" s="6"/>
      <c r="AH1856" s="7">
        <v>1</v>
      </c>
      <c r="AI1856" s="4"/>
      <c r="AJ1856" s="4">
        <f>=ROUNDDOWN({0},0)</f>
      </c>
      <c r="AK1856" s="5"/>
      <c r="AL1856" s="2" t="s">
        <v>233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233</v>
      </c>
      <c r="BD1856" s="8" t="s">
        <v>233</v>
      </c>
      <c r="BE1856" s="4" t="s">
        <v>233</v>
      </c>
      <c r="BF1856" s="8" t="s">
        <v>233</v>
      </c>
      <c r="BG1856" s="7" t="s">
        <v>233</v>
      </c>
      <c r="BH1856" s="7" t="s">
        <v>233</v>
      </c>
      <c r="BI1856" s="7"/>
      <c r="BJ1856" s="4">
        <v>6</v>
      </c>
      <c r="BK1856" s="8">
        <v>389.49</v>
      </c>
      <c r="BL1856" s="2" t="s">
        <v>8569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8570</v>
      </c>
      <c r="BV1856" s="2" t="s">
        <v>233</v>
      </c>
      <c r="BW1856" s="2" t="s">
        <v>233</v>
      </c>
      <c r="BX1856" s="2" t="s">
        <v>233</v>
      </c>
      <c r="BY1856" s="2" t="s">
        <v>280</v>
      </c>
      <c r="BZ1856" s="2" t="s">
        <v>245</v>
      </c>
      <c r="CA1856" s="2" t="s">
        <v>8097</v>
      </c>
      <c r="CB1856" s="2" t="s">
        <v>5137</v>
      </c>
      <c r="CC1856" s="2" t="s">
        <v>246</v>
      </c>
      <c r="CD1856" s="2" t="s">
        <v>233</v>
      </c>
      <c r="CE1856" s="4"/>
      <c r="CF1856" s="4">
        <v>220</v>
      </c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  <c r="HF1856" s="4"/>
      <c r="HG1856" s="4"/>
      <c r="HH1856" s="4"/>
      <c r="HI1856" s="4"/>
      <c r="HJ1856" s="4"/>
      <c r="HK1856" s="4"/>
      <c r="HL1856" s="4"/>
      <c r="HM1856" s="4"/>
      <c r="HN1856" s="4"/>
      <c r="HO1856" s="4"/>
      <c r="HP1856" s="4"/>
      <c r="HQ1856" s="4"/>
      <c r="HR1856" s="4"/>
    </row>
    <row r="1857">
      <c r="A1857" s="2" t="s">
        <v>8571</v>
      </c>
      <c r="B1857" s="2" t="s">
        <v>1066</v>
      </c>
      <c r="C1857" s="2" t="s">
        <v>530</v>
      </c>
      <c r="D1857" s="2" t="s">
        <v>1111</v>
      </c>
      <c r="E1857" s="2" t="s">
        <v>1112</v>
      </c>
      <c r="F1857" s="2" t="s">
        <v>8566</v>
      </c>
      <c r="G1857" s="2" t="s">
        <v>8572</v>
      </c>
      <c r="H1857" s="2" t="s">
        <v>8573</v>
      </c>
      <c r="I1857" s="2" t="s">
        <v>8574</v>
      </c>
      <c r="J1857" s="2" t="s">
        <v>892</v>
      </c>
      <c r="K1857" s="2" t="s">
        <v>569</v>
      </c>
      <c r="L1857" s="3">
        <v>162.45</v>
      </c>
      <c r="M1857" s="3">
        <v>170.57</v>
      </c>
      <c r="N1857" s="3">
        <v>339</v>
      </c>
      <c r="O1857" s="2" t="s">
        <v>245</v>
      </c>
      <c r="P1857" s="2" t="s">
        <v>393</v>
      </c>
      <c r="Q1857" s="2" t="s">
        <v>239</v>
      </c>
      <c r="R1857" s="2" t="s">
        <v>233</v>
      </c>
      <c r="S1857" s="2" t="s">
        <v>233</v>
      </c>
      <c r="T1857" s="2" t="s">
        <v>233</v>
      </c>
      <c r="U1857" s="2" t="s">
        <v>233</v>
      </c>
      <c r="V1857" s="2" t="s">
        <v>241</v>
      </c>
      <c r="W1857" s="2" t="s">
        <v>397</v>
      </c>
      <c r="X1857" s="2" t="s">
        <v>451</v>
      </c>
      <c r="Y1857" s="2" t="s">
        <v>8575</v>
      </c>
      <c r="Z1857" s="4">
        <v>97</v>
      </c>
      <c r="AA1857" s="4">
        <f>=ROUNDDOWN(53.8888888888889,0)</f>
      </c>
      <c r="AB1857" s="5">
        <v>1.8</v>
      </c>
      <c r="AC1857" s="2" t="s">
        <v>233</v>
      </c>
      <c r="AD1857" s="4"/>
      <c r="AE1857" s="4"/>
      <c r="AF1857" s="6">
        <v>66</v>
      </c>
      <c r="AG1857" s="6"/>
      <c r="AH1857" s="7">
        <v>1</v>
      </c>
      <c r="AI1857" s="4"/>
      <c r="AJ1857" s="4">
        <f>=ROUNDDOWN({0},0)</f>
      </c>
      <c r="AK1857" s="5"/>
      <c r="AL1857" s="2" t="s">
        <v>233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 t="s">
        <v>233</v>
      </c>
      <c r="BD1857" s="8" t="s">
        <v>233</v>
      </c>
      <c r="BE1857" s="4" t="s">
        <v>233</v>
      </c>
      <c r="BF1857" s="8" t="s">
        <v>233</v>
      </c>
      <c r="BG1857" s="7" t="s">
        <v>233</v>
      </c>
      <c r="BH1857" s="7" t="s">
        <v>233</v>
      </c>
      <c r="BI1857" s="7"/>
      <c r="BJ1857" s="4">
        <v>3</v>
      </c>
      <c r="BK1857" s="8">
        <v>511.71</v>
      </c>
      <c r="BL1857" s="2" t="s">
        <v>744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8576</v>
      </c>
      <c r="BV1857" s="2" t="s">
        <v>233</v>
      </c>
      <c r="BW1857" s="2" t="s">
        <v>233</v>
      </c>
      <c r="BX1857" s="2" t="s">
        <v>233</v>
      </c>
      <c r="BY1857" s="2" t="s">
        <v>280</v>
      </c>
      <c r="BZ1857" s="2" t="s">
        <v>245</v>
      </c>
      <c r="CA1857" s="2" t="s">
        <v>8575</v>
      </c>
      <c r="CB1857" s="2" t="s">
        <v>2406</v>
      </c>
      <c r="CC1857" s="2" t="s">
        <v>246</v>
      </c>
      <c r="CD1857" s="2" t="s">
        <v>233</v>
      </c>
      <c r="CE1857" s="4"/>
      <c r="CF1857" s="4">
        <v>97</v>
      </c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4"/>
      <c r="HG1857" s="4"/>
      <c r="HH1857" s="4"/>
      <c r="HI1857" s="4"/>
      <c r="HJ1857" s="4"/>
      <c r="HK1857" s="4"/>
      <c r="HL1857" s="4"/>
      <c r="HM1857" s="4"/>
      <c r="HN1857" s="4"/>
      <c r="HO1857" s="4"/>
      <c r="HP1857" s="4"/>
      <c r="HQ1857" s="4"/>
      <c r="HR1857" s="4"/>
    </row>
    <row r="1858">
      <c r="A1858" s="2" t="s">
        <v>8577</v>
      </c>
      <c r="B1858" s="2" t="s">
        <v>1242</v>
      </c>
      <c r="C1858" s="2" t="s">
        <v>1986</v>
      </c>
      <c r="D1858" s="2" t="s">
        <v>3474</v>
      </c>
      <c r="E1858" s="2" t="s">
        <v>3475</v>
      </c>
      <c r="F1858" s="2" t="s">
        <v>8578</v>
      </c>
      <c r="G1858" s="2" t="s">
        <v>8578</v>
      </c>
      <c r="H1858" s="2" t="s">
        <v>8578</v>
      </c>
      <c r="I1858" s="2" t="s">
        <v>3477</v>
      </c>
      <c r="J1858" s="2" t="s">
        <v>2757</v>
      </c>
      <c r="K1858" s="2" t="s">
        <v>1454</v>
      </c>
      <c r="L1858" s="3">
        <v>24.76</v>
      </c>
      <c r="M1858" s="3">
        <v>26</v>
      </c>
      <c r="N1858" s="3">
        <v>79.99</v>
      </c>
      <c r="O1858" s="2" t="s">
        <v>245</v>
      </c>
      <c r="P1858" s="2" t="s">
        <v>393</v>
      </c>
      <c r="Q1858" s="2" t="s">
        <v>239</v>
      </c>
      <c r="R1858" s="2" t="s">
        <v>233</v>
      </c>
      <c r="S1858" s="2" t="s">
        <v>233</v>
      </c>
      <c r="T1858" s="2" t="s">
        <v>233</v>
      </c>
      <c r="U1858" s="2" t="s">
        <v>396</v>
      </c>
      <c r="V1858" s="2" t="s">
        <v>1869</v>
      </c>
      <c r="W1858" s="2" t="s">
        <v>776</v>
      </c>
      <c r="X1858" s="2" t="s">
        <v>233</v>
      </c>
      <c r="Y1858" s="2" t="s">
        <v>1995</v>
      </c>
      <c r="Z1858" s="4">
        <v>141</v>
      </c>
      <c r="AA1858" s="4">
        <f>=ROUNDDOWN(35.25,0)</f>
      </c>
      <c r="AB1858" s="5">
        <v>4</v>
      </c>
      <c r="AC1858" s="2" t="s">
        <v>233</v>
      </c>
      <c r="AD1858" s="4"/>
      <c r="AE1858" s="4"/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233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233</v>
      </c>
      <c r="BD1858" s="8" t="s">
        <v>233</v>
      </c>
      <c r="BE1858" s="4" t="s">
        <v>233</v>
      </c>
      <c r="BF1858" s="8" t="s">
        <v>233</v>
      </c>
      <c r="BG1858" s="7" t="s">
        <v>233</v>
      </c>
      <c r="BH1858" s="7" t="s">
        <v>233</v>
      </c>
      <c r="BI1858" s="7"/>
      <c r="BJ1858" s="4">
        <v>14</v>
      </c>
      <c r="BK1858" s="8">
        <v>482.04</v>
      </c>
      <c r="BL1858" s="2" t="s">
        <v>8579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8580</v>
      </c>
      <c r="BV1858" s="2" t="s">
        <v>233</v>
      </c>
      <c r="BW1858" s="2" t="s">
        <v>233</v>
      </c>
      <c r="BX1858" s="2" t="s">
        <v>233</v>
      </c>
      <c r="BY1858" s="2" t="s">
        <v>280</v>
      </c>
      <c r="BZ1858" s="2" t="s">
        <v>245</v>
      </c>
      <c r="CA1858" s="2" t="s">
        <v>1613</v>
      </c>
      <c r="CB1858" s="2" t="s">
        <v>233</v>
      </c>
      <c r="CC1858" s="2" t="s">
        <v>246</v>
      </c>
      <c r="CD1858" s="2" t="s">
        <v>233</v>
      </c>
      <c r="CE1858" s="4">
        <v>141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4"/>
      <c r="HG1858" s="4"/>
      <c r="HH1858" s="4"/>
      <c r="HI1858" s="4"/>
      <c r="HJ1858" s="4"/>
      <c r="HK1858" s="4"/>
      <c r="HL1858" s="4"/>
      <c r="HM1858" s="4"/>
      <c r="HN1858" s="4"/>
      <c r="HO1858" s="4"/>
      <c r="HP1858" s="4"/>
      <c r="HQ1858" s="4"/>
      <c r="HR1858" s="4"/>
    </row>
    <row r="1859">
      <c r="A1859" s="2" t="s">
        <v>8581</v>
      </c>
      <c r="B1859" s="2" t="s">
        <v>1242</v>
      </c>
      <c r="C1859" s="2" t="s">
        <v>1986</v>
      </c>
      <c r="D1859" s="2" t="s">
        <v>3474</v>
      </c>
      <c r="E1859" s="2" t="s">
        <v>3475</v>
      </c>
      <c r="F1859" s="2" t="s">
        <v>8578</v>
      </c>
      <c r="G1859" s="2" t="s">
        <v>8578</v>
      </c>
      <c r="H1859" s="2" t="s">
        <v>8578</v>
      </c>
      <c r="I1859" s="2" t="s">
        <v>3477</v>
      </c>
      <c r="J1859" s="2" t="s">
        <v>2757</v>
      </c>
      <c r="K1859" s="2" t="s">
        <v>525</v>
      </c>
      <c r="L1859" s="3">
        <v>24.76</v>
      </c>
      <c r="M1859" s="3">
        <v>26</v>
      </c>
      <c r="N1859" s="3">
        <v>79.99</v>
      </c>
      <c r="O1859" s="2" t="s">
        <v>245</v>
      </c>
      <c r="P1859" s="2" t="s">
        <v>393</v>
      </c>
      <c r="Q1859" s="2" t="s">
        <v>239</v>
      </c>
      <c r="R1859" s="2" t="s">
        <v>233</v>
      </c>
      <c r="S1859" s="2" t="s">
        <v>233</v>
      </c>
      <c r="T1859" s="2" t="s">
        <v>233</v>
      </c>
      <c r="U1859" s="2" t="s">
        <v>396</v>
      </c>
      <c r="V1859" s="2" t="s">
        <v>1869</v>
      </c>
      <c r="W1859" s="2" t="s">
        <v>776</v>
      </c>
      <c r="X1859" s="2" t="s">
        <v>233</v>
      </c>
      <c r="Y1859" s="2" t="s">
        <v>1995</v>
      </c>
      <c r="Z1859" s="4">
        <v>160</v>
      </c>
      <c r="AA1859" s="4">
        <f>=ROUNDDOWN(80,0)</f>
      </c>
      <c r="AB1859" s="5">
        <v>2</v>
      </c>
      <c r="AC1859" s="2" t="s">
        <v>233</v>
      </c>
      <c r="AD1859" s="4"/>
      <c r="AE1859" s="4"/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233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233</v>
      </c>
      <c r="BD1859" s="8" t="s">
        <v>233</v>
      </c>
      <c r="BE1859" s="4" t="s">
        <v>233</v>
      </c>
      <c r="BF1859" s="8" t="s">
        <v>233</v>
      </c>
      <c r="BG1859" s="7" t="s">
        <v>233</v>
      </c>
      <c r="BH1859" s="7" t="s">
        <v>233</v>
      </c>
      <c r="BI1859" s="7"/>
      <c r="BJ1859" s="4">
        <v>4</v>
      </c>
      <c r="BK1859" s="8">
        <v>271.96</v>
      </c>
      <c r="BL1859" s="2" t="s">
        <v>2501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8582</v>
      </c>
      <c r="BV1859" s="2" t="s">
        <v>233</v>
      </c>
      <c r="BW1859" s="2" t="s">
        <v>233</v>
      </c>
      <c r="BX1859" s="2" t="s">
        <v>233</v>
      </c>
      <c r="BY1859" s="2" t="s">
        <v>280</v>
      </c>
      <c r="BZ1859" s="2" t="s">
        <v>245</v>
      </c>
      <c r="CA1859" s="2" t="s">
        <v>1613</v>
      </c>
      <c r="CB1859" s="2" t="s">
        <v>233</v>
      </c>
      <c r="CC1859" s="2" t="s">
        <v>246</v>
      </c>
      <c r="CD1859" s="2" t="s">
        <v>233</v>
      </c>
      <c r="CE1859" s="4">
        <v>160</v>
      </c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4"/>
      <c r="HG1859" s="4"/>
      <c r="HH1859" s="4"/>
      <c r="HI1859" s="4"/>
      <c r="HJ1859" s="4"/>
      <c r="HK1859" s="4"/>
      <c r="HL1859" s="4"/>
      <c r="HM1859" s="4"/>
      <c r="HN1859" s="4"/>
      <c r="HO1859" s="4"/>
      <c r="HP1859" s="4"/>
      <c r="HQ1859" s="4"/>
      <c r="HR1859" s="4"/>
    </row>
    <row r="1860">
      <c r="A1860" s="2" t="s">
        <v>8583</v>
      </c>
      <c r="B1860" s="2" t="s">
        <v>1066</v>
      </c>
      <c r="C1860" s="2" t="s">
        <v>901</v>
      </c>
      <c r="D1860" s="2" t="s">
        <v>1782</v>
      </c>
      <c r="E1860" s="2" t="s">
        <v>7233</v>
      </c>
      <c r="F1860" s="2" t="s">
        <v>8584</v>
      </c>
      <c r="G1860" s="2" t="s">
        <v>8584</v>
      </c>
      <c r="H1860" s="2" t="s">
        <v>8584</v>
      </c>
      <c r="I1860" s="2" t="s">
        <v>8585</v>
      </c>
      <c r="J1860" s="2" t="s">
        <v>8586</v>
      </c>
      <c r="K1860" s="2" t="s">
        <v>1537</v>
      </c>
      <c r="L1860" s="3">
        <v>218.5</v>
      </c>
      <c r="M1860" s="3">
        <v>229.42</v>
      </c>
      <c r="N1860" s="3">
        <v>459</v>
      </c>
      <c r="O1860" s="2" t="s">
        <v>245</v>
      </c>
      <c r="P1860" s="2" t="s">
        <v>1916</v>
      </c>
      <c r="Q1860" s="2" t="s">
        <v>239</v>
      </c>
      <c r="R1860" s="2" t="s">
        <v>233</v>
      </c>
      <c r="S1860" s="2" t="s">
        <v>233</v>
      </c>
      <c r="T1860" s="2" t="s">
        <v>233</v>
      </c>
      <c r="U1860" s="2" t="s">
        <v>396</v>
      </c>
      <c r="V1860" s="2" t="s">
        <v>893</v>
      </c>
      <c r="W1860" s="2" t="s">
        <v>397</v>
      </c>
      <c r="X1860" s="2" t="s">
        <v>275</v>
      </c>
      <c r="Y1860" s="2" t="s">
        <v>233</v>
      </c>
      <c r="Z1860" s="4"/>
      <c r="AA1860" s="4">
        <f>=ROUNDDOWN({0},0)</f>
      </c>
      <c r="AB1860" s="5"/>
      <c r="AC1860" s="2" t="s">
        <v>4787</v>
      </c>
      <c r="AD1860" s="4">
        <v>364</v>
      </c>
      <c r="AE1860" s="4">
        <v>364</v>
      </c>
      <c r="AF1860" s="6">
        <v>74</v>
      </c>
      <c r="AG1860" s="6"/>
      <c r="AH1860" s="7">
        <v>0</v>
      </c>
      <c r="AI1860" s="4"/>
      <c r="AJ1860" s="4">
        <f>=ROUNDDOWN({0},0)</f>
      </c>
      <c r="AK1860" s="5"/>
      <c r="AL1860" s="2" t="s">
        <v>233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/>
      <c r="BK1860" s="8"/>
      <c r="BL1860" s="2" t="s">
        <v>233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243</v>
      </c>
      <c r="BV1860" s="2" t="s">
        <v>233</v>
      </c>
      <c r="BW1860" s="2" t="s">
        <v>233</v>
      </c>
      <c r="BX1860" s="2" t="s">
        <v>243</v>
      </c>
      <c r="BY1860" s="2" t="s">
        <v>244</v>
      </c>
      <c r="BZ1860" s="2" t="s">
        <v>245</v>
      </c>
      <c r="CA1860" s="2" t="s">
        <v>233</v>
      </c>
      <c r="CB1860" s="2" t="s">
        <v>233</v>
      </c>
      <c r="CC1860" s="2" t="s">
        <v>246</v>
      </c>
      <c r="CD1860" s="2" t="s">
        <v>233</v>
      </c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>
        <v>364</v>
      </c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  <c r="HF1860" s="4"/>
      <c r="HG1860" s="4"/>
      <c r="HH1860" s="4"/>
      <c r="HI1860" s="4"/>
      <c r="HJ1860" s="4"/>
      <c r="HK1860" s="4"/>
      <c r="HL1860" s="4"/>
      <c r="HM1860" s="4"/>
      <c r="HN1860" s="4"/>
      <c r="HO1860" s="4"/>
      <c r="HP1860" s="4"/>
      <c r="HQ1860" s="4"/>
      <c r="HR1860" s="4"/>
    </row>
    <row r="1861">
      <c r="A1861" s="2" t="s">
        <v>8587</v>
      </c>
      <c r="B1861" s="2" t="s">
        <v>928</v>
      </c>
      <c r="C1861" s="2" t="s">
        <v>530</v>
      </c>
      <c r="D1861" s="2" t="s">
        <v>961</v>
      </c>
      <c r="E1861" s="2" t="s">
        <v>939</v>
      </c>
      <c r="F1861" s="2" t="s">
        <v>8588</v>
      </c>
      <c r="G1861" s="2" t="s">
        <v>8588</v>
      </c>
      <c r="H1861" s="2" t="s">
        <v>8588</v>
      </c>
      <c r="I1861" s="2" t="s">
        <v>8589</v>
      </c>
      <c r="J1861" s="2" t="s">
        <v>892</v>
      </c>
      <c r="K1861" s="2" t="s">
        <v>8590</v>
      </c>
      <c r="L1861" s="3">
        <v>52.38</v>
      </c>
      <c r="M1861" s="3">
        <v>55</v>
      </c>
      <c r="N1861" s="3">
        <v>109.99</v>
      </c>
      <c r="O1861" s="2" t="s">
        <v>245</v>
      </c>
      <c r="P1861" s="2" t="s">
        <v>238</v>
      </c>
      <c r="Q1861" s="2" t="s">
        <v>239</v>
      </c>
      <c r="R1861" s="2" t="s">
        <v>233</v>
      </c>
      <c r="S1861" s="2" t="s">
        <v>233</v>
      </c>
      <c r="T1861" s="2" t="s">
        <v>233</v>
      </c>
      <c r="U1861" s="2" t="s">
        <v>396</v>
      </c>
      <c r="V1861" s="2" t="s">
        <v>893</v>
      </c>
      <c r="W1861" s="2" t="s">
        <v>343</v>
      </c>
      <c r="X1861" s="2" t="s">
        <v>451</v>
      </c>
      <c r="Y1861" s="2" t="s">
        <v>5534</v>
      </c>
      <c r="Z1861" s="4">
        <v>78</v>
      </c>
      <c r="AA1861" s="4">
        <f>=ROUNDDOWN(390,0)</f>
      </c>
      <c r="AB1861" s="5">
        <v>0.2</v>
      </c>
      <c r="AC1861" s="2" t="s">
        <v>233</v>
      </c>
      <c r="AD1861" s="4"/>
      <c r="AE1861" s="4"/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233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3</v>
      </c>
      <c r="BK1861" s="8">
        <v>183.41</v>
      </c>
      <c r="BL1861" s="2" t="s">
        <v>744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8591</v>
      </c>
      <c r="BV1861" s="2" t="s">
        <v>233</v>
      </c>
      <c r="BW1861" s="2" t="s">
        <v>233</v>
      </c>
      <c r="BX1861" s="2" t="s">
        <v>243</v>
      </c>
      <c r="BY1861" s="2" t="s">
        <v>280</v>
      </c>
      <c r="BZ1861" s="2" t="s">
        <v>245</v>
      </c>
      <c r="CA1861" s="2" t="s">
        <v>1582</v>
      </c>
      <c r="CB1861" s="2" t="s">
        <v>2724</v>
      </c>
      <c r="CC1861" s="2" t="s">
        <v>246</v>
      </c>
      <c r="CD1861" s="2" t="s">
        <v>233</v>
      </c>
      <c r="CE1861" s="4"/>
      <c r="CF1861" s="4">
        <v>78</v>
      </c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  <c r="HF1861" s="4"/>
      <c r="HG1861" s="4"/>
      <c r="HH1861" s="4"/>
      <c r="HI1861" s="4"/>
      <c r="HJ1861" s="4"/>
      <c r="HK1861" s="4"/>
      <c r="HL1861" s="4"/>
      <c r="HM1861" s="4"/>
      <c r="HN1861" s="4"/>
      <c r="HO1861" s="4"/>
      <c r="HP1861" s="4"/>
      <c r="HQ1861" s="4"/>
      <c r="HR1861" s="4"/>
    </row>
    <row r="1862">
      <c r="A1862" s="2" t="s">
        <v>8592</v>
      </c>
      <c r="B1862" s="2" t="s">
        <v>928</v>
      </c>
      <c r="C1862" s="2" t="s">
        <v>530</v>
      </c>
      <c r="D1862" s="2" t="s">
        <v>8593</v>
      </c>
      <c r="E1862" s="2" t="s">
        <v>8594</v>
      </c>
      <c r="F1862" s="2" t="s">
        <v>8595</v>
      </c>
      <c r="G1862" s="2" t="s">
        <v>8595</v>
      </c>
      <c r="H1862" s="2" t="s">
        <v>8595</v>
      </c>
      <c r="I1862" s="2" t="s">
        <v>8596</v>
      </c>
      <c r="J1862" s="2" t="s">
        <v>892</v>
      </c>
      <c r="K1862" s="2" t="s">
        <v>645</v>
      </c>
      <c r="L1862" s="3">
        <v>62.4</v>
      </c>
      <c r="M1862" s="3">
        <v>65.52</v>
      </c>
      <c r="N1862" s="3">
        <v>129.99</v>
      </c>
      <c r="O1862" s="2" t="s">
        <v>252</v>
      </c>
      <c r="P1862" s="2" t="s">
        <v>311</v>
      </c>
      <c r="Q1862" s="2" t="s">
        <v>239</v>
      </c>
      <c r="R1862" s="2" t="s">
        <v>233</v>
      </c>
      <c r="S1862" s="2" t="s">
        <v>233</v>
      </c>
      <c r="T1862" s="2" t="s">
        <v>233</v>
      </c>
      <c r="U1862" s="2" t="s">
        <v>233</v>
      </c>
      <c r="V1862" s="2" t="s">
        <v>893</v>
      </c>
      <c r="W1862" s="2" t="s">
        <v>451</v>
      </c>
      <c r="X1862" s="2" t="s">
        <v>233</v>
      </c>
      <c r="Y1862" s="2" t="s">
        <v>1150</v>
      </c>
      <c r="Z1862" s="4"/>
      <c r="AA1862" s="4">
        <f>=ROUNDDOWN({0},0)</f>
      </c>
      <c r="AB1862" s="5"/>
      <c r="AC1862" s="2" t="s">
        <v>233</v>
      </c>
      <c r="AD1862" s="4"/>
      <c r="AE1862" s="4"/>
      <c r="AF1862" s="6"/>
      <c r="AG1862" s="6"/>
      <c r="AH1862" s="7">
        <v>0</v>
      </c>
      <c r="AI1862" s="4"/>
      <c r="AJ1862" s="4">
        <f>=ROUNDDOWN({0},0)</f>
      </c>
      <c r="AK1862" s="5"/>
      <c r="AL1862" s="2" t="s">
        <v>233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/>
      <c r="BD1862" s="8"/>
      <c r="BE1862" s="4"/>
      <c r="BF1862" s="8"/>
      <c r="BG1862" s="7"/>
      <c r="BH1862" s="7"/>
      <c r="BI1862" s="7"/>
      <c r="BJ1862" s="4"/>
      <c r="BK1862" s="8"/>
      <c r="BL1862" s="2" t="s">
        <v>233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8597</v>
      </c>
      <c r="BV1862" s="2" t="s">
        <v>233</v>
      </c>
      <c r="BW1862" s="2" t="s">
        <v>233</v>
      </c>
      <c r="BX1862" s="2" t="s">
        <v>233</v>
      </c>
      <c r="BY1862" s="2" t="s">
        <v>280</v>
      </c>
      <c r="BZ1862" s="2" t="s">
        <v>245</v>
      </c>
      <c r="CA1862" s="2" t="s">
        <v>2888</v>
      </c>
      <c r="CB1862" s="2" t="s">
        <v>8598</v>
      </c>
      <c r="CC1862" s="2" t="s">
        <v>246</v>
      </c>
      <c r="CD1862" s="2" t="s">
        <v>233</v>
      </c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/>
      <c r="GW1862" s="4"/>
      <c r="GX1862" s="4"/>
      <c r="GY1862" s="4"/>
      <c r="GZ1862" s="4"/>
      <c r="HA1862" s="4"/>
      <c r="HB1862" s="4"/>
      <c r="HC1862" s="4"/>
      <c r="HD1862" s="4"/>
      <c r="HE1862" s="4"/>
      <c r="HF1862" s="4"/>
      <c r="HG1862" s="4"/>
      <c r="HH1862" s="4"/>
      <c r="HI1862" s="4"/>
      <c r="HJ1862" s="4"/>
      <c r="HK1862" s="4"/>
      <c r="HL1862" s="4"/>
      <c r="HM1862" s="4"/>
      <c r="HN1862" s="4"/>
      <c r="HO1862" s="4"/>
      <c r="HP1862" s="4"/>
      <c r="HQ1862" s="4"/>
      <c r="HR1862" s="4"/>
    </row>
    <row r="1863">
      <c r="A1863" s="2" t="s">
        <v>8599</v>
      </c>
      <c r="B1863" s="2" t="s">
        <v>1066</v>
      </c>
      <c r="C1863" s="2" t="s">
        <v>947</v>
      </c>
      <c r="D1863" s="2" t="s">
        <v>1067</v>
      </c>
      <c r="E1863" s="2" t="s">
        <v>2650</v>
      </c>
      <c r="F1863" s="2" t="s">
        <v>8600</v>
      </c>
      <c r="G1863" s="2" t="s">
        <v>8600</v>
      </c>
      <c r="H1863" s="2" t="s">
        <v>8600</v>
      </c>
      <c r="I1863" s="2" t="s">
        <v>8601</v>
      </c>
      <c r="J1863" s="2" t="s">
        <v>892</v>
      </c>
      <c r="K1863" s="2" t="s">
        <v>2314</v>
      </c>
      <c r="L1863" s="3">
        <v>260</v>
      </c>
      <c r="M1863" s="3">
        <v>273</v>
      </c>
      <c r="N1863" s="3">
        <v>549</v>
      </c>
      <c r="O1863" s="2" t="s">
        <v>245</v>
      </c>
      <c r="P1863" s="2" t="s">
        <v>238</v>
      </c>
      <c r="Q1863" s="2" t="s">
        <v>239</v>
      </c>
      <c r="R1863" s="2" t="s">
        <v>233</v>
      </c>
      <c r="S1863" s="2" t="s">
        <v>233</v>
      </c>
      <c r="T1863" s="2" t="s">
        <v>233</v>
      </c>
      <c r="U1863" s="2" t="s">
        <v>396</v>
      </c>
      <c r="V1863" s="2" t="s">
        <v>893</v>
      </c>
      <c r="W1863" s="2" t="s">
        <v>776</v>
      </c>
      <c r="X1863" s="2" t="s">
        <v>5825</v>
      </c>
      <c r="Y1863" s="2" t="s">
        <v>1136</v>
      </c>
      <c r="Z1863" s="4">
        <v>100</v>
      </c>
      <c r="AA1863" s="4">
        <f>=ROUNDDOWN({0},0)</f>
      </c>
      <c r="AB1863" s="5"/>
      <c r="AC1863" s="2" t="s">
        <v>233</v>
      </c>
      <c r="AD1863" s="4"/>
      <c r="AE1863" s="4"/>
      <c r="AF1863" s="6">
        <v>65</v>
      </c>
      <c r="AG1863" s="6"/>
      <c r="AH1863" s="7">
        <v>0</v>
      </c>
      <c r="AI1863" s="4"/>
      <c r="AJ1863" s="4">
        <f>=ROUNDDOWN({0},0)</f>
      </c>
      <c r="AK1863" s="5"/>
      <c r="AL1863" s="2" t="s">
        <v>233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233</v>
      </c>
      <c r="BD1863" s="8" t="s">
        <v>233</v>
      </c>
      <c r="BE1863" s="4" t="s">
        <v>233</v>
      </c>
      <c r="BF1863" s="8" t="s">
        <v>233</v>
      </c>
      <c r="BG1863" s="7" t="s">
        <v>233</v>
      </c>
      <c r="BH1863" s="7" t="s">
        <v>233</v>
      </c>
      <c r="BI1863" s="7"/>
      <c r="BJ1863" s="4"/>
      <c r="BK1863" s="8"/>
      <c r="BL1863" s="2" t="s">
        <v>233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8602</v>
      </c>
      <c r="BV1863" s="2" t="s">
        <v>233</v>
      </c>
      <c r="BW1863" s="2" t="s">
        <v>233</v>
      </c>
      <c r="BX1863" s="2" t="s">
        <v>243</v>
      </c>
      <c r="BY1863" s="2" t="s">
        <v>280</v>
      </c>
      <c r="BZ1863" s="2" t="s">
        <v>245</v>
      </c>
      <c r="CA1863" s="2" t="s">
        <v>233</v>
      </c>
      <c r="CB1863" s="2" t="s">
        <v>233</v>
      </c>
      <c r="CC1863" s="2" t="s">
        <v>246</v>
      </c>
      <c r="CD1863" s="2" t="s">
        <v>233</v>
      </c>
      <c r="CE1863" s="4"/>
      <c r="CF1863" s="4">
        <v>100</v>
      </c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4"/>
      <c r="HE1863" s="4"/>
      <c r="HF1863" s="4"/>
      <c r="HG1863" s="4"/>
      <c r="HH1863" s="4"/>
      <c r="HI1863" s="4"/>
      <c r="HJ1863" s="4"/>
      <c r="HK1863" s="4"/>
      <c r="HL1863" s="4"/>
      <c r="HM1863" s="4"/>
      <c r="HN1863" s="4"/>
      <c r="HO1863" s="4"/>
      <c r="HP1863" s="4"/>
      <c r="HQ1863" s="4"/>
      <c r="HR1863" s="4"/>
    </row>
    <row r="1864">
      <c r="A1864" s="2" t="s">
        <v>8603</v>
      </c>
      <c r="B1864" s="2" t="s">
        <v>1242</v>
      </c>
      <c r="C1864" s="2" t="s">
        <v>1781</v>
      </c>
      <c r="D1864" s="2" t="s">
        <v>969</v>
      </c>
      <c r="E1864" s="2" t="s">
        <v>1078</v>
      </c>
      <c r="F1864" s="2" t="s">
        <v>8600</v>
      </c>
      <c r="G1864" s="2" t="s">
        <v>8600</v>
      </c>
      <c r="H1864" s="2" t="s">
        <v>8600</v>
      </c>
      <c r="I1864" s="2" t="s">
        <v>8604</v>
      </c>
      <c r="J1864" s="2" t="s">
        <v>290</v>
      </c>
      <c r="K1864" s="2" t="s">
        <v>8605</v>
      </c>
      <c r="L1864" s="3">
        <v>91.2</v>
      </c>
      <c r="M1864" s="3">
        <v>95.76</v>
      </c>
      <c r="N1864" s="3">
        <v>189.99</v>
      </c>
      <c r="O1864" s="2" t="s">
        <v>245</v>
      </c>
      <c r="P1864" s="2" t="s">
        <v>238</v>
      </c>
      <c r="Q1864" s="2" t="s">
        <v>239</v>
      </c>
      <c r="R1864" s="2" t="s">
        <v>233</v>
      </c>
      <c r="S1864" s="2" t="s">
        <v>8606</v>
      </c>
      <c r="T1864" s="2" t="s">
        <v>341</v>
      </c>
      <c r="U1864" s="2" t="s">
        <v>871</v>
      </c>
      <c r="V1864" s="2" t="s">
        <v>359</v>
      </c>
      <c r="W1864" s="2" t="s">
        <v>1056</v>
      </c>
      <c r="X1864" s="2" t="s">
        <v>8607</v>
      </c>
      <c r="Y1864" s="2" t="s">
        <v>3810</v>
      </c>
      <c r="Z1864" s="4"/>
      <c r="AA1864" s="4">
        <f>=ROUNDDOWN({0},0)</f>
      </c>
      <c r="AB1864" s="5"/>
      <c r="AC1864" s="2" t="s">
        <v>1107</v>
      </c>
      <c r="AD1864" s="4">
        <v>20</v>
      </c>
      <c r="AE1864" s="4">
        <v>36</v>
      </c>
      <c r="AF1864" s="6">
        <v>65</v>
      </c>
      <c r="AG1864" s="6"/>
      <c r="AH1864" s="7">
        <v>0</v>
      </c>
      <c r="AI1864" s="4"/>
      <c r="AJ1864" s="4">
        <f>=ROUNDDOWN({0},0)</f>
      </c>
      <c r="AK1864" s="5"/>
      <c r="AL1864" s="2" t="s">
        <v>233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 t="s">
        <v>233</v>
      </c>
      <c r="AW1864" s="8" t="s">
        <v>233</v>
      </c>
      <c r="AX1864" s="4" t="s">
        <v>233</v>
      </c>
      <c r="AY1864" s="8" t="s">
        <v>233</v>
      </c>
      <c r="AZ1864" s="7" t="s">
        <v>233</v>
      </c>
      <c r="BA1864" s="7" t="s">
        <v>233</v>
      </c>
      <c r="BB1864" s="7"/>
      <c r="BC1864" s="4" t="s">
        <v>233</v>
      </c>
      <c r="BD1864" s="8" t="s">
        <v>233</v>
      </c>
      <c r="BE1864" s="4" t="s">
        <v>233</v>
      </c>
      <c r="BF1864" s="8" t="s">
        <v>233</v>
      </c>
      <c r="BG1864" s="7" t="s">
        <v>233</v>
      </c>
      <c r="BH1864" s="7" t="s">
        <v>233</v>
      </c>
      <c r="BI1864" s="7"/>
      <c r="BJ1864" s="4"/>
      <c r="BK1864" s="8"/>
      <c r="BL1864" s="2" t="s">
        <v>233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243</v>
      </c>
      <c r="BV1864" s="2" t="s">
        <v>233</v>
      </c>
      <c r="BW1864" s="2" t="s">
        <v>233</v>
      </c>
      <c r="BX1864" s="2" t="s">
        <v>243</v>
      </c>
      <c r="BY1864" s="2" t="s">
        <v>244</v>
      </c>
      <c r="BZ1864" s="2" t="s">
        <v>245</v>
      </c>
      <c r="CA1864" s="2" t="s">
        <v>233</v>
      </c>
      <c r="CB1864" s="2" t="s">
        <v>233</v>
      </c>
      <c r="CC1864" s="2" t="s">
        <v>246</v>
      </c>
      <c r="CD1864" s="2" t="s">
        <v>233</v>
      </c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>
        <v>20</v>
      </c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>
        <v>16</v>
      </c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4"/>
      <c r="HE1864" s="4"/>
      <c r="HF1864" s="4"/>
      <c r="HG1864" s="4"/>
      <c r="HH1864" s="4"/>
      <c r="HI1864" s="4"/>
      <c r="HJ1864" s="4"/>
      <c r="HK1864" s="4"/>
      <c r="HL1864" s="4"/>
      <c r="HM1864" s="4"/>
      <c r="HN1864" s="4"/>
      <c r="HO1864" s="4"/>
      <c r="HP1864" s="4"/>
      <c r="HQ1864" s="4"/>
      <c r="HR1864" s="4"/>
    </row>
    <row r="1865">
      <c r="A1865" s="2" t="s">
        <v>8608</v>
      </c>
      <c r="B1865" s="2" t="s">
        <v>1242</v>
      </c>
      <c r="C1865" s="2" t="s">
        <v>1781</v>
      </c>
      <c r="D1865" s="2" t="s">
        <v>912</v>
      </c>
      <c r="E1865" s="2" t="s">
        <v>913</v>
      </c>
      <c r="F1865" s="2" t="s">
        <v>8600</v>
      </c>
      <c r="G1865" s="2" t="s">
        <v>8600</v>
      </c>
      <c r="H1865" s="2" t="s">
        <v>8600</v>
      </c>
      <c r="I1865" s="2" t="s">
        <v>8609</v>
      </c>
      <c r="J1865" s="2" t="s">
        <v>981</v>
      </c>
      <c r="K1865" s="2" t="s">
        <v>8605</v>
      </c>
      <c r="L1865" s="3">
        <v>80</v>
      </c>
      <c r="M1865" s="3">
        <v>84</v>
      </c>
      <c r="N1865" s="3">
        <v>159.99</v>
      </c>
      <c r="O1865" s="2" t="s">
        <v>245</v>
      </c>
      <c r="P1865" s="2" t="s">
        <v>238</v>
      </c>
      <c r="Q1865" s="2" t="s">
        <v>239</v>
      </c>
      <c r="R1865" s="2" t="s">
        <v>233</v>
      </c>
      <c r="S1865" s="2" t="s">
        <v>8606</v>
      </c>
      <c r="T1865" s="2" t="s">
        <v>341</v>
      </c>
      <c r="U1865" s="2" t="s">
        <v>1482</v>
      </c>
      <c r="V1865" s="2" t="s">
        <v>359</v>
      </c>
      <c r="W1865" s="2" t="s">
        <v>1056</v>
      </c>
      <c r="X1865" s="2" t="s">
        <v>8607</v>
      </c>
      <c r="Y1865" s="2" t="s">
        <v>3810</v>
      </c>
      <c r="Z1865" s="4"/>
      <c r="AA1865" s="4">
        <f>=ROUNDDOWN({0},0)</f>
      </c>
      <c r="AB1865" s="5"/>
      <c r="AC1865" s="2" t="s">
        <v>1107</v>
      </c>
      <c r="AD1865" s="4">
        <v>10</v>
      </c>
      <c r="AE1865" s="4">
        <v>24</v>
      </c>
      <c r="AF1865" s="6">
        <v>65</v>
      </c>
      <c r="AG1865" s="6"/>
      <c r="AH1865" s="7">
        <v>0</v>
      </c>
      <c r="AI1865" s="4"/>
      <c r="AJ1865" s="4">
        <f>=ROUNDDOWN({0},0)</f>
      </c>
      <c r="AK1865" s="5"/>
      <c r="AL1865" s="2" t="s">
        <v>233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 t="s">
        <v>233</v>
      </c>
      <c r="AW1865" s="8" t="s">
        <v>233</v>
      </c>
      <c r="AX1865" s="4" t="s">
        <v>233</v>
      </c>
      <c r="AY1865" s="8" t="s">
        <v>233</v>
      </c>
      <c r="AZ1865" s="7" t="s">
        <v>233</v>
      </c>
      <c r="BA1865" s="7" t="s">
        <v>233</v>
      </c>
      <c r="BB1865" s="7"/>
      <c r="BC1865" s="4" t="s">
        <v>233</v>
      </c>
      <c r="BD1865" s="8" t="s">
        <v>233</v>
      </c>
      <c r="BE1865" s="4" t="s">
        <v>233</v>
      </c>
      <c r="BF1865" s="8" t="s">
        <v>233</v>
      </c>
      <c r="BG1865" s="7" t="s">
        <v>233</v>
      </c>
      <c r="BH1865" s="7" t="s">
        <v>233</v>
      </c>
      <c r="BI1865" s="7"/>
      <c r="BJ1865" s="4"/>
      <c r="BK1865" s="8"/>
      <c r="BL1865" s="2" t="s">
        <v>233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243</v>
      </c>
      <c r="BV1865" s="2" t="s">
        <v>233</v>
      </c>
      <c r="BW1865" s="2" t="s">
        <v>233</v>
      </c>
      <c r="BX1865" s="2" t="s">
        <v>243</v>
      </c>
      <c r="BY1865" s="2" t="s">
        <v>244</v>
      </c>
      <c r="BZ1865" s="2" t="s">
        <v>245</v>
      </c>
      <c r="CA1865" s="2" t="s">
        <v>233</v>
      </c>
      <c r="CB1865" s="2" t="s">
        <v>233</v>
      </c>
      <c r="CC1865" s="2" t="s">
        <v>246</v>
      </c>
      <c r="CD1865" s="2" t="s">
        <v>233</v>
      </c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>
        <v>10</v>
      </c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>
        <v>14</v>
      </c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4"/>
      <c r="HE1865" s="4"/>
      <c r="HF1865" s="4"/>
      <c r="HG1865" s="4"/>
      <c r="HH1865" s="4"/>
      <c r="HI1865" s="4"/>
      <c r="HJ1865" s="4"/>
      <c r="HK1865" s="4"/>
      <c r="HL1865" s="4"/>
      <c r="HM1865" s="4"/>
      <c r="HN1865" s="4"/>
      <c r="HO1865" s="4"/>
      <c r="HP1865" s="4"/>
      <c r="HQ1865" s="4"/>
      <c r="HR1865" s="4"/>
    </row>
    <row r="1866">
      <c r="A1866" s="2" t="s">
        <v>8610</v>
      </c>
      <c r="B1866" s="2" t="s">
        <v>1242</v>
      </c>
      <c r="C1866" s="2" t="s">
        <v>1781</v>
      </c>
      <c r="D1866" s="2" t="s">
        <v>969</v>
      </c>
      <c r="E1866" s="2" t="s">
        <v>1078</v>
      </c>
      <c r="F1866" s="2" t="s">
        <v>8600</v>
      </c>
      <c r="G1866" s="2" t="s">
        <v>8600</v>
      </c>
      <c r="H1866" s="2" t="s">
        <v>8600</v>
      </c>
      <c r="I1866" s="2" t="s">
        <v>8604</v>
      </c>
      <c r="J1866" s="2" t="s">
        <v>348</v>
      </c>
      <c r="K1866" s="2" t="s">
        <v>8605</v>
      </c>
      <c r="L1866" s="3">
        <v>100.8</v>
      </c>
      <c r="M1866" s="3">
        <v>105.84</v>
      </c>
      <c r="N1866" s="3">
        <v>209.99</v>
      </c>
      <c r="O1866" s="2" t="s">
        <v>245</v>
      </c>
      <c r="P1866" s="2" t="s">
        <v>238</v>
      </c>
      <c r="Q1866" s="2" t="s">
        <v>239</v>
      </c>
      <c r="R1866" s="2" t="s">
        <v>233</v>
      </c>
      <c r="S1866" s="2" t="s">
        <v>8606</v>
      </c>
      <c r="T1866" s="2" t="s">
        <v>341</v>
      </c>
      <c r="U1866" s="2" t="s">
        <v>871</v>
      </c>
      <c r="V1866" s="2" t="s">
        <v>359</v>
      </c>
      <c r="W1866" s="2" t="s">
        <v>1056</v>
      </c>
      <c r="X1866" s="2" t="s">
        <v>8607</v>
      </c>
      <c r="Y1866" s="2" t="s">
        <v>3810</v>
      </c>
      <c r="Z1866" s="4"/>
      <c r="AA1866" s="4">
        <f>=ROUNDDOWN({0},0)</f>
      </c>
      <c r="AB1866" s="5"/>
      <c r="AC1866" s="2" t="s">
        <v>1107</v>
      </c>
      <c r="AD1866" s="4">
        <v>70</v>
      </c>
      <c r="AE1866" s="4">
        <v>180</v>
      </c>
      <c r="AF1866" s="6">
        <v>65</v>
      </c>
      <c r="AG1866" s="6"/>
      <c r="AH1866" s="7">
        <v>0</v>
      </c>
      <c r="AI1866" s="4"/>
      <c r="AJ1866" s="4">
        <f>=ROUNDDOWN({0},0)</f>
      </c>
      <c r="AK1866" s="5"/>
      <c r="AL1866" s="2" t="s">
        <v>233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 t="s">
        <v>233</v>
      </c>
      <c r="AW1866" s="8" t="s">
        <v>233</v>
      </c>
      <c r="AX1866" s="4" t="s">
        <v>233</v>
      </c>
      <c r="AY1866" s="8" t="s">
        <v>233</v>
      </c>
      <c r="AZ1866" s="7" t="s">
        <v>233</v>
      </c>
      <c r="BA1866" s="7" t="s">
        <v>233</v>
      </c>
      <c r="BB1866" s="7"/>
      <c r="BC1866" s="4" t="s">
        <v>233</v>
      </c>
      <c r="BD1866" s="8" t="s">
        <v>233</v>
      </c>
      <c r="BE1866" s="4" t="s">
        <v>233</v>
      </c>
      <c r="BF1866" s="8" t="s">
        <v>233</v>
      </c>
      <c r="BG1866" s="7" t="s">
        <v>233</v>
      </c>
      <c r="BH1866" s="7" t="s">
        <v>233</v>
      </c>
      <c r="BI1866" s="7"/>
      <c r="BJ1866" s="4"/>
      <c r="BK1866" s="8"/>
      <c r="BL1866" s="2" t="s">
        <v>233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243</v>
      </c>
      <c r="BV1866" s="2" t="s">
        <v>233</v>
      </c>
      <c r="BW1866" s="2" t="s">
        <v>233</v>
      </c>
      <c r="BX1866" s="2" t="s">
        <v>243</v>
      </c>
      <c r="BY1866" s="2" t="s">
        <v>244</v>
      </c>
      <c r="BZ1866" s="2" t="s">
        <v>245</v>
      </c>
      <c r="CA1866" s="2" t="s">
        <v>233</v>
      </c>
      <c r="CB1866" s="2" t="s">
        <v>233</v>
      </c>
      <c r="CC1866" s="2" t="s">
        <v>246</v>
      </c>
      <c r="CD1866" s="2" t="s">
        <v>233</v>
      </c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>
        <v>70</v>
      </c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>
        <v>110</v>
      </c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4"/>
      <c r="HG1866" s="4"/>
      <c r="HH1866" s="4"/>
      <c r="HI1866" s="4"/>
      <c r="HJ1866" s="4"/>
      <c r="HK1866" s="4"/>
      <c r="HL1866" s="4"/>
      <c r="HM1866" s="4"/>
      <c r="HN1866" s="4"/>
      <c r="HO1866" s="4"/>
      <c r="HP1866" s="4"/>
      <c r="HQ1866" s="4"/>
      <c r="HR1866" s="4"/>
    </row>
    <row r="1867">
      <c r="A1867" s="2" t="s">
        <v>8611</v>
      </c>
      <c r="B1867" s="2" t="s">
        <v>1242</v>
      </c>
      <c r="C1867" s="2" t="s">
        <v>1781</v>
      </c>
      <c r="D1867" s="2" t="s">
        <v>969</v>
      </c>
      <c r="E1867" s="2" t="s">
        <v>1078</v>
      </c>
      <c r="F1867" s="2" t="s">
        <v>8600</v>
      </c>
      <c r="G1867" s="2" t="s">
        <v>8600</v>
      </c>
      <c r="H1867" s="2" t="s">
        <v>8600</v>
      </c>
      <c r="I1867" s="2" t="s">
        <v>8604</v>
      </c>
      <c r="J1867" s="2" t="s">
        <v>328</v>
      </c>
      <c r="K1867" s="2" t="s">
        <v>8605</v>
      </c>
      <c r="L1867" s="3">
        <v>110.4</v>
      </c>
      <c r="M1867" s="3">
        <v>115.92</v>
      </c>
      <c r="N1867" s="3">
        <v>229.99</v>
      </c>
      <c r="O1867" s="2" t="s">
        <v>245</v>
      </c>
      <c r="P1867" s="2" t="s">
        <v>238</v>
      </c>
      <c r="Q1867" s="2" t="s">
        <v>239</v>
      </c>
      <c r="R1867" s="2" t="s">
        <v>233</v>
      </c>
      <c r="S1867" s="2" t="s">
        <v>8606</v>
      </c>
      <c r="T1867" s="2" t="s">
        <v>341</v>
      </c>
      <c r="U1867" s="2" t="s">
        <v>871</v>
      </c>
      <c r="V1867" s="2" t="s">
        <v>359</v>
      </c>
      <c r="W1867" s="2" t="s">
        <v>1056</v>
      </c>
      <c r="X1867" s="2" t="s">
        <v>8607</v>
      </c>
      <c r="Y1867" s="2" t="s">
        <v>3810</v>
      </c>
      <c r="Z1867" s="4"/>
      <c r="AA1867" s="4">
        <f>=ROUNDDOWN({0},0)</f>
      </c>
      <c r="AB1867" s="5"/>
      <c r="AC1867" s="2" t="s">
        <v>1107</v>
      </c>
      <c r="AD1867" s="4">
        <v>80</v>
      </c>
      <c r="AE1867" s="4">
        <v>190</v>
      </c>
      <c r="AF1867" s="6">
        <v>65</v>
      </c>
      <c r="AG1867" s="6"/>
      <c r="AH1867" s="7">
        <v>0</v>
      </c>
      <c r="AI1867" s="4"/>
      <c r="AJ1867" s="4">
        <f>=ROUNDDOWN({0},0)</f>
      </c>
      <c r="AK1867" s="5"/>
      <c r="AL1867" s="2" t="s">
        <v>233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 t="s">
        <v>233</v>
      </c>
      <c r="AW1867" s="8" t="s">
        <v>233</v>
      </c>
      <c r="AX1867" s="4" t="s">
        <v>233</v>
      </c>
      <c r="AY1867" s="8" t="s">
        <v>233</v>
      </c>
      <c r="AZ1867" s="7" t="s">
        <v>233</v>
      </c>
      <c r="BA1867" s="7" t="s">
        <v>233</v>
      </c>
      <c r="BB1867" s="7"/>
      <c r="BC1867" s="4" t="s">
        <v>233</v>
      </c>
      <c r="BD1867" s="8" t="s">
        <v>233</v>
      </c>
      <c r="BE1867" s="4" t="s">
        <v>233</v>
      </c>
      <c r="BF1867" s="8" t="s">
        <v>233</v>
      </c>
      <c r="BG1867" s="7" t="s">
        <v>233</v>
      </c>
      <c r="BH1867" s="7" t="s">
        <v>233</v>
      </c>
      <c r="BI1867" s="7"/>
      <c r="BJ1867" s="4"/>
      <c r="BK1867" s="8"/>
      <c r="BL1867" s="2" t="s">
        <v>233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243</v>
      </c>
      <c r="BV1867" s="2" t="s">
        <v>233</v>
      </c>
      <c r="BW1867" s="2" t="s">
        <v>233</v>
      </c>
      <c r="BX1867" s="2" t="s">
        <v>243</v>
      </c>
      <c r="BY1867" s="2" t="s">
        <v>244</v>
      </c>
      <c r="BZ1867" s="2" t="s">
        <v>245</v>
      </c>
      <c r="CA1867" s="2" t="s">
        <v>233</v>
      </c>
      <c r="CB1867" s="2" t="s">
        <v>233</v>
      </c>
      <c r="CC1867" s="2" t="s">
        <v>246</v>
      </c>
      <c r="CD1867" s="2" t="s">
        <v>233</v>
      </c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>
        <v>80</v>
      </c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>
        <v>110</v>
      </c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4"/>
      <c r="HG1867" s="4"/>
      <c r="HH1867" s="4"/>
      <c r="HI1867" s="4"/>
      <c r="HJ1867" s="4"/>
      <c r="HK1867" s="4"/>
      <c r="HL1867" s="4"/>
      <c r="HM1867" s="4"/>
      <c r="HN1867" s="4"/>
      <c r="HO1867" s="4"/>
      <c r="HP1867" s="4"/>
      <c r="HQ1867" s="4"/>
      <c r="HR1867" s="4"/>
    </row>
    <row r="1868">
      <c r="A1868" s="2" t="s">
        <v>8612</v>
      </c>
      <c r="B1868" s="2" t="s">
        <v>1242</v>
      </c>
      <c r="C1868" s="2" t="s">
        <v>1781</v>
      </c>
      <c r="D1868" s="2" t="s">
        <v>912</v>
      </c>
      <c r="E1868" s="2" t="s">
        <v>913</v>
      </c>
      <c r="F1868" s="2" t="s">
        <v>8600</v>
      </c>
      <c r="G1868" s="2" t="s">
        <v>8600</v>
      </c>
      <c r="H1868" s="2" t="s">
        <v>8600</v>
      </c>
      <c r="I1868" s="2" t="s">
        <v>8609</v>
      </c>
      <c r="J1868" s="2" t="s">
        <v>1142</v>
      </c>
      <c r="K1868" s="2" t="s">
        <v>8605</v>
      </c>
      <c r="L1868" s="3">
        <v>90</v>
      </c>
      <c r="M1868" s="3">
        <v>94.5</v>
      </c>
      <c r="N1868" s="3">
        <v>179.99</v>
      </c>
      <c r="O1868" s="2" t="s">
        <v>245</v>
      </c>
      <c r="P1868" s="2" t="s">
        <v>238</v>
      </c>
      <c r="Q1868" s="2" t="s">
        <v>239</v>
      </c>
      <c r="R1868" s="2" t="s">
        <v>233</v>
      </c>
      <c r="S1868" s="2" t="s">
        <v>8606</v>
      </c>
      <c r="T1868" s="2" t="s">
        <v>341</v>
      </c>
      <c r="U1868" s="2" t="s">
        <v>1482</v>
      </c>
      <c r="V1868" s="2" t="s">
        <v>359</v>
      </c>
      <c r="W1868" s="2" t="s">
        <v>1056</v>
      </c>
      <c r="X1868" s="2" t="s">
        <v>8607</v>
      </c>
      <c r="Y1868" s="2" t="s">
        <v>3810</v>
      </c>
      <c r="Z1868" s="4"/>
      <c r="AA1868" s="4">
        <f>=ROUNDDOWN({0},0)</f>
      </c>
      <c r="AB1868" s="5"/>
      <c r="AC1868" s="2" t="s">
        <v>1107</v>
      </c>
      <c r="AD1868" s="4">
        <v>10</v>
      </c>
      <c r="AE1868" s="4">
        <v>23</v>
      </c>
      <c r="AF1868" s="6">
        <v>65</v>
      </c>
      <c r="AG1868" s="6"/>
      <c r="AH1868" s="7">
        <v>0</v>
      </c>
      <c r="AI1868" s="4"/>
      <c r="AJ1868" s="4">
        <f>=ROUNDDOWN({0},0)</f>
      </c>
      <c r="AK1868" s="5"/>
      <c r="AL1868" s="2" t="s">
        <v>233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 t="s">
        <v>233</v>
      </c>
      <c r="AW1868" s="8" t="s">
        <v>233</v>
      </c>
      <c r="AX1868" s="4" t="s">
        <v>233</v>
      </c>
      <c r="AY1868" s="8" t="s">
        <v>233</v>
      </c>
      <c r="AZ1868" s="7" t="s">
        <v>233</v>
      </c>
      <c r="BA1868" s="7" t="s">
        <v>233</v>
      </c>
      <c r="BB1868" s="7"/>
      <c r="BC1868" s="4" t="s">
        <v>233</v>
      </c>
      <c r="BD1868" s="8" t="s">
        <v>233</v>
      </c>
      <c r="BE1868" s="4" t="s">
        <v>233</v>
      </c>
      <c r="BF1868" s="8" t="s">
        <v>233</v>
      </c>
      <c r="BG1868" s="7" t="s">
        <v>233</v>
      </c>
      <c r="BH1868" s="7" t="s">
        <v>233</v>
      </c>
      <c r="BI1868" s="7"/>
      <c r="BJ1868" s="4"/>
      <c r="BK1868" s="8"/>
      <c r="BL1868" s="2" t="s">
        <v>233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243</v>
      </c>
      <c r="BV1868" s="2" t="s">
        <v>233</v>
      </c>
      <c r="BW1868" s="2" t="s">
        <v>233</v>
      </c>
      <c r="BX1868" s="2" t="s">
        <v>243</v>
      </c>
      <c r="BY1868" s="2" t="s">
        <v>244</v>
      </c>
      <c r="BZ1868" s="2" t="s">
        <v>245</v>
      </c>
      <c r="CA1868" s="2" t="s">
        <v>233</v>
      </c>
      <c r="CB1868" s="2" t="s">
        <v>233</v>
      </c>
      <c r="CC1868" s="2" t="s">
        <v>246</v>
      </c>
      <c r="CD1868" s="2" t="s">
        <v>233</v>
      </c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>
        <v>10</v>
      </c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>
        <v>13</v>
      </c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4"/>
      <c r="HG1868" s="4"/>
      <c r="HH1868" s="4"/>
      <c r="HI1868" s="4"/>
      <c r="HJ1868" s="4"/>
      <c r="HK1868" s="4"/>
      <c r="HL1868" s="4"/>
      <c r="HM1868" s="4"/>
      <c r="HN1868" s="4"/>
      <c r="HO1868" s="4"/>
      <c r="HP1868" s="4"/>
      <c r="HQ1868" s="4"/>
      <c r="HR1868" s="4"/>
    </row>
    <row r="1869">
      <c r="A1869" s="2" t="s">
        <v>8613</v>
      </c>
      <c r="B1869" s="2" t="s">
        <v>1242</v>
      </c>
      <c r="C1869" s="2" t="s">
        <v>1781</v>
      </c>
      <c r="D1869" s="2" t="s">
        <v>969</v>
      </c>
      <c r="E1869" s="2" t="s">
        <v>1078</v>
      </c>
      <c r="F1869" s="2" t="s">
        <v>8600</v>
      </c>
      <c r="G1869" s="2" t="s">
        <v>8600</v>
      </c>
      <c r="H1869" s="2" t="s">
        <v>8600</v>
      </c>
      <c r="I1869" s="2" t="s">
        <v>8604</v>
      </c>
      <c r="J1869" s="2" t="s">
        <v>546</v>
      </c>
      <c r="K1869" s="2" t="s">
        <v>8605</v>
      </c>
      <c r="L1869" s="3">
        <v>110.4</v>
      </c>
      <c r="M1869" s="3">
        <v>115.92</v>
      </c>
      <c r="N1869" s="3">
        <v>229.99</v>
      </c>
      <c r="O1869" s="2" t="s">
        <v>245</v>
      </c>
      <c r="P1869" s="2" t="s">
        <v>238</v>
      </c>
      <c r="Q1869" s="2" t="s">
        <v>239</v>
      </c>
      <c r="R1869" s="2" t="s">
        <v>233</v>
      </c>
      <c r="S1869" s="2" t="s">
        <v>8606</v>
      </c>
      <c r="T1869" s="2" t="s">
        <v>341</v>
      </c>
      <c r="U1869" s="2" t="s">
        <v>871</v>
      </c>
      <c r="V1869" s="2" t="s">
        <v>359</v>
      </c>
      <c r="W1869" s="2" t="s">
        <v>1056</v>
      </c>
      <c r="X1869" s="2" t="s">
        <v>8607</v>
      </c>
      <c r="Y1869" s="2" t="s">
        <v>3810</v>
      </c>
      <c r="Z1869" s="4"/>
      <c r="AA1869" s="4">
        <f>=ROUNDDOWN({0},0)</f>
      </c>
      <c r="AB1869" s="5"/>
      <c r="AC1869" s="2" t="s">
        <v>1107</v>
      </c>
      <c r="AD1869" s="4">
        <v>30</v>
      </c>
      <c r="AE1869" s="4">
        <v>78</v>
      </c>
      <c r="AF1869" s="6">
        <v>65</v>
      </c>
      <c r="AG1869" s="6"/>
      <c r="AH1869" s="7">
        <v>0</v>
      </c>
      <c r="AI1869" s="4"/>
      <c r="AJ1869" s="4">
        <f>=ROUNDDOWN({0},0)</f>
      </c>
      <c r="AK1869" s="5"/>
      <c r="AL1869" s="2" t="s">
        <v>233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 t="s">
        <v>233</v>
      </c>
      <c r="AW1869" s="8" t="s">
        <v>233</v>
      </c>
      <c r="AX1869" s="4" t="s">
        <v>233</v>
      </c>
      <c r="AY1869" s="8" t="s">
        <v>233</v>
      </c>
      <c r="AZ1869" s="7" t="s">
        <v>233</v>
      </c>
      <c r="BA1869" s="7" t="s">
        <v>233</v>
      </c>
      <c r="BB1869" s="7"/>
      <c r="BC1869" s="4" t="s">
        <v>233</v>
      </c>
      <c r="BD1869" s="8" t="s">
        <v>233</v>
      </c>
      <c r="BE1869" s="4" t="s">
        <v>233</v>
      </c>
      <c r="BF1869" s="8" t="s">
        <v>233</v>
      </c>
      <c r="BG1869" s="7" t="s">
        <v>233</v>
      </c>
      <c r="BH1869" s="7" t="s">
        <v>233</v>
      </c>
      <c r="BI1869" s="7"/>
      <c r="BJ1869" s="4"/>
      <c r="BK1869" s="8"/>
      <c r="BL1869" s="2" t="s">
        <v>233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243</v>
      </c>
      <c r="BV1869" s="2" t="s">
        <v>233</v>
      </c>
      <c r="BW1869" s="2" t="s">
        <v>233</v>
      </c>
      <c r="BX1869" s="2" t="s">
        <v>243</v>
      </c>
      <c r="BY1869" s="2" t="s">
        <v>244</v>
      </c>
      <c r="BZ1869" s="2" t="s">
        <v>245</v>
      </c>
      <c r="CA1869" s="2" t="s">
        <v>233</v>
      </c>
      <c r="CB1869" s="2" t="s">
        <v>233</v>
      </c>
      <c r="CC1869" s="2" t="s">
        <v>246</v>
      </c>
      <c r="CD1869" s="2" t="s">
        <v>233</v>
      </c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>
        <v>30</v>
      </c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>
        <v>48</v>
      </c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4"/>
      <c r="HG1869" s="4"/>
      <c r="HH1869" s="4"/>
      <c r="HI1869" s="4"/>
      <c r="HJ1869" s="4"/>
      <c r="HK1869" s="4"/>
      <c r="HL1869" s="4"/>
      <c r="HM1869" s="4"/>
      <c r="HN1869" s="4"/>
      <c r="HO1869" s="4"/>
      <c r="HP1869" s="4"/>
      <c r="HQ1869" s="4"/>
      <c r="HR1869" s="4"/>
    </row>
    <row r="1870">
      <c r="A1870" s="2" t="s">
        <v>8614</v>
      </c>
      <c r="B1870" s="2" t="s">
        <v>928</v>
      </c>
      <c r="C1870" s="2" t="s">
        <v>530</v>
      </c>
      <c r="D1870" s="2" t="s">
        <v>6647</v>
      </c>
      <c r="E1870" s="2" t="s">
        <v>6648</v>
      </c>
      <c r="F1870" s="2" t="s">
        <v>8615</v>
      </c>
      <c r="G1870" s="2" t="s">
        <v>233</v>
      </c>
      <c r="H1870" s="2" t="s">
        <v>233</v>
      </c>
      <c r="I1870" s="2" t="s">
        <v>8616</v>
      </c>
      <c r="J1870" s="2" t="s">
        <v>892</v>
      </c>
      <c r="K1870" s="2" t="s">
        <v>1561</v>
      </c>
      <c r="L1870" s="3">
        <v>39.47</v>
      </c>
      <c r="M1870" s="3">
        <v>41.44</v>
      </c>
      <c r="N1870" s="3">
        <v>81.99</v>
      </c>
      <c r="O1870" s="2" t="s">
        <v>245</v>
      </c>
      <c r="P1870" s="2" t="s">
        <v>272</v>
      </c>
      <c r="Q1870" s="2" t="s">
        <v>239</v>
      </c>
      <c r="R1870" s="2" t="s">
        <v>233</v>
      </c>
      <c r="S1870" s="2" t="s">
        <v>8617</v>
      </c>
      <c r="T1870" s="2" t="s">
        <v>233</v>
      </c>
      <c r="U1870" s="2" t="s">
        <v>342</v>
      </c>
      <c r="V1870" s="2" t="s">
        <v>3103</v>
      </c>
      <c r="W1870" s="2" t="s">
        <v>1763</v>
      </c>
      <c r="X1870" s="2" t="s">
        <v>233</v>
      </c>
      <c r="Y1870" s="2" t="s">
        <v>276</v>
      </c>
      <c r="Z1870" s="4">
        <v>43</v>
      </c>
      <c r="AA1870" s="4">
        <f>=ROUNDDOWN(6.14285714285714,0)</f>
      </c>
      <c r="AB1870" s="5">
        <v>7</v>
      </c>
      <c r="AC1870" s="2" t="s">
        <v>521</v>
      </c>
      <c r="AD1870" s="4">
        <v>100</v>
      </c>
      <c r="AE1870" s="4">
        <v>200</v>
      </c>
      <c r="AF1870" s="6">
        <v>63</v>
      </c>
      <c r="AG1870" s="6"/>
      <c r="AH1870" s="7">
        <v>1</v>
      </c>
      <c r="AI1870" s="4"/>
      <c r="AJ1870" s="4">
        <f>=ROUNDDOWN({0},0)</f>
      </c>
      <c r="AK1870" s="5"/>
      <c r="AL1870" s="2" t="s">
        <v>233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25</v>
      </c>
      <c r="BK1870" s="8">
        <v>974.49</v>
      </c>
      <c r="BL1870" s="2" t="s">
        <v>8618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8619</v>
      </c>
      <c r="BV1870" s="2" t="s">
        <v>233</v>
      </c>
      <c r="BW1870" s="2" t="s">
        <v>233</v>
      </c>
      <c r="BX1870" s="2" t="s">
        <v>233</v>
      </c>
      <c r="BY1870" s="2" t="s">
        <v>280</v>
      </c>
      <c r="BZ1870" s="2" t="s">
        <v>245</v>
      </c>
      <c r="CA1870" s="2" t="s">
        <v>281</v>
      </c>
      <c r="CB1870" s="2" t="s">
        <v>7951</v>
      </c>
      <c r="CC1870" s="2" t="s">
        <v>246</v>
      </c>
      <c r="CD1870" s="2" t="s">
        <v>233</v>
      </c>
      <c r="CE1870" s="4"/>
      <c r="CF1870" s="4">
        <v>43</v>
      </c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>
        <v>100</v>
      </c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>
        <v>100</v>
      </c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/>
      <c r="HA1870" s="4"/>
      <c r="HB1870" s="4"/>
      <c r="HC1870" s="4"/>
      <c r="HD1870" s="4"/>
      <c r="HE1870" s="4"/>
      <c r="HF1870" s="4"/>
      <c r="HG1870" s="4"/>
      <c r="HH1870" s="4"/>
      <c r="HI1870" s="4"/>
      <c r="HJ1870" s="4"/>
      <c r="HK1870" s="4"/>
      <c r="HL1870" s="4"/>
      <c r="HM1870" s="4"/>
      <c r="HN1870" s="4"/>
      <c r="HO1870" s="4"/>
      <c r="HP1870" s="4"/>
      <c r="HQ1870" s="4"/>
      <c r="HR1870" s="4"/>
    </row>
    <row r="1871">
      <c r="A1871" s="2" t="s">
        <v>8620</v>
      </c>
      <c r="B1871" s="2" t="s">
        <v>910</v>
      </c>
      <c r="C1871" s="2" t="s">
        <v>5876</v>
      </c>
      <c r="D1871" s="2" t="s">
        <v>1862</v>
      </c>
      <c r="E1871" s="2" t="s">
        <v>1863</v>
      </c>
      <c r="F1871" s="2" t="s">
        <v>2488</v>
      </c>
      <c r="G1871" s="2" t="s">
        <v>8621</v>
      </c>
      <c r="H1871" s="2" t="s">
        <v>8622</v>
      </c>
      <c r="I1871" s="2" t="s">
        <v>8623</v>
      </c>
      <c r="J1871" s="2" t="s">
        <v>981</v>
      </c>
      <c r="K1871" s="2" t="s">
        <v>950</v>
      </c>
      <c r="L1871" s="3">
        <v>42.85</v>
      </c>
      <c r="M1871" s="3">
        <v>44.99</v>
      </c>
      <c r="N1871" s="3">
        <v>89.99</v>
      </c>
      <c r="O1871" s="2" t="s">
        <v>245</v>
      </c>
      <c r="P1871" s="2" t="s">
        <v>272</v>
      </c>
      <c r="Q1871" s="2" t="s">
        <v>239</v>
      </c>
      <c r="R1871" s="2" t="s">
        <v>233</v>
      </c>
      <c r="S1871" s="2" t="s">
        <v>8624</v>
      </c>
      <c r="T1871" s="2" t="s">
        <v>341</v>
      </c>
      <c r="U1871" s="2" t="s">
        <v>475</v>
      </c>
      <c r="V1871" s="2" t="s">
        <v>359</v>
      </c>
      <c r="W1871" s="2" t="s">
        <v>275</v>
      </c>
      <c r="X1871" s="2" t="s">
        <v>397</v>
      </c>
      <c r="Y1871" s="2" t="s">
        <v>2092</v>
      </c>
      <c r="Z1871" s="4">
        <v>152</v>
      </c>
      <c r="AA1871" s="4">
        <f>=ROUNDDOWN(38,0)</f>
      </c>
      <c r="AB1871" s="5">
        <v>4</v>
      </c>
      <c r="AC1871" s="2" t="s">
        <v>8625</v>
      </c>
      <c r="AD1871" s="4">
        <v>50</v>
      </c>
      <c r="AE1871" s="4">
        <v>110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233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5</v>
      </c>
      <c r="BK1871" s="8">
        <v>239.7</v>
      </c>
      <c r="BL1871" s="2" t="s">
        <v>8626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8627</v>
      </c>
      <c r="BV1871" s="2" t="s">
        <v>233</v>
      </c>
      <c r="BW1871" s="2" t="s">
        <v>233</v>
      </c>
      <c r="BX1871" s="2" t="s">
        <v>233</v>
      </c>
      <c r="BY1871" s="2" t="s">
        <v>280</v>
      </c>
      <c r="BZ1871" s="2" t="s">
        <v>245</v>
      </c>
      <c r="CA1871" s="2" t="s">
        <v>2431</v>
      </c>
      <c r="CB1871" s="2" t="s">
        <v>5900</v>
      </c>
      <c r="CC1871" s="2" t="s">
        <v>246</v>
      </c>
      <c r="CD1871" s="2" t="s">
        <v>233</v>
      </c>
      <c r="CE1871" s="4">
        <v>152</v>
      </c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>
        <v>50</v>
      </c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>
        <v>60</v>
      </c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4"/>
      <c r="HG1871" s="4"/>
      <c r="HH1871" s="4"/>
      <c r="HI1871" s="4"/>
      <c r="HJ1871" s="4"/>
      <c r="HK1871" s="4"/>
      <c r="HL1871" s="4"/>
      <c r="HM1871" s="4"/>
      <c r="HN1871" s="4"/>
      <c r="HO1871" s="4"/>
      <c r="HP1871" s="4"/>
      <c r="HQ1871" s="4"/>
      <c r="HR1871" s="4"/>
    </row>
    <row r="1872">
      <c r="A1872" s="2" t="s">
        <v>8628</v>
      </c>
      <c r="B1872" s="2" t="s">
        <v>1242</v>
      </c>
      <c r="C1872" s="2" t="s">
        <v>1321</v>
      </c>
      <c r="D1872" s="2" t="s">
        <v>969</v>
      </c>
      <c r="E1872" s="2" t="s">
        <v>1078</v>
      </c>
      <c r="F1872" s="2" t="s">
        <v>8629</v>
      </c>
      <c r="G1872" s="2" t="s">
        <v>8629</v>
      </c>
      <c r="H1872" s="2" t="s">
        <v>8629</v>
      </c>
      <c r="I1872" s="2" t="s">
        <v>8630</v>
      </c>
      <c r="J1872" s="2" t="s">
        <v>981</v>
      </c>
      <c r="K1872" s="2" t="s">
        <v>271</v>
      </c>
      <c r="L1872" s="3">
        <v>150</v>
      </c>
      <c r="M1872" s="3">
        <v>157.5</v>
      </c>
      <c r="N1872" s="3">
        <v>299.99</v>
      </c>
      <c r="O1872" s="2" t="s">
        <v>245</v>
      </c>
      <c r="P1872" s="2" t="s">
        <v>238</v>
      </c>
      <c r="Q1872" s="2" t="s">
        <v>239</v>
      </c>
      <c r="R1872" s="2" t="s">
        <v>233</v>
      </c>
      <c r="S1872" s="2" t="s">
        <v>8631</v>
      </c>
      <c r="T1872" s="2" t="s">
        <v>341</v>
      </c>
      <c r="U1872" s="2" t="s">
        <v>5309</v>
      </c>
      <c r="V1872" s="2" t="s">
        <v>359</v>
      </c>
      <c r="W1872" s="2" t="s">
        <v>451</v>
      </c>
      <c r="X1872" s="2" t="s">
        <v>977</v>
      </c>
      <c r="Y1872" s="2" t="s">
        <v>233</v>
      </c>
      <c r="Z1872" s="4"/>
      <c r="AA1872" s="4">
        <f>=ROUNDDOWN({0},0)</f>
      </c>
      <c r="AB1872" s="5"/>
      <c r="AC1872" s="2" t="s">
        <v>3316</v>
      </c>
      <c r="AD1872" s="4">
        <v>110</v>
      </c>
      <c r="AE1872" s="4">
        <v>230</v>
      </c>
      <c r="AF1872" s="6">
        <v>67</v>
      </c>
      <c r="AG1872" s="6"/>
      <c r="AH1872" s="7">
        <v>0</v>
      </c>
      <c r="AI1872" s="4"/>
      <c r="AJ1872" s="4">
        <f>=ROUNDDOWN({0},0)</f>
      </c>
      <c r="AK1872" s="5"/>
      <c r="AL1872" s="2" t="s">
        <v>233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 t="s">
        <v>233</v>
      </c>
      <c r="AW1872" s="8" t="s">
        <v>233</v>
      </c>
      <c r="AX1872" s="4" t="s">
        <v>233</v>
      </c>
      <c r="AY1872" s="8" t="s">
        <v>233</v>
      </c>
      <c r="AZ1872" s="7" t="s">
        <v>233</v>
      </c>
      <c r="BA1872" s="7" t="s">
        <v>233</v>
      </c>
      <c r="BB1872" s="7"/>
      <c r="BC1872" s="4" t="s">
        <v>233</v>
      </c>
      <c r="BD1872" s="8" t="s">
        <v>233</v>
      </c>
      <c r="BE1872" s="4" t="s">
        <v>233</v>
      </c>
      <c r="BF1872" s="8" t="s">
        <v>233</v>
      </c>
      <c r="BG1872" s="7" t="s">
        <v>233</v>
      </c>
      <c r="BH1872" s="7" t="s">
        <v>233</v>
      </c>
      <c r="BI1872" s="7"/>
      <c r="BJ1872" s="4"/>
      <c r="BK1872" s="8"/>
      <c r="BL1872" s="2" t="s">
        <v>233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243</v>
      </c>
      <c r="BV1872" s="2" t="s">
        <v>233</v>
      </c>
      <c r="BW1872" s="2" t="s">
        <v>233</v>
      </c>
      <c r="BX1872" s="2" t="s">
        <v>243</v>
      </c>
      <c r="BY1872" s="2" t="s">
        <v>8632</v>
      </c>
      <c r="BZ1872" s="2" t="s">
        <v>245</v>
      </c>
      <c r="CA1872" s="2" t="s">
        <v>233</v>
      </c>
      <c r="CB1872" s="2" t="s">
        <v>233</v>
      </c>
      <c r="CC1872" s="2" t="s">
        <v>246</v>
      </c>
      <c r="CD1872" s="2" t="s">
        <v>233</v>
      </c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>
        <v>110</v>
      </c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>
        <v>120</v>
      </c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  <c r="HF1872" s="4"/>
      <c r="HG1872" s="4"/>
      <c r="HH1872" s="4"/>
      <c r="HI1872" s="4"/>
      <c r="HJ1872" s="4"/>
      <c r="HK1872" s="4"/>
      <c r="HL1872" s="4"/>
      <c r="HM1872" s="4"/>
      <c r="HN1872" s="4"/>
      <c r="HO1872" s="4"/>
      <c r="HP1872" s="4"/>
      <c r="HQ1872" s="4"/>
      <c r="HR1872" s="4"/>
    </row>
    <row r="1873">
      <c r="A1873" s="2" t="s">
        <v>8633</v>
      </c>
      <c r="B1873" s="2" t="s">
        <v>1242</v>
      </c>
      <c r="C1873" s="2" t="s">
        <v>1321</v>
      </c>
      <c r="D1873" s="2" t="s">
        <v>969</v>
      </c>
      <c r="E1873" s="2" t="s">
        <v>1078</v>
      </c>
      <c r="F1873" s="2" t="s">
        <v>8629</v>
      </c>
      <c r="G1873" s="2" t="s">
        <v>8629</v>
      </c>
      <c r="H1873" s="2" t="s">
        <v>8629</v>
      </c>
      <c r="I1873" s="2" t="s">
        <v>8630</v>
      </c>
      <c r="J1873" s="2" t="s">
        <v>1142</v>
      </c>
      <c r="K1873" s="2" t="s">
        <v>271</v>
      </c>
      <c r="L1873" s="3">
        <v>175</v>
      </c>
      <c r="M1873" s="3">
        <v>183.75</v>
      </c>
      <c r="N1873" s="3">
        <v>349.99</v>
      </c>
      <c r="O1873" s="2" t="s">
        <v>245</v>
      </c>
      <c r="P1873" s="2" t="s">
        <v>238</v>
      </c>
      <c r="Q1873" s="2" t="s">
        <v>239</v>
      </c>
      <c r="R1873" s="2" t="s">
        <v>233</v>
      </c>
      <c r="S1873" s="2" t="s">
        <v>8631</v>
      </c>
      <c r="T1873" s="2" t="s">
        <v>341</v>
      </c>
      <c r="U1873" s="2" t="s">
        <v>3165</v>
      </c>
      <c r="V1873" s="2" t="s">
        <v>359</v>
      </c>
      <c r="W1873" s="2" t="s">
        <v>451</v>
      </c>
      <c r="X1873" s="2" t="s">
        <v>977</v>
      </c>
      <c r="Y1873" s="2" t="s">
        <v>233</v>
      </c>
      <c r="Z1873" s="4"/>
      <c r="AA1873" s="4">
        <f>=ROUNDDOWN({0},0)</f>
      </c>
      <c r="AB1873" s="5"/>
      <c r="AC1873" s="2" t="s">
        <v>3316</v>
      </c>
      <c r="AD1873" s="4">
        <v>130</v>
      </c>
      <c r="AE1873" s="4">
        <v>270</v>
      </c>
      <c r="AF1873" s="6">
        <v>67</v>
      </c>
      <c r="AG1873" s="6"/>
      <c r="AH1873" s="7">
        <v>0</v>
      </c>
      <c r="AI1873" s="4"/>
      <c r="AJ1873" s="4">
        <f>=ROUNDDOWN({0},0)</f>
      </c>
      <c r="AK1873" s="5"/>
      <c r="AL1873" s="2" t="s">
        <v>233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 t="s">
        <v>233</v>
      </c>
      <c r="AW1873" s="8" t="s">
        <v>233</v>
      </c>
      <c r="AX1873" s="4" t="s">
        <v>233</v>
      </c>
      <c r="AY1873" s="8" t="s">
        <v>233</v>
      </c>
      <c r="AZ1873" s="7" t="s">
        <v>233</v>
      </c>
      <c r="BA1873" s="7" t="s">
        <v>233</v>
      </c>
      <c r="BB1873" s="7"/>
      <c r="BC1873" s="4" t="s">
        <v>233</v>
      </c>
      <c r="BD1873" s="8" t="s">
        <v>233</v>
      </c>
      <c r="BE1873" s="4" t="s">
        <v>233</v>
      </c>
      <c r="BF1873" s="8" t="s">
        <v>233</v>
      </c>
      <c r="BG1873" s="7" t="s">
        <v>233</v>
      </c>
      <c r="BH1873" s="7" t="s">
        <v>233</v>
      </c>
      <c r="BI1873" s="7"/>
      <c r="BJ1873" s="4"/>
      <c r="BK1873" s="8"/>
      <c r="BL1873" s="2" t="s">
        <v>233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243</v>
      </c>
      <c r="BV1873" s="2" t="s">
        <v>233</v>
      </c>
      <c r="BW1873" s="2" t="s">
        <v>233</v>
      </c>
      <c r="BX1873" s="2" t="s">
        <v>243</v>
      </c>
      <c r="BY1873" s="2" t="s">
        <v>8632</v>
      </c>
      <c r="BZ1873" s="2" t="s">
        <v>245</v>
      </c>
      <c r="CA1873" s="2" t="s">
        <v>233</v>
      </c>
      <c r="CB1873" s="2" t="s">
        <v>233</v>
      </c>
      <c r="CC1873" s="2" t="s">
        <v>246</v>
      </c>
      <c r="CD1873" s="2" t="s">
        <v>233</v>
      </c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>
        <v>130</v>
      </c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>
        <v>140</v>
      </c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4"/>
      <c r="HG1873" s="4"/>
      <c r="HH1873" s="4"/>
      <c r="HI1873" s="4"/>
      <c r="HJ1873" s="4"/>
      <c r="HK1873" s="4"/>
      <c r="HL1873" s="4"/>
      <c r="HM1873" s="4"/>
      <c r="HN1873" s="4"/>
      <c r="HO1873" s="4"/>
      <c r="HP1873" s="4"/>
      <c r="HQ1873" s="4"/>
      <c r="HR1873" s="4"/>
    </row>
    <row r="1874">
      <c r="A1874" s="2" t="s">
        <v>8634</v>
      </c>
      <c r="B1874" s="2" t="s">
        <v>910</v>
      </c>
      <c r="C1874" s="2" t="s">
        <v>1130</v>
      </c>
      <c r="D1874" s="2" t="s">
        <v>969</v>
      </c>
      <c r="E1874" s="2" t="s">
        <v>1078</v>
      </c>
      <c r="F1874" s="2" t="s">
        <v>8635</v>
      </c>
      <c r="G1874" s="2" t="s">
        <v>8636</v>
      </c>
      <c r="H1874" s="2" t="s">
        <v>8637</v>
      </c>
      <c r="I1874" s="2" t="s">
        <v>8638</v>
      </c>
      <c r="J1874" s="2" t="s">
        <v>1142</v>
      </c>
      <c r="K1874" s="2" t="s">
        <v>552</v>
      </c>
      <c r="L1874" s="3">
        <v>84</v>
      </c>
      <c r="M1874" s="3">
        <v>88.2</v>
      </c>
      <c r="N1874" s="3">
        <v>174.99</v>
      </c>
      <c r="O1874" s="2" t="s">
        <v>245</v>
      </c>
      <c r="P1874" s="2" t="s">
        <v>311</v>
      </c>
      <c r="Q1874" s="2" t="s">
        <v>239</v>
      </c>
      <c r="R1874" s="2" t="s">
        <v>233</v>
      </c>
      <c r="S1874" s="2" t="s">
        <v>8639</v>
      </c>
      <c r="T1874" s="2" t="s">
        <v>341</v>
      </c>
      <c r="U1874" s="2" t="s">
        <v>1507</v>
      </c>
      <c r="V1874" s="2" t="s">
        <v>1483</v>
      </c>
      <c r="W1874" s="2" t="s">
        <v>2882</v>
      </c>
      <c r="X1874" s="2" t="s">
        <v>2883</v>
      </c>
      <c r="Y1874" s="2" t="s">
        <v>2884</v>
      </c>
      <c r="Z1874" s="4">
        <v>44</v>
      </c>
      <c r="AA1874" s="4">
        <f>=ROUNDDOWN(55,0)</f>
      </c>
      <c r="AB1874" s="5">
        <v>0.8</v>
      </c>
      <c r="AC1874" s="2" t="s">
        <v>233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233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233</v>
      </c>
      <c r="BD1874" s="8" t="s">
        <v>233</v>
      </c>
      <c r="BE1874" s="4" t="s">
        <v>233</v>
      </c>
      <c r="BF1874" s="8" t="s">
        <v>233</v>
      </c>
      <c r="BG1874" s="7" t="s">
        <v>233</v>
      </c>
      <c r="BH1874" s="7" t="s">
        <v>233</v>
      </c>
      <c r="BI1874" s="7"/>
      <c r="BJ1874" s="4">
        <v>5</v>
      </c>
      <c r="BK1874" s="8">
        <v>451.36</v>
      </c>
      <c r="BL1874" s="2" t="s">
        <v>8640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8641</v>
      </c>
      <c r="BV1874" s="2" t="s">
        <v>233</v>
      </c>
      <c r="BW1874" s="2" t="s">
        <v>233</v>
      </c>
      <c r="BX1874" s="2" t="s">
        <v>233</v>
      </c>
      <c r="BY1874" s="2" t="s">
        <v>280</v>
      </c>
      <c r="BZ1874" s="2" t="s">
        <v>245</v>
      </c>
      <c r="CA1874" s="2" t="s">
        <v>2888</v>
      </c>
      <c r="CB1874" s="2" t="s">
        <v>7152</v>
      </c>
      <c r="CC1874" s="2" t="s">
        <v>246</v>
      </c>
      <c r="CD1874" s="2" t="s">
        <v>233</v>
      </c>
      <c r="CE1874" s="4">
        <v>44</v>
      </c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  <c r="HF1874" s="4"/>
      <c r="HG1874" s="4"/>
      <c r="HH1874" s="4"/>
      <c r="HI1874" s="4"/>
      <c r="HJ1874" s="4"/>
      <c r="HK1874" s="4"/>
      <c r="HL1874" s="4"/>
      <c r="HM1874" s="4"/>
      <c r="HN1874" s="4"/>
      <c r="HO1874" s="4"/>
      <c r="HP1874" s="4"/>
      <c r="HQ1874" s="4"/>
      <c r="HR1874" s="4"/>
    </row>
    <row r="1875">
      <c r="A1875" s="2" t="s">
        <v>8642</v>
      </c>
      <c r="B1875" s="2" t="s">
        <v>910</v>
      </c>
      <c r="C1875" s="2" t="s">
        <v>1130</v>
      </c>
      <c r="D1875" s="2" t="s">
        <v>969</v>
      </c>
      <c r="E1875" s="2" t="s">
        <v>1078</v>
      </c>
      <c r="F1875" s="2" t="s">
        <v>8635</v>
      </c>
      <c r="G1875" s="2" t="s">
        <v>8636</v>
      </c>
      <c r="H1875" s="2" t="s">
        <v>8637</v>
      </c>
      <c r="I1875" s="2" t="s">
        <v>8638</v>
      </c>
      <c r="J1875" s="2" t="s">
        <v>1142</v>
      </c>
      <c r="K1875" s="2" t="s">
        <v>569</v>
      </c>
      <c r="L1875" s="3">
        <v>84</v>
      </c>
      <c r="M1875" s="3">
        <v>88.2</v>
      </c>
      <c r="N1875" s="3">
        <v>174.99</v>
      </c>
      <c r="O1875" s="2" t="s">
        <v>245</v>
      </c>
      <c r="P1875" s="2" t="s">
        <v>311</v>
      </c>
      <c r="Q1875" s="2" t="s">
        <v>239</v>
      </c>
      <c r="R1875" s="2" t="s">
        <v>233</v>
      </c>
      <c r="S1875" s="2" t="s">
        <v>8643</v>
      </c>
      <c r="T1875" s="2" t="s">
        <v>341</v>
      </c>
      <c r="U1875" s="2" t="s">
        <v>1507</v>
      </c>
      <c r="V1875" s="2" t="s">
        <v>1483</v>
      </c>
      <c r="W1875" s="2" t="s">
        <v>2882</v>
      </c>
      <c r="X1875" s="2" t="s">
        <v>2883</v>
      </c>
      <c r="Y1875" s="2" t="s">
        <v>6184</v>
      </c>
      <c r="Z1875" s="4">
        <v>56</v>
      </c>
      <c r="AA1875" s="4">
        <f>=ROUNDDOWN(19.3103448275862,0)</f>
      </c>
      <c r="AB1875" s="5">
        <v>2.9</v>
      </c>
      <c r="AC1875" s="2" t="s">
        <v>233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233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233</v>
      </c>
      <c r="BD1875" s="8" t="s">
        <v>233</v>
      </c>
      <c r="BE1875" s="4" t="s">
        <v>233</v>
      </c>
      <c r="BF1875" s="8" t="s">
        <v>233</v>
      </c>
      <c r="BG1875" s="7" t="s">
        <v>233</v>
      </c>
      <c r="BH1875" s="7" t="s">
        <v>233</v>
      </c>
      <c r="BI1875" s="7"/>
      <c r="BJ1875" s="4">
        <v>7</v>
      </c>
      <c r="BK1875" s="8">
        <v>544.33</v>
      </c>
      <c r="BL1875" s="2" t="s">
        <v>8644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8645</v>
      </c>
      <c r="BV1875" s="2" t="s">
        <v>233</v>
      </c>
      <c r="BW1875" s="2" t="s">
        <v>233</v>
      </c>
      <c r="BX1875" s="2" t="s">
        <v>233</v>
      </c>
      <c r="BY1875" s="2" t="s">
        <v>280</v>
      </c>
      <c r="BZ1875" s="2" t="s">
        <v>245</v>
      </c>
      <c r="CA1875" s="2" t="s">
        <v>667</v>
      </c>
      <c r="CB1875" s="2" t="s">
        <v>8646</v>
      </c>
      <c r="CC1875" s="2" t="s">
        <v>246</v>
      </c>
      <c r="CD1875" s="2" t="s">
        <v>233</v>
      </c>
      <c r="CE1875" s="4">
        <v>56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  <c r="HF1875" s="4"/>
      <c r="HG1875" s="4"/>
      <c r="HH1875" s="4"/>
      <c r="HI1875" s="4"/>
      <c r="HJ1875" s="4"/>
      <c r="HK1875" s="4"/>
      <c r="HL1875" s="4"/>
      <c r="HM1875" s="4"/>
      <c r="HN1875" s="4"/>
      <c r="HO1875" s="4"/>
      <c r="HP1875" s="4"/>
      <c r="HQ1875" s="4"/>
      <c r="HR1875" s="4"/>
    </row>
    <row r="1876">
      <c r="A1876" s="2" t="s">
        <v>8647</v>
      </c>
      <c r="B1876" s="2" t="s">
        <v>886</v>
      </c>
      <c r="C1876" s="2" t="s">
        <v>947</v>
      </c>
      <c r="D1876" s="2" t="s">
        <v>1167</v>
      </c>
      <c r="E1876" s="2" t="s">
        <v>1168</v>
      </c>
      <c r="F1876" s="2" t="s">
        <v>8648</v>
      </c>
      <c r="G1876" s="2" t="s">
        <v>8648</v>
      </c>
      <c r="H1876" s="2" t="s">
        <v>8648</v>
      </c>
      <c r="I1876" s="2" t="s">
        <v>8649</v>
      </c>
      <c r="J1876" s="2" t="s">
        <v>892</v>
      </c>
      <c r="K1876" s="2" t="s">
        <v>271</v>
      </c>
      <c r="L1876" s="3">
        <v>63</v>
      </c>
      <c r="M1876" s="3">
        <v>66.15</v>
      </c>
      <c r="N1876" s="3">
        <v>129.99</v>
      </c>
      <c r="O1876" s="2" t="s">
        <v>245</v>
      </c>
      <c r="P1876" s="2" t="s">
        <v>238</v>
      </c>
      <c r="Q1876" s="2" t="s">
        <v>239</v>
      </c>
      <c r="R1876" s="2" t="s">
        <v>233</v>
      </c>
      <c r="S1876" s="2" t="s">
        <v>233</v>
      </c>
      <c r="T1876" s="2" t="s">
        <v>233</v>
      </c>
      <c r="U1876" s="2" t="s">
        <v>396</v>
      </c>
      <c r="V1876" s="2" t="s">
        <v>893</v>
      </c>
      <c r="W1876" s="2" t="s">
        <v>5825</v>
      </c>
      <c r="X1876" s="2" t="s">
        <v>343</v>
      </c>
      <c r="Y1876" s="2" t="s">
        <v>3199</v>
      </c>
      <c r="Z1876" s="4">
        <v>99</v>
      </c>
      <c r="AA1876" s="4">
        <f>=ROUNDDOWN({0},0)</f>
      </c>
      <c r="AB1876" s="5"/>
      <c r="AC1876" s="2" t="s">
        <v>233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233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/>
      <c r="BD1876" s="8"/>
      <c r="BE1876" s="4"/>
      <c r="BF1876" s="8"/>
      <c r="BG1876" s="7"/>
      <c r="BH1876" s="7"/>
      <c r="BI1876" s="7"/>
      <c r="BJ1876" s="4"/>
      <c r="BK1876" s="8"/>
      <c r="BL1876" s="2" t="s">
        <v>233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243</v>
      </c>
      <c r="BV1876" s="2" t="s">
        <v>233</v>
      </c>
      <c r="BW1876" s="2" t="s">
        <v>233</v>
      </c>
      <c r="BX1876" s="2" t="s">
        <v>243</v>
      </c>
      <c r="BY1876" s="2" t="s">
        <v>244</v>
      </c>
      <c r="BZ1876" s="2" t="s">
        <v>245</v>
      </c>
      <c r="CA1876" s="2" t="s">
        <v>233</v>
      </c>
      <c r="CB1876" s="2" t="s">
        <v>233</v>
      </c>
      <c r="CC1876" s="2" t="s">
        <v>246</v>
      </c>
      <c r="CD1876" s="2" t="s">
        <v>233</v>
      </c>
      <c r="CE1876" s="4"/>
      <c r="CF1876" s="4">
        <v>99</v>
      </c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/>
      <c r="GY1876" s="4"/>
      <c r="GZ1876" s="4"/>
      <c r="HA1876" s="4"/>
      <c r="HB1876" s="4"/>
      <c r="HC1876" s="4"/>
      <c r="HD1876" s="4"/>
      <c r="HE1876" s="4"/>
      <c r="HF1876" s="4"/>
      <c r="HG1876" s="4"/>
      <c r="HH1876" s="4"/>
      <c r="HI1876" s="4"/>
      <c r="HJ1876" s="4"/>
      <c r="HK1876" s="4"/>
      <c r="HL1876" s="4"/>
      <c r="HM1876" s="4"/>
      <c r="HN1876" s="4"/>
      <c r="HO1876" s="4"/>
      <c r="HP1876" s="4"/>
      <c r="HQ1876" s="4"/>
      <c r="HR1876" s="4"/>
    </row>
    <row r="1877">
      <c r="A1877" s="2" t="s">
        <v>8650</v>
      </c>
      <c r="B1877" s="2" t="s">
        <v>1017</v>
      </c>
      <c r="C1877" s="2" t="s">
        <v>911</v>
      </c>
      <c r="D1877" s="2" t="s">
        <v>7419</v>
      </c>
      <c r="E1877" s="2" t="s">
        <v>992</v>
      </c>
      <c r="F1877" s="2" t="s">
        <v>8651</v>
      </c>
      <c r="G1877" s="2" t="s">
        <v>7455</v>
      </c>
      <c r="H1877" s="2" t="s">
        <v>8652</v>
      </c>
      <c r="I1877" s="2" t="s">
        <v>7422</v>
      </c>
      <c r="J1877" s="2" t="s">
        <v>892</v>
      </c>
      <c r="K1877" s="2" t="s">
        <v>1083</v>
      </c>
      <c r="L1877" s="3">
        <v>26.4</v>
      </c>
      <c r="M1877" s="3">
        <v>27.72</v>
      </c>
      <c r="N1877" s="3">
        <v>54.99</v>
      </c>
      <c r="O1877" s="2" t="s">
        <v>245</v>
      </c>
      <c r="P1877" s="2" t="s">
        <v>272</v>
      </c>
      <c r="Q1877" s="2" t="s">
        <v>239</v>
      </c>
      <c r="R1877" s="2" t="s">
        <v>233</v>
      </c>
      <c r="S1877" s="2" t="s">
        <v>8653</v>
      </c>
      <c r="T1877" s="2" t="s">
        <v>233</v>
      </c>
      <c r="U1877" s="2" t="s">
        <v>233</v>
      </c>
      <c r="V1877" s="2" t="s">
        <v>3390</v>
      </c>
      <c r="W1877" s="2" t="s">
        <v>275</v>
      </c>
      <c r="X1877" s="2" t="s">
        <v>233</v>
      </c>
      <c r="Y1877" s="2" t="s">
        <v>276</v>
      </c>
      <c r="Z1877" s="4">
        <v>531</v>
      </c>
      <c r="AA1877" s="4">
        <f>=ROUNDDOWN(35.4,0)</f>
      </c>
      <c r="AB1877" s="5">
        <v>15</v>
      </c>
      <c r="AC1877" s="2" t="s">
        <v>8654</v>
      </c>
      <c r="AD1877" s="4">
        <v>500</v>
      </c>
      <c r="AE1877" s="4">
        <v>500</v>
      </c>
      <c r="AF1877" s="6">
        <v>69</v>
      </c>
      <c r="AG1877" s="6"/>
      <c r="AH1877" s="7">
        <v>1</v>
      </c>
      <c r="AI1877" s="4"/>
      <c r="AJ1877" s="4">
        <f>=ROUNDDOWN({0},0)</f>
      </c>
      <c r="AK1877" s="5"/>
      <c r="AL1877" s="2" t="s">
        <v>233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26</v>
      </c>
      <c r="BK1877" s="8">
        <v>752.35</v>
      </c>
      <c r="BL1877" s="2" t="s">
        <v>8655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8656</v>
      </c>
      <c r="BV1877" s="2" t="s">
        <v>233</v>
      </c>
      <c r="BW1877" s="2" t="s">
        <v>233</v>
      </c>
      <c r="BX1877" s="2" t="s">
        <v>233</v>
      </c>
      <c r="BY1877" s="2" t="s">
        <v>280</v>
      </c>
      <c r="BZ1877" s="2" t="s">
        <v>245</v>
      </c>
      <c r="CA1877" s="2" t="s">
        <v>281</v>
      </c>
      <c r="CB1877" s="2" t="s">
        <v>8657</v>
      </c>
      <c r="CC1877" s="2" t="s">
        <v>246</v>
      </c>
      <c r="CD1877" s="2" t="s">
        <v>233</v>
      </c>
      <c r="CE1877" s="4">
        <v>531</v>
      </c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/>
      <c r="GY1877" s="4"/>
      <c r="GZ1877" s="4"/>
      <c r="HA1877" s="4"/>
      <c r="HB1877" s="4"/>
      <c r="HC1877" s="4"/>
      <c r="HD1877" s="4"/>
      <c r="HE1877" s="4"/>
      <c r="HF1877" s="4"/>
      <c r="HG1877" s="4">
        <v>500</v>
      </c>
      <c r="HH1877" s="4"/>
      <c r="HI1877" s="4"/>
      <c r="HJ1877" s="4"/>
      <c r="HK1877" s="4"/>
      <c r="HL1877" s="4"/>
      <c r="HM1877" s="4"/>
      <c r="HN1877" s="4"/>
      <c r="HO1877" s="4"/>
      <c r="HP1877" s="4"/>
      <c r="HQ1877" s="4"/>
      <c r="HR1877" s="4"/>
    </row>
    <row r="1878">
      <c r="A1878" s="2" t="s">
        <v>8658</v>
      </c>
      <c r="B1878" s="2" t="s">
        <v>1242</v>
      </c>
      <c r="C1878" s="2" t="s">
        <v>901</v>
      </c>
      <c r="D1878" s="2" t="s">
        <v>1194</v>
      </c>
      <c r="E1878" s="2" t="s">
        <v>1195</v>
      </c>
      <c r="F1878" s="2" t="s">
        <v>8659</v>
      </c>
      <c r="G1878" s="2" t="s">
        <v>233</v>
      </c>
      <c r="H1878" s="2" t="s">
        <v>233</v>
      </c>
      <c r="I1878" s="2" t="s">
        <v>8660</v>
      </c>
      <c r="J1878" s="2" t="s">
        <v>8661</v>
      </c>
      <c r="K1878" s="2" t="s">
        <v>525</v>
      </c>
      <c r="L1878" s="3">
        <v>11.88</v>
      </c>
      <c r="M1878" s="3">
        <v>12.47</v>
      </c>
      <c r="N1878" s="3">
        <v>26.99</v>
      </c>
      <c r="O1878" s="2" t="s">
        <v>237</v>
      </c>
      <c r="P1878" s="2" t="s">
        <v>311</v>
      </c>
      <c r="Q1878" s="2" t="s">
        <v>239</v>
      </c>
      <c r="R1878" s="2" t="s">
        <v>233</v>
      </c>
      <c r="S1878" s="2" t="s">
        <v>8662</v>
      </c>
      <c r="T1878" s="2" t="s">
        <v>341</v>
      </c>
      <c r="U1878" s="2" t="s">
        <v>396</v>
      </c>
      <c r="V1878" s="2" t="s">
        <v>1302</v>
      </c>
      <c r="W1878" s="2" t="s">
        <v>397</v>
      </c>
      <c r="X1878" s="2" t="s">
        <v>451</v>
      </c>
      <c r="Y1878" s="2" t="s">
        <v>276</v>
      </c>
      <c r="Z1878" s="4">
        <v>17</v>
      </c>
      <c r="AA1878" s="4">
        <f>=ROUNDDOWN(4.85714285714286,0)</f>
      </c>
      <c r="AB1878" s="5">
        <v>3.5</v>
      </c>
      <c r="AC1878" s="2" t="s">
        <v>233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233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17</v>
      </c>
      <c r="BK1878" s="8">
        <v>210.43</v>
      </c>
      <c r="BL1878" s="2" t="s">
        <v>5213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8663</v>
      </c>
      <c r="BV1878" s="2" t="s">
        <v>233</v>
      </c>
      <c r="BW1878" s="2" t="s">
        <v>233</v>
      </c>
      <c r="BX1878" s="2" t="s">
        <v>233</v>
      </c>
      <c r="BY1878" s="2" t="s">
        <v>280</v>
      </c>
      <c r="BZ1878" s="2" t="s">
        <v>245</v>
      </c>
      <c r="CA1878" s="2" t="s">
        <v>281</v>
      </c>
      <c r="CB1878" s="2" t="s">
        <v>8664</v>
      </c>
      <c r="CC1878" s="2" t="s">
        <v>246</v>
      </c>
      <c r="CD1878" s="2" t="s">
        <v>233</v>
      </c>
      <c r="CE1878" s="4">
        <v>17</v>
      </c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  <c r="HF1878" s="4"/>
      <c r="HG1878" s="4"/>
      <c r="HH1878" s="4"/>
      <c r="HI1878" s="4"/>
      <c r="HJ1878" s="4"/>
      <c r="HK1878" s="4"/>
      <c r="HL1878" s="4"/>
      <c r="HM1878" s="4"/>
      <c r="HN1878" s="4"/>
      <c r="HO1878" s="4"/>
      <c r="HP1878" s="4"/>
      <c r="HQ1878" s="4"/>
      <c r="HR1878" s="4"/>
    </row>
    <row r="1879">
      <c r="A1879" s="2" t="s">
        <v>8665</v>
      </c>
      <c r="B1879" s="2" t="s">
        <v>1276</v>
      </c>
      <c r="C1879" s="2" t="s">
        <v>1277</v>
      </c>
      <c r="D1879" s="2" t="s">
        <v>1278</v>
      </c>
      <c r="E1879" s="2" t="s">
        <v>1279</v>
      </c>
      <c r="F1879" s="2" t="s">
        <v>8666</v>
      </c>
      <c r="G1879" s="2" t="s">
        <v>8666</v>
      </c>
      <c r="H1879" s="2" t="s">
        <v>8666</v>
      </c>
      <c r="I1879" s="2" t="s">
        <v>8667</v>
      </c>
      <c r="J1879" s="2" t="s">
        <v>1549</v>
      </c>
      <c r="K1879" s="2" t="s">
        <v>255</v>
      </c>
      <c r="L1879" s="3">
        <v>9.51</v>
      </c>
      <c r="M1879" s="3">
        <v>9.99</v>
      </c>
      <c r="N1879" s="3">
        <v>24.99</v>
      </c>
      <c r="O1879" s="2" t="s">
        <v>245</v>
      </c>
      <c r="P1879" s="2" t="s">
        <v>272</v>
      </c>
      <c r="Q1879" s="2" t="s">
        <v>239</v>
      </c>
      <c r="R1879" s="2" t="s">
        <v>233</v>
      </c>
      <c r="S1879" s="2" t="s">
        <v>233</v>
      </c>
      <c r="T1879" s="2" t="s">
        <v>233</v>
      </c>
      <c r="U1879" s="2" t="s">
        <v>396</v>
      </c>
      <c r="V1879" s="2" t="s">
        <v>893</v>
      </c>
      <c r="W1879" s="2" t="s">
        <v>275</v>
      </c>
      <c r="X1879" s="2" t="s">
        <v>233</v>
      </c>
      <c r="Y1879" s="2" t="s">
        <v>2973</v>
      </c>
      <c r="Z1879" s="4">
        <v>179</v>
      </c>
      <c r="AA1879" s="4">
        <f>=ROUNDDOWN(35.8,0)</f>
      </c>
      <c r="AB1879" s="5">
        <v>5</v>
      </c>
      <c r="AC1879" s="2" t="s">
        <v>233</v>
      </c>
      <c r="AD1879" s="4"/>
      <c r="AE1879" s="4"/>
      <c r="AF1879" s="6">
        <v>65</v>
      </c>
      <c r="AG1879" s="6"/>
      <c r="AH1879" s="7">
        <v>0</v>
      </c>
      <c r="AI1879" s="4"/>
      <c r="AJ1879" s="4">
        <f>=ROUNDDOWN({0},0)</f>
      </c>
      <c r="AK1879" s="5"/>
      <c r="AL1879" s="2" t="s">
        <v>233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 t="s">
        <v>233</v>
      </c>
      <c r="AW1879" s="8" t="s">
        <v>233</v>
      </c>
      <c r="AX1879" s="4" t="s">
        <v>233</v>
      </c>
      <c r="AY1879" s="8" t="s">
        <v>233</v>
      </c>
      <c r="AZ1879" s="7" t="s">
        <v>233</v>
      </c>
      <c r="BA1879" s="7" t="s">
        <v>233</v>
      </c>
      <c r="BB1879" s="7"/>
      <c r="BC1879" s="4" t="s">
        <v>233</v>
      </c>
      <c r="BD1879" s="8" t="s">
        <v>233</v>
      </c>
      <c r="BE1879" s="4" t="s">
        <v>233</v>
      </c>
      <c r="BF1879" s="8" t="s">
        <v>233</v>
      </c>
      <c r="BG1879" s="7" t="s">
        <v>233</v>
      </c>
      <c r="BH1879" s="7" t="s">
        <v>233</v>
      </c>
      <c r="BI1879" s="7"/>
      <c r="BJ1879" s="4">
        <v>1</v>
      </c>
      <c r="BK1879" s="8">
        <v>13.32</v>
      </c>
      <c r="BL1879" s="2" t="s">
        <v>744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243</v>
      </c>
      <c r="BV1879" s="2" t="s">
        <v>233</v>
      </c>
      <c r="BW1879" s="2" t="s">
        <v>233</v>
      </c>
      <c r="BX1879" s="2" t="s">
        <v>243</v>
      </c>
      <c r="BY1879" s="2" t="s">
        <v>346</v>
      </c>
      <c r="BZ1879" s="2" t="s">
        <v>245</v>
      </c>
      <c r="CA1879" s="2" t="s">
        <v>233</v>
      </c>
      <c r="CB1879" s="2" t="s">
        <v>233</v>
      </c>
      <c r="CC1879" s="2" t="s">
        <v>246</v>
      </c>
      <c r="CD1879" s="2" t="s">
        <v>233</v>
      </c>
      <c r="CE1879" s="4">
        <v>179</v>
      </c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  <c r="HF1879" s="4"/>
      <c r="HG1879" s="4"/>
      <c r="HH1879" s="4"/>
      <c r="HI1879" s="4"/>
      <c r="HJ1879" s="4"/>
      <c r="HK1879" s="4"/>
      <c r="HL1879" s="4"/>
      <c r="HM1879" s="4"/>
      <c r="HN1879" s="4"/>
      <c r="HO1879" s="4"/>
      <c r="HP1879" s="4"/>
      <c r="HQ1879" s="4"/>
      <c r="HR1879" s="4"/>
    </row>
    <row r="1880">
      <c r="A1880" s="2" t="s">
        <v>8668</v>
      </c>
      <c r="B1880" s="2" t="s">
        <v>1276</v>
      </c>
      <c r="C1880" s="2" t="s">
        <v>1277</v>
      </c>
      <c r="D1880" s="2" t="s">
        <v>1278</v>
      </c>
      <c r="E1880" s="2" t="s">
        <v>1279</v>
      </c>
      <c r="F1880" s="2" t="s">
        <v>8666</v>
      </c>
      <c r="G1880" s="2" t="s">
        <v>8666</v>
      </c>
      <c r="H1880" s="2" t="s">
        <v>8666</v>
      </c>
      <c r="I1880" s="2" t="s">
        <v>8669</v>
      </c>
      <c r="J1880" s="2" t="s">
        <v>8670</v>
      </c>
      <c r="K1880" s="2" t="s">
        <v>255</v>
      </c>
      <c r="L1880" s="3">
        <v>16.01</v>
      </c>
      <c r="M1880" s="3">
        <v>16.81</v>
      </c>
      <c r="N1880" s="3">
        <v>34.99</v>
      </c>
      <c r="O1880" s="2" t="s">
        <v>245</v>
      </c>
      <c r="P1880" s="2" t="s">
        <v>272</v>
      </c>
      <c r="Q1880" s="2" t="s">
        <v>239</v>
      </c>
      <c r="R1880" s="2" t="s">
        <v>233</v>
      </c>
      <c r="S1880" s="2" t="s">
        <v>233</v>
      </c>
      <c r="T1880" s="2" t="s">
        <v>233</v>
      </c>
      <c r="U1880" s="2" t="s">
        <v>396</v>
      </c>
      <c r="V1880" s="2" t="s">
        <v>893</v>
      </c>
      <c r="W1880" s="2" t="s">
        <v>275</v>
      </c>
      <c r="X1880" s="2" t="s">
        <v>233</v>
      </c>
      <c r="Y1880" s="2" t="s">
        <v>2973</v>
      </c>
      <c r="Z1880" s="4">
        <v>445</v>
      </c>
      <c r="AA1880" s="4">
        <f>=ROUNDDOWN(34.2307692307692,0)</f>
      </c>
      <c r="AB1880" s="5">
        <v>13</v>
      </c>
      <c r="AC1880" s="2" t="s">
        <v>233</v>
      </c>
      <c r="AD1880" s="4"/>
      <c r="AE1880" s="4"/>
      <c r="AF1880" s="6">
        <v>65</v>
      </c>
      <c r="AG1880" s="6"/>
      <c r="AH1880" s="7">
        <v>0</v>
      </c>
      <c r="AI1880" s="4"/>
      <c r="AJ1880" s="4">
        <f>=ROUNDDOWN({0},0)</f>
      </c>
      <c r="AK1880" s="5"/>
      <c r="AL1880" s="2" t="s">
        <v>233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 t="s">
        <v>233</v>
      </c>
      <c r="AW1880" s="8" t="s">
        <v>233</v>
      </c>
      <c r="AX1880" s="4" t="s">
        <v>233</v>
      </c>
      <c r="AY1880" s="8" t="s">
        <v>233</v>
      </c>
      <c r="AZ1880" s="7" t="s">
        <v>233</v>
      </c>
      <c r="BA1880" s="7" t="s">
        <v>233</v>
      </c>
      <c r="BB1880" s="7"/>
      <c r="BC1880" s="4" t="s">
        <v>233</v>
      </c>
      <c r="BD1880" s="8" t="s">
        <v>233</v>
      </c>
      <c r="BE1880" s="4" t="s">
        <v>233</v>
      </c>
      <c r="BF1880" s="8" t="s">
        <v>233</v>
      </c>
      <c r="BG1880" s="7" t="s">
        <v>233</v>
      </c>
      <c r="BH1880" s="7" t="s">
        <v>233</v>
      </c>
      <c r="BI1880" s="7"/>
      <c r="BJ1880" s="4"/>
      <c r="BK1880" s="8"/>
      <c r="BL1880" s="2" t="s">
        <v>233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243</v>
      </c>
      <c r="BV1880" s="2" t="s">
        <v>233</v>
      </c>
      <c r="BW1880" s="2" t="s">
        <v>233</v>
      </c>
      <c r="BX1880" s="2" t="s">
        <v>243</v>
      </c>
      <c r="BY1880" s="2" t="s">
        <v>346</v>
      </c>
      <c r="BZ1880" s="2" t="s">
        <v>245</v>
      </c>
      <c r="CA1880" s="2" t="s">
        <v>233</v>
      </c>
      <c r="CB1880" s="2" t="s">
        <v>233</v>
      </c>
      <c r="CC1880" s="2" t="s">
        <v>246</v>
      </c>
      <c r="CD1880" s="2" t="s">
        <v>233</v>
      </c>
      <c r="CE1880" s="4">
        <v>445</v>
      </c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  <c r="HF1880" s="4"/>
      <c r="HG1880" s="4"/>
      <c r="HH1880" s="4"/>
      <c r="HI1880" s="4"/>
      <c r="HJ1880" s="4"/>
      <c r="HK1880" s="4"/>
      <c r="HL1880" s="4"/>
      <c r="HM1880" s="4"/>
      <c r="HN1880" s="4"/>
      <c r="HO1880" s="4"/>
      <c r="HP1880" s="4"/>
      <c r="HQ1880" s="4"/>
      <c r="HR1880" s="4"/>
    </row>
    <row r="1881">
      <c r="A1881" s="2" t="s">
        <v>8671</v>
      </c>
      <c r="B1881" s="2" t="s">
        <v>1242</v>
      </c>
      <c r="C1881" s="2" t="s">
        <v>530</v>
      </c>
      <c r="D1881" s="2" t="s">
        <v>1862</v>
      </c>
      <c r="E1881" s="2" t="s">
        <v>1863</v>
      </c>
      <c r="F1881" s="2" t="s">
        <v>8666</v>
      </c>
      <c r="G1881" s="2" t="s">
        <v>8672</v>
      </c>
      <c r="H1881" s="2" t="s">
        <v>8673</v>
      </c>
      <c r="I1881" s="2" t="s">
        <v>8674</v>
      </c>
      <c r="J1881" s="2" t="s">
        <v>981</v>
      </c>
      <c r="K1881" s="2" t="s">
        <v>569</v>
      </c>
      <c r="L1881" s="3">
        <v>28.57</v>
      </c>
      <c r="M1881" s="3">
        <v>30</v>
      </c>
      <c r="N1881" s="3">
        <v>59.99</v>
      </c>
      <c r="O1881" s="2" t="s">
        <v>245</v>
      </c>
      <c r="P1881" s="2" t="s">
        <v>311</v>
      </c>
      <c r="Q1881" s="2" t="s">
        <v>239</v>
      </c>
      <c r="R1881" s="2" t="s">
        <v>233</v>
      </c>
      <c r="S1881" s="2" t="s">
        <v>8675</v>
      </c>
      <c r="T1881" s="2" t="s">
        <v>395</v>
      </c>
      <c r="U1881" s="2" t="s">
        <v>475</v>
      </c>
      <c r="V1881" s="2" t="s">
        <v>241</v>
      </c>
      <c r="W1881" s="2" t="s">
        <v>275</v>
      </c>
      <c r="X1881" s="2" t="s">
        <v>1056</v>
      </c>
      <c r="Y1881" s="2" t="s">
        <v>3635</v>
      </c>
      <c r="Z1881" s="4">
        <v>365</v>
      </c>
      <c r="AA1881" s="4">
        <f>=ROUNDDOWN(49.3243243243243,0)</f>
      </c>
      <c r="AB1881" s="5">
        <v>7.4</v>
      </c>
      <c r="AC1881" s="2" t="s">
        <v>233</v>
      </c>
      <c r="AD1881" s="4"/>
      <c r="AE1881" s="4"/>
      <c r="AF1881" s="6">
        <v>64</v>
      </c>
      <c r="AG1881" s="6"/>
      <c r="AH1881" s="7">
        <v>1</v>
      </c>
      <c r="AI1881" s="4"/>
      <c r="AJ1881" s="4">
        <f>=ROUNDDOWN({0},0)</f>
      </c>
      <c r="AK1881" s="5"/>
      <c r="AL1881" s="2" t="s">
        <v>233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 t="s">
        <v>233</v>
      </c>
      <c r="AW1881" s="8" t="s">
        <v>233</v>
      </c>
      <c r="AX1881" s="4" t="s">
        <v>233</v>
      </c>
      <c r="AY1881" s="8" t="s">
        <v>233</v>
      </c>
      <c r="AZ1881" s="7" t="s">
        <v>233</v>
      </c>
      <c r="BA1881" s="7" t="s">
        <v>233</v>
      </c>
      <c r="BB1881" s="7"/>
      <c r="BC1881" s="4" t="s">
        <v>233</v>
      </c>
      <c r="BD1881" s="8" t="s">
        <v>233</v>
      </c>
      <c r="BE1881" s="4" t="s">
        <v>233</v>
      </c>
      <c r="BF1881" s="8" t="s">
        <v>233</v>
      </c>
      <c r="BG1881" s="7" t="s">
        <v>233</v>
      </c>
      <c r="BH1881" s="7" t="s">
        <v>233</v>
      </c>
      <c r="BI1881" s="7"/>
      <c r="BJ1881" s="4">
        <v>25</v>
      </c>
      <c r="BK1881" s="8">
        <v>796.66</v>
      </c>
      <c r="BL1881" s="2" t="s">
        <v>8676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8677</v>
      </c>
      <c r="BV1881" s="2" t="s">
        <v>233</v>
      </c>
      <c r="BW1881" s="2" t="s">
        <v>233</v>
      </c>
      <c r="BX1881" s="2" t="s">
        <v>233</v>
      </c>
      <c r="BY1881" s="2" t="s">
        <v>280</v>
      </c>
      <c r="BZ1881" s="2" t="s">
        <v>245</v>
      </c>
      <c r="CA1881" s="2" t="s">
        <v>3509</v>
      </c>
      <c r="CB1881" s="2" t="s">
        <v>1026</v>
      </c>
      <c r="CC1881" s="2" t="s">
        <v>246</v>
      </c>
      <c r="CD1881" s="2" t="s">
        <v>233</v>
      </c>
      <c r="CE1881" s="4">
        <v>365</v>
      </c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  <c r="HF1881" s="4"/>
      <c r="HG1881" s="4"/>
      <c r="HH1881" s="4"/>
      <c r="HI1881" s="4"/>
      <c r="HJ1881" s="4"/>
      <c r="HK1881" s="4"/>
      <c r="HL1881" s="4"/>
      <c r="HM1881" s="4"/>
      <c r="HN1881" s="4"/>
      <c r="HO1881" s="4"/>
      <c r="HP1881" s="4"/>
      <c r="HQ1881" s="4"/>
      <c r="HR1881" s="4"/>
    </row>
    <row r="1882">
      <c r="A1882" s="2" t="s">
        <v>8678</v>
      </c>
      <c r="B1882" s="2" t="s">
        <v>1242</v>
      </c>
      <c r="C1882" s="2" t="s">
        <v>530</v>
      </c>
      <c r="D1882" s="2" t="s">
        <v>1862</v>
      </c>
      <c r="E1882" s="2" t="s">
        <v>1863</v>
      </c>
      <c r="F1882" s="2" t="s">
        <v>8666</v>
      </c>
      <c r="G1882" s="2" t="s">
        <v>8672</v>
      </c>
      <c r="H1882" s="2" t="s">
        <v>8673</v>
      </c>
      <c r="I1882" s="2" t="s">
        <v>8674</v>
      </c>
      <c r="J1882" s="2" t="s">
        <v>1142</v>
      </c>
      <c r="K1882" s="2" t="s">
        <v>569</v>
      </c>
      <c r="L1882" s="3">
        <v>33.33</v>
      </c>
      <c r="M1882" s="3">
        <v>35</v>
      </c>
      <c r="N1882" s="3">
        <v>69.99</v>
      </c>
      <c r="O1882" s="2" t="s">
        <v>245</v>
      </c>
      <c r="P1882" s="2" t="s">
        <v>311</v>
      </c>
      <c r="Q1882" s="2" t="s">
        <v>239</v>
      </c>
      <c r="R1882" s="2" t="s">
        <v>233</v>
      </c>
      <c r="S1882" s="2" t="s">
        <v>8675</v>
      </c>
      <c r="T1882" s="2" t="s">
        <v>395</v>
      </c>
      <c r="U1882" s="2" t="s">
        <v>475</v>
      </c>
      <c r="V1882" s="2" t="s">
        <v>241</v>
      </c>
      <c r="W1882" s="2" t="s">
        <v>275</v>
      </c>
      <c r="X1882" s="2" t="s">
        <v>1056</v>
      </c>
      <c r="Y1882" s="2" t="s">
        <v>3635</v>
      </c>
      <c r="Z1882" s="4">
        <v>474</v>
      </c>
      <c r="AA1882" s="4">
        <f>=ROUNDDOWN(96.734693877551,0)</f>
      </c>
      <c r="AB1882" s="5">
        <v>4.9</v>
      </c>
      <c r="AC1882" s="2" t="s">
        <v>233</v>
      </c>
      <c r="AD1882" s="4"/>
      <c r="AE1882" s="4"/>
      <c r="AF1882" s="6">
        <v>64</v>
      </c>
      <c r="AG1882" s="6"/>
      <c r="AH1882" s="7">
        <v>1</v>
      </c>
      <c r="AI1882" s="4"/>
      <c r="AJ1882" s="4">
        <f>=ROUNDDOWN({0},0)</f>
      </c>
      <c r="AK1882" s="5"/>
      <c r="AL1882" s="2" t="s">
        <v>233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 t="s">
        <v>233</v>
      </c>
      <c r="AW1882" s="8" t="s">
        <v>233</v>
      </c>
      <c r="AX1882" s="4" t="s">
        <v>233</v>
      </c>
      <c r="AY1882" s="8" t="s">
        <v>233</v>
      </c>
      <c r="AZ1882" s="7" t="s">
        <v>233</v>
      </c>
      <c r="BA1882" s="7" t="s">
        <v>233</v>
      </c>
      <c r="BB1882" s="7"/>
      <c r="BC1882" s="4" t="s">
        <v>233</v>
      </c>
      <c r="BD1882" s="8" t="s">
        <v>233</v>
      </c>
      <c r="BE1882" s="4" t="s">
        <v>233</v>
      </c>
      <c r="BF1882" s="8" t="s">
        <v>233</v>
      </c>
      <c r="BG1882" s="7" t="s">
        <v>233</v>
      </c>
      <c r="BH1882" s="7" t="s">
        <v>233</v>
      </c>
      <c r="BI1882" s="7"/>
      <c r="BJ1882" s="4">
        <v>15</v>
      </c>
      <c r="BK1882" s="8">
        <v>558.95</v>
      </c>
      <c r="BL1882" s="2" t="s">
        <v>8679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8680</v>
      </c>
      <c r="BV1882" s="2" t="s">
        <v>233</v>
      </c>
      <c r="BW1882" s="2" t="s">
        <v>233</v>
      </c>
      <c r="BX1882" s="2" t="s">
        <v>233</v>
      </c>
      <c r="BY1882" s="2" t="s">
        <v>280</v>
      </c>
      <c r="BZ1882" s="2" t="s">
        <v>245</v>
      </c>
      <c r="CA1882" s="2" t="s">
        <v>3509</v>
      </c>
      <c r="CB1882" s="2" t="s">
        <v>2434</v>
      </c>
      <c r="CC1882" s="2" t="s">
        <v>246</v>
      </c>
      <c r="CD1882" s="2" t="s">
        <v>233</v>
      </c>
      <c r="CE1882" s="4">
        <v>474</v>
      </c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4"/>
      <c r="HE1882" s="4"/>
      <c r="HF1882" s="4"/>
      <c r="HG1882" s="4"/>
      <c r="HH1882" s="4"/>
      <c r="HI1882" s="4"/>
      <c r="HJ1882" s="4"/>
      <c r="HK1882" s="4"/>
      <c r="HL1882" s="4"/>
      <c r="HM1882" s="4"/>
      <c r="HN1882" s="4"/>
      <c r="HO1882" s="4"/>
      <c r="HP1882" s="4"/>
      <c r="HQ1882" s="4"/>
      <c r="HR1882" s="4"/>
    </row>
    <row r="1883">
      <c r="A1883" s="2" t="s">
        <v>8681</v>
      </c>
      <c r="B1883" s="2" t="s">
        <v>910</v>
      </c>
      <c r="C1883" s="2" t="s">
        <v>911</v>
      </c>
      <c r="D1883" s="2" t="s">
        <v>969</v>
      </c>
      <c r="E1883" s="2" t="s">
        <v>970</v>
      </c>
      <c r="F1883" s="2" t="s">
        <v>7096</v>
      </c>
      <c r="G1883" s="2" t="s">
        <v>2072</v>
      </c>
      <c r="H1883" s="2" t="s">
        <v>8682</v>
      </c>
      <c r="I1883" s="2" t="s">
        <v>8683</v>
      </c>
      <c r="J1883" s="2" t="s">
        <v>918</v>
      </c>
      <c r="K1883" s="2" t="s">
        <v>5388</v>
      </c>
      <c r="L1883" s="3">
        <v>30.95</v>
      </c>
      <c r="M1883" s="3">
        <v>32.5</v>
      </c>
      <c r="N1883" s="3">
        <v>64.99</v>
      </c>
      <c r="O1883" s="2" t="s">
        <v>245</v>
      </c>
      <c r="P1883" s="2" t="s">
        <v>272</v>
      </c>
      <c r="Q1883" s="2" t="s">
        <v>239</v>
      </c>
      <c r="R1883" s="2" t="s">
        <v>233</v>
      </c>
      <c r="S1883" s="2" t="s">
        <v>8684</v>
      </c>
      <c r="T1883" s="2" t="s">
        <v>976</v>
      </c>
      <c r="U1883" s="2" t="s">
        <v>491</v>
      </c>
      <c r="V1883" s="2" t="s">
        <v>241</v>
      </c>
      <c r="W1883" s="2" t="s">
        <v>705</v>
      </c>
      <c r="X1883" s="2" t="s">
        <v>1303</v>
      </c>
      <c r="Y1883" s="2" t="s">
        <v>2362</v>
      </c>
      <c r="Z1883" s="4">
        <v>134</v>
      </c>
      <c r="AA1883" s="4">
        <f>=ROUNDDOWN(44.6666666666667,0)</f>
      </c>
      <c r="AB1883" s="5">
        <v>3</v>
      </c>
      <c r="AC1883" s="2" t="s">
        <v>1739</v>
      </c>
      <c r="AD1883" s="4">
        <v>160</v>
      </c>
      <c r="AE1883" s="4">
        <v>160</v>
      </c>
      <c r="AF1883" s="6">
        <v>64</v>
      </c>
      <c r="AG1883" s="6"/>
      <c r="AH1883" s="7">
        <v>1</v>
      </c>
      <c r="AI1883" s="4"/>
      <c r="AJ1883" s="4">
        <f>=ROUNDDOWN({0},0)</f>
      </c>
      <c r="AK1883" s="5"/>
      <c r="AL1883" s="2" t="s">
        <v>233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 t="s">
        <v>233</v>
      </c>
      <c r="AW1883" s="8" t="s">
        <v>233</v>
      </c>
      <c r="AX1883" s="4" t="s">
        <v>233</v>
      </c>
      <c r="AY1883" s="8" t="s">
        <v>233</v>
      </c>
      <c r="AZ1883" s="7" t="s">
        <v>233</v>
      </c>
      <c r="BA1883" s="7" t="s">
        <v>233</v>
      </c>
      <c r="BB1883" s="7"/>
      <c r="BC1883" s="4" t="s">
        <v>233</v>
      </c>
      <c r="BD1883" s="8" t="s">
        <v>233</v>
      </c>
      <c r="BE1883" s="4" t="s">
        <v>233</v>
      </c>
      <c r="BF1883" s="8" t="s">
        <v>233</v>
      </c>
      <c r="BG1883" s="7" t="s">
        <v>233</v>
      </c>
      <c r="BH1883" s="7" t="s">
        <v>233</v>
      </c>
      <c r="BI1883" s="7"/>
      <c r="BJ1883" s="4">
        <v>1</v>
      </c>
      <c r="BK1883" s="8">
        <v>26</v>
      </c>
      <c r="BL1883" s="2" t="s">
        <v>1028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8685</v>
      </c>
      <c r="BV1883" s="2" t="s">
        <v>233</v>
      </c>
      <c r="BW1883" s="2" t="s">
        <v>233</v>
      </c>
      <c r="BX1883" s="2" t="s">
        <v>243</v>
      </c>
      <c r="BY1883" s="2" t="s">
        <v>280</v>
      </c>
      <c r="BZ1883" s="2" t="s">
        <v>245</v>
      </c>
      <c r="CA1883" s="2" t="s">
        <v>8686</v>
      </c>
      <c r="CB1883" s="2" t="s">
        <v>716</v>
      </c>
      <c r="CC1883" s="2" t="s">
        <v>246</v>
      </c>
      <c r="CD1883" s="2" t="s">
        <v>233</v>
      </c>
      <c r="CE1883" s="4">
        <v>134</v>
      </c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>
        <v>160</v>
      </c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4"/>
      <c r="HG1883" s="4"/>
      <c r="HH1883" s="4"/>
      <c r="HI1883" s="4"/>
      <c r="HJ1883" s="4"/>
      <c r="HK1883" s="4"/>
      <c r="HL1883" s="4"/>
      <c r="HM1883" s="4"/>
      <c r="HN1883" s="4"/>
      <c r="HO1883" s="4"/>
      <c r="HP1883" s="4"/>
      <c r="HQ1883" s="4"/>
      <c r="HR1883" s="4"/>
    </row>
    <row r="1884">
      <c r="A1884" s="2" t="s">
        <v>8687</v>
      </c>
      <c r="B1884" s="2" t="s">
        <v>910</v>
      </c>
      <c r="C1884" s="2" t="s">
        <v>911</v>
      </c>
      <c r="D1884" s="2" t="s">
        <v>969</v>
      </c>
      <c r="E1884" s="2" t="s">
        <v>970</v>
      </c>
      <c r="F1884" s="2" t="s">
        <v>7096</v>
      </c>
      <c r="G1884" s="2" t="s">
        <v>2072</v>
      </c>
      <c r="H1884" s="2" t="s">
        <v>8682</v>
      </c>
      <c r="I1884" s="2" t="s">
        <v>8683</v>
      </c>
      <c r="J1884" s="2" t="s">
        <v>981</v>
      </c>
      <c r="K1884" s="2" t="s">
        <v>5388</v>
      </c>
      <c r="L1884" s="3">
        <v>40.47</v>
      </c>
      <c r="M1884" s="3">
        <v>42.49</v>
      </c>
      <c r="N1884" s="3">
        <v>84.99</v>
      </c>
      <c r="O1884" s="2" t="s">
        <v>245</v>
      </c>
      <c r="P1884" s="2" t="s">
        <v>272</v>
      </c>
      <c r="Q1884" s="2" t="s">
        <v>239</v>
      </c>
      <c r="R1884" s="2" t="s">
        <v>233</v>
      </c>
      <c r="S1884" s="2" t="s">
        <v>8684</v>
      </c>
      <c r="T1884" s="2" t="s">
        <v>976</v>
      </c>
      <c r="U1884" s="2" t="s">
        <v>475</v>
      </c>
      <c r="V1884" s="2" t="s">
        <v>241</v>
      </c>
      <c r="W1884" s="2" t="s">
        <v>705</v>
      </c>
      <c r="X1884" s="2" t="s">
        <v>1303</v>
      </c>
      <c r="Y1884" s="2" t="s">
        <v>2362</v>
      </c>
      <c r="Z1884" s="4">
        <v>166</v>
      </c>
      <c r="AA1884" s="4">
        <f>=ROUNDDOWN(33.2,0)</f>
      </c>
      <c r="AB1884" s="5">
        <v>5</v>
      </c>
      <c r="AC1884" s="2" t="s">
        <v>1739</v>
      </c>
      <c r="AD1884" s="4">
        <v>250</v>
      </c>
      <c r="AE1884" s="4">
        <v>250</v>
      </c>
      <c r="AF1884" s="6">
        <v>64</v>
      </c>
      <c r="AG1884" s="6"/>
      <c r="AH1884" s="7">
        <v>1</v>
      </c>
      <c r="AI1884" s="4"/>
      <c r="AJ1884" s="4">
        <f>=ROUNDDOWN({0},0)</f>
      </c>
      <c r="AK1884" s="5"/>
      <c r="AL1884" s="2" t="s">
        <v>233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 t="s">
        <v>233</v>
      </c>
      <c r="AW1884" s="8" t="s">
        <v>233</v>
      </c>
      <c r="AX1884" s="4" t="s">
        <v>233</v>
      </c>
      <c r="AY1884" s="8" t="s">
        <v>233</v>
      </c>
      <c r="AZ1884" s="7" t="s">
        <v>233</v>
      </c>
      <c r="BA1884" s="7" t="s">
        <v>233</v>
      </c>
      <c r="BB1884" s="7" t="s">
        <v>233</v>
      </c>
      <c r="BC1884" s="4" t="s">
        <v>233</v>
      </c>
      <c r="BD1884" s="8" t="s">
        <v>233</v>
      </c>
      <c r="BE1884" s="4" t="s">
        <v>233</v>
      </c>
      <c r="BF1884" s="8" t="s">
        <v>233</v>
      </c>
      <c r="BG1884" s="7" t="s">
        <v>233</v>
      </c>
      <c r="BH1884" s="7" t="s">
        <v>233</v>
      </c>
      <c r="BI1884" s="7"/>
      <c r="BJ1884" s="4">
        <v>13</v>
      </c>
      <c r="BK1884" s="8">
        <v>567.08</v>
      </c>
      <c r="BL1884" s="2" t="s">
        <v>8688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8689</v>
      </c>
      <c r="BV1884" s="2" t="s">
        <v>233</v>
      </c>
      <c r="BW1884" s="2" t="s">
        <v>233</v>
      </c>
      <c r="BX1884" s="2" t="s">
        <v>243</v>
      </c>
      <c r="BY1884" s="2" t="s">
        <v>280</v>
      </c>
      <c r="BZ1884" s="2" t="s">
        <v>245</v>
      </c>
      <c r="CA1884" s="2" t="s">
        <v>8686</v>
      </c>
      <c r="CB1884" s="2" t="s">
        <v>5534</v>
      </c>
      <c r="CC1884" s="2" t="s">
        <v>246</v>
      </c>
      <c r="CD1884" s="2" t="s">
        <v>233</v>
      </c>
      <c r="CE1884" s="4">
        <v>166</v>
      </c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>
        <v>250</v>
      </c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4"/>
      <c r="HG1884" s="4"/>
      <c r="HH1884" s="4"/>
      <c r="HI1884" s="4"/>
      <c r="HJ1884" s="4"/>
      <c r="HK1884" s="4"/>
      <c r="HL1884" s="4"/>
      <c r="HM1884" s="4"/>
      <c r="HN1884" s="4"/>
      <c r="HO1884" s="4"/>
      <c r="HP1884" s="4"/>
      <c r="HQ1884" s="4"/>
      <c r="HR1884" s="4"/>
    </row>
    <row r="1885">
      <c r="A1885" s="2" t="s">
        <v>8690</v>
      </c>
      <c r="B1885" s="2" t="s">
        <v>910</v>
      </c>
      <c r="C1885" s="2" t="s">
        <v>911</v>
      </c>
      <c r="D1885" s="2" t="s">
        <v>912</v>
      </c>
      <c r="E1885" s="2" t="s">
        <v>1139</v>
      </c>
      <c r="F1885" s="2" t="s">
        <v>7096</v>
      </c>
      <c r="G1885" s="2" t="s">
        <v>2072</v>
      </c>
      <c r="H1885" s="2" t="s">
        <v>8682</v>
      </c>
      <c r="I1885" s="2" t="s">
        <v>8691</v>
      </c>
      <c r="J1885" s="2" t="s">
        <v>981</v>
      </c>
      <c r="K1885" s="2" t="s">
        <v>5388</v>
      </c>
      <c r="L1885" s="3">
        <v>33.33</v>
      </c>
      <c r="M1885" s="3">
        <v>35</v>
      </c>
      <c r="N1885" s="3">
        <v>69.99</v>
      </c>
      <c r="O1885" s="2" t="s">
        <v>245</v>
      </c>
      <c r="P1885" s="2" t="s">
        <v>272</v>
      </c>
      <c r="Q1885" s="2" t="s">
        <v>239</v>
      </c>
      <c r="R1885" s="2" t="s">
        <v>233</v>
      </c>
      <c r="S1885" s="2" t="s">
        <v>8684</v>
      </c>
      <c r="T1885" s="2" t="s">
        <v>976</v>
      </c>
      <c r="U1885" s="2" t="s">
        <v>475</v>
      </c>
      <c r="V1885" s="2" t="s">
        <v>241</v>
      </c>
      <c r="W1885" s="2" t="s">
        <v>705</v>
      </c>
      <c r="X1885" s="2" t="s">
        <v>1303</v>
      </c>
      <c r="Y1885" s="2" t="s">
        <v>2362</v>
      </c>
      <c r="Z1885" s="4">
        <v>78</v>
      </c>
      <c r="AA1885" s="4">
        <f>=ROUNDDOWN(39,0)</f>
      </c>
      <c r="AB1885" s="5">
        <v>2</v>
      </c>
      <c r="AC1885" s="2" t="s">
        <v>1739</v>
      </c>
      <c r="AD1885" s="4">
        <v>90</v>
      </c>
      <c r="AE1885" s="4">
        <v>90</v>
      </c>
      <c r="AF1885" s="6">
        <v>64</v>
      </c>
      <c r="AG1885" s="6"/>
      <c r="AH1885" s="7">
        <v>1</v>
      </c>
      <c r="AI1885" s="4"/>
      <c r="AJ1885" s="4">
        <f>=ROUNDDOWN({0},0)</f>
      </c>
      <c r="AK1885" s="5"/>
      <c r="AL1885" s="2" t="s">
        <v>233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 t="s">
        <v>233</v>
      </c>
      <c r="AW1885" s="8" t="s">
        <v>233</v>
      </c>
      <c r="AX1885" s="4" t="s">
        <v>233</v>
      </c>
      <c r="AY1885" s="8" t="s">
        <v>233</v>
      </c>
      <c r="AZ1885" s="7" t="s">
        <v>233</v>
      </c>
      <c r="BA1885" s="7" t="s">
        <v>233</v>
      </c>
      <c r="BB1885" s="7" t="s">
        <v>233</v>
      </c>
      <c r="BC1885" s="4" t="s">
        <v>233</v>
      </c>
      <c r="BD1885" s="8" t="s">
        <v>233</v>
      </c>
      <c r="BE1885" s="4" t="s">
        <v>233</v>
      </c>
      <c r="BF1885" s="8" t="s">
        <v>233</v>
      </c>
      <c r="BG1885" s="7" t="s">
        <v>233</v>
      </c>
      <c r="BH1885" s="7" t="s">
        <v>233</v>
      </c>
      <c r="BI1885" s="7"/>
      <c r="BJ1885" s="4">
        <v>5</v>
      </c>
      <c r="BK1885" s="8">
        <v>186.2</v>
      </c>
      <c r="BL1885" s="2" t="s">
        <v>8504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8692</v>
      </c>
      <c r="BV1885" s="2" t="s">
        <v>233</v>
      </c>
      <c r="BW1885" s="2" t="s">
        <v>233</v>
      </c>
      <c r="BX1885" s="2" t="s">
        <v>243</v>
      </c>
      <c r="BY1885" s="2" t="s">
        <v>280</v>
      </c>
      <c r="BZ1885" s="2" t="s">
        <v>245</v>
      </c>
      <c r="CA1885" s="2" t="s">
        <v>8686</v>
      </c>
      <c r="CB1885" s="2" t="s">
        <v>2991</v>
      </c>
      <c r="CC1885" s="2" t="s">
        <v>246</v>
      </c>
      <c r="CD1885" s="2" t="s">
        <v>233</v>
      </c>
      <c r="CE1885" s="4">
        <v>78</v>
      </c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>
        <v>90</v>
      </c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  <c r="HF1885" s="4"/>
      <c r="HG1885" s="4"/>
      <c r="HH1885" s="4"/>
      <c r="HI1885" s="4"/>
      <c r="HJ1885" s="4"/>
      <c r="HK1885" s="4"/>
      <c r="HL1885" s="4"/>
      <c r="HM1885" s="4"/>
      <c r="HN1885" s="4"/>
      <c r="HO1885" s="4"/>
      <c r="HP1885" s="4"/>
      <c r="HQ1885" s="4"/>
      <c r="HR1885" s="4"/>
    </row>
    <row r="1886">
      <c r="A1886" s="2" t="s">
        <v>8693</v>
      </c>
      <c r="B1886" s="2" t="s">
        <v>910</v>
      </c>
      <c r="C1886" s="2" t="s">
        <v>911</v>
      </c>
      <c r="D1886" s="2" t="s">
        <v>969</v>
      </c>
      <c r="E1886" s="2" t="s">
        <v>970</v>
      </c>
      <c r="F1886" s="2" t="s">
        <v>7096</v>
      </c>
      <c r="G1886" s="2" t="s">
        <v>2072</v>
      </c>
      <c r="H1886" s="2" t="s">
        <v>8682</v>
      </c>
      <c r="I1886" s="2" t="s">
        <v>8683</v>
      </c>
      <c r="J1886" s="2" t="s">
        <v>918</v>
      </c>
      <c r="K1886" s="2" t="s">
        <v>7863</v>
      </c>
      <c r="L1886" s="3">
        <v>30.95</v>
      </c>
      <c r="M1886" s="3">
        <v>32.5</v>
      </c>
      <c r="N1886" s="3">
        <v>64.99</v>
      </c>
      <c r="O1886" s="2" t="s">
        <v>245</v>
      </c>
      <c r="P1886" s="2" t="s">
        <v>272</v>
      </c>
      <c r="Q1886" s="2" t="s">
        <v>239</v>
      </c>
      <c r="R1886" s="2" t="s">
        <v>233</v>
      </c>
      <c r="S1886" s="2" t="s">
        <v>8694</v>
      </c>
      <c r="T1886" s="2" t="s">
        <v>976</v>
      </c>
      <c r="U1886" s="2" t="s">
        <v>491</v>
      </c>
      <c r="V1886" s="2" t="s">
        <v>241</v>
      </c>
      <c r="W1886" s="2" t="s">
        <v>705</v>
      </c>
      <c r="X1886" s="2" t="s">
        <v>1303</v>
      </c>
      <c r="Y1886" s="2" t="s">
        <v>2362</v>
      </c>
      <c r="Z1886" s="4">
        <v>129</v>
      </c>
      <c r="AA1886" s="4">
        <f>=ROUNDDOWN(43,0)</f>
      </c>
      <c r="AB1886" s="5">
        <v>3</v>
      </c>
      <c r="AC1886" s="2" t="s">
        <v>1739</v>
      </c>
      <c r="AD1886" s="4">
        <v>105</v>
      </c>
      <c r="AE1886" s="4">
        <v>105</v>
      </c>
      <c r="AF1886" s="6">
        <v>64</v>
      </c>
      <c r="AG1886" s="6"/>
      <c r="AH1886" s="7">
        <v>1</v>
      </c>
      <c r="AI1886" s="4"/>
      <c r="AJ1886" s="4">
        <f>=ROUNDDOWN({0},0)</f>
      </c>
      <c r="AK1886" s="5"/>
      <c r="AL1886" s="2" t="s">
        <v>233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 t="s">
        <v>233</v>
      </c>
      <c r="AW1886" s="8" t="s">
        <v>233</v>
      </c>
      <c r="AX1886" s="4" t="s">
        <v>233</v>
      </c>
      <c r="AY1886" s="8" t="s">
        <v>233</v>
      </c>
      <c r="AZ1886" s="7" t="s">
        <v>233</v>
      </c>
      <c r="BA1886" s="7" t="s">
        <v>233</v>
      </c>
      <c r="BB1886" s="7" t="s">
        <v>233</v>
      </c>
      <c r="BC1886" s="4" t="s">
        <v>233</v>
      </c>
      <c r="BD1886" s="8" t="s">
        <v>233</v>
      </c>
      <c r="BE1886" s="4" t="s">
        <v>233</v>
      </c>
      <c r="BF1886" s="8" t="s">
        <v>233</v>
      </c>
      <c r="BG1886" s="7" t="s">
        <v>233</v>
      </c>
      <c r="BH1886" s="7" t="s">
        <v>233</v>
      </c>
      <c r="BI1886" s="7"/>
      <c r="BJ1886" s="4">
        <v>3</v>
      </c>
      <c r="BK1886" s="8">
        <v>100.1</v>
      </c>
      <c r="BL1886" s="2" t="s">
        <v>5456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8695</v>
      </c>
      <c r="BV1886" s="2" t="s">
        <v>233</v>
      </c>
      <c r="BW1886" s="2" t="s">
        <v>233</v>
      </c>
      <c r="BX1886" s="2" t="s">
        <v>243</v>
      </c>
      <c r="BY1886" s="2" t="s">
        <v>280</v>
      </c>
      <c r="BZ1886" s="2" t="s">
        <v>245</v>
      </c>
      <c r="CA1886" s="2" t="s">
        <v>8686</v>
      </c>
      <c r="CB1886" s="2" t="s">
        <v>2096</v>
      </c>
      <c r="CC1886" s="2" t="s">
        <v>246</v>
      </c>
      <c r="CD1886" s="2" t="s">
        <v>233</v>
      </c>
      <c r="CE1886" s="4">
        <v>129</v>
      </c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>
        <v>105</v>
      </c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4"/>
      <c r="HG1886" s="4"/>
      <c r="HH1886" s="4"/>
      <c r="HI1886" s="4"/>
      <c r="HJ1886" s="4"/>
      <c r="HK1886" s="4"/>
      <c r="HL1886" s="4"/>
      <c r="HM1886" s="4"/>
      <c r="HN1886" s="4"/>
      <c r="HO1886" s="4"/>
      <c r="HP1886" s="4"/>
      <c r="HQ1886" s="4"/>
      <c r="HR1886" s="4"/>
    </row>
    <row r="1887">
      <c r="A1887" s="2" t="s">
        <v>8696</v>
      </c>
      <c r="B1887" s="2" t="s">
        <v>910</v>
      </c>
      <c r="C1887" s="2" t="s">
        <v>911</v>
      </c>
      <c r="D1887" s="2" t="s">
        <v>912</v>
      </c>
      <c r="E1887" s="2" t="s">
        <v>1139</v>
      </c>
      <c r="F1887" s="2" t="s">
        <v>7096</v>
      </c>
      <c r="G1887" s="2" t="s">
        <v>2072</v>
      </c>
      <c r="H1887" s="2" t="s">
        <v>8682</v>
      </c>
      <c r="I1887" s="2" t="s">
        <v>8691</v>
      </c>
      <c r="J1887" s="2" t="s">
        <v>918</v>
      </c>
      <c r="K1887" s="2" t="s">
        <v>7863</v>
      </c>
      <c r="L1887" s="3">
        <v>23.8</v>
      </c>
      <c r="M1887" s="3">
        <v>24.99</v>
      </c>
      <c r="N1887" s="3">
        <v>49.99</v>
      </c>
      <c r="O1887" s="2" t="s">
        <v>245</v>
      </c>
      <c r="P1887" s="2" t="s">
        <v>272</v>
      </c>
      <c r="Q1887" s="2" t="s">
        <v>239</v>
      </c>
      <c r="R1887" s="2" t="s">
        <v>233</v>
      </c>
      <c r="S1887" s="2" t="s">
        <v>8694</v>
      </c>
      <c r="T1887" s="2" t="s">
        <v>976</v>
      </c>
      <c r="U1887" s="2" t="s">
        <v>491</v>
      </c>
      <c r="V1887" s="2" t="s">
        <v>241</v>
      </c>
      <c r="W1887" s="2" t="s">
        <v>705</v>
      </c>
      <c r="X1887" s="2" t="s">
        <v>1303</v>
      </c>
      <c r="Y1887" s="2" t="s">
        <v>2362</v>
      </c>
      <c r="Z1887" s="4">
        <v>63</v>
      </c>
      <c r="AA1887" s="4">
        <f>=ROUNDDOWN(63,0)</f>
      </c>
      <c r="AB1887" s="5">
        <v>1</v>
      </c>
      <c r="AC1887" s="2" t="s">
        <v>1739</v>
      </c>
      <c r="AD1887" s="4">
        <v>75</v>
      </c>
      <c r="AE1887" s="4">
        <v>75</v>
      </c>
      <c r="AF1887" s="6">
        <v>64</v>
      </c>
      <c r="AG1887" s="6"/>
      <c r="AH1887" s="7">
        <v>1</v>
      </c>
      <c r="AI1887" s="4"/>
      <c r="AJ1887" s="4">
        <f>=ROUNDDOWN({0},0)</f>
      </c>
      <c r="AK1887" s="5"/>
      <c r="AL1887" s="2" t="s">
        <v>233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 t="s">
        <v>233</v>
      </c>
      <c r="AW1887" s="8" t="s">
        <v>233</v>
      </c>
      <c r="AX1887" s="4" t="s">
        <v>233</v>
      </c>
      <c r="AY1887" s="8" t="s">
        <v>233</v>
      </c>
      <c r="AZ1887" s="7" t="s">
        <v>233</v>
      </c>
      <c r="BA1887" s="7" t="s">
        <v>233</v>
      </c>
      <c r="BB1887" s="7" t="s">
        <v>233</v>
      </c>
      <c r="BC1887" s="4" t="s">
        <v>233</v>
      </c>
      <c r="BD1887" s="8" t="s">
        <v>233</v>
      </c>
      <c r="BE1887" s="4" t="s">
        <v>233</v>
      </c>
      <c r="BF1887" s="8" t="s">
        <v>233</v>
      </c>
      <c r="BG1887" s="7" t="s">
        <v>233</v>
      </c>
      <c r="BH1887" s="7" t="s">
        <v>233</v>
      </c>
      <c r="BI1887" s="7"/>
      <c r="BJ1887" s="4"/>
      <c r="BK1887" s="8"/>
      <c r="BL1887" s="2" t="s">
        <v>233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8697</v>
      </c>
      <c r="BV1887" s="2" t="s">
        <v>233</v>
      </c>
      <c r="BW1887" s="2" t="s">
        <v>233</v>
      </c>
      <c r="BX1887" s="2" t="s">
        <v>243</v>
      </c>
      <c r="BY1887" s="2" t="s">
        <v>280</v>
      </c>
      <c r="BZ1887" s="2" t="s">
        <v>245</v>
      </c>
      <c r="CA1887" s="2" t="s">
        <v>8686</v>
      </c>
      <c r="CB1887" s="2" t="s">
        <v>233</v>
      </c>
      <c r="CC1887" s="2" t="s">
        <v>246</v>
      </c>
      <c r="CD1887" s="2" t="s">
        <v>233</v>
      </c>
      <c r="CE1887" s="4">
        <v>63</v>
      </c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>
        <v>75</v>
      </c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  <c r="HG1887" s="4"/>
      <c r="HH1887" s="4"/>
      <c r="HI1887" s="4"/>
      <c r="HJ1887" s="4"/>
      <c r="HK1887" s="4"/>
      <c r="HL1887" s="4"/>
      <c r="HM1887" s="4"/>
      <c r="HN1887" s="4"/>
      <c r="HO1887" s="4"/>
      <c r="HP1887" s="4"/>
      <c r="HQ1887" s="4"/>
      <c r="HR1887" s="4"/>
    </row>
    <row r="1888">
      <c r="A1888" s="2" t="s">
        <v>8698</v>
      </c>
      <c r="B1888" s="2" t="s">
        <v>910</v>
      </c>
      <c r="C1888" s="2" t="s">
        <v>911</v>
      </c>
      <c r="D1888" s="2" t="s">
        <v>969</v>
      </c>
      <c r="E1888" s="2" t="s">
        <v>970</v>
      </c>
      <c r="F1888" s="2" t="s">
        <v>7096</v>
      </c>
      <c r="G1888" s="2" t="s">
        <v>2072</v>
      </c>
      <c r="H1888" s="2" t="s">
        <v>8682</v>
      </c>
      <c r="I1888" s="2" t="s">
        <v>8683</v>
      </c>
      <c r="J1888" s="2" t="s">
        <v>1142</v>
      </c>
      <c r="K1888" s="2" t="s">
        <v>7863</v>
      </c>
      <c r="L1888" s="3">
        <v>45.23</v>
      </c>
      <c r="M1888" s="3">
        <v>47.49</v>
      </c>
      <c r="N1888" s="3">
        <v>94.99</v>
      </c>
      <c r="O1888" s="2" t="s">
        <v>245</v>
      </c>
      <c r="P1888" s="2" t="s">
        <v>272</v>
      </c>
      <c r="Q1888" s="2" t="s">
        <v>239</v>
      </c>
      <c r="R1888" s="2" t="s">
        <v>233</v>
      </c>
      <c r="S1888" s="2" t="s">
        <v>8694</v>
      </c>
      <c r="T1888" s="2" t="s">
        <v>976</v>
      </c>
      <c r="U1888" s="2" t="s">
        <v>475</v>
      </c>
      <c r="V1888" s="2" t="s">
        <v>241</v>
      </c>
      <c r="W1888" s="2" t="s">
        <v>705</v>
      </c>
      <c r="X1888" s="2" t="s">
        <v>1303</v>
      </c>
      <c r="Y1888" s="2" t="s">
        <v>2362</v>
      </c>
      <c r="Z1888" s="4">
        <v>160</v>
      </c>
      <c r="AA1888" s="4">
        <f>=ROUNDDOWN(40,0)</f>
      </c>
      <c r="AB1888" s="5">
        <v>4</v>
      </c>
      <c r="AC1888" s="2" t="s">
        <v>1739</v>
      </c>
      <c r="AD1888" s="4">
        <v>130</v>
      </c>
      <c r="AE1888" s="4">
        <v>130</v>
      </c>
      <c r="AF1888" s="6">
        <v>64</v>
      </c>
      <c r="AG1888" s="6"/>
      <c r="AH1888" s="7">
        <v>1</v>
      </c>
      <c r="AI1888" s="4"/>
      <c r="AJ1888" s="4">
        <f>=ROUNDDOWN({0},0)</f>
      </c>
      <c r="AK1888" s="5"/>
      <c r="AL1888" s="2" t="s">
        <v>233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 t="s">
        <v>233</v>
      </c>
      <c r="AW1888" s="8" t="s">
        <v>233</v>
      </c>
      <c r="AX1888" s="4" t="s">
        <v>233</v>
      </c>
      <c r="AY1888" s="8" t="s">
        <v>233</v>
      </c>
      <c r="AZ1888" s="7" t="s">
        <v>233</v>
      </c>
      <c r="BA1888" s="7" t="s">
        <v>233</v>
      </c>
      <c r="BB1888" s="7"/>
      <c r="BC1888" s="4" t="s">
        <v>233</v>
      </c>
      <c r="BD1888" s="8" t="s">
        <v>233</v>
      </c>
      <c r="BE1888" s="4" t="s">
        <v>233</v>
      </c>
      <c r="BF1888" s="8" t="s">
        <v>233</v>
      </c>
      <c r="BG1888" s="7" t="s">
        <v>233</v>
      </c>
      <c r="BH1888" s="7" t="s">
        <v>233</v>
      </c>
      <c r="BI1888" s="7"/>
      <c r="BJ1888" s="4">
        <v>2</v>
      </c>
      <c r="BK1888" s="8">
        <v>87.86</v>
      </c>
      <c r="BL1888" s="2" t="s">
        <v>1588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8699</v>
      </c>
      <c r="BV1888" s="2" t="s">
        <v>233</v>
      </c>
      <c r="BW1888" s="2" t="s">
        <v>233</v>
      </c>
      <c r="BX1888" s="2" t="s">
        <v>243</v>
      </c>
      <c r="BY1888" s="2" t="s">
        <v>280</v>
      </c>
      <c r="BZ1888" s="2" t="s">
        <v>245</v>
      </c>
      <c r="CA1888" s="2" t="s">
        <v>8686</v>
      </c>
      <c r="CB1888" s="2" t="s">
        <v>3892</v>
      </c>
      <c r="CC1888" s="2" t="s">
        <v>246</v>
      </c>
      <c r="CD1888" s="2" t="s">
        <v>233</v>
      </c>
      <c r="CE1888" s="4">
        <v>160</v>
      </c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>
        <v>130</v>
      </c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  <c r="HG1888" s="4"/>
      <c r="HH1888" s="4"/>
      <c r="HI1888" s="4"/>
      <c r="HJ1888" s="4"/>
      <c r="HK1888" s="4"/>
      <c r="HL1888" s="4"/>
      <c r="HM1888" s="4"/>
      <c r="HN1888" s="4"/>
      <c r="HO1888" s="4"/>
      <c r="HP1888" s="4"/>
      <c r="HQ1888" s="4"/>
      <c r="HR1888" s="4"/>
    </row>
    <row r="1889">
      <c r="A1889" s="2" t="s">
        <v>8700</v>
      </c>
      <c r="B1889" s="2" t="s">
        <v>1066</v>
      </c>
      <c r="C1889" s="2" t="s">
        <v>947</v>
      </c>
      <c r="D1889" s="2" t="s">
        <v>1782</v>
      </c>
      <c r="E1889" s="2" t="s">
        <v>7233</v>
      </c>
      <c r="F1889" s="2" t="s">
        <v>7096</v>
      </c>
      <c r="G1889" s="2" t="s">
        <v>7096</v>
      </c>
      <c r="H1889" s="2" t="s">
        <v>7096</v>
      </c>
      <c r="I1889" s="2" t="s">
        <v>8701</v>
      </c>
      <c r="J1889" s="2" t="s">
        <v>892</v>
      </c>
      <c r="K1889" s="2" t="s">
        <v>8702</v>
      </c>
      <c r="L1889" s="3">
        <v>250</v>
      </c>
      <c r="M1889" s="3">
        <v>262.5</v>
      </c>
      <c r="N1889" s="3">
        <v>529</v>
      </c>
      <c r="O1889" s="2" t="s">
        <v>245</v>
      </c>
      <c r="P1889" s="2" t="s">
        <v>238</v>
      </c>
      <c r="Q1889" s="2" t="s">
        <v>239</v>
      </c>
      <c r="R1889" s="2" t="s">
        <v>233</v>
      </c>
      <c r="S1889" s="2" t="s">
        <v>233</v>
      </c>
      <c r="T1889" s="2" t="s">
        <v>233</v>
      </c>
      <c r="U1889" s="2" t="s">
        <v>396</v>
      </c>
      <c r="V1889" s="2" t="s">
        <v>893</v>
      </c>
      <c r="W1889" s="2" t="s">
        <v>8703</v>
      </c>
      <c r="X1889" s="2" t="s">
        <v>5825</v>
      </c>
      <c r="Y1889" s="2" t="s">
        <v>3327</v>
      </c>
      <c r="Z1889" s="4">
        <v>94</v>
      </c>
      <c r="AA1889" s="4">
        <f>=ROUNDDOWN(52.2222222222222,0)</f>
      </c>
      <c r="AB1889" s="5">
        <v>1.8</v>
      </c>
      <c r="AC1889" s="2" t="s">
        <v>1719</v>
      </c>
      <c r="AD1889" s="4">
        <v>1</v>
      </c>
      <c r="AE1889" s="4">
        <v>1</v>
      </c>
      <c r="AF1889" s="6">
        <v>65</v>
      </c>
      <c r="AG1889" s="6"/>
      <c r="AH1889" s="7">
        <v>0.6129</v>
      </c>
      <c r="AI1889" s="4"/>
      <c r="AJ1889" s="4">
        <f>=ROUNDDOWN({0},0)</f>
      </c>
      <c r="AK1889" s="5"/>
      <c r="AL1889" s="2" t="s">
        <v>233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 t="s">
        <v>233</v>
      </c>
      <c r="BD1889" s="8" t="s">
        <v>233</v>
      </c>
      <c r="BE1889" s="4" t="s">
        <v>233</v>
      </c>
      <c r="BF1889" s="8" t="s">
        <v>233</v>
      </c>
      <c r="BG1889" s="7" t="s">
        <v>233</v>
      </c>
      <c r="BH1889" s="7" t="s">
        <v>233</v>
      </c>
      <c r="BI1889" s="7"/>
      <c r="BJ1889" s="4">
        <v>2</v>
      </c>
      <c r="BK1889" s="8">
        <v>525</v>
      </c>
      <c r="BL1889" s="2" t="s">
        <v>744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8704</v>
      </c>
      <c r="BV1889" s="2" t="s">
        <v>233</v>
      </c>
      <c r="BW1889" s="2" t="s">
        <v>233</v>
      </c>
      <c r="BX1889" s="2" t="s">
        <v>243</v>
      </c>
      <c r="BY1889" s="2" t="s">
        <v>280</v>
      </c>
      <c r="BZ1889" s="2" t="s">
        <v>245</v>
      </c>
      <c r="CA1889" s="2" t="s">
        <v>1580</v>
      </c>
      <c r="CB1889" s="2" t="s">
        <v>233</v>
      </c>
      <c r="CC1889" s="2" t="s">
        <v>246</v>
      </c>
      <c r="CD1889" s="2" t="s">
        <v>233</v>
      </c>
      <c r="CE1889" s="4"/>
      <c r="CF1889" s="4">
        <v>94</v>
      </c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>
        <v>1</v>
      </c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  <c r="HG1889" s="4"/>
      <c r="HH1889" s="4"/>
      <c r="HI1889" s="4"/>
      <c r="HJ1889" s="4"/>
      <c r="HK1889" s="4"/>
      <c r="HL1889" s="4"/>
      <c r="HM1889" s="4"/>
      <c r="HN1889" s="4"/>
      <c r="HO1889" s="4"/>
      <c r="HP1889" s="4"/>
      <c r="HQ1889" s="4"/>
      <c r="HR1889" s="4"/>
    </row>
    <row r="1890">
      <c r="A1890" s="2" t="s">
        <v>8705</v>
      </c>
      <c r="B1890" s="2" t="s">
        <v>910</v>
      </c>
      <c r="C1890" s="2" t="s">
        <v>911</v>
      </c>
      <c r="D1890" s="2" t="s">
        <v>969</v>
      </c>
      <c r="E1890" s="2" t="s">
        <v>970</v>
      </c>
      <c r="F1890" s="2" t="s">
        <v>7096</v>
      </c>
      <c r="G1890" s="2" t="s">
        <v>2072</v>
      </c>
      <c r="H1890" s="2" t="s">
        <v>8682</v>
      </c>
      <c r="I1890" s="2" t="s">
        <v>8683</v>
      </c>
      <c r="J1890" s="2" t="s">
        <v>918</v>
      </c>
      <c r="K1890" s="2" t="s">
        <v>3608</v>
      </c>
      <c r="L1890" s="3">
        <v>30.95</v>
      </c>
      <c r="M1890" s="3">
        <v>32.5</v>
      </c>
      <c r="N1890" s="3">
        <v>64.99</v>
      </c>
      <c r="O1890" s="2" t="s">
        <v>245</v>
      </c>
      <c r="P1890" s="2" t="s">
        <v>272</v>
      </c>
      <c r="Q1890" s="2" t="s">
        <v>239</v>
      </c>
      <c r="R1890" s="2" t="s">
        <v>233</v>
      </c>
      <c r="S1890" s="2" t="s">
        <v>8706</v>
      </c>
      <c r="T1890" s="2" t="s">
        <v>976</v>
      </c>
      <c r="U1890" s="2" t="s">
        <v>491</v>
      </c>
      <c r="V1890" s="2" t="s">
        <v>241</v>
      </c>
      <c r="W1890" s="2" t="s">
        <v>705</v>
      </c>
      <c r="X1890" s="2" t="s">
        <v>1303</v>
      </c>
      <c r="Y1890" s="2" t="s">
        <v>2362</v>
      </c>
      <c r="Z1890" s="4">
        <v>133</v>
      </c>
      <c r="AA1890" s="4">
        <f>=ROUNDDOWN(44.3333333333333,0)</f>
      </c>
      <c r="AB1890" s="5">
        <v>3</v>
      </c>
      <c r="AC1890" s="2" t="s">
        <v>1739</v>
      </c>
      <c r="AD1890" s="4">
        <v>70</v>
      </c>
      <c r="AE1890" s="4">
        <v>70</v>
      </c>
      <c r="AF1890" s="6">
        <v>64</v>
      </c>
      <c r="AG1890" s="6"/>
      <c r="AH1890" s="7">
        <v>1</v>
      </c>
      <c r="AI1890" s="4"/>
      <c r="AJ1890" s="4">
        <f>=ROUNDDOWN({0},0)</f>
      </c>
      <c r="AK1890" s="5"/>
      <c r="AL1890" s="2" t="s">
        <v>233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 t="s">
        <v>233</v>
      </c>
      <c r="AW1890" s="8" t="s">
        <v>233</v>
      </c>
      <c r="AX1890" s="4" t="s">
        <v>233</v>
      </c>
      <c r="AY1890" s="8" t="s">
        <v>233</v>
      </c>
      <c r="AZ1890" s="7" t="s">
        <v>233</v>
      </c>
      <c r="BA1890" s="7" t="s">
        <v>233</v>
      </c>
      <c r="BB1890" s="7" t="s">
        <v>233</v>
      </c>
      <c r="BC1890" s="4" t="s">
        <v>233</v>
      </c>
      <c r="BD1890" s="8" t="s">
        <v>233</v>
      </c>
      <c r="BE1890" s="4" t="s">
        <v>233</v>
      </c>
      <c r="BF1890" s="8" t="s">
        <v>233</v>
      </c>
      <c r="BG1890" s="7" t="s">
        <v>233</v>
      </c>
      <c r="BH1890" s="7" t="s">
        <v>233</v>
      </c>
      <c r="BI1890" s="7"/>
      <c r="BJ1890" s="4">
        <v>9</v>
      </c>
      <c r="BK1890" s="8">
        <v>328.85</v>
      </c>
      <c r="BL1890" s="2" t="s">
        <v>8707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8708</v>
      </c>
      <c r="BV1890" s="2" t="s">
        <v>233</v>
      </c>
      <c r="BW1890" s="2" t="s">
        <v>233</v>
      </c>
      <c r="BX1890" s="2" t="s">
        <v>243</v>
      </c>
      <c r="BY1890" s="2" t="s">
        <v>280</v>
      </c>
      <c r="BZ1890" s="2" t="s">
        <v>245</v>
      </c>
      <c r="CA1890" s="2" t="s">
        <v>8686</v>
      </c>
      <c r="CB1890" s="2" t="s">
        <v>8709</v>
      </c>
      <c r="CC1890" s="2" t="s">
        <v>246</v>
      </c>
      <c r="CD1890" s="2" t="s">
        <v>233</v>
      </c>
      <c r="CE1890" s="4">
        <v>133</v>
      </c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>
        <v>70</v>
      </c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  <c r="HG1890" s="4"/>
      <c r="HH1890" s="4"/>
      <c r="HI1890" s="4"/>
      <c r="HJ1890" s="4"/>
      <c r="HK1890" s="4"/>
      <c r="HL1890" s="4"/>
      <c r="HM1890" s="4"/>
      <c r="HN1890" s="4"/>
      <c r="HO1890" s="4"/>
      <c r="HP1890" s="4"/>
      <c r="HQ1890" s="4"/>
      <c r="HR1890" s="4"/>
    </row>
    <row r="1891">
      <c r="A1891" s="2" t="s">
        <v>8710</v>
      </c>
      <c r="B1891" s="2" t="s">
        <v>910</v>
      </c>
      <c r="C1891" s="2" t="s">
        <v>911</v>
      </c>
      <c r="D1891" s="2" t="s">
        <v>912</v>
      </c>
      <c r="E1891" s="2" t="s">
        <v>1139</v>
      </c>
      <c r="F1891" s="2" t="s">
        <v>7096</v>
      </c>
      <c r="G1891" s="2" t="s">
        <v>2072</v>
      </c>
      <c r="H1891" s="2" t="s">
        <v>8682</v>
      </c>
      <c r="I1891" s="2" t="s">
        <v>8691</v>
      </c>
      <c r="J1891" s="2" t="s">
        <v>918</v>
      </c>
      <c r="K1891" s="2" t="s">
        <v>3608</v>
      </c>
      <c r="L1891" s="3">
        <v>23.8</v>
      </c>
      <c r="M1891" s="3">
        <v>24.99</v>
      </c>
      <c r="N1891" s="3">
        <v>49.99</v>
      </c>
      <c r="O1891" s="2" t="s">
        <v>245</v>
      </c>
      <c r="P1891" s="2" t="s">
        <v>272</v>
      </c>
      <c r="Q1891" s="2" t="s">
        <v>239</v>
      </c>
      <c r="R1891" s="2" t="s">
        <v>233</v>
      </c>
      <c r="S1891" s="2" t="s">
        <v>8706</v>
      </c>
      <c r="T1891" s="2" t="s">
        <v>976</v>
      </c>
      <c r="U1891" s="2" t="s">
        <v>491</v>
      </c>
      <c r="V1891" s="2" t="s">
        <v>241</v>
      </c>
      <c r="W1891" s="2" t="s">
        <v>705</v>
      </c>
      <c r="X1891" s="2" t="s">
        <v>1303</v>
      </c>
      <c r="Y1891" s="2" t="s">
        <v>2362</v>
      </c>
      <c r="Z1891" s="4">
        <v>81</v>
      </c>
      <c r="AA1891" s="4">
        <f>=ROUNDDOWN(81,0)</f>
      </c>
      <c r="AB1891" s="5">
        <v>1</v>
      </c>
      <c r="AC1891" s="2" t="s">
        <v>1739</v>
      </c>
      <c r="AD1891" s="4">
        <v>50</v>
      </c>
      <c r="AE1891" s="4">
        <v>50</v>
      </c>
      <c r="AF1891" s="6">
        <v>64</v>
      </c>
      <c r="AG1891" s="6"/>
      <c r="AH1891" s="7">
        <v>1</v>
      </c>
      <c r="AI1891" s="4"/>
      <c r="AJ1891" s="4">
        <f>=ROUNDDOWN({0},0)</f>
      </c>
      <c r="AK1891" s="5"/>
      <c r="AL1891" s="2" t="s">
        <v>233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 t="s">
        <v>233</v>
      </c>
      <c r="AW1891" s="8" t="s">
        <v>233</v>
      </c>
      <c r="AX1891" s="4" t="s">
        <v>233</v>
      </c>
      <c r="AY1891" s="8" t="s">
        <v>233</v>
      </c>
      <c r="AZ1891" s="7" t="s">
        <v>233</v>
      </c>
      <c r="BA1891" s="7" t="s">
        <v>233</v>
      </c>
      <c r="BB1891" s="7" t="s">
        <v>233</v>
      </c>
      <c r="BC1891" s="4" t="s">
        <v>233</v>
      </c>
      <c r="BD1891" s="8" t="s">
        <v>233</v>
      </c>
      <c r="BE1891" s="4" t="s">
        <v>233</v>
      </c>
      <c r="BF1891" s="8" t="s">
        <v>233</v>
      </c>
      <c r="BG1891" s="7" t="s">
        <v>233</v>
      </c>
      <c r="BH1891" s="7" t="s">
        <v>233</v>
      </c>
      <c r="BI1891" s="7"/>
      <c r="BJ1891" s="4">
        <v>1</v>
      </c>
      <c r="BK1891" s="8">
        <v>33.99</v>
      </c>
      <c r="BL1891" s="2" t="s">
        <v>7368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8711</v>
      </c>
      <c r="BV1891" s="2" t="s">
        <v>233</v>
      </c>
      <c r="BW1891" s="2" t="s">
        <v>233</v>
      </c>
      <c r="BX1891" s="2" t="s">
        <v>243</v>
      </c>
      <c r="BY1891" s="2" t="s">
        <v>280</v>
      </c>
      <c r="BZ1891" s="2" t="s">
        <v>245</v>
      </c>
      <c r="CA1891" s="2" t="s">
        <v>8686</v>
      </c>
      <c r="CB1891" s="2" t="s">
        <v>3479</v>
      </c>
      <c r="CC1891" s="2" t="s">
        <v>246</v>
      </c>
      <c r="CD1891" s="2" t="s">
        <v>233</v>
      </c>
      <c r="CE1891" s="4">
        <v>81</v>
      </c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>
        <v>50</v>
      </c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4"/>
      <c r="HG1891" s="4"/>
      <c r="HH1891" s="4"/>
      <c r="HI1891" s="4"/>
      <c r="HJ1891" s="4"/>
      <c r="HK1891" s="4"/>
      <c r="HL1891" s="4"/>
      <c r="HM1891" s="4"/>
      <c r="HN1891" s="4"/>
      <c r="HO1891" s="4"/>
      <c r="HP1891" s="4"/>
      <c r="HQ1891" s="4"/>
      <c r="HR1891" s="4"/>
    </row>
    <row r="1892">
      <c r="A1892" s="2" t="s">
        <v>8712</v>
      </c>
      <c r="B1892" s="2" t="s">
        <v>910</v>
      </c>
      <c r="C1892" s="2" t="s">
        <v>911</v>
      </c>
      <c r="D1892" s="2" t="s">
        <v>912</v>
      </c>
      <c r="E1892" s="2" t="s">
        <v>1139</v>
      </c>
      <c r="F1892" s="2" t="s">
        <v>7096</v>
      </c>
      <c r="G1892" s="2" t="s">
        <v>2072</v>
      </c>
      <c r="H1892" s="2" t="s">
        <v>8682</v>
      </c>
      <c r="I1892" s="2" t="s">
        <v>8691</v>
      </c>
      <c r="J1892" s="2" t="s">
        <v>981</v>
      </c>
      <c r="K1892" s="2" t="s">
        <v>3608</v>
      </c>
      <c r="L1892" s="3">
        <v>33.33</v>
      </c>
      <c r="M1892" s="3">
        <v>35</v>
      </c>
      <c r="N1892" s="3">
        <v>69.99</v>
      </c>
      <c r="O1892" s="2" t="s">
        <v>245</v>
      </c>
      <c r="P1892" s="2" t="s">
        <v>272</v>
      </c>
      <c r="Q1892" s="2" t="s">
        <v>239</v>
      </c>
      <c r="R1892" s="2" t="s">
        <v>233</v>
      </c>
      <c r="S1892" s="2" t="s">
        <v>8706</v>
      </c>
      <c r="T1892" s="2" t="s">
        <v>976</v>
      </c>
      <c r="U1892" s="2" t="s">
        <v>475</v>
      </c>
      <c r="V1892" s="2" t="s">
        <v>241</v>
      </c>
      <c r="W1892" s="2" t="s">
        <v>705</v>
      </c>
      <c r="X1892" s="2" t="s">
        <v>1303</v>
      </c>
      <c r="Y1892" s="2" t="s">
        <v>2362</v>
      </c>
      <c r="Z1892" s="4">
        <v>138</v>
      </c>
      <c r="AA1892" s="4">
        <f>=ROUNDDOWN(69,0)</f>
      </c>
      <c r="AB1892" s="5">
        <v>2</v>
      </c>
      <c r="AC1892" s="2" t="s">
        <v>1739</v>
      </c>
      <c r="AD1892" s="4">
        <v>90</v>
      </c>
      <c r="AE1892" s="4">
        <v>90</v>
      </c>
      <c r="AF1892" s="6">
        <v>64</v>
      </c>
      <c r="AG1892" s="6"/>
      <c r="AH1892" s="7">
        <v>1</v>
      </c>
      <c r="AI1892" s="4"/>
      <c r="AJ1892" s="4">
        <f>=ROUNDDOWN({0},0)</f>
      </c>
      <c r="AK1892" s="5"/>
      <c r="AL1892" s="2" t="s">
        <v>233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 t="s">
        <v>233</v>
      </c>
      <c r="AW1892" s="8" t="s">
        <v>233</v>
      </c>
      <c r="AX1892" s="4" t="s">
        <v>233</v>
      </c>
      <c r="AY1892" s="8" t="s">
        <v>233</v>
      </c>
      <c r="AZ1892" s="7" t="s">
        <v>233</v>
      </c>
      <c r="BA1892" s="7" t="s">
        <v>233</v>
      </c>
      <c r="BB1892" s="7"/>
      <c r="BC1892" s="4" t="s">
        <v>233</v>
      </c>
      <c r="BD1892" s="8" t="s">
        <v>233</v>
      </c>
      <c r="BE1892" s="4" t="s">
        <v>233</v>
      </c>
      <c r="BF1892" s="8" t="s">
        <v>233</v>
      </c>
      <c r="BG1892" s="7" t="s">
        <v>233</v>
      </c>
      <c r="BH1892" s="7" t="s">
        <v>233</v>
      </c>
      <c r="BI1892" s="7"/>
      <c r="BJ1892" s="4">
        <v>4</v>
      </c>
      <c r="BK1892" s="8">
        <v>145.79</v>
      </c>
      <c r="BL1892" s="2" t="s">
        <v>8713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8714</v>
      </c>
      <c r="BV1892" s="2" t="s">
        <v>233</v>
      </c>
      <c r="BW1892" s="2" t="s">
        <v>233</v>
      </c>
      <c r="BX1892" s="2" t="s">
        <v>243</v>
      </c>
      <c r="BY1892" s="2" t="s">
        <v>280</v>
      </c>
      <c r="BZ1892" s="2" t="s">
        <v>245</v>
      </c>
      <c r="CA1892" s="2" t="s">
        <v>8686</v>
      </c>
      <c r="CB1892" s="2" t="s">
        <v>8709</v>
      </c>
      <c r="CC1892" s="2" t="s">
        <v>246</v>
      </c>
      <c r="CD1892" s="2" t="s">
        <v>233</v>
      </c>
      <c r="CE1892" s="4">
        <v>138</v>
      </c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>
        <v>90</v>
      </c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  <c r="HG1892" s="4"/>
      <c r="HH1892" s="4"/>
      <c r="HI1892" s="4"/>
      <c r="HJ1892" s="4"/>
      <c r="HK1892" s="4"/>
      <c r="HL1892" s="4"/>
      <c r="HM1892" s="4"/>
      <c r="HN1892" s="4"/>
      <c r="HO1892" s="4"/>
      <c r="HP1892" s="4"/>
      <c r="HQ1892" s="4"/>
      <c r="HR1892" s="4"/>
    </row>
    <row r="1893">
      <c r="A1893" s="2" t="s">
        <v>8715</v>
      </c>
      <c r="B1893" s="2" t="s">
        <v>1066</v>
      </c>
      <c r="C1893" s="2" t="s">
        <v>530</v>
      </c>
      <c r="D1893" s="2" t="s">
        <v>1919</v>
      </c>
      <c r="E1893" s="2" t="s">
        <v>3467</v>
      </c>
      <c r="F1893" s="2" t="s">
        <v>8716</v>
      </c>
      <c r="G1893" s="2" t="s">
        <v>8717</v>
      </c>
      <c r="H1893" s="2" t="s">
        <v>8718</v>
      </c>
      <c r="I1893" s="2" t="s">
        <v>1920</v>
      </c>
      <c r="J1893" s="2" t="s">
        <v>892</v>
      </c>
      <c r="K1893" s="2" t="s">
        <v>3743</v>
      </c>
      <c r="L1893" s="3">
        <v>110</v>
      </c>
      <c r="M1893" s="3">
        <v>115.5</v>
      </c>
      <c r="N1893" s="3">
        <v>229</v>
      </c>
      <c r="O1893" s="2" t="s">
        <v>237</v>
      </c>
      <c r="P1893" s="2" t="s">
        <v>311</v>
      </c>
      <c r="Q1893" s="2" t="s">
        <v>239</v>
      </c>
      <c r="R1893" s="2" t="s">
        <v>233</v>
      </c>
      <c r="S1893" s="2" t="s">
        <v>8719</v>
      </c>
      <c r="T1893" s="2" t="s">
        <v>233</v>
      </c>
      <c r="U1893" s="2" t="s">
        <v>233</v>
      </c>
      <c r="V1893" s="2" t="s">
        <v>241</v>
      </c>
      <c r="W1893" s="2" t="s">
        <v>451</v>
      </c>
      <c r="X1893" s="2" t="s">
        <v>233</v>
      </c>
      <c r="Y1893" s="2" t="s">
        <v>276</v>
      </c>
      <c r="Z1893" s="4">
        <v>105</v>
      </c>
      <c r="AA1893" s="4">
        <f>=ROUNDDOWN(50,0)</f>
      </c>
      <c r="AB1893" s="5">
        <v>2.1</v>
      </c>
      <c r="AC1893" s="2" t="s">
        <v>233</v>
      </c>
      <c r="AD1893" s="4"/>
      <c r="AE1893" s="4"/>
      <c r="AF1893" s="6">
        <v>65</v>
      </c>
      <c r="AG1893" s="6">
        <v>48</v>
      </c>
      <c r="AH1893" s="7">
        <v>1</v>
      </c>
      <c r="AI1893" s="4"/>
      <c r="AJ1893" s="4">
        <f>=ROUNDDOWN({0},0)</f>
      </c>
      <c r="AK1893" s="5"/>
      <c r="AL1893" s="2" t="s">
        <v>233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233</v>
      </c>
      <c r="BD1893" s="8" t="s">
        <v>233</v>
      </c>
      <c r="BE1893" s="4" t="s">
        <v>233</v>
      </c>
      <c r="BF1893" s="8" t="s">
        <v>233</v>
      </c>
      <c r="BG1893" s="7" t="s">
        <v>233</v>
      </c>
      <c r="BH1893" s="7" t="s">
        <v>233</v>
      </c>
      <c r="BI1893" s="7"/>
      <c r="BJ1893" s="4">
        <v>7</v>
      </c>
      <c r="BK1893" s="8">
        <v>645.99</v>
      </c>
      <c r="BL1893" s="2" t="s">
        <v>8720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8721</v>
      </c>
      <c r="BV1893" s="2" t="s">
        <v>233</v>
      </c>
      <c r="BW1893" s="2" t="s">
        <v>233</v>
      </c>
      <c r="BX1893" s="2" t="s">
        <v>233</v>
      </c>
      <c r="BY1893" s="2" t="s">
        <v>280</v>
      </c>
      <c r="BZ1893" s="2" t="s">
        <v>245</v>
      </c>
      <c r="CA1893" s="2" t="s">
        <v>281</v>
      </c>
      <c r="CB1893" s="2" t="s">
        <v>8722</v>
      </c>
      <c r="CC1893" s="2" t="s">
        <v>246</v>
      </c>
      <c r="CD1893" s="2" t="s">
        <v>233</v>
      </c>
      <c r="CE1893" s="4"/>
      <c r="CF1893" s="4">
        <v>105</v>
      </c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  <c r="HG1893" s="4"/>
      <c r="HH1893" s="4"/>
      <c r="HI1893" s="4"/>
      <c r="HJ1893" s="4"/>
      <c r="HK1893" s="4"/>
      <c r="HL1893" s="4"/>
      <c r="HM1893" s="4"/>
      <c r="HN1893" s="4"/>
      <c r="HO1893" s="4"/>
      <c r="HP1893" s="4"/>
      <c r="HQ1893" s="4"/>
      <c r="HR1893" s="4"/>
    </row>
    <row r="1894">
      <c r="A1894" s="2" t="s">
        <v>8723</v>
      </c>
      <c r="B1894" s="2" t="s">
        <v>1066</v>
      </c>
      <c r="C1894" s="2" t="s">
        <v>530</v>
      </c>
      <c r="D1894" s="2" t="s">
        <v>1919</v>
      </c>
      <c r="E1894" s="2" t="s">
        <v>3467</v>
      </c>
      <c r="F1894" s="2" t="s">
        <v>8716</v>
      </c>
      <c r="G1894" s="2" t="s">
        <v>8717</v>
      </c>
      <c r="H1894" s="2" t="s">
        <v>8718</v>
      </c>
      <c r="I1894" s="2" t="s">
        <v>1920</v>
      </c>
      <c r="J1894" s="2" t="s">
        <v>892</v>
      </c>
      <c r="K1894" s="2" t="s">
        <v>5755</v>
      </c>
      <c r="L1894" s="3">
        <v>110</v>
      </c>
      <c r="M1894" s="3">
        <v>115.5</v>
      </c>
      <c r="N1894" s="3">
        <v>229</v>
      </c>
      <c r="O1894" s="2" t="s">
        <v>237</v>
      </c>
      <c r="P1894" s="2" t="s">
        <v>311</v>
      </c>
      <c r="Q1894" s="2" t="s">
        <v>239</v>
      </c>
      <c r="R1894" s="2" t="s">
        <v>233</v>
      </c>
      <c r="S1894" s="2" t="s">
        <v>8724</v>
      </c>
      <c r="T1894" s="2" t="s">
        <v>233</v>
      </c>
      <c r="U1894" s="2" t="s">
        <v>233</v>
      </c>
      <c r="V1894" s="2" t="s">
        <v>241</v>
      </c>
      <c r="W1894" s="2" t="s">
        <v>451</v>
      </c>
      <c r="X1894" s="2" t="s">
        <v>233</v>
      </c>
      <c r="Y1894" s="2" t="s">
        <v>276</v>
      </c>
      <c r="Z1894" s="4">
        <v>1</v>
      </c>
      <c r="AA1894" s="4">
        <f>=ROUNDDOWN(1.66666666666667,0)</f>
      </c>
      <c r="AB1894" s="5">
        <v>0.6</v>
      </c>
      <c r="AC1894" s="2" t="s">
        <v>233</v>
      </c>
      <c r="AD1894" s="4"/>
      <c r="AE1894" s="4"/>
      <c r="AF1894" s="6">
        <v>74</v>
      </c>
      <c r="AG1894" s="6">
        <v>60</v>
      </c>
      <c r="AH1894" s="7">
        <v>1</v>
      </c>
      <c r="AI1894" s="4"/>
      <c r="AJ1894" s="4">
        <f>=ROUNDDOWN({0},0)</f>
      </c>
      <c r="AK1894" s="5"/>
      <c r="AL1894" s="2" t="s">
        <v>233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233</v>
      </c>
      <c r="BD1894" s="8" t="s">
        <v>233</v>
      </c>
      <c r="BE1894" s="4" t="s">
        <v>233</v>
      </c>
      <c r="BF1894" s="8" t="s">
        <v>233</v>
      </c>
      <c r="BG1894" s="7" t="s">
        <v>233</v>
      </c>
      <c r="BH1894" s="7" t="s">
        <v>233</v>
      </c>
      <c r="BI1894" s="7"/>
      <c r="BJ1894" s="4">
        <v>3</v>
      </c>
      <c r="BK1894" s="8">
        <v>188.71</v>
      </c>
      <c r="BL1894" s="2" t="s">
        <v>8725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8726</v>
      </c>
      <c r="BV1894" s="2" t="s">
        <v>233</v>
      </c>
      <c r="BW1894" s="2" t="s">
        <v>233</v>
      </c>
      <c r="BX1894" s="2" t="s">
        <v>233</v>
      </c>
      <c r="BY1894" s="2" t="s">
        <v>280</v>
      </c>
      <c r="BZ1894" s="2" t="s">
        <v>245</v>
      </c>
      <c r="CA1894" s="2" t="s">
        <v>281</v>
      </c>
      <c r="CB1894" s="2" t="s">
        <v>8727</v>
      </c>
      <c r="CC1894" s="2" t="s">
        <v>246</v>
      </c>
      <c r="CD1894" s="2" t="s">
        <v>233</v>
      </c>
      <c r="CE1894" s="4"/>
      <c r="CF1894" s="4"/>
      <c r="CG1894" s="4"/>
      <c r="CH1894" s="4"/>
      <c r="CI1894" s="4">
        <v>1</v>
      </c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  <c r="HF1894" s="4"/>
      <c r="HG1894" s="4"/>
      <c r="HH1894" s="4"/>
      <c r="HI1894" s="4"/>
      <c r="HJ1894" s="4"/>
      <c r="HK1894" s="4"/>
      <c r="HL1894" s="4"/>
      <c r="HM1894" s="4"/>
      <c r="HN1894" s="4"/>
      <c r="HO1894" s="4"/>
      <c r="HP1894" s="4"/>
      <c r="HQ1894" s="4"/>
      <c r="HR1894" s="4"/>
    </row>
    <row r="1895">
      <c r="A1895" s="2" t="s">
        <v>8728</v>
      </c>
      <c r="B1895" s="2" t="s">
        <v>1242</v>
      </c>
      <c r="C1895" s="2" t="s">
        <v>901</v>
      </c>
      <c r="D1895" s="2" t="s">
        <v>969</v>
      </c>
      <c r="E1895" s="2" t="s">
        <v>1078</v>
      </c>
      <c r="F1895" s="2" t="s">
        <v>8729</v>
      </c>
      <c r="G1895" s="2" t="s">
        <v>8729</v>
      </c>
      <c r="H1895" s="2" t="s">
        <v>8729</v>
      </c>
      <c r="I1895" s="2" t="s">
        <v>970</v>
      </c>
      <c r="J1895" s="2" t="s">
        <v>270</v>
      </c>
      <c r="K1895" s="2" t="s">
        <v>255</v>
      </c>
      <c r="L1895" s="3">
        <v>52.8</v>
      </c>
      <c r="M1895" s="3">
        <v>55.43</v>
      </c>
      <c r="N1895" s="3">
        <v>109.99</v>
      </c>
      <c r="O1895" s="2" t="s">
        <v>237</v>
      </c>
      <c r="P1895" s="2" t="s">
        <v>311</v>
      </c>
      <c r="Q1895" s="2" t="s">
        <v>239</v>
      </c>
      <c r="R1895" s="2" t="s">
        <v>233</v>
      </c>
      <c r="S1895" s="2" t="s">
        <v>8730</v>
      </c>
      <c r="T1895" s="2" t="s">
        <v>233</v>
      </c>
      <c r="U1895" s="2" t="s">
        <v>233</v>
      </c>
      <c r="V1895" s="2" t="s">
        <v>1340</v>
      </c>
      <c r="W1895" s="2" t="s">
        <v>275</v>
      </c>
      <c r="X1895" s="2" t="s">
        <v>8731</v>
      </c>
      <c r="Y1895" s="2" t="s">
        <v>276</v>
      </c>
      <c r="Z1895" s="4">
        <v>12</v>
      </c>
      <c r="AA1895" s="4">
        <f>=ROUNDDOWN({0},0)</f>
      </c>
      <c r="AB1895" s="5"/>
      <c r="AC1895" s="2" t="s">
        <v>233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233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 t="s">
        <v>233</v>
      </c>
      <c r="AW1895" s="8" t="s">
        <v>233</v>
      </c>
      <c r="AX1895" s="4" t="s">
        <v>233</v>
      </c>
      <c r="AY1895" s="8" t="s">
        <v>233</v>
      </c>
      <c r="AZ1895" s="7" t="s">
        <v>233</v>
      </c>
      <c r="BA1895" s="7" t="s">
        <v>233</v>
      </c>
      <c r="BB1895" s="7" t="s">
        <v>233</v>
      </c>
      <c r="BC1895" s="4" t="s">
        <v>233</v>
      </c>
      <c r="BD1895" s="8" t="s">
        <v>233</v>
      </c>
      <c r="BE1895" s="4" t="s">
        <v>233</v>
      </c>
      <c r="BF1895" s="8" t="s">
        <v>233</v>
      </c>
      <c r="BG1895" s="7" t="s">
        <v>233</v>
      </c>
      <c r="BH1895" s="7" t="s">
        <v>233</v>
      </c>
      <c r="BI1895" s="7"/>
      <c r="BJ1895" s="4"/>
      <c r="BK1895" s="8"/>
      <c r="BL1895" s="2" t="s">
        <v>492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8732</v>
      </c>
      <c r="BV1895" s="2" t="s">
        <v>233</v>
      </c>
      <c r="BW1895" s="2" t="s">
        <v>233</v>
      </c>
      <c r="BX1895" s="2" t="s">
        <v>233</v>
      </c>
      <c r="BY1895" s="2" t="s">
        <v>280</v>
      </c>
      <c r="BZ1895" s="2" t="s">
        <v>245</v>
      </c>
      <c r="CA1895" s="2" t="s">
        <v>281</v>
      </c>
      <c r="CB1895" s="2" t="s">
        <v>670</v>
      </c>
      <c r="CC1895" s="2" t="s">
        <v>246</v>
      </c>
      <c r="CD1895" s="2" t="s">
        <v>233</v>
      </c>
      <c r="CE1895" s="4">
        <v>12</v>
      </c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  <c r="HF1895" s="4"/>
      <c r="HG1895" s="4"/>
      <c r="HH1895" s="4"/>
      <c r="HI1895" s="4"/>
      <c r="HJ1895" s="4"/>
      <c r="HK1895" s="4"/>
      <c r="HL1895" s="4"/>
      <c r="HM1895" s="4"/>
      <c r="HN1895" s="4"/>
      <c r="HO1895" s="4"/>
      <c r="HP1895" s="4"/>
      <c r="HQ1895" s="4"/>
      <c r="HR1895" s="4"/>
    </row>
    <row r="1896">
      <c r="A1896" s="2" t="s">
        <v>8733</v>
      </c>
      <c r="B1896" s="2" t="s">
        <v>1242</v>
      </c>
      <c r="C1896" s="2" t="s">
        <v>901</v>
      </c>
      <c r="D1896" s="2" t="s">
        <v>912</v>
      </c>
      <c r="E1896" s="2" t="s">
        <v>913</v>
      </c>
      <c r="F1896" s="2" t="s">
        <v>8729</v>
      </c>
      <c r="G1896" s="2" t="s">
        <v>233</v>
      </c>
      <c r="H1896" s="2" t="s">
        <v>233</v>
      </c>
      <c r="I1896" s="2" t="s">
        <v>8734</v>
      </c>
      <c r="J1896" s="2" t="s">
        <v>270</v>
      </c>
      <c r="K1896" s="2" t="s">
        <v>255</v>
      </c>
      <c r="L1896" s="3">
        <v>43.2</v>
      </c>
      <c r="M1896" s="3">
        <v>45.35</v>
      </c>
      <c r="N1896" s="3">
        <v>89.99</v>
      </c>
      <c r="O1896" s="2" t="s">
        <v>237</v>
      </c>
      <c r="P1896" s="2" t="s">
        <v>311</v>
      </c>
      <c r="Q1896" s="2" t="s">
        <v>239</v>
      </c>
      <c r="R1896" s="2" t="s">
        <v>233</v>
      </c>
      <c r="S1896" s="2" t="s">
        <v>8730</v>
      </c>
      <c r="T1896" s="2" t="s">
        <v>233</v>
      </c>
      <c r="U1896" s="2" t="s">
        <v>233</v>
      </c>
      <c r="V1896" s="2" t="s">
        <v>1340</v>
      </c>
      <c r="W1896" s="2" t="s">
        <v>275</v>
      </c>
      <c r="X1896" s="2" t="s">
        <v>8731</v>
      </c>
      <c r="Y1896" s="2" t="s">
        <v>276</v>
      </c>
      <c r="Z1896" s="4">
        <v>45</v>
      </c>
      <c r="AA1896" s="4">
        <f>=ROUNDDOWN(64.2857142857143,0)</f>
      </c>
      <c r="AB1896" s="5">
        <v>0.7</v>
      </c>
      <c r="AC1896" s="2" t="s">
        <v>233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233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 t="s">
        <v>233</v>
      </c>
      <c r="AW1896" s="8" t="s">
        <v>233</v>
      </c>
      <c r="AX1896" s="4" t="s">
        <v>233</v>
      </c>
      <c r="AY1896" s="8" t="s">
        <v>233</v>
      </c>
      <c r="AZ1896" s="7" t="s">
        <v>233</v>
      </c>
      <c r="BA1896" s="7" t="s">
        <v>233</v>
      </c>
      <c r="BB1896" s="7" t="s">
        <v>233</v>
      </c>
      <c r="BC1896" s="4" t="s">
        <v>233</v>
      </c>
      <c r="BD1896" s="8" t="s">
        <v>233</v>
      </c>
      <c r="BE1896" s="4" t="s">
        <v>233</v>
      </c>
      <c r="BF1896" s="8" t="s">
        <v>233</v>
      </c>
      <c r="BG1896" s="7" t="s">
        <v>233</v>
      </c>
      <c r="BH1896" s="7" t="s">
        <v>233</v>
      </c>
      <c r="BI1896" s="7"/>
      <c r="BJ1896" s="4">
        <v>3</v>
      </c>
      <c r="BK1896" s="8">
        <v>98.11</v>
      </c>
      <c r="BL1896" s="2" t="s">
        <v>8735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8736</v>
      </c>
      <c r="BV1896" s="2" t="s">
        <v>233</v>
      </c>
      <c r="BW1896" s="2" t="s">
        <v>233</v>
      </c>
      <c r="BX1896" s="2" t="s">
        <v>233</v>
      </c>
      <c r="BY1896" s="2" t="s">
        <v>280</v>
      </c>
      <c r="BZ1896" s="2" t="s">
        <v>245</v>
      </c>
      <c r="CA1896" s="2" t="s">
        <v>281</v>
      </c>
      <c r="CB1896" s="2" t="s">
        <v>1848</v>
      </c>
      <c r="CC1896" s="2" t="s">
        <v>246</v>
      </c>
      <c r="CD1896" s="2" t="s">
        <v>233</v>
      </c>
      <c r="CE1896" s="4">
        <v>45</v>
      </c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  <c r="HF1896" s="4"/>
      <c r="HG1896" s="4"/>
      <c r="HH1896" s="4"/>
      <c r="HI1896" s="4"/>
      <c r="HJ1896" s="4"/>
      <c r="HK1896" s="4"/>
      <c r="HL1896" s="4"/>
      <c r="HM1896" s="4"/>
      <c r="HN1896" s="4"/>
      <c r="HO1896" s="4"/>
      <c r="HP1896" s="4"/>
      <c r="HQ1896" s="4"/>
      <c r="HR1896" s="4"/>
    </row>
    <row r="1897">
      <c r="A1897" s="2" t="s">
        <v>8737</v>
      </c>
      <c r="B1897" s="2" t="s">
        <v>1242</v>
      </c>
      <c r="C1897" s="2" t="s">
        <v>901</v>
      </c>
      <c r="D1897" s="2" t="s">
        <v>912</v>
      </c>
      <c r="E1897" s="2" t="s">
        <v>913</v>
      </c>
      <c r="F1897" s="2" t="s">
        <v>8729</v>
      </c>
      <c r="G1897" s="2" t="s">
        <v>233</v>
      </c>
      <c r="H1897" s="2" t="s">
        <v>233</v>
      </c>
      <c r="I1897" s="2" t="s">
        <v>8734</v>
      </c>
      <c r="J1897" s="2" t="s">
        <v>328</v>
      </c>
      <c r="K1897" s="2" t="s">
        <v>255</v>
      </c>
      <c r="L1897" s="3">
        <v>69.5</v>
      </c>
      <c r="M1897" s="3">
        <v>72.98</v>
      </c>
      <c r="N1897" s="3">
        <v>139</v>
      </c>
      <c r="O1897" s="2" t="s">
        <v>237</v>
      </c>
      <c r="P1897" s="2" t="s">
        <v>311</v>
      </c>
      <c r="Q1897" s="2" t="s">
        <v>239</v>
      </c>
      <c r="R1897" s="2" t="s">
        <v>233</v>
      </c>
      <c r="S1897" s="2" t="s">
        <v>8730</v>
      </c>
      <c r="T1897" s="2" t="s">
        <v>233</v>
      </c>
      <c r="U1897" s="2" t="s">
        <v>233</v>
      </c>
      <c r="V1897" s="2" t="s">
        <v>1340</v>
      </c>
      <c r="W1897" s="2" t="s">
        <v>275</v>
      </c>
      <c r="X1897" s="2" t="s">
        <v>8731</v>
      </c>
      <c r="Y1897" s="2" t="s">
        <v>276</v>
      </c>
      <c r="Z1897" s="4">
        <v>44</v>
      </c>
      <c r="AA1897" s="4">
        <f>=ROUNDDOWN(110,0)</f>
      </c>
      <c r="AB1897" s="5">
        <v>0.4</v>
      </c>
      <c r="AC1897" s="2" t="s">
        <v>233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233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 t="s">
        <v>233</v>
      </c>
      <c r="AW1897" s="8" t="s">
        <v>233</v>
      </c>
      <c r="AX1897" s="4" t="s">
        <v>233</v>
      </c>
      <c r="AY1897" s="8" t="s">
        <v>233</v>
      </c>
      <c r="AZ1897" s="7" t="s">
        <v>233</v>
      </c>
      <c r="BA1897" s="7" t="s">
        <v>233</v>
      </c>
      <c r="BB1897" s="7"/>
      <c r="BC1897" s="4" t="s">
        <v>233</v>
      </c>
      <c r="BD1897" s="8" t="s">
        <v>233</v>
      </c>
      <c r="BE1897" s="4" t="s">
        <v>233</v>
      </c>
      <c r="BF1897" s="8" t="s">
        <v>233</v>
      </c>
      <c r="BG1897" s="7" t="s">
        <v>233</v>
      </c>
      <c r="BH1897" s="7" t="s">
        <v>233</v>
      </c>
      <c r="BI1897" s="7"/>
      <c r="BJ1897" s="4">
        <v>1</v>
      </c>
      <c r="BK1897" s="8">
        <v>42.76</v>
      </c>
      <c r="BL1897" s="2" t="s">
        <v>8444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8738</v>
      </c>
      <c r="BV1897" s="2" t="s">
        <v>233</v>
      </c>
      <c r="BW1897" s="2" t="s">
        <v>233</v>
      </c>
      <c r="BX1897" s="2" t="s">
        <v>233</v>
      </c>
      <c r="BY1897" s="2" t="s">
        <v>280</v>
      </c>
      <c r="BZ1897" s="2" t="s">
        <v>245</v>
      </c>
      <c r="CA1897" s="2" t="s">
        <v>281</v>
      </c>
      <c r="CB1897" s="2" t="s">
        <v>670</v>
      </c>
      <c r="CC1897" s="2" t="s">
        <v>246</v>
      </c>
      <c r="CD1897" s="2" t="s">
        <v>233</v>
      </c>
      <c r="CE1897" s="4">
        <v>44</v>
      </c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  <c r="HG1897" s="4"/>
      <c r="HH1897" s="4"/>
      <c r="HI1897" s="4"/>
      <c r="HJ1897" s="4"/>
      <c r="HK1897" s="4"/>
      <c r="HL1897" s="4"/>
      <c r="HM1897" s="4"/>
      <c r="HN1897" s="4"/>
      <c r="HO1897" s="4"/>
      <c r="HP1897" s="4"/>
      <c r="HQ1897" s="4"/>
      <c r="HR1897" s="4"/>
    </row>
    <row r="1898">
      <c r="A1898" s="2" t="s">
        <v>8739</v>
      </c>
      <c r="B1898" s="2" t="s">
        <v>928</v>
      </c>
      <c r="C1898" s="2" t="s">
        <v>530</v>
      </c>
      <c r="D1898" s="2" t="s">
        <v>929</v>
      </c>
      <c r="E1898" s="2" t="s">
        <v>939</v>
      </c>
      <c r="F1898" s="2" t="s">
        <v>8740</v>
      </c>
      <c r="G1898" s="2" t="s">
        <v>8740</v>
      </c>
      <c r="H1898" s="2" t="s">
        <v>8740</v>
      </c>
      <c r="I1898" s="2" t="s">
        <v>8741</v>
      </c>
      <c r="J1898" s="2" t="s">
        <v>892</v>
      </c>
      <c r="K1898" s="2" t="s">
        <v>271</v>
      </c>
      <c r="L1898" s="3">
        <v>25.02</v>
      </c>
      <c r="M1898" s="3">
        <v>26.27</v>
      </c>
      <c r="N1898" s="3">
        <v>55.24</v>
      </c>
      <c r="O1898" s="2" t="s">
        <v>245</v>
      </c>
      <c r="P1898" s="2" t="s">
        <v>311</v>
      </c>
      <c r="Q1898" s="2" t="s">
        <v>239</v>
      </c>
      <c r="R1898" s="2" t="s">
        <v>233</v>
      </c>
      <c r="S1898" s="2" t="s">
        <v>8742</v>
      </c>
      <c r="T1898" s="2" t="s">
        <v>233</v>
      </c>
      <c r="U1898" s="2" t="s">
        <v>396</v>
      </c>
      <c r="V1898" s="2" t="s">
        <v>3103</v>
      </c>
      <c r="W1898" s="2" t="s">
        <v>1763</v>
      </c>
      <c r="X1898" s="2" t="s">
        <v>233</v>
      </c>
      <c r="Y1898" s="2" t="s">
        <v>8352</v>
      </c>
      <c r="Z1898" s="4">
        <v>97</v>
      </c>
      <c r="AA1898" s="4">
        <f>=ROUNDDOWN(48.5,0)</f>
      </c>
      <c r="AB1898" s="5">
        <v>2</v>
      </c>
      <c r="AC1898" s="2" t="s">
        <v>233</v>
      </c>
      <c r="AD1898" s="4"/>
      <c r="AE1898" s="4"/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233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5</v>
      </c>
      <c r="BK1898" s="8">
        <v>137.66</v>
      </c>
      <c r="BL1898" s="2" t="s">
        <v>8743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8744</v>
      </c>
      <c r="BV1898" s="2" t="s">
        <v>233</v>
      </c>
      <c r="BW1898" s="2" t="s">
        <v>233</v>
      </c>
      <c r="BX1898" s="2" t="s">
        <v>233</v>
      </c>
      <c r="BY1898" s="2" t="s">
        <v>280</v>
      </c>
      <c r="BZ1898" s="2" t="s">
        <v>245</v>
      </c>
      <c r="CA1898" s="2" t="s">
        <v>281</v>
      </c>
      <c r="CB1898" s="2" t="s">
        <v>8745</v>
      </c>
      <c r="CC1898" s="2" t="s">
        <v>246</v>
      </c>
      <c r="CD1898" s="2" t="s">
        <v>233</v>
      </c>
      <c r="CE1898" s="4">
        <v>93</v>
      </c>
      <c r="CF1898" s="4">
        <v>4</v>
      </c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  <c r="HG1898" s="4"/>
      <c r="HH1898" s="4"/>
      <c r="HI1898" s="4"/>
      <c r="HJ1898" s="4"/>
      <c r="HK1898" s="4"/>
      <c r="HL1898" s="4"/>
      <c r="HM1898" s="4"/>
      <c r="HN1898" s="4"/>
      <c r="HO1898" s="4"/>
      <c r="HP1898" s="4"/>
      <c r="HQ1898" s="4"/>
      <c r="HR1898" s="4"/>
    </row>
    <row r="1899">
      <c r="A1899" s="2" t="s">
        <v>8746</v>
      </c>
      <c r="B1899" s="2" t="s">
        <v>886</v>
      </c>
      <c r="C1899" s="2" t="s">
        <v>887</v>
      </c>
      <c r="D1899" s="2" t="s">
        <v>888</v>
      </c>
      <c r="E1899" s="2" t="s">
        <v>889</v>
      </c>
      <c r="F1899" s="2" t="s">
        <v>8747</v>
      </c>
      <c r="G1899" s="2" t="s">
        <v>8747</v>
      </c>
      <c r="H1899" s="2" t="s">
        <v>8747</v>
      </c>
      <c r="I1899" s="2" t="s">
        <v>8748</v>
      </c>
      <c r="J1899" s="2" t="s">
        <v>892</v>
      </c>
      <c r="K1899" s="2" t="s">
        <v>645</v>
      </c>
      <c r="L1899" s="3">
        <v>96.12</v>
      </c>
      <c r="M1899" s="3">
        <v>100.93</v>
      </c>
      <c r="N1899" s="3">
        <v>214.99</v>
      </c>
      <c r="O1899" s="2" t="s">
        <v>245</v>
      </c>
      <c r="P1899" s="2" t="s">
        <v>311</v>
      </c>
      <c r="Q1899" s="2" t="s">
        <v>239</v>
      </c>
      <c r="R1899" s="2" t="s">
        <v>233</v>
      </c>
      <c r="S1899" s="2" t="s">
        <v>233</v>
      </c>
      <c r="T1899" s="2" t="s">
        <v>233</v>
      </c>
      <c r="U1899" s="2" t="s">
        <v>396</v>
      </c>
      <c r="V1899" s="2" t="s">
        <v>893</v>
      </c>
      <c r="W1899" s="2" t="s">
        <v>977</v>
      </c>
      <c r="X1899" s="2" t="s">
        <v>776</v>
      </c>
      <c r="Y1899" s="2" t="s">
        <v>1610</v>
      </c>
      <c r="Z1899" s="4">
        <v>63</v>
      </c>
      <c r="AA1899" s="4">
        <f>=ROUNDDOWN(63,0)</f>
      </c>
      <c r="AB1899" s="5">
        <v>1</v>
      </c>
      <c r="AC1899" s="2" t="s">
        <v>233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233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3</v>
      </c>
      <c r="BK1899" s="8">
        <v>283.42</v>
      </c>
      <c r="BL1899" s="2" t="s">
        <v>1028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8749</v>
      </c>
      <c r="BV1899" s="2" t="s">
        <v>233</v>
      </c>
      <c r="BW1899" s="2" t="s">
        <v>233</v>
      </c>
      <c r="BX1899" s="2" t="s">
        <v>233</v>
      </c>
      <c r="BY1899" s="2" t="s">
        <v>280</v>
      </c>
      <c r="BZ1899" s="2" t="s">
        <v>245</v>
      </c>
      <c r="CA1899" s="2" t="s">
        <v>1910</v>
      </c>
      <c r="CB1899" s="2" t="s">
        <v>6886</v>
      </c>
      <c r="CC1899" s="2" t="s">
        <v>246</v>
      </c>
      <c r="CD1899" s="2" t="s">
        <v>233</v>
      </c>
      <c r="CE1899" s="4"/>
      <c r="CF1899" s="4">
        <v>63</v>
      </c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  <c r="HG1899" s="4"/>
      <c r="HH1899" s="4"/>
      <c r="HI1899" s="4"/>
      <c r="HJ1899" s="4"/>
      <c r="HK1899" s="4"/>
      <c r="HL1899" s="4"/>
      <c r="HM1899" s="4"/>
      <c r="HN1899" s="4"/>
      <c r="HO1899" s="4"/>
      <c r="HP1899" s="4"/>
      <c r="HQ1899" s="4"/>
      <c r="HR1899" s="4"/>
    </row>
    <row r="1900">
      <c r="A1900" s="2" t="s">
        <v>8750</v>
      </c>
      <c r="B1900" s="2" t="s">
        <v>886</v>
      </c>
      <c r="C1900" s="2" t="s">
        <v>901</v>
      </c>
      <c r="D1900" s="2" t="s">
        <v>1167</v>
      </c>
      <c r="E1900" s="2" t="s">
        <v>1168</v>
      </c>
      <c r="F1900" s="2" t="s">
        <v>8751</v>
      </c>
      <c r="G1900" s="2" t="s">
        <v>8751</v>
      </c>
      <c r="H1900" s="2" t="s">
        <v>8751</v>
      </c>
      <c r="I1900" s="2" t="s">
        <v>8752</v>
      </c>
      <c r="J1900" s="2" t="s">
        <v>892</v>
      </c>
      <c r="K1900" s="2" t="s">
        <v>297</v>
      </c>
      <c r="L1900" s="3">
        <v>29.7</v>
      </c>
      <c r="M1900" s="3">
        <v>31.18</v>
      </c>
      <c r="N1900" s="3">
        <v>69.99</v>
      </c>
      <c r="O1900" s="2" t="s">
        <v>245</v>
      </c>
      <c r="P1900" s="2" t="s">
        <v>272</v>
      </c>
      <c r="Q1900" s="2" t="s">
        <v>239</v>
      </c>
      <c r="R1900" s="2" t="s">
        <v>233</v>
      </c>
      <c r="S1900" s="2" t="s">
        <v>233</v>
      </c>
      <c r="T1900" s="2" t="s">
        <v>233</v>
      </c>
      <c r="U1900" s="2" t="s">
        <v>396</v>
      </c>
      <c r="V1900" s="2" t="s">
        <v>241</v>
      </c>
      <c r="W1900" s="2" t="s">
        <v>397</v>
      </c>
      <c r="X1900" s="2" t="s">
        <v>451</v>
      </c>
      <c r="Y1900" s="2" t="s">
        <v>8753</v>
      </c>
      <c r="Z1900" s="4">
        <v>106</v>
      </c>
      <c r="AA1900" s="4">
        <f>=ROUNDDOWN(35.3333333333333,0)</f>
      </c>
      <c r="AB1900" s="5">
        <v>3</v>
      </c>
      <c r="AC1900" s="2" t="s">
        <v>233</v>
      </c>
      <c r="AD1900" s="4"/>
      <c r="AE1900" s="4"/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233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4</v>
      </c>
      <c r="BK1900" s="8">
        <v>114.76</v>
      </c>
      <c r="BL1900" s="2" t="s">
        <v>896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8754</v>
      </c>
      <c r="BV1900" s="2" t="s">
        <v>233</v>
      </c>
      <c r="BW1900" s="2" t="s">
        <v>233</v>
      </c>
      <c r="BX1900" s="2" t="s">
        <v>233</v>
      </c>
      <c r="BY1900" s="2" t="s">
        <v>280</v>
      </c>
      <c r="BZ1900" s="2" t="s">
        <v>245</v>
      </c>
      <c r="CA1900" s="2" t="s">
        <v>5118</v>
      </c>
      <c r="CB1900" s="2" t="s">
        <v>3674</v>
      </c>
      <c r="CC1900" s="2" t="s">
        <v>246</v>
      </c>
      <c r="CD1900" s="2" t="s">
        <v>233</v>
      </c>
      <c r="CE1900" s="4"/>
      <c r="CF1900" s="4">
        <v>106</v>
      </c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  <c r="HG1900" s="4"/>
      <c r="HH1900" s="4"/>
      <c r="HI1900" s="4"/>
      <c r="HJ1900" s="4"/>
      <c r="HK1900" s="4"/>
      <c r="HL1900" s="4"/>
      <c r="HM1900" s="4"/>
      <c r="HN1900" s="4"/>
      <c r="HO1900" s="4"/>
      <c r="HP1900" s="4"/>
      <c r="HQ1900" s="4"/>
      <c r="HR1900" s="4"/>
    </row>
    <row r="1901">
      <c r="A1901" s="2" t="s">
        <v>8755</v>
      </c>
      <c r="B1901" s="2" t="s">
        <v>886</v>
      </c>
      <c r="C1901" s="2" t="s">
        <v>1157</v>
      </c>
      <c r="D1901" s="2" t="s">
        <v>1167</v>
      </c>
      <c r="E1901" s="2" t="s">
        <v>1168</v>
      </c>
      <c r="F1901" s="2" t="s">
        <v>8756</v>
      </c>
      <c r="G1901" s="2" t="s">
        <v>8756</v>
      </c>
      <c r="H1901" s="2" t="s">
        <v>8756</v>
      </c>
      <c r="I1901" s="2" t="s">
        <v>7595</v>
      </c>
      <c r="J1901" s="2" t="s">
        <v>892</v>
      </c>
      <c r="K1901" s="2" t="s">
        <v>271</v>
      </c>
      <c r="L1901" s="3">
        <v>34</v>
      </c>
      <c r="M1901" s="3">
        <v>35.7</v>
      </c>
      <c r="N1901" s="3">
        <v>69.99</v>
      </c>
      <c r="O1901" s="2" t="s">
        <v>245</v>
      </c>
      <c r="P1901" s="2" t="s">
        <v>238</v>
      </c>
      <c r="Q1901" s="2" t="s">
        <v>239</v>
      </c>
      <c r="R1901" s="2" t="s">
        <v>233</v>
      </c>
      <c r="S1901" s="2" t="s">
        <v>233</v>
      </c>
      <c r="T1901" s="2" t="s">
        <v>233</v>
      </c>
      <c r="U1901" s="2" t="s">
        <v>396</v>
      </c>
      <c r="V1901" s="2" t="s">
        <v>893</v>
      </c>
      <c r="W1901" s="2" t="s">
        <v>451</v>
      </c>
      <c r="X1901" s="2" t="s">
        <v>275</v>
      </c>
      <c r="Y1901" s="2" t="s">
        <v>233</v>
      </c>
      <c r="Z1901" s="4"/>
      <c r="AA1901" s="4">
        <f>=ROUNDDOWN({0},0)</f>
      </c>
      <c r="AB1901" s="5"/>
      <c r="AC1901" s="2" t="s">
        <v>2533</v>
      </c>
      <c r="AD1901" s="4">
        <v>100</v>
      </c>
      <c r="AE1901" s="4">
        <v>100</v>
      </c>
      <c r="AF1901" s="6"/>
      <c r="AG1901" s="6"/>
      <c r="AH1901" s="7">
        <v>0</v>
      </c>
      <c r="AI1901" s="4"/>
      <c r="AJ1901" s="4">
        <f>=ROUNDDOWN({0},0)</f>
      </c>
      <c r="AK1901" s="5"/>
      <c r="AL1901" s="2" t="s">
        <v>233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 t="s">
        <v>233</v>
      </c>
      <c r="BD1901" s="8" t="s">
        <v>233</v>
      </c>
      <c r="BE1901" s="4" t="s">
        <v>233</v>
      </c>
      <c r="BF1901" s="8" t="s">
        <v>233</v>
      </c>
      <c r="BG1901" s="7" t="s">
        <v>233</v>
      </c>
      <c r="BH1901" s="7" t="s">
        <v>233</v>
      </c>
      <c r="BI1901" s="7"/>
      <c r="BJ1901" s="4"/>
      <c r="BK1901" s="8"/>
      <c r="BL1901" s="2" t="s">
        <v>233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243</v>
      </c>
      <c r="BV1901" s="2" t="s">
        <v>233</v>
      </c>
      <c r="BW1901" s="2" t="s">
        <v>233</v>
      </c>
      <c r="BX1901" s="2" t="s">
        <v>243</v>
      </c>
      <c r="BY1901" s="2" t="s">
        <v>244</v>
      </c>
      <c r="BZ1901" s="2" t="s">
        <v>245</v>
      </c>
      <c r="CA1901" s="2" t="s">
        <v>233</v>
      </c>
      <c r="CB1901" s="2" t="s">
        <v>233</v>
      </c>
      <c r="CC1901" s="2" t="s">
        <v>246</v>
      </c>
      <c r="CD1901" s="2" t="s">
        <v>233</v>
      </c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>
        <v>100</v>
      </c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  <c r="HG1901" s="4"/>
      <c r="HH1901" s="4"/>
      <c r="HI1901" s="4"/>
      <c r="HJ1901" s="4"/>
      <c r="HK1901" s="4"/>
      <c r="HL1901" s="4"/>
      <c r="HM1901" s="4"/>
      <c r="HN1901" s="4"/>
      <c r="HO1901" s="4"/>
      <c r="HP1901" s="4"/>
      <c r="HQ1901" s="4"/>
      <c r="HR1901" s="4"/>
    </row>
    <row r="1902">
      <c r="A1902" s="2" t="s">
        <v>8757</v>
      </c>
      <c r="B1902" s="2" t="s">
        <v>886</v>
      </c>
      <c r="C1902" s="2" t="s">
        <v>1157</v>
      </c>
      <c r="D1902" s="2" t="s">
        <v>1167</v>
      </c>
      <c r="E1902" s="2" t="s">
        <v>1168</v>
      </c>
      <c r="F1902" s="2" t="s">
        <v>8756</v>
      </c>
      <c r="G1902" s="2" t="s">
        <v>8756</v>
      </c>
      <c r="H1902" s="2" t="s">
        <v>8756</v>
      </c>
      <c r="I1902" s="2" t="s">
        <v>7595</v>
      </c>
      <c r="J1902" s="2" t="s">
        <v>892</v>
      </c>
      <c r="K1902" s="2" t="s">
        <v>2942</v>
      </c>
      <c r="L1902" s="3">
        <v>34</v>
      </c>
      <c r="M1902" s="3">
        <v>35.7</v>
      </c>
      <c r="N1902" s="3">
        <v>69.99</v>
      </c>
      <c r="O1902" s="2" t="s">
        <v>245</v>
      </c>
      <c r="P1902" s="2" t="s">
        <v>238</v>
      </c>
      <c r="Q1902" s="2" t="s">
        <v>239</v>
      </c>
      <c r="R1902" s="2" t="s">
        <v>233</v>
      </c>
      <c r="S1902" s="2" t="s">
        <v>233</v>
      </c>
      <c r="T1902" s="2" t="s">
        <v>233</v>
      </c>
      <c r="U1902" s="2" t="s">
        <v>396</v>
      </c>
      <c r="V1902" s="2" t="s">
        <v>893</v>
      </c>
      <c r="W1902" s="2" t="s">
        <v>451</v>
      </c>
      <c r="X1902" s="2" t="s">
        <v>275</v>
      </c>
      <c r="Y1902" s="2" t="s">
        <v>233</v>
      </c>
      <c r="Z1902" s="4"/>
      <c r="AA1902" s="4">
        <f>=ROUNDDOWN({0},0)</f>
      </c>
      <c r="AB1902" s="5"/>
      <c r="AC1902" s="2" t="s">
        <v>2533</v>
      </c>
      <c r="AD1902" s="4">
        <v>80</v>
      </c>
      <c r="AE1902" s="4">
        <v>80</v>
      </c>
      <c r="AF1902" s="6"/>
      <c r="AG1902" s="6"/>
      <c r="AH1902" s="7">
        <v>0</v>
      </c>
      <c r="AI1902" s="4"/>
      <c r="AJ1902" s="4">
        <f>=ROUNDDOWN({0},0)</f>
      </c>
      <c r="AK1902" s="5"/>
      <c r="AL1902" s="2" t="s">
        <v>233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 t="s">
        <v>233</v>
      </c>
      <c r="BD1902" s="8" t="s">
        <v>233</v>
      </c>
      <c r="BE1902" s="4" t="s">
        <v>233</v>
      </c>
      <c r="BF1902" s="8" t="s">
        <v>233</v>
      </c>
      <c r="BG1902" s="7" t="s">
        <v>233</v>
      </c>
      <c r="BH1902" s="7" t="s">
        <v>233</v>
      </c>
      <c r="BI1902" s="7"/>
      <c r="BJ1902" s="4"/>
      <c r="BK1902" s="8"/>
      <c r="BL1902" s="2" t="s">
        <v>233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243</v>
      </c>
      <c r="BV1902" s="2" t="s">
        <v>233</v>
      </c>
      <c r="BW1902" s="2" t="s">
        <v>233</v>
      </c>
      <c r="BX1902" s="2" t="s">
        <v>243</v>
      </c>
      <c r="BY1902" s="2" t="s">
        <v>244</v>
      </c>
      <c r="BZ1902" s="2" t="s">
        <v>245</v>
      </c>
      <c r="CA1902" s="2" t="s">
        <v>233</v>
      </c>
      <c r="CB1902" s="2" t="s">
        <v>233</v>
      </c>
      <c r="CC1902" s="2" t="s">
        <v>246</v>
      </c>
      <c r="CD1902" s="2" t="s">
        <v>233</v>
      </c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>
        <v>80</v>
      </c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  <c r="HG1902" s="4"/>
      <c r="HH1902" s="4"/>
      <c r="HI1902" s="4"/>
      <c r="HJ1902" s="4"/>
      <c r="HK1902" s="4"/>
      <c r="HL1902" s="4"/>
      <c r="HM1902" s="4"/>
      <c r="HN1902" s="4"/>
      <c r="HO1902" s="4"/>
      <c r="HP1902" s="4"/>
      <c r="HQ1902" s="4"/>
      <c r="HR1902" s="4"/>
    </row>
    <row r="1903">
      <c r="A1903" s="2" t="s">
        <v>8758</v>
      </c>
      <c r="B1903" s="2" t="s">
        <v>928</v>
      </c>
      <c r="C1903" s="2" t="s">
        <v>901</v>
      </c>
      <c r="D1903" s="2" t="s">
        <v>961</v>
      </c>
      <c r="E1903" s="2" t="s">
        <v>939</v>
      </c>
      <c r="F1903" s="2" t="s">
        <v>8759</v>
      </c>
      <c r="G1903" s="2" t="s">
        <v>8759</v>
      </c>
      <c r="H1903" s="2" t="s">
        <v>8759</v>
      </c>
      <c r="I1903" s="2" t="s">
        <v>8760</v>
      </c>
      <c r="J1903" s="2" t="s">
        <v>892</v>
      </c>
      <c r="K1903" s="2" t="s">
        <v>645</v>
      </c>
      <c r="L1903" s="3">
        <v>47.61</v>
      </c>
      <c r="M1903" s="3">
        <v>49.99</v>
      </c>
      <c r="N1903" s="3">
        <v>99.99</v>
      </c>
      <c r="O1903" s="2" t="s">
        <v>245</v>
      </c>
      <c r="P1903" s="2" t="s">
        <v>238</v>
      </c>
      <c r="Q1903" s="2" t="s">
        <v>239</v>
      </c>
      <c r="R1903" s="2" t="s">
        <v>233</v>
      </c>
      <c r="S1903" s="2" t="s">
        <v>233</v>
      </c>
      <c r="T1903" s="2" t="s">
        <v>233</v>
      </c>
      <c r="U1903" s="2" t="s">
        <v>491</v>
      </c>
      <c r="V1903" s="2" t="s">
        <v>5532</v>
      </c>
      <c r="W1903" s="2" t="s">
        <v>397</v>
      </c>
      <c r="X1903" s="2" t="s">
        <v>894</v>
      </c>
      <c r="Y1903" s="2" t="s">
        <v>5534</v>
      </c>
      <c r="Z1903" s="4">
        <v>83</v>
      </c>
      <c r="AA1903" s="4">
        <f>=ROUNDDOWN(27.6666666666667,0)</f>
      </c>
      <c r="AB1903" s="5">
        <v>3</v>
      </c>
      <c r="AC1903" s="2" t="s">
        <v>233</v>
      </c>
      <c r="AD1903" s="4"/>
      <c r="AE1903" s="4"/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233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1</v>
      </c>
      <c r="BK1903" s="8">
        <v>49.99</v>
      </c>
      <c r="BL1903" s="2" t="s">
        <v>744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8761</v>
      </c>
      <c r="BV1903" s="2" t="s">
        <v>233</v>
      </c>
      <c r="BW1903" s="2" t="s">
        <v>233</v>
      </c>
      <c r="BX1903" s="2" t="s">
        <v>243</v>
      </c>
      <c r="BY1903" s="2" t="s">
        <v>280</v>
      </c>
      <c r="BZ1903" s="2" t="s">
        <v>245</v>
      </c>
      <c r="CA1903" s="2" t="s">
        <v>1582</v>
      </c>
      <c r="CB1903" s="2" t="s">
        <v>233</v>
      </c>
      <c r="CC1903" s="2" t="s">
        <v>246</v>
      </c>
      <c r="CD1903" s="2" t="s">
        <v>233</v>
      </c>
      <c r="CE1903" s="4"/>
      <c r="CF1903" s="4">
        <v>83</v>
      </c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  <c r="HG1903" s="4"/>
      <c r="HH1903" s="4"/>
      <c r="HI1903" s="4"/>
      <c r="HJ1903" s="4"/>
      <c r="HK1903" s="4"/>
      <c r="HL1903" s="4"/>
      <c r="HM1903" s="4"/>
      <c r="HN1903" s="4"/>
      <c r="HO1903" s="4"/>
      <c r="HP1903" s="4"/>
      <c r="HQ1903" s="4"/>
      <c r="HR1903" s="4"/>
    </row>
    <row r="1904">
      <c r="A1904" s="2" t="s">
        <v>8762</v>
      </c>
      <c r="B1904" s="2" t="s">
        <v>1066</v>
      </c>
      <c r="C1904" s="2" t="s">
        <v>901</v>
      </c>
      <c r="D1904" s="2" t="s">
        <v>1067</v>
      </c>
      <c r="E1904" s="2" t="s">
        <v>1068</v>
      </c>
      <c r="F1904" s="2" t="s">
        <v>8763</v>
      </c>
      <c r="G1904" s="2" t="s">
        <v>8763</v>
      </c>
      <c r="H1904" s="2" t="s">
        <v>8763</v>
      </c>
      <c r="I1904" s="2" t="s">
        <v>8764</v>
      </c>
      <c r="J1904" s="2" t="s">
        <v>892</v>
      </c>
      <c r="K1904" s="2" t="s">
        <v>2358</v>
      </c>
      <c r="L1904" s="3">
        <v>353.78</v>
      </c>
      <c r="M1904" s="3">
        <v>371.47</v>
      </c>
      <c r="N1904" s="3">
        <v>739</v>
      </c>
      <c r="O1904" s="2" t="s">
        <v>245</v>
      </c>
      <c r="P1904" s="2" t="s">
        <v>1118</v>
      </c>
      <c r="Q1904" s="2" t="s">
        <v>233</v>
      </c>
      <c r="R1904" s="2" t="s">
        <v>233</v>
      </c>
      <c r="S1904" s="2" t="s">
        <v>233</v>
      </c>
      <c r="T1904" s="2" t="s">
        <v>233</v>
      </c>
      <c r="U1904" s="2" t="s">
        <v>491</v>
      </c>
      <c r="V1904" s="2" t="s">
        <v>241</v>
      </c>
      <c r="W1904" s="2" t="s">
        <v>894</v>
      </c>
      <c r="X1904" s="2" t="s">
        <v>233</v>
      </c>
      <c r="Y1904" s="2" t="s">
        <v>8765</v>
      </c>
      <c r="Z1904" s="4">
        <v>50</v>
      </c>
      <c r="AA1904" s="4">
        <f>=ROUNDDOWN({0},0)</f>
      </c>
      <c r="AB1904" s="5"/>
      <c r="AC1904" s="2" t="s">
        <v>1601</v>
      </c>
      <c r="AD1904" s="4">
        <v>89</v>
      </c>
      <c r="AE1904" s="4">
        <v>176</v>
      </c>
      <c r="AF1904" s="6"/>
      <c r="AG1904" s="6"/>
      <c r="AH1904" s="7">
        <v>0.1935</v>
      </c>
      <c r="AI1904" s="4"/>
      <c r="AJ1904" s="4">
        <f>=ROUNDDOWN({0},0)</f>
      </c>
      <c r="AK1904" s="5"/>
      <c r="AL1904" s="2" t="s">
        <v>233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233</v>
      </c>
      <c r="BD1904" s="8" t="s">
        <v>233</v>
      </c>
      <c r="BE1904" s="4" t="s">
        <v>233</v>
      </c>
      <c r="BF1904" s="8" t="s">
        <v>233</v>
      </c>
      <c r="BG1904" s="7" t="s">
        <v>233</v>
      </c>
      <c r="BH1904" s="7" t="s">
        <v>233</v>
      </c>
      <c r="BI1904" s="7"/>
      <c r="BJ1904" s="4"/>
      <c r="BK1904" s="8"/>
      <c r="BL1904" s="2" t="s">
        <v>233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243</v>
      </c>
      <c r="BV1904" s="2" t="s">
        <v>233</v>
      </c>
      <c r="BW1904" s="2" t="s">
        <v>233</v>
      </c>
      <c r="BX1904" s="2" t="s">
        <v>243</v>
      </c>
      <c r="BY1904" s="2" t="s">
        <v>244</v>
      </c>
      <c r="BZ1904" s="2" t="s">
        <v>245</v>
      </c>
      <c r="CA1904" s="2" t="s">
        <v>233</v>
      </c>
      <c r="CB1904" s="2" t="s">
        <v>233</v>
      </c>
      <c r="CC1904" s="2" t="s">
        <v>246</v>
      </c>
      <c r="CD1904" s="2" t="s">
        <v>233</v>
      </c>
      <c r="CE1904" s="4"/>
      <c r="CF1904" s="4">
        <v>42</v>
      </c>
      <c r="CG1904" s="4"/>
      <c r="CH1904" s="4"/>
      <c r="CI1904" s="4">
        <v>8</v>
      </c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>
        <v>89</v>
      </c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>
        <v>87</v>
      </c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  <c r="HG1904" s="4"/>
      <c r="HH1904" s="4"/>
      <c r="HI1904" s="4"/>
      <c r="HJ1904" s="4"/>
      <c r="HK1904" s="4"/>
      <c r="HL1904" s="4"/>
      <c r="HM1904" s="4"/>
      <c r="HN1904" s="4"/>
      <c r="HO1904" s="4"/>
      <c r="HP1904" s="4"/>
      <c r="HQ1904" s="4"/>
      <c r="HR1904" s="4"/>
    </row>
    <row r="1905">
      <c r="A1905" s="2" t="s">
        <v>8766</v>
      </c>
      <c r="B1905" s="2" t="s">
        <v>1066</v>
      </c>
      <c r="C1905" s="2" t="s">
        <v>901</v>
      </c>
      <c r="D1905" s="2" t="s">
        <v>1067</v>
      </c>
      <c r="E1905" s="2" t="s">
        <v>1068</v>
      </c>
      <c r="F1905" s="2" t="s">
        <v>8763</v>
      </c>
      <c r="G1905" s="2" t="s">
        <v>8763</v>
      </c>
      <c r="H1905" s="2" t="s">
        <v>233</v>
      </c>
      <c r="I1905" s="2" t="s">
        <v>8764</v>
      </c>
      <c r="J1905" s="2" t="s">
        <v>892</v>
      </c>
      <c r="K1905" s="2" t="s">
        <v>271</v>
      </c>
      <c r="L1905" s="3">
        <v>353.78</v>
      </c>
      <c r="M1905" s="3">
        <v>371.47</v>
      </c>
      <c r="N1905" s="3">
        <v>739</v>
      </c>
      <c r="O1905" s="2" t="s">
        <v>245</v>
      </c>
      <c r="P1905" s="2" t="s">
        <v>1118</v>
      </c>
      <c r="Q1905" s="2" t="s">
        <v>239</v>
      </c>
      <c r="R1905" s="2" t="s">
        <v>16</v>
      </c>
      <c r="S1905" s="2" t="s">
        <v>8767</v>
      </c>
      <c r="T1905" s="2" t="s">
        <v>233</v>
      </c>
      <c r="U1905" s="2" t="s">
        <v>491</v>
      </c>
      <c r="V1905" s="2" t="s">
        <v>241</v>
      </c>
      <c r="W1905" s="2" t="s">
        <v>894</v>
      </c>
      <c r="X1905" s="2" t="s">
        <v>233</v>
      </c>
      <c r="Y1905" s="2" t="s">
        <v>8768</v>
      </c>
      <c r="Z1905" s="4">
        <v>117</v>
      </c>
      <c r="AA1905" s="4">
        <f>=ROUNDDOWN(585,0)</f>
      </c>
      <c r="AB1905" s="5">
        <v>0.2</v>
      </c>
      <c r="AC1905" s="2" t="s">
        <v>8769</v>
      </c>
      <c r="AD1905" s="4">
        <v>53</v>
      </c>
      <c r="AE1905" s="4">
        <v>359</v>
      </c>
      <c r="AF1905" s="6"/>
      <c r="AG1905" s="6"/>
      <c r="AH1905" s="7">
        <v>1</v>
      </c>
      <c r="AI1905" s="4"/>
      <c r="AJ1905" s="4">
        <f>=ROUNDDOWN({0},0)</f>
      </c>
      <c r="AK1905" s="5"/>
      <c r="AL1905" s="2" t="s">
        <v>1492</v>
      </c>
      <c r="AM1905" s="4">
        <v>47</v>
      </c>
      <c r="AN1905" s="4">
        <v>47</v>
      </c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233</v>
      </c>
      <c r="BD1905" s="8" t="s">
        <v>233</v>
      </c>
      <c r="BE1905" s="4" t="s">
        <v>233</v>
      </c>
      <c r="BF1905" s="8" t="s">
        <v>233</v>
      </c>
      <c r="BG1905" s="7" t="s">
        <v>233</v>
      </c>
      <c r="BH1905" s="7" t="s">
        <v>233</v>
      </c>
      <c r="BI1905" s="7"/>
      <c r="BJ1905" s="4"/>
      <c r="BK1905" s="8"/>
      <c r="BL1905" s="2" t="s">
        <v>233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8770</v>
      </c>
      <c r="BV1905" s="2" t="s">
        <v>233</v>
      </c>
      <c r="BW1905" s="2" t="s">
        <v>233</v>
      </c>
      <c r="BX1905" s="2" t="s">
        <v>233</v>
      </c>
      <c r="BY1905" s="2" t="s">
        <v>280</v>
      </c>
      <c r="BZ1905" s="2" t="s">
        <v>245</v>
      </c>
      <c r="CA1905" s="2" t="s">
        <v>3382</v>
      </c>
      <c r="CB1905" s="2" t="s">
        <v>3870</v>
      </c>
      <c r="CC1905" s="2" t="s">
        <v>246</v>
      </c>
      <c r="CD1905" s="2" t="s">
        <v>233</v>
      </c>
      <c r="CE1905" s="4"/>
      <c r="CF1905" s="4">
        <v>116</v>
      </c>
      <c r="CG1905" s="4"/>
      <c r="CH1905" s="4"/>
      <c r="CI1905" s="4">
        <v>1</v>
      </c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>
        <v>53</v>
      </c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>
        <v>87</v>
      </c>
      <c r="EX1905" s="4"/>
      <c r="EY1905" s="4"/>
      <c r="EZ1905" s="4"/>
      <c r="FA1905" s="4"/>
      <c r="FB1905" s="4">
        <v>92</v>
      </c>
      <c r="FC1905" s="4"/>
      <c r="FD1905" s="4"/>
      <c r="FE1905" s="4"/>
      <c r="FF1905" s="4"/>
      <c r="FG1905" s="4">
        <v>87</v>
      </c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>
        <v>40</v>
      </c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  <c r="HG1905" s="4"/>
      <c r="HH1905" s="4"/>
      <c r="HI1905" s="4"/>
      <c r="HJ1905" s="4">
        <v>47</v>
      </c>
      <c r="HK1905" s="4"/>
      <c r="HL1905" s="4"/>
      <c r="HM1905" s="4"/>
      <c r="HN1905" s="4"/>
      <c r="HO1905" s="4"/>
      <c r="HP1905" s="4"/>
      <c r="HQ1905" s="4"/>
      <c r="HR1905" s="4"/>
    </row>
    <row r="1906">
      <c r="A1906" s="2" t="s">
        <v>8771</v>
      </c>
      <c r="B1906" s="2" t="s">
        <v>1066</v>
      </c>
      <c r="C1906" s="2" t="s">
        <v>901</v>
      </c>
      <c r="D1906" s="2" t="s">
        <v>1067</v>
      </c>
      <c r="E1906" s="2" t="s">
        <v>1068</v>
      </c>
      <c r="F1906" s="2" t="s">
        <v>8763</v>
      </c>
      <c r="G1906" s="2" t="s">
        <v>8763</v>
      </c>
      <c r="H1906" s="2" t="s">
        <v>8763</v>
      </c>
      <c r="I1906" s="2" t="s">
        <v>8764</v>
      </c>
      <c r="J1906" s="2" t="s">
        <v>892</v>
      </c>
      <c r="K1906" s="2" t="s">
        <v>773</v>
      </c>
      <c r="L1906" s="3">
        <v>353.78</v>
      </c>
      <c r="M1906" s="3">
        <v>371.47</v>
      </c>
      <c r="N1906" s="3">
        <v>739</v>
      </c>
      <c r="O1906" s="2" t="s">
        <v>245</v>
      </c>
      <c r="P1906" s="2" t="s">
        <v>1118</v>
      </c>
      <c r="Q1906" s="2" t="s">
        <v>233</v>
      </c>
      <c r="R1906" s="2" t="s">
        <v>233</v>
      </c>
      <c r="S1906" s="2" t="s">
        <v>233</v>
      </c>
      <c r="T1906" s="2" t="s">
        <v>233</v>
      </c>
      <c r="U1906" s="2" t="s">
        <v>491</v>
      </c>
      <c r="V1906" s="2" t="s">
        <v>241</v>
      </c>
      <c r="W1906" s="2" t="s">
        <v>894</v>
      </c>
      <c r="X1906" s="2" t="s">
        <v>233</v>
      </c>
      <c r="Y1906" s="2" t="s">
        <v>4679</v>
      </c>
      <c r="Z1906" s="4">
        <v>10</v>
      </c>
      <c r="AA1906" s="4">
        <f>=ROUNDDOWN({0},0)</f>
      </c>
      <c r="AB1906" s="5"/>
      <c r="AC1906" s="2" t="s">
        <v>8769</v>
      </c>
      <c r="AD1906" s="4">
        <v>7</v>
      </c>
      <c r="AE1906" s="4">
        <v>108</v>
      </c>
      <c r="AF1906" s="6"/>
      <c r="AG1906" s="6"/>
      <c r="AH1906" s="7">
        <v>0.1935</v>
      </c>
      <c r="AI1906" s="4"/>
      <c r="AJ1906" s="4">
        <f>=ROUNDDOWN({0},0)</f>
      </c>
      <c r="AK1906" s="5"/>
      <c r="AL1906" s="2" t="s">
        <v>1492</v>
      </c>
      <c r="AM1906" s="4">
        <v>47</v>
      </c>
      <c r="AN1906" s="4">
        <v>59</v>
      </c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 t="s">
        <v>233</v>
      </c>
      <c r="BD1906" s="8" t="s">
        <v>233</v>
      </c>
      <c r="BE1906" s="4" t="s">
        <v>233</v>
      </c>
      <c r="BF1906" s="8" t="s">
        <v>233</v>
      </c>
      <c r="BG1906" s="7" t="s">
        <v>233</v>
      </c>
      <c r="BH1906" s="7" t="s">
        <v>233</v>
      </c>
      <c r="BI1906" s="7"/>
      <c r="BJ1906" s="4"/>
      <c r="BK1906" s="8"/>
      <c r="BL1906" s="2" t="s">
        <v>233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243</v>
      </c>
      <c r="BV1906" s="2" t="s">
        <v>233</v>
      </c>
      <c r="BW1906" s="2" t="s">
        <v>233</v>
      </c>
      <c r="BX1906" s="2" t="s">
        <v>243</v>
      </c>
      <c r="BY1906" s="2" t="s">
        <v>244</v>
      </c>
      <c r="BZ1906" s="2" t="s">
        <v>245</v>
      </c>
      <c r="CA1906" s="2" t="s">
        <v>233</v>
      </c>
      <c r="CB1906" s="2" t="s">
        <v>233</v>
      </c>
      <c r="CC1906" s="2" t="s">
        <v>246</v>
      </c>
      <c r="CD1906" s="2" t="s">
        <v>233</v>
      </c>
      <c r="CE1906" s="4"/>
      <c r="CF1906" s="4">
        <v>10</v>
      </c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>
        <v>7</v>
      </c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>
        <v>14</v>
      </c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>
        <v>34</v>
      </c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>
        <v>53</v>
      </c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  <c r="HG1906" s="4"/>
      <c r="HH1906" s="4"/>
      <c r="HI1906" s="4"/>
      <c r="HJ1906" s="4">
        <v>47</v>
      </c>
      <c r="HK1906" s="4"/>
      <c r="HL1906" s="4"/>
      <c r="HM1906" s="4">
        <v>12</v>
      </c>
      <c r="HN1906" s="4"/>
      <c r="HO1906" s="4"/>
      <c r="HP1906" s="4"/>
      <c r="HQ1906" s="4"/>
      <c r="HR1906" s="4"/>
    </row>
    <row r="1907">
      <c r="A1907" s="2" t="s">
        <v>8772</v>
      </c>
      <c r="B1907" s="2" t="s">
        <v>1414</v>
      </c>
      <c r="C1907" s="2" t="s">
        <v>530</v>
      </c>
      <c r="D1907" s="2" t="s">
        <v>1414</v>
      </c>
      <c r="E1907" s="2" t="s">
        <v>1414</v>
      </c>
      <c r="F1907" s="2" t="s">
        <v>8763</v>
      </c>
      <c r="G1907" s="2" t="s">
        <v>1449</v>
      </c>
      <c r="H1907" s="2" t="s">
        <v>8773</v>
      </c>
      <c r="I1907" s="2" t="s">
        <v>6071</v>
      </c>
      <c r="J1907" s="2" t="s">
        <v>4752</v>
      </c>
      <c r="K1907" s="2" t="s">
        <v>8774</v>
      </c>
      <c r="L1907" s="3">
        <v>32.8</v>
      </c>
      <c r="M1907" s="3">
        <v>34.44</v>
      </c>
      <c r="N1907" s="3">
        <v>74.99</v>
      </c>
      <c r="O1907" s="2" t="s">
        <v>245</v>
      </c>
      <c r="P1907" s="2" t="s">
        <v>311</v>
      </c>
      <c r="Q1907" s="2" t="s">
        <v>239</v>
      </c>
      <c r="R1907" s="2" t="s">
        <v>233</v>
      </c>
      <c r="S1907" s="2" t="s">
        <v>233</v>
      </c>
      <c r="T1907" s="2" t="s">
        <v>233</v>
      </c>
      <c r="U1907" s="2" t="s">
        <v>396</v>
      </c>
      <c r="V1907" s="2" t="s">
        <v>921</v>
      </c>
      <c r="W1907" s="2" t="s">
        <v>397</v>
      </c>
      <c r="X1907" s="2" t="s">
        <v>233</v>
      </c>
      <c r="Y1907" s="2" t="s">
        <v>3075</v>
      </c>
      <c r="Z1907" s="4">
        <v>55</v>
      </c>
      <c r="AA1907" s="4">
        <f>=ROUNDDOWN(183.333333333333,0)</f>
      </c>
      <c r="AB1907" s="5">
        <v>0.3</v>
      </c>
      <c r="AC1907" s="2" t="s">
        <v>233</v>
      </c>
      <c r="AD1907" s="4"/>
      <c r="AE1907" s="4"/>
      <c r="AF1907" s="6">
        <v>63</v>
      </c>
      <c r="AG1907" s="6"/>
      <c r="AH1907" s="7">
        <v>1</v>
      </c>
      <c r="AI1907" s="4"/>
      <c r="AJ1907" s="4">
        <f>=ROUNDDOWN({0},0)</f>
      </c>
      <c r="AK1907" s="5"/>
      <c r="AL1907" s="2" t="s">
        <v>233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 t="s">
        <v>233</v>
      </c>
      <c r="AW1907" s="8" t="s">
        <v>233</v>
      </c>
      <c r="AX1907" s="4" t="s">
        <v>233</v>
      </c>
      <c r="AY1907" s="8" t="s">
        <v>233</v>
      </c>
      <c r="AZ1907" s="7" t="s">
        <v>233</v>
      </c>
      <c r="BA1907" s="7" t="s">
        <v>233</v>
      </c>
      <c r="BB1907" s="7"/>
      <c r="BC1907" s="4" t="s">
        <v>233</v>
      </c>
      <c r="BD1907" s="8" t="s">
        <v>233</v>
      </c>
      <c r="BE1907" s="4" t="s">
        <v>233</v>
      </c>
      <c r="BF1907" s="8" t="s">
        <v>233</v>
      </c>
      <c r="BG1907" s="7" t="s">
        <v>233</v>
      </c>
      <c r="BH1907" s="7" t="s">
        <v>233</v>
      </c>
      <c r="BI1907" s="7"/>
      <c r="BJ1907" s="4"/>
      <c r="BK1907" s="8"/>
      <c r="BL1907" s="2" t="s">
        <v>3677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8775</v>
      </c>
      <c r="BV1907" s="2" t="s">
        <v>233</v>
      </c>
      <c r="BW1907" s="2" t="s">
        <v>233</v>
      </c>
      <c r="BX1907" s="2" t="s">
        <v>233</v>
      </c>
      <c r="BY1907" s="2" t="s">
        <v>280</v>
      </c>
      <c r="BZ1907" s="2" t="s">
        <v>245</v>
      </c>
      <c r="CA1907" s="2" t="s">
        <v>6073</v>
      </c>
      <c r="CB1907" s="2" t="s">
        <v>233</v>
      </c>
      <c r="CC1907" s="2" t="s">
        <v>246</v>
      </c>
      <c r="CD1907" s="2" t="s">
        <v>233</v>
      </c>
      <c r="CE1907" s="4"/>
      <c r="CF1907" s="4">
        <v>55</v>
      </c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  <c r="HG1907" s="4"/>
      <c r="HH1907" s="4"/>
      <c r="HI1907" s="4"/>
      <c r="HJ1907" s="4"/>
      <c r="HK1907" s="4"/>
      <c r="HL1907" s="4"/>
      <c r="HM1907" s="4"/>
      <c r="HN1907" s="4"/>
      <c r="HO1907" s="4"/>
      <c r="HP1907" s="4"/>
      <c r="HQ1907" s="4"/>
      <c r="HR1907" s="4"/>
    </row>
    <row r="1908">
      <c r="A1908" s="2" t="s">
        <v>8776</v>
      </c>
      <c r="B1908" s="2" t="s">
        <v>1414</v>
      </c>
      <c r="C1908" s="2" t="s">
        <v>530</v>
      </c>
      <c r="D1908" s="2" t="s">
        <v>1414</v>
      </c>
      <c r="E1908" s="2" t="s">
        <v>1414</v>
      </c>
      <c r="F1908" s="2" t="s">
        <v>8763</v>
      </c>
      <c r="G1908" s="2" t="s">
        <v>1449</v>
      </c>
      <c r="H1908" s="2" t="s">
        <v>8773</v>
      </c>
      <c r="I1908" s="2" t="s">
        <v>6071</v>
      </c>
      <c r="J1908" s="2" t="s">
        <v>1418</v>
      </c>
      <c r="K1908" s="2" t="s">
        <v>8774</v>
      </c>
      <c r="L1908" s="3">
        <v>57.32</v>
      </c>
      <c r="M1908" s="3">
        <v>60.19</v>
      </c>
      <c r="N1908" s="3">
        <v>129.99</v>
      </c>
      <c r="O1908" s="2" t="s">
        <v>245</v>
      </c>
      <c r="P1908" s="2" t="s">
        <v>311</v>
      </c>
      <c r="Q1908" s="2" t="s">
        <v>239</v>
      </c>
      <c r="R1908" s="2" t="s">
        <v>233</v>
      </c>
      <c r="S1908" s="2" t="s">
        <v>233</v>
      </c>
      <c r="T1908" s="2" t="s">
        <v>233</v>
      </c>
      <c r="U1908" s="2" t="s">
        <v>396</v>
      </c>
      <c r="V1908" s="2" t="s">
        <v>921</v>
      </c>
      <c r="W1908" s="2" t="s">
        <v>776</v>
      </c>
      <c r="X1908" s="2" t="s">
        <v>233</v>
      </c>
      <c r="Y1908" s="2" t="s">
        <v>4756</v>
      </c>
      <c r="Z1908" s="4">
        <v>31</v>
      </c>
      <c r="AA1908" s="4">
        <f>=ROUNDDOWN({0},0)</f>
      </c>
      <c r="AB1908" s="5"/>
      <c r="AC1908" s="2" t="s">
        <v>233</v>
      </c>
      <c r="AD1908" s="4"/>
      <c r="AE1908" s="4"/>
      <c r="AF1908" s="6">
        <v>63</v>
      </c>
      <c r="AG1908" s="6"/>
      <c r="AH1908" s="7">
        <v>1</v>
      </c>
      <c r="AI1908" s="4"/>
      <c r="AJ1908" s="4">
        <f>=ROUNDDOWN({0},0)</f>
      </c>
      <c r="AK1908" s="5"/>
      <c r="AL1908" s="2" t="s">
        <v>233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 t="s">
        <v>233</v>
      </c>
      <c r="AW1908" s="8" t="s">
        <v>233</v>
      </c>
      <c r="AX1908" s="4" t="s">
        <v>233</v>
      </c>
      <c r="AY1908" s="8" t="s">
        <v>233</v>
      </c>
      <c r="AZ1908" s="7" t="s">
        <v>233</v>
      </c>
      <c r="BA1908" s="7" t="s">
        <v>233</v>
      </c>
      <c r="BB1908" s="7"/>
      <c r="BC1908" s="4" t="s">
        <v>233</v>
      </c>
      <c r="BD1908" s="8" t="s">
        <v>233</v>
      </c>
      <c r="BE1908" s="4" t="s">
        <v>233</v>
      </c>
      <c r="BF1908" s="8" t="s">
        <v>233</v>
      </c>
      <c r="BG1908" s="7" t="s">
        <v>233</v>
      </c>
      <c r="BH1908" s="7" t="s">
        <v>233</v>
      </c>
      <c r="BI1908" s="7"/>
      <c r="BJ1908" s="4"/>
      <c r="BK1908" s="8"/>
      <c r="BL1908" s="2" t="s">
        <v>8777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8778</v>
      </c>
      <c r="BV1908" s="2" t="s">
        <v>233</v>
      </c>
      <c r="BW1908" s="2" t="s">
        <v>233</v>
      </c>
      <c r="BX1908" s="2" t="s">
        <v>233</v>
      </c>
      <c r="BY1908" s="2" t="s">
        <v>280</v>
      </c>
      <c r="BZ1908" s="2" t="s">
        <v>245</v>
      </c>
      <c r="CA1908" s="2" t="s">
        <v>4759</v>
      </c>
      <c r="CB1908" s="2" t="s">
        <v>8779</v>
      </c>
      <c r="CC1908" s="2" t="s">
        <v>246</v>
      </c>
      <c r="CD1908" s="2" t="s">
        <v>233</v>
      </c>
      <c r="CE1908" s="4"/>
      <c r="CF1908" s="4">
        <v>31</v>
      </c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  <c r="HF1908" s="4"/>
      <c r="HG1908" s="4"/>
      <c r="HH1908" s="4"/>
      <c r="HI1908" s="4"/>
      <c r="HJ1908" s="4"/>
      <c r="HK1908" s="4"/>
      <c r="HL1908" s="4"/>
      <c r="HM1908" s="4"/>
      <c r="HN1908" s="4"/>
      <c r="HO1908" s="4"/>
      <c r="HP1908" s="4"/>
      <c r="HQ1908" s="4"/>
      <c r="HR1908" s="4"/>
    </row>
    <row r="1909">
      <c r="A1909" s="2" t="s">
        <v>8780</v>
      </c>
      <c r="B1909" s="2" t="s">
        <v>1066</v>
      </c>
      <c r="C1909" s="2" t="s">
        <v>901</v>
      </c>
      <c r="D1909" s="2" t="s">
        <v>1067</v>
      </c>
      <c r="E1909" s="2" t="s">
        <v>1068</v>
      </c>
      <c r="F1909" s="2" t="s">
        <v>8763</v>
      </c>
      <c r="G1909" s="2" t="s">
        <v>8763</v>
      </c>
      <c r="H1909" s="2" t="s">
        <v>8763</v>
      </c>
      <c r="I1909" s="2" t="s">
        <v>8764</v>
      </c>
      <c r="J1909" s="2" t="s">
        <v>892</v>
      </c>
      <c r="K1909" s="2" t="s">
        <v>1938</v>
      </c>
      <c r="L1909" s="3">
        <v>353.78</v>
      </c>
      <c r="M1909" s="3">
        <v>371.47</v>
      </c>
      <c r="N1909" s="3">
        <v>739</v>
      </c>
      <c r="O1909" s="2" t="s">
        <v>245</v>
      </c>
      <c r="P1909" s="2" t="s">
        <v>1118</v>
      </c>
      <c r="Q1909" s="2" t="s">
        <v>233</v>
      </c>
      <c r="R1909" s="2" t="s">
        <v>233</v>
      </c>
      <c r="S1909" s="2" t="s">
        <v>233</v>
      </c>
      <c r="T1909" s="2" t="s">
        <v>233</v>
      </c>
      <c r="U1909" s="2" t="s">
        <v>491</v>
      </c>
      <c r="V1909" s="2" t="s">
        <v>241</v>
      </c>
      <c r="W1909" s="2" t="s">
        <v>894</v>
      </c>
      <c r="X1909" s="2" t="s">
        <v>233</v>
      </c>
      <c r="Y1909" s="2" t="s">
        <v>4136</v>
      </c>
      <c r="Z1909" s="4">
        <v>38</v>
      </c>
      <c r="AA1909" s="4">
        <f>=ROUNDDOWN({0},0)</f>
      </c>
      <c r="AB1909" s="5"/>
      <c r="AC1909" s="2" t="s">
        <v>8769</v>
      </c>
      <c r="AD1909" s="4">
        <v>48</v>
      </c>
      <c r="AE1909" s="4">
        <v>68</v>
      </c>
      <c r="AF1909" s="6"/>
      <c r="AG1909" s="6"/>
      <c r="AH1909" s="7">
        <v>0.1935</v>
      </c>
      <c r="AI1909" s="4"/>
      <c r="AJ1909" s="4">
        <f>=ROUNDDOWN({0},0)</f>
      </c>
      <c r="AK1909" s="5"/>
      <c r="AL1909" s="2" t="s">
        <v>1492</v>
      </c>
      <c r="AM1909" s="4">
        <v>23</v>
      </c>
      <c r="AN1909" s="4">
        <v>23</v>
      </c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233</v>
      </c>
      <c r="BD1909" s="8" t="s">
        <v>233</v>
      </c>
      <c r="BE1909" s="4" t="s">
        <v>233</v>
      </c>
      <c r="BF1909" s="8" t="s">
        <v>233</v>
      </c>
      <c r="BG1909" s="7" t="s">
        <v>233</v>
      </c>
      <c r="BH1909" s="7" t="s">
        <v>233</v>
      </c>
      <c r="BI1909" s="7"/>
      <c r="BJ1909" s="4"/>
      <c r="BK1909" s="8"/>
      <c r="BL1909" s="2" t="s">
        <v>233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243</v>
      </c>
      <c r="BV1909" s="2" t="s">
        <v>233</v>
      </c>
      <c r="BW1909" s="2" t="s">
        <v>233</v>
      </c>
      <c r="BX1909" s="2" t="s">
        <v>243</v>
      </c>
      <c r="BY1909" s="2" t="s">
        <v>244</v>
      </c>
      <c r="BZ1909" s="2" t="s">
        <v>245</v>
      </c>
      <c r="CA1909" s="2" t="s">
        <v>233</v>
      </c>
      <c r="CB1909" s="2" t="s">
        <v>233</v>
      </c>
      <c r="CC1909" s="2" t="s">
        <v>246</v>
      </c>
      <c r="CD1909" s="2" t="s">
        <v>233</v>
      </c>
      <c r="CE1909" s="4"/>
      <c r="CF1909" s="4">
        <v>38</v>
      </c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>
        <v>48</v>
      </c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>
        <v>20</v>
      </c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  <c r="HF1909" s="4"/>
      <c r="HG1909" s="4"/>
      <c r="HH1909" s="4"/>
      <c r="HI1909" s="4"/>
      <c r="HJ1909" s="4">
        <v>23</v>
      </c>
      <c r="HK1909" s="4"/>
      <c r="HL1909" s="4"/>
      <c r="HM1909" s="4"/>
      <c r="HN1909" s="4"/>
      <c r="HO1909" s="4"/>
      <c r="HP1909" s="4"/>
      <c r="HQ1909" s="4"/>
      <c r="HR1909" s="4"/>
    </row>
    <row r="1910">
      <c r="A1910" s="2" t="s">
        <v>8781</v>
      </c>
      <c r="B1910" s="2" t="s">
        <v>1066</v>
      </c>
      <c r="C1910" s="2" t="s">
        <v>901</v>
      </c>
      <c r="D1910" s="2" t="s">
        <v>1067</v>
      </c>
      <c r="E1910" s="2" t="s">
        <v>1068</v>
      </c>
      <c r="F1910" s="2" t="s">
        <v>8763</v>
      </c>
      <c r="G1910" s="2" t="s">
        <v>8763</v>
      </c>
      <c r="H1910" s="2" t="s">
        <v>8763</v>
      </c>
      <c r="I1910" s="2" t="s">
        <v>8764</v>
      </c>
      <c r="J1910" s="2" t="s">
        <v>892</v>
      </c>
      <c r="K1910" s="2" t="s">
        <v>853</v>
      </c>
      <c r="L1910" s="3">
        <v>353.78</v>
      </c>
      <c r="M1910" s="3">
        <v>371.47</v>
      </c>
      <c r="N1910" s="3">
        <v>739</v>
      </c>
      <c r="O1910" s="2" t="s">
        <v>245</v>
      </c>
      <c r="P1910" s="2" t="s">
        <v>1118</v>
      </c>
      <c r="Q1910" s="2" t="s">
        <v>233</v>
      </c>
      <c r="R1910" s="2" t="s">
        <v>233</v>
      </c>
      <c r="S1910" s="2" t="s">
        <v>233</v>
      </c>
      <c r="T1910" s="2" t="s">
        <v>233</v>
      </c>
      <c r="U1910" s="2" t="s">
        <v>491</v>
      </c>
      <c r="V1910" s="2" t="s">
        <v>241</v>
      </c>
      <c r="W1910" s="2" t="s">
        <v>894</v>
      </c>
      <c r="X1910" s="2" t="s">
        <v>233</v>
      </c>
      <c r="Y1910" s="2" t="s">
        <v>4679</v>
      </c>
      <c r="Z1910" s="4">
        <v>33</v>
      </c>
      <c r="AA1910" s="4">
        <f>=ROUNDDOWN({0},0)</f>
      </c>
      <c r="AB1910" s="5"/>
      <c r="AC1910" s="2" t="s">
        <v>8769</v>
      </c>
      <c r="AD1910" s="4">
        <v>10</v>
      </c>
      <c r="AE1910" s="4">
        <v>83</v>
      </c>
      <c r="AF1910" s="6"/>
      <c r="AG1910" s="6"/>
      <c r="AH1910" s="7">
        <v>0.1935</v>
      </c>
      <c r="AI1910" s="4"/>
      <c r="AJ1910" s="4">
        <f>=ROUNDDOWN({0},0)</f>
      </c>
      <c r="AK1910" s="5"/>
      <c r="AL1910" s="2" t="s">
        <v>1492</v>
      </c>
      <c r="AM1910" s="4">
        <v>27</v>
      </c>
      <c r="AN1910" s="4">
        <v>57</v>
      </c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233</v>
      </c>
      <c r="BD1910" s="8" t="s">
        <v>233</v>
      </c>
      <c r="BE1910" s="4" t="s">
        <v>233</v>
      </c>
      <c r="BF1910" s="8" t="s">
        <v>233</v>
      </c>
      <c r="BG1910" s="7" t="s">
        <v>233</v>
      </c>
      <c r="BH1910" s="7" t="s">
        <v>233</v>
      </c>
      <c r="BI1910" s="7"/>
      <c r="BJ1910" s="4"/>
      <c r="BK1910" s="8"/>
      <c r="BL1910" s="2" t="s">
        <v>233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243</v>
      </c>
      <c r="BV1910" s="2" t="s">
        <v>233</v>
      </c>
      <c r="BW1910" s="2" t="s">
        <v>233</v>
      </c>
      <c r="BX1910" s="2" t="s">
        <v>243</v>
      </c>
      <c r="BY1910" s="2" t="s">
        <v>244</v>
      </c>
      <c r="BZ1910" s="2" t="s">
        <v>245</v>
      </c>
      <c r="CA1910" s="2" t="s">
        <v>233</v>
      </c>
      <c r="CB1910" s="2" t="s">
        <v>233</v>
      </c>
      <c r="CC1910" s="2" t="s">
        <v>246</v>
      </c>
      <c r="CD1910" s="2" t="s">
        <v>233</v>
      </c>
      <c r="CE1910" s="4"/>
      <c r="CF1910" s="4">
        <v>33</v>
      </c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>
        <v>10</v>
      </c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>
        <v>73</v>
      </c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  <c r="HF1910" s="4"/>
      <c r="HG1910" s="4"/>
      <c r="HH1910" s="4"/>
      <c r="HI1910" s="4"/>
      <c r="HJ1910" s="4">
        <v>27</v>
      </c>
      <c r="HK1910" s="4"/>
      <c r="HL1910" s="4"/>
      <c r="HM1910" s="4">
        <v>30</v>
      </c>
      <c r="HN1910" s="4"/>
      <c r="HO1910" s="4"/>
      <c r="HP1910" s="4"/>
      <c r="HQ1910" s="4"/>
      <c r="HR1910" s="4"/>
    </row>
    <row r="1911">
      <c r="A1911" s="2" t="s">
        <v>8782</v>
      </c>
      <c r="B1911" s="2" t="s">
        <v>1414</v>
      </c>
      <c r="C1911" s="2" t="s">
        <v>530</v>
      </c>
      <c r="D1911" s="2" t="s">
        <v>1414</v>
      </c>
      <c r="E1911" s="2" t="s">
        <v>1414</v>
      </c>
      <c r="F1911" s="2" t="s">
        <v>8763</v>
      </c>
      <c r="G1911" s="2" t="s">
        <v>1449</v>
      </c>
      <c r="H1911" s="2" t="s">
        <v>8773</v>
      </c>
      <c r="I1911" s="2" t="s">
        <v>6071</v>
      </c>
      <c r="J1911" s="2" t="s">
        <v>1426</v>
      </c>
      <c r="K1911" s="2" t="s">
        <v>950</v>
      </c>
      <c r="L1911" s="3">
        <v>93.71</v>
      </c>
      <c r="M1911" s="3">
        <v>98.4</v>
      </c>
      <c r="N1911" s="3">
        <v>209.99</v>
      </c>
      <c r="O1911" s="2" t="s">
        <v>245</v>
      </c>
      <c r="P1911" s="2" t="s">
        <v>311</v>
      </c>
      <c r="Q1911" s="2" t="s">
        <v>239</v>
      </c>
      <c r="R1911" s="2" t="s">
        <v>233</v>
      </c>
      <c r="S1911" s="2" t="s">
        <v>233</v>
      </c>
      <c r="T1911" s="2" t="s">
        <v>233</v>
      </c>
      <c r="U1911" s="2" t="s">
        <v>396</v>
      </c>
      <c r="V1911" s="2" t="s">
        <v>921</v>
      </c>
      <c r="W1911" s="2" t="s">
        <v>397</v>
      </c>
      <c r="X1911" s="2" t="s">
        <v>233</v>
      </c>
      <c r="Y1911" s="2" t="s">
        <v>5867</v>
      </c>
      <c r="Z1911" s="4">
        <v>80</v>
      </c>
      <c r="AA1911" s="4">
        <f>=ROUNDDOWN(200,0)</f>
      </c>
      <c r="AB1911" s="5">
        <v>0.4</v>
      </c>
      <c r="AC1911" s="2" t="s">
        <v>233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233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 t="s">
        <v>233</v>
      </c>
      <c r="AW1911" s="8" t="s">
        <v>233</v>
      </c>
      <c r="AX1911" s="4" t="s">
        <v>233</v>
      </c>
      <c r="AY1911" s="8" t="s">
        <v>233</v>
      </c>
      <c r="AZ1911" s="7" t="s">
        <v>233</v>
      </c>
      <c r="BA1911" s="7" t="s">
        <v>233</v>
      </c>
      <c r="BB1911" s="7"/>
      <c r="BC1911" s="4" t="s">
        <v>233</v>
      </c>
      <c r="BD1911" s="8" t="s">
        <v>233</v>
      </c>
      <c r="BE1911" s="4" t="s">
        <v>233</v>
      </c>
      <c r="BF1911" s="8" t="s">
        <v>233</v>
      </c>
      <c r="BG1911" s="7" t="s">
        <v>233</v>
      </c>
      <c r="BH1911" s="7" t="s">
        <v>233</v>
      </c>
      <c r="BI1911" s="7"/>
      <c r="BJ1911" s="4">
        <v>2</v>
      </c>
      <c r="BK1911" s="8">
        <v>180.46</v>
      </c>
      <c r="BL1911" s="2" t="s">
        <v>8783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8784</v>
      </c>
      <c r="BV1911" s="2" t="s">
        <v>233</v>
      </c>
      <c r="BW1911" s="2" t="s">
        <v>233</v>
      </c>
      <c r="BX1911" s="2" t="s">
        <v>233</v>
      </c>
      <c r="BY1911" s="2" t="s">
        <v>280</v>
      </c>
      <c r="BZ1911" s="2" t="s">
        <v>245</v>
      </c>
      <c r="CA1911" s="2" t="s">
        <v>1429</v>
      </c>
      <c r="CB1911" s="2" t="s">
        <v>812</v>
      </c>
      <c r="CC1911" s="2" t="s">
        <v>246</v>
      </c>
      <c r="CD1911" s="2" t="s">
        <v>233</v>
      </c>
      <c r="CE1911" s="4"/>
      <c r="CF1911" s="4">
        <v>80</v>
      </c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  <c r="GQ1911" s="4"/>
      <c r="GR1911" s="4"/>
      <c r="GS1911" s="4"/>
      <c r="GT1911" s="4"/>
      <c r="GU1911" s="4"/>
      <c r="GV1911" s="4"/>
      <c r="GW1911" s="4"/>
      <c r="GX1911" s="4"/>
      <c r="GY1911" s="4"/>
      <c r="GZ1911" s="4"/>
      <c r="HA1911" s="4"/>
      <c r="HB1911" s="4"/>
      <c r="HC1911" s="4"/>
      <c r="HD1911" s="4"/>
      <c r="HE1911" s="4"/>
      <c r="HF1911" s="4"/>
      <c r="HG1911" s="4"/>
      <c r="HH1911" s="4"/>
      <c r="HI1911" s="4"/>
      <c r="HJ1911" s="4"/>
      <c r="HK1911" s="4"/>
      <c r="HL1911" s="4"/>
      <c r="HM1911" s="4"/>
      <c r="HN1911" s="4"/>
      <c r="HO1911" s="4"/>
      <c r="HP1911" s="4"/>
      <c r="HQ1911" s="4"/>
      <c r="HR1911" s="4"/>
    </row>
    <row r="1912">
      <c r="A1912" s="2" t="s">
        <v>8785</v>
      </c>
      <c r="B1912" s="2" t="s">
        <v>1414</v>
      </c>
      <c r="C1912" s="2" t="s">
        <v>530</v>
      </c>
      <c r="D1912" s="2" t="s">
        <v>1414</v>
      </c>
      <c r="E1912" s="2" t="s">
        <v>1414</v>
      </c>
      <c r="F1912" s="2" t="s">
        <v>8763</v>
      </c>
      <c r="G1912" s="2" t="s">
        <v>1449</v>
      </c>
      <c r="H1912" s="2" t="s">
        <v>8773</v>
      </c>
      <c r="I1912" s="2" t="s">
        <v>6071</v>
      </c>
      <c r="J1912" s="2" t="s">
        <v>1808</v>
      </c>
      <c r="K1912" s="2" t="s">
        <v>950</v>
      </c>
      <c r="L1912" s="3">
        <v>124.04</v>
      </c>
      <c r="M1912" s="3">
        <v>130.24</v>
      </c>
      <c r="N1912" s="3">
        <v>279.99</v>
      </c>
      <c r="O1912" s="2" t="s">
        <v>245</v>
      </c>
      <c r="P1912" s="2" t="s">
        <v>311</v>
      </c>
      <c r="Q1912" s="2" t="s">
        <v>239</v>
      </c>
      <c r="R1912" s="2" t="s">
        <v>233</v>
      </c>
      <c r="S1912" s="2" t="s">
        <v>233</v>
      </c>
      <c r="T1912" s="2" t="s">
        <v>233</v>
      </c>
      <c r="U1912" s="2" t="s">
        <v>396</v>
      </c>
      <c r="V1912" s="2" t="s">
        <v>921</v>
      </c>
      <c r="W1912" s="2" t="s">
        <v>397</v>
      </c>
      <c r="X1912" s="2" t="s">
        <v>233</v>
      </c>
      <c r="Y1912" s="2" t="s">
        <v>5867</v>
      </c>
      <c r="Z1912" s="4">
        <v>73</v>
      </c>
      <c r="AA1912" s="4">
        <f>=ROUNDDOWN(20.8571428571429,0)</f>
      </c>
      <c r="AB1912" s="5">
        <v>3.5</v>
      </c>
      <c r="AC1912" s="2" t="s">
        <v>233</v>
      </c>
      <c r="AD1912" s="4"/>
      <c r="AE1912" s="4"/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233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 t="s">
        <v>233</v>
      </c>
      <c r="AW1912" s="8" t="s">
        <v>233</v>
      </c>
      <c r="AX1912" s="4" t="s">
        <v>233</v>
      </c>
      <c r="AY1912" s="8" t="s">
        <v>233</v>
      </c>
      <c r="AZ1912" s="7" t="s">
        <v>233</v>
      </c>
      <c r="BA1912" s="7" t="s">
        <v>233</v>
      </c>
      <c r="BB1912" s="7"/>
      <c r="BC1912" s="4" t="s">
        <v>233</v>
      </c>
      <c r="BD1912" s="8" t="s">
        <v>233</v>
      </c>
      <c r="BE1912" s="4" t="s">
        <v>233</v>
      </c>
      <c r="BF1912" s="8" t="s">
        <v>233</v>
      </c>
      <c r="BG1912" s="7" t="s">
        <v>233</v>
      </c>
      <c r="BH1912" s="7" t="s">
        <v>233</v>
      </c>
      <c r="BI1912" s="7"/>
      <c r="BJ1912" s="4">
        <v>15</v>
      </c>
      <c r="BK1912" s="8">
        <v>1299.18</v>
      </c>
      <c r="BL1912" s="2" t="s">
        <v>8786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8787</v>
      </c>
      <c r="BV1912" s="2" t="s">
        <v>233</v>
      </c>
      <c r="BW1912" s="2" t="s">
        <v>233</v>
      </c>
      <c r="BX1912" s="2" t="s">
        <v>233</v>
      </c>
      <c r="BY1912" s="2" t="s">
        <v>280</v>
      </c>
      <c r="BZ1912" s="2" t="s">
        <v>245</v>
      </c>
      <c r="CA1912" s="2" t="s">
        <v>1429</v>
      </c>
      <c r="CB1912" s="2" t="s">
        <v>8788</v>
      </c>
      <c r="CC1912" s="2" t="s">
        <v>246</v>
      </c>
      <c r="CD1912" s="2" t="s">
        <v>233</v>
      </c>
      <c r="CE1912" s="4"/>
      <c r="CF1912" s="4">
        <v>73</v>
      </c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  <c r="HF1912" s="4"/>
      <c r="HG1912" s="4"/>
      <c r="HH1912" s="4"/>
      <c r="HI1912" s="4"/>
      <c r="HJ1912" s="4"/>
      <c r="HK1912" s="4"/>
      <c r="HL1912" s="4"/>
      <c r="HM1912" s="4"/>
      <c r="HN1912" s="4"/>
      <c r="HO1912" s="4"/>
      <c r="HP1912" s="4"/>
      <c r="HQ1912" s="4"/>
      <c r="HR1912" s="4"/>
    </row>
    <row r="1913">
      <c r="A1913" s="2" t="s">
        <v>8789</v>
      </c>
      <c r="B1913" s="2" t="s">
        <v>1066</v>
      </c>
      <c r="C1913" s="2" t="s">
        <v>901</v>
      </c>
      <c r="D1913" s="2" t="s">
        <v>1067</v>
      </c>
      <c r="E1913" s="2" t="s">
        <v>1068</v>
      </c>
      <c r="F1913" s="2" t="s">
        <v>8763</v>
      </c>
      <c r="G1913" s="2" t="s">
        <v>8763</v>
      </c>
      <c r="H1913" s="2" t="s">
        <v>8763</v>
      </c>
      <c r="I1913" s="2" t="s">
        <v>8764</v>
      </c>
      <c r="J1913" s="2" t="s">
        <v>892</v>
      </c>
      <c r="K1913" s="2" t="s">
        <v>8790</v>
      </c>
      <c r="L1913" s="3">
        <v>353.78</v>
      </c>
      <c r="M1913" s="3">
        <v>371.47</v>
      </c>
      <c r="N1913" s="3">
        <v>739</v>
      </c>
      <c r="O1913" s="2" t="s">
        <v>245</v>
      </c>
      <c r="P1913" s="2" t="s">
        <v>1118</v>
      </c>
      <c r="Q1913" s="2" t="s">
        <v>233</v>
      </c>
      <c r="R1913" s="2" t="s">
        <v>233</v>
      </c>
      <c r="S1913" s="2" t="s">
        <v>8791</v>
      </c>
      <c r="T1913" s="2" t="s">
        <v>395</v>
      </c>
      <c r="U1913" s="2" t="s">
        <v>491</v>
      </c>
      <c r="V1913" s="2" t="s">
        <v>241</v>
      </c>
      <c r="W1913" s="2" t="s">
        <v>894</v>
      </c>
      <c r="X1913" s="2" t="s">
        <v>233</v>
      </c>
      <c r="Y1913" s="2" t="s">
        <v>276</v>
      </c>
      <c r="Z1913" s="4">
        <v>128</v>
      </c>
      <c r="AA1913" s="4">
        <f>=ROUNDDOWN({0},0)</f>
      </c>
      <c r="AB1913" s="5"/>
      <c r="AC1913" s="2" t="s">
        <v>8769</v>
      </c>
      <c r="AD1913" s="4">
        <v>37</v>
      </c>
      <c r="AE1913" s="4">
        <v>153</v>
      </c>
      <c r="AF1913" s="6"/>
      <c r="AG1913" s="6"/>
      <c r="AH1913" s="7">
        <v>0.1935</v>
      </c>
      <c r="AI1913" s="4"/>
      <c r="AJ1913" s="4">
        <f>=ROUNDDOWN({0},0)</f>
      </c>
      <c r="AK1913" s="5"/>
      <c r="AL1913" s="2" t="s">
        <v>233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233</v>
      </c>
      <c r="BD1913" s="8" t="s">
        <v>233</v>
      </c>
      <c r="BE1913" s="4" t="s">
        <v>233</v>
      </c>
      <c r="BF1913" s="8" t="s">
        <v>233</v>
      </c>
      <c r="BG1913" s="7" t="s">
        <v>233</v>
      </c>
      <c r="BH1913" s="7" t="s">
        <v>233</v>
      </c>
      <c r="BI1913" s="7"/>
      <c r="BJ1913" s="4"/>
      <c r="BK1913" s="8"/>
      <c r="BL1913" s="2" t="s">
        <v>233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243</v>
      </c>
      <c r="BV1913" s="2" t="s">
        <v>233</v>
      </c>
      <c r="BW1913" s="2" t="s">
        <v>233</v>
      </c>
      <c r="BX1913" s="2" t="s">
        <v>243</v>
      </c>
      <c r="BY1913" s="2" t="s">
        <v>244</v>
      </c>
      <c r="BZ1913" s="2" t="s">
        <v>245</v>
      </c>
      <c r="CA1913" s="2" t="s">
        <v>233</v>
      </c>
      <c r="CB1913" s="2" t="s">
        <v>233</v>
      </c>
      <c r="CC1913" s="2" t="s">
        <v>246</v>
      </c>
      <c r="CD1913" s="2" t="s">
        <v>233</v>
      </c>
      <c r="CE1913" s="4"/>
      <c r="CF1913" s="4">
        <v>120</v>
      </c>
      <c r="CG1913" s="4"/>
      <c r="CH1913" s="4"/>
      <c r="CI1913" s="4">
        <v>8</v>
      </c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>
        <v>37</v>
      </c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>
        <v>116</v>
      </c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  <c r="HF1913" s="4"/>
      <c r="HG1913" s="4"/>
      <c r="HH1913" s="4"/>
      <c r="HI1913" s="4"/>
      <c r="HJ1913" s="4"/>
      <c r="HK1913" s="4"/>
      <c r="HL1913" s="4"/>
      <c r="HM1913" s="4"/>
      <c r="HN1913" s="4"/>
      <c r="HO1913" s="4"/>
      <c r="HP1913" s="4"/>
      <c r="HQ1913" s="4"/>
      <c r="HR1913" s="4"/>
    </row>
    <row r="1914">
      <c r="A1914" s="2" t="s">
        <v>8792</v>
      </c>
      <c r="B1914" s="2" t="s">
        <v>1066</v>
      </c>
      <c r="C1914" s="2" t="s">
        <v>901</v>
      </c>
      <c r="D1914" s="2" t="s">
        <v>1067</v>
      </c>
      <c r="E1914" s="2" t="s">
        <v>1068</v>
      </c>
      <c r="F1914" s="2" t="s">
        <v>8763</v>
      </c>
      <c r="G1914" s="2" t="s">
        <v>8763</v>
      </c>
      <c r="H1914" s="2" t="s">
        <v>8763</v>
      </c>
      <c r="I1914" s="2" t="s">
        <v>8764</v>
      </c>
      <c r="J1914" s="2" t="s">
        <v>892</v>
      </c>
      <c r="K1914" s="2" t="s">
        <v>1117</v>
      </c>
      <c r="L1914" s="3">
        <v>353.78</v>
      </c>
      <c r="M1914" s="3">
        <v>371.47</v>
      </c>
      <c r="N1914" s="3">
        <v>739</v>
      </c>
      <c r="O1914" s="2" t="s">
        <v>245</v>
      </c>
      <c r="P1914" s="2" t="s">
        <v>1118</v>
      </c>
      <c r="Q1914" s="2" t="s">
        <v>233</v>
      </c>
      <c r="R1914" s="2" t="s">
        <v>233</v>
      </c>
      <c r="S1914" s="2" t="s">
        <v>233</v>
      </c>
      <c r="T1914" s="2" t="s">
        <v>233</v>
      </c>
      <c r="U1914" s="2" t="s">
        <v>491</v>
      </c>
      <c r="V1914" s="2" t="s">
        <v>241</v>
      </c>
      <c r="W1914" s="2" t="s">
        <v>894</v>
      </c>
      <c r="X1914" s="2" t="s">
        <v>233</v>
      </c>
      <c r="Y1914" s="2" t="s">
        <v>5502</v>
      </c>
      <c r="Z1914" s="4">
        <v>94</v>
      </c>
      <c r="AA1914" s="4">
        <f>=ROUNDDOWN({0},0)</f>
      </c>
      <c r="AB1914" s="5"/>
      <c r="AC1914" s="2" t="s">
        <v>8769</v>
      </c>
      <c r="AD1914" s="4">
        <v>33</v>
      </c>
      <c r="AE1914" s="4">
        <v>51</v>
      </c>
      <c r="AF1914" s="6"/>
      <c r="AG1914" s="6"/>
      <c r="AH1914" s="7">
        <v>0.1935</v>
      </c>
      <c r="AI1914" s="4"/>
      <c r="AJ1914" s="4">
        <f>=ROUNDDOWN({0},0)</f>
      </c>
      <c r="AK1914" s="5"/>
      <c r="AL1914" s="2" t="s">
        <v>1492</v>
      </c>
      <c r="AM1914" s="4">
        <v>30</v>
      </c>
      <c r="AN1914" s="4">
        <v>75</v>
      </c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233</v>
      </c>
      <c r="BD1914" s="8" t="s">
        <v>233</v>
      </c>
      <c r="BE1914" s="4" t="s">
        <v>233</v>
      </c>
      <c r="BF1914" s="8" t="s">
        <v>233</v>
      </c>
      <c r="BG1914" s="7" t="s">
        <v>233</v>
      </c>
      <c r="BH1914" s="7" t="s">
        <v>233</v>
      </c>
      <c r="BI1914" s="7"/>
      <c r="BJ1914" s="4"/>
      <c r="BK1914" s="8"/>
      <c r="BL1914" s="2" t="s">
        <v>233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243</v>
      </c>
      <c r="BV1914" s="2" t="s">
        <v>233</v>
      </c>
      <c r="BW1914" s="2" t="s">
        <v>233</v>
      </c>
      <c r="BX1914" s="2" t="s">
        <v>243</v>
      </c>
      <c r="BY1914" s="2" t="s">
        <v>244</v>
      </c>
      <c r="BZ1914" s="2" t="s">
        <v>245</v>
      </c>
      <c r="CA1914" s="2" t="s">
        <v>233</v>
      </c>
      <c r="CB1914" s="2" t="s">
        <v>233</v>
      </c>
      <c r="CC1914" s="2" t="s">
        <v>246</v>
      </c>
      <c r="CD1914" s="2" t="s">
        <v>233</v>
      </c>
      <c r="CE1914" s="4"/>
      <c r="CF1914" s="4">
        <v>94</v>
      </c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>
        <v>33</v>
      </c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>
        <v>6</v>
      </c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>
        <v>12</v>
      </c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  <c r="HF1914" s="4"/>
      <c r="HG1914" s="4"/>
      <c r="HH1914" s="4"/>
      <c r="HI1914" s="4"/>
      <c r="HJ1914" s="4">
        <v>30</v>
      </c>
      <c r="HK1914" s="4"/>
      <c r="HL1914" s="4"/>
      <c r="HM1914" s="4">
        <v>45</v>
      </c>
      <c r="HN1914" s="4"/>
      <c r="HO1914" s="4"/>
      <c r="HP1914" s="4"/>
      <c r="HQ1914" s="4"/>
      <c r="HR1914" s="4"/>
    </row>
    <row r="1915">
      <c r="A1915" s="2" t="s">
        <v>8793</v>
      </c>
      <c r="B1915" s="2" t="s">
        <v>886</v>
      </c>
      <c r="C1915" s="2" t="s">
        <v>1157</v>
      </c>
      <c r="D1915" s="2" t="s">
        <v>1167</v>
      </c>
      <c r="E1915" s="2" t="s">
        <v>1168</v>
      </c>
      <c r="F1915" s="2" t="s">
        <v>8794</v>
      </c>
      <c r="G1915" s="2" t="s">
        <v>8794</v>
      </c>
      <c r="H1915" s="2" t="s">
        <v>8794</v>
      </c>
      <c r="I1915" s="2" t="s">
        <v>8795</v>
      </c>
      <c r="J1915" s="2" t="s">
        <v>892</v>
      </c>
      <c r="K1915" s="2" t="s">
        <v>645</v>
      </c>
      <c r="L1915" s="3">
        <v>26.78</v>
      </c>
      <c r="M1915" s="3">
        <v>28.12</v>
      </c>
      <c r="N1915" s="3">
        <v>59.99</v>
      </c>
      <c r="O1915" s="2" t="s">
        <v>245</v>
      </c>
      <c r="P1915" s="2" t="s">
        <v>272</v>
      </c>
      <c r="Q1915" s="2" t="s">
        <v>239</v>
      </c>
      <c r="R1915" s="2" t="s">
        <v>233</v>
      </c>
      <c r="S1915" s="2" t="s">
        <v>233</v>
      </c>
      <c r="T1915" s="2" t="s">
        <v>233</v>
      </c>
      <c r="U1915" s="2" t="s">
        <v>396</v>
      </c>
      <c r="V1915" s="2" t="s">
        <v>893</v>
      </c>
      <c r="W1915" s="2" t="s">
        <v>397</v>
      </c>
      <c r="X1915" s="2" t="s">
        <v>233</v>
      </c>
      <c r="Y1915" s="2" t="s">
        <v>2205</v>
      </c>
      <c r="Z1915" s="4">
        <v>95</v>
      </c>
      <c r="AA1915" s="4">
        <f>=ROUNDDOWN(13.5714285714286,0)</f>
      </c>
      <c r="AB1915" s="5">
        <v>7</v>
      </c>
      <c r="AC1915" s="2" t="s">
        <v>5084</v>
      </c>
      <c r="AD1915" s="4">
        <v>100</v>
      </c>
      <c r="AE1915" s="4">
        <v>100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233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 t="s">
        <v>233</v>
      </c>
      <c r="BD1915" s="8" t="s">
        <v>233</v>
      </c>
      <c r="BE1915" s="4" t="s">
        <v>233</v>
      </c>
      <c r="BF1915" s="8" t="s">
        <v>233</v>
      </c>
      <c r="BG1915" s="7" t="s">
        <v>233</v>
      </c>
      <c r="BH1915" s="7" t="s">
        <v>233</v>
      </c>
      <c r="BI1915" s="7"/>
      <c r="BJ1915" s="4">
        <v>5</v>
      </c>
      <c r="BK1915" s="8">
        <v>149.1</v>
      </c>
      <c r="BL1915" s="2" t="s">
        <v>8796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8797</v>
      </c>
      <c r="BV1915" s="2" t="s">
        <v>233</v>
      </c>
      <c r="BW1915" s="2" t="s">
        <v>233</v>
      </c>
      <c r="BX1915" s="2" t="s">
        <v>233</v>
      </c>
      <c r="BY1915" s="2" t="s">
        <v>280</v>
      </c>
      <c r="BZ1915" s="2" t="s">
        <v>245</v>
      </c>
      <c r="CA1915" s="2" t="s">
        <v>2208</v>
      </c>
      <c r="CB1915" s="2" t="s">
        <v>2026</v>
      </c>
      <c r="CC1915" s="2" t="s">
        <v>246</v>
      </c>
      <c r="CD1915" s="2" t="s">
        <v>233</v>
      </c>
      <c r="CE1915" s="4"/>
      <c r="CF1915" s="4">
        <v>95</v>
      </c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>
        <v>100</v>
      </c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4"/>
      <c r="HG1915" s="4"/>
      <c r="HH1915" s="4"/>
      <c r="HI1915" s="4"/>
      <c r="HJ1915" s="4"/>
      <c r="HK1915" s="4"/>
      <c r="HL1915" s="4"/>
      <c r="HM1915" s="4"/>
      <c r="HN1915" s="4"/>
      <c r="HO1915" s="4"/>
      <c r="HP1915" s="4"/>
      <c r="HQ1915" s="4"/>
      <c r="HR1915" s="4"/>
    </row>
    <row r="1916">
      <c r="A1916" s="2" t="s">
        <v>8798</v>
      </c>
      <c r="B1916" s="2" t="s">
        <v>886</v>
      </c>
      <c r="C1916" s="2" t="s">
        <v>1157</v>
      </c>
      <c r="D1916" s="2" t="s">
        <v>1167</v>
      </c>
      <c r="E1916" s="2" t="s">
        <v>1168</v>
      </c>
      <c r="F1916" s="2" t="s">
        <v>8794</v>
      </c>
      <c r="G1916" s="2" t="s">
        <v>8794</v>
      </c>
      <c r="H1916" s="2" t="s">
        <v>8794</v>
      </c>
      <c r="I1916" s="2" t="s">
        <v>8795</v>
      </c>
      <c r="J1916" s="2" t="s">
        <v>892</v>
      </c>
      <c r="K1916" s="2" t="s">
        <v>297</v>
      </c>
      <c r="L1916" s="3">
        <v>28.19</v>
      </c>
      <c r="M1916" s="3">
        <v>29.6</v>
      </c>
      <c r="N1916" s="3">
        <v>59.99</v>
      </c>
      <c r="O1916" s="2" t="s">
        <v>245</v>
      </c>
      <c r="P1916" s="2" t="s">
        <v>272</v>
      </c>
      <c r="Q1916" s="2" t="s">
        <v>239</v>
      </c>
      <c r="R1916" s="2" t="s">
        <v>233</v>
      </c>
      <c r="S1916" s="2" t="s">
        <v>233</v>
      </c>
      <c r="T1916" s="2" t="s">
        <v>233</v>
      </c>
      <c r="U1916" s="2" t="s">
        <v>396</v>
      </c>
      <c r="V1916" s="2" t="s">
        <v>893</v>
      </c>
      <c r="W1916" s="2" t="s">
        <v>397</v>
      </c>
      <c r="X1916" s="2" t="s">
        <v>233</v>
      </c>
      <c r="Y1916" s="2" t="s">
        <v>2205</v>
      </c>
      <c r="Z1916" s="4">
        <v>96</v>
      </c>
      <c r="AA1916" s="4">
        <f>=ROUNDDOWN(24,0)</f>
      </c>
      <c r="AB1916" s="5">
        <v>4</v>
      </c>
      <c r="AC1916" s="2" t="s">
        <v>707</v>
      </c>
      <c r="AD1916" s="4">
        <v>100</v>
      </c>
      <c r="AE1916" s="4">
        <v>100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233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 t="s">
        <v>233</v>
      </c>
      <c r="BD1916" s="8" t="s">
        <v>233</v>
      </c>
      <c r="BE1916" s="4" t="s">
        <v>233</v>
      </c>
      <c r="BF1916" s="8" t="s">
        <v>233</v>
      </c>
      <c r="BG1916" s="7" t="s">
        <v>233</v>
      </c>
      <c r="BH1916" s="7" t="s">
        <v>233</v>
      </c>
      <c r="BI1916" s="7"/>
      <c r="BJ1916" s="4">
        <v>11</v>
      </c>
      <c r="BK1916" s="8">
        <v>359.58</v>
      </c>
      <c r="BL1916" s="2" t="s">
        <v>8799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8800</v>
      </c>
      <c r="BV1916" s="2" t="s">
        <v>233</v>
      </c>
      <c r="BW1916" s="2" t="s">
        <v>233</v>
      </c>
      <c r="BX1916" s="2" t="s">
        <v>243</v>
      </c>
      <c r="BY1916" s="2" t="s">
        <v>280</v>
      </c>
      <c r="BZ1916" s="2" t="s">
        <v>245</v>
      </c>
      <c r="CA1916" s="2" t="s">
        <v>2208</v>
      </c>
      <c r="CB1916" s="2" t="s">
        <v>7645</v>
      </c>
      <c r="CC1916" s="2" t="s">
        <v>246</v>
      </c>
      <c r="CD1916" s="2" t="s">
        <v>233</v>
      </c>
      <c r="CE1916" s="4">
        <v>2</v>
      </c>
      <c r="CF1916" s="4">
        <v>94</v>
      </c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>
        <v>100</v>
      </c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  <c r="HG1916" s="4"/>
      <c r="HH1916" s="4"/>
      <c r="HI1916" s="4"/>
      <c r="HJ1916" s="4"/>
      <c r="HK1916" s="4"/>
      <c r="HL1916" s="4"/>
      <c r="HM1916" s="4"/>
      <c r="HN1916" s="4"/>
      <c r="HO1916" s="4"/>
      <c r="HP1916" s="4"/>
      <c r="HQ1916" s="4"/>
      <c r="HR1916" s="4"/>
    </row>
    <row r="1917">
      <c r="A1917" s="2" t="s">
        <v>8801</v>
      </c>
      <c r="B1917" s="2" t="s">
        <v>1242</v>
      </c>
      <c r="C1917" s="2" t="s">
        <v>334</v>
      </c>
      <c r="D1917" s="2" t="s">
        <v>969</v>
      </c>
      <c r="E1917" s="2" t="s">
        <v>3334</v>
      </c>
      <c r="F1917" s="2" t="s">
        <v>8802</v>
      </c>
      <c r="G1917" s="2" t="s">
        <v>8803</v>
      </c>
      <c r="H1917" s="2" t="s">
        <v>8804</v>
      </c>
      <c r="I1917" s="2" t="s">
        <v>8805</v>
      </c>
      <c r="J1917" s="2" t="s">
        <v>270</v>
      </c>
      <c r="K1917" s="2" t="s">
        <v>255</v>
      </c>
      <c r="L1917" s="3">
        <v>38.09</v>
      </c>
      <c r="M1917" s="3">
        <v>39.99</v>
      </c>
      <c r="N1917" s="3">
        <v>79.99</v>
      </c>
      <c r="O1917" s="2" t="s">
        <v>245</v>
      </c>
      <c r="P1917" s="2" t="s">
        <v>272</v>
      </c>
      <c r="Q1917" s="2" t="s">
        <v>239</v>
      </c>
      <c r="R1917" s="2" t="s">
        <v>233</v>
      </c>
      <c r="S1917" s="2" t="s">
        <v>8806</v>
      </c>
      <c r="T1917" s="2" t="s">
        <v>233</v>
      </c>
      <c r="U1917" s="2" t="s">
        <v>1482</v>
      </c>
      <c r="V1917" s="2" t="s">
        <v>241</v>
      </c>
      <c r="W1917" s="2" t="s">
        <v>275</v>
      </c>
      <c r="X1917" s="2" t="s">
        <v>397</v>
      </c>
      <c r="Y1917" s="2" t="s">
        <v>8807</v>
      </c>
      <c r="Z1917" s="4">
        <v>106</v>
      </c>
      <c r="AA1917" s="4">
        <f>=ROUNDDOWN(26.5,0)</f>
      </c>
      <c r="AB1917" s="5">
        <v>4</v>
      </c>
      <c r="AC1917" s="2" t="s">
        <v>233</v>
      </c>
      <c r="AD1917" s="4"/>
      <c r="AE1917" s="4"/>
      <c r="AF1917" s="6">
        <v>64</v>
      </c>
      <c r="AG1917" s="6"/>
      <c r="AH1917" s="7">
        <v>1</v>
      </c>
      <c r="AI1917" s="4"/>
      <c r="AJ1917" s="4">
        <f>=ROUNDDOWN({0},0)</f>
      </c>
      <c r="AK1917" s="5"/>
      <c r="AL1917" s="2" t="s">
        <v>233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 t="s">
        <v>233</v>
      </c>
      <c r="AW1917" s="8" t="s">
        <v>233</v>
      </c>
      <c r="AX1917" s="4" t="s">
        <v>233</v>
      </c>
      <c r="AY1917" s="8" t="s">
        <v>233</v>
      </c>
      <c r="AZ1917" s="7" t="s">
        <v>233</v>
      </c>
      <c r="BA1917" s="7" t="s">
        <v>233</v>
      </c>
      <c r="BB1917" s="7"/>
      <c r="BC1917" s="4" t="s">
        <v>233</v>
      </c>
      <c r="BD1917" s="8" t="s">
        <v>233</v>
      </c>
      <c r="BE1917" s="4" t="s">
        <v>233</v>
      </c>
      <c r="BF1917" s="8" t="s">
        <v>233</v>
      </c>
      <c r="BG1917" s="7" t="s">
        <v>233</v>
      </c>
      <c r="BH1917" s="7" t="s">
        <v>233</v>
      </c>
      <c r="BI1917" s="7"/>
      <c r="BJ1917" s="4">
        <v>1492</v>
      </c>
      <c r="BK1917" s="8">
        <v>59661.08</v>
      </c>
      <c r="BL1917" s="2" t="s">
        <v>8808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8809</v>
      </c>
      <c r="BV1917" s="2" t="s">
        <v>233</v>
      </c>
      <c r="BW1917" s="2" t="s">
        <v>233</v>
      </c>
      <c r="BX1917" s="2" t="s">
        <v>233</v>
      </c>
      <c r="BY1917" s="2" t="s">
        <v>280</v>
      </c>
      <c r="BZ1917" s="2" t="s">
        <v>245</v>
      </c>
      <c r="CA1917" s="2" t="s">
        <v>5691</v>
      </c>
      <c r="CB1917" s="2" t="s">
        <v>7221</v>
      </c>
      <c r="CC1917" s="2" t="s">
        <v>246</v>
      </c>
      <c r="CD1917" s="2" t="s">
        <v>233</v>
      </c>
      <c r="CE1917" s="4">
        <v>106</v>
      </c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  <c r="HF1917" s="4"/>
      <c r="HG1917" s="4"/>
      <c r="HH1917" s="4"/>
      <c r="HI1917" s="4"/>
      <c r="HJ1917" s="4"/>
      <c r="HK1917" s="4"/>
      <c r="HL1917" s="4"/>
      <c r="HM1917" s="4"/>
      <c r="HN1917" s="4"/>
      <c r="HO1917" s="4"/>
      <c r="HP1917" s="4"/>
      <c r="HQ1917" s="4"/>
      <c r="HR1917" s="4"/>
    </row>
    <row r="1918">
      <c r="A1918" s="2" t="s">
        <v>8810</v>
      </c>
      <c r="B1918" s="2" t="s">
        <v>1242</v>
      </c>
      <c r="C1918" s="2" t="s">
        <v>334</v>
      </c>
      <c r="D1918" s="2" t="s">
        <v>969</v>
      </c>
      <c r="E1918" s="2" t="s">
        <v>3334</v>
      </c>
      <c r="F1918" s="2" t="s">
        <v>8802</v>
      </c>
      <c r="G1918" s="2" t="s">
        <v>8803</v>
      </c>
      <c r="H1918" s="2" t="s">
        <v>8804</v>
      </c>
      <c r="I1918" s="2" t="s">
        <v>8811</v>
      </c>
      <c r="J1918" s="2" t="s">
        <v>546</v>
      </c>
      <c r="K1918" s="2" t="s">
        <v>255</v>
      </c>
      <c r="L1918" s="3">
        <v>52.38</v>
      </c>
      <c r="M1918" s="3">
        <v>55</v>
      </c>
      <c r="N1918" s="3">
        <v>109.99</v>
      </c>
      <c r="O1918" s="2" t="s">
        <v>245</v>
      </c>
      <c r="P1918" s="2" t="s">
        <v>272</v>
      </c>
      <c r="Q1918" s="2" t="s">
        <v>239</v>
      </c>
      <c r="R1918" s="2" t="s">
        <v>233</v>
      </c>
      <c r="S1918" s="2" t="s">
        <v>8806</v>
      </c>
      <c r="T1918" s="2" t="s">
        <v>233</v>
      </c>
      <c r="U1918" s="2" t="s">
        <v>1507</v>
      </c>
      <c r="V1918" s="2" t="s">
        <v>241</v>
      </c>
      <c r="W1918" s="2" t="s">
        <v>275</v>
      </c>
      <c r="X1918" s="2" t="s">
        <v>397</v>
      </c>
      <c r="Y1918" s="2" t="s">
        <v>8807</v>
      </c>
      <c r="Z1918" s="4">
        <v>261</v>
      </c>
      <c r="AA1918" s="4">
        <f>=ROUNDDOWN(65.25,0)</f>
      </c>
      <c r="AB1918" s="5">
        <v>4</v>
      </c>
      <c r="AC1918" s="2" t="s">
        <v>233</v>
      </c>
      <c r="AD1918" s="4"/>
      <c r="AE1918" s="4"/>
      <c r="AF1918" s="6">
        <v>64</v>
      </c>
      <c r="AG1918" s="6"/>
      <c r="AH1918" s="7">
        <v>1</v>
      </c>
      <c r="AI1918" s="4"/>
      <c r="AJ1918" s="4">
        <f>=ROUNDDOWN({0},0)</f>
      </c>
      <c r="AK1918" s="5"/>
      <c r="AL1918" s="2" t="s">
        <v>233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 t="s">
        <v>233</v>
      </c>
      <c r="AW1918" s="8" t="s">
        <v>233</v>
      </c>
      <c r="AX1918" s="4" t="s">
        <v>233</v>
      </c>
      <c r="AY1918" s="8" t="s">
        <v>233</v>
      </c>
      <c r="AZ1918" s="7" t="s">
        <v>233</v>
      </c>
      <c r="BA1918" s="7" t="s">
        <v>233</v>
      </c>
      <c r="BB1918" s="7"/>
      <c r="BC1918" s="4" t="s">
        <v>233</v>
      </c>
      <c r="BD1918" s="8" t="s">
        <v>233</v>
      </c>
      <c r="BE1918" s="4" t="s">
        <v>233</v>
      </c>
      <c r="BF1918" s="8" t="s">
        <v>233</v>
      </c>
      <c r="BG1918" s="7" t="s">
        <v>233</v>
      </c>
      <c r="BH1918" s="7" t="s">
        <v>233</v>
      </c>
      <c r="BI1918" s="7"/>
      <c r="BJ1918" s="4">
        <v>7</v>
      </c>
      <c r="BK1918" s="8">
        <v>406.45</v>
      </c>
      <c r="BL1918" s="2" t="s">
        <v>7173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8812</v>
      </c>
      <c r="BV1918" s="2" t="s">
        <v>233</v>
      </c>
      <c r="BW1918" s="2" t="s">
        <v>233</v>
      </c>
      <c r="BX1918" s="2" t="s">
        <v>233</v>
      </c>
      <c r="BY1918" s="2" t="s">
        <v>280</v>
      </c>
      <c r="BZ1918" s="2" t="s">
        <v>245</v>
      </c>
      <c r="CA1918" s="2" t="s">
        <v>5691</v>
      </c>
      <c r="CB1918" s="2" t="s">
        <v>2362</v>
      </c>
      <c r="CC1918" s="2" t="s">
        <v>246</v>
      </c>
      <c r="CD1918" s="2" t="s">
        <v>233</v>
      </c>
      <c r="CE1918" s="4">
        <v>242</v>
      </c>
      <c r="CF1918" s="4"/>
      <c r="CG1918" s="4"/>
      <c r="CH1918" s="4"/>
      <c r="CI1918" s="4"/>
      <c r="CJ1918" s="4"/>
      <c r="CK1918" s="4"/>
      <c r="CL1918" s="4">
        <v>19</v>
      </c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  <c r="HF1918" s="4"/>
      <c r="HG1918" s="4"/>
      <c r="HH1918" s="4"/>
      <c r="HI1918" s="4"/>
      <c r="HJ1918" s="4"/>
      <c r="HK1918" s="4"/>
      <c r="HL1918" s="4"/>
      <c r="HM1918" s="4"/>
      <c r="HN1918" s="4"/>
      <c r="HO1918" s="4"/>
      <c r="HP1918" s="4"/>
      <c r="HQ1918" s="4"/>
      <c r="HR1918" s="4"/>
    </row>
    <row r="1919">
      <c r="A1919" s="2" t="s">
        <v>8813</v>
      </c>
      <c r="B1919" s="2" t="s">
        <v>1066</v>
      </c>
      <c r="C1919" s="2" t="s">
        <v>901</v>
      </c>
      <c r="D1919" s="2" t="s">
        <v>1111</v>
      </c>
      <c r="E1919" s="2" t="s">
        <v>1112</v>
      </c>
      <c r="F1919" s="2" t="s">
        <v>8814</v>
      </c>
      <c r="G1919" s="2" t="s">
        <v>8814</v>
      </c>
      <c r="H1919" s="2" t="s">
        <v>8814</v>
      </c>
      <c r="I1919" s="2" t="s">
        <v>8815</v>
      </c>
      <c r="J1919" s="2" t="s">
        <v>892</v>
      </c>
      <c r="K1919" s="2" t="s">
        <v>3822</v>
      </c>
      <c r="L1919" s="3">
        <v>238</v>
      </c>
      <c r="M1919" s="3">
        <v>249.9</v>
      </c>
      <c r="N1919" s="3">
        <v>499</v>
      </c>
      <c r="O1919" s="2" t="s">
        <v>245</v>
      </c>
      <c r="P1919" s="2" t="s">
        <v>393</v>
      </c>
      <c r="Q1919" s="2" t="s">
        <v>239</v>
      </c>
      <c r="R1919" s="2" t="s">
        <v>233</v>
      </c>
      <c r="S1919" s="2" t="s">
        <v>233</v>
      </c>
      <c r="T1919" s="2" t="s">
        <v>233</v>
      </c>
      <c r="U1919" s="2" t="s">
        <v>396</v>
      </c>
      <c r="V1919" s="2" t="s">
        <v>241</v>
      </c>
      <c r="W1919" s="2" t="s">
        <v>894</v>
      </c>
      <c r="X1919" s="2" t="s">
        <v>233</v>
      </c>
      <c r="Y1919" s="2" t="s">
        <v>8816</v>
      </c>
      <c r="Z1919" s="4">
        <v>56</v>
      </c>
      <c r="AA1919" s="4">
        <f>=ROUNDDOWN(18.6666666666667,0)</f>
      </c>
      <c r="AB1919" s="5">
        <v>3</v>
      </c>
      <c r="AC1919" s="2" t="s">
        <v>3626</v>
      </c>
      <c r="AD1919" s="4">
        <v>78</v>
      </c>
      <c r="AE1919" s="4">
        <v>78</v>
      </c>
      <c r="AF1919" s="6">
        <v>65</v>
      </c>
      <c r="AG1919" s="6">
        <v>48</v>
      </c>
      <c r="AH1919" s="7">
        <v>1</v>
      </c>
      <c r="AI1919" s="4"/>
      <c r="AJ1919" s="4">
        <f>=ROUNDDOWN({0},0)</f>
      </c>
      <c r="AK1919" s="5"/>
      <c r="AL1919" s="2" t="s">
        <v>233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11</v>
      </c>
      <c r="BK1919" s="8">
        <v>2252.1</v>
      </c>
      <c r="BL1919" s="2" t="s">
        <v>1023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8817</v>
      </c>
      <c r="BV1919" s="2" t="s">
        <v>233</v>
      </c>
      <c r="BW1919" s="2" t="s">
        <v>233</v>
      </c>
      <c r="BX1919" s="2" t="s">
        <v>233</v>
      </c>
      <c r="BY1919" s="2" t="s">
        <v>280</v>
      </c>
      <c r="BZ1919" s="2" t="s">
        <v>245</v>
      </c>
      <c r="CA1919" s="2" t="s">
        <v>2808</v>
      </c>
      <c r="CB1919" s="2" t="s">
        <v>8818</v>
      </c>
      <c r="CC1919" s="2" t="s">
        <v>246</v>
      </c>
      <c r="CD1919" s="2" t="s">
        <v>233</v>
      </c>
      <c r="CE1919" s="4"/>
      <c r="CF1919" s="4">
        <v>56</v>
      </c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>
        <v>78</v>
      </c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4"/>
      <c r="HE1919" s="4"/>
      <c r="HF1919" s="4"/>
      <c r="HG1919" s="4"/>
      <c r="HH1919" s="4"/>
      <c r="HI1919" s="4"/>
      <c r="HJ1919" s="4"/>
      <c r="HK1919" s="4"/>
      <c r="HL1919" s="4"/>
      <c r="HM1919" s="4"/>
      <c r="HN1919" s="4"/>
      <c r="HO1919" s="4"/>
      <c r="HP1919" s="4"/>
      <c r="HQ1919" s="4"/>
      <c r="HR1919" s="4"/>
    </row>
    <row r="1920">
      <c r="A1920" s="2" t="s">
        <v>8819</v>
      </c>
      <c r="B1920" s="2" t="s">
        <v>1066</v>
      </c>
      <c r="C1920" s="2" t="s">
        <v>530</v>
      </c>
      <c r="D1920" s="2" t="s">
        <v>2140</v>
      </c>
      <c r="E1920" s="2" t="s">
        <v>2141</v>
      </c>
      <c r="F1920" s="2" t="s">
        <v>8622</v>
      </c>
      <c r="G1920" s="2" t="s">
        <v>8820</v>
      </c>
      <c r="H1920" s="2" t="s">
        <v>1208</v>
      </c>
      <c r="I1920" s="2" t="s">
        <v>8821</v>
      </c>
      <c r="J1920" s="2" t="s">
        <v>892</v>
      </c>
      <c r="K1920" s="2" t="s">
        <v>984</v>
      </c>
      <c r="L1920" s="3">
        <v>285</v>
      </c>
      <c r="M1920" s="3">
        <v>299.25</v>
      </c>
      <c r="N1920" s="3">
        <v>599</v>
      </c>
      <c r="O1920" s="2" t="s">
        <v>245</v>
      </c>
      <c r="P1920" s="2" t="s">
        <v>1916</v>
      </c>
      <c r="Q1920" s="2" t="s">
        <v>239</v>
      </c>
      <c r="R1920" s="2" t="s">
        <v>233</v>
      </c>
      <c r="S1920" s="2" t="s">
        <v>233</v>
      </c>
      <c r="T1920" s="2" t="s">
        <v>233</v>
      </c>
      <c r="U1920" s="2" t="s">
        <v>396</v>
      </c>
      <c r="V1920" s="2" t="s">
        <v>893</v>
      </c>
      <c r="W1920" s="2" t="s">
        <v>275</v>
      </c>
      <c r="X1920" s="2" t="s">
        <v>451</v>
      </c>
      <c r="Y1920" s="2" t="s">
        <v>233</v>
      </c>
      <c r="Z1920" s="4"/>
      <c r="AA1920" s="4">
        <f>=ROUNDDOWN({0},0)</f>
      </c>
      <c r="AB1920" s="5"/>
      <c r="AC1920" s="2" t="s">
        <v>233</v>
      </c>
      <c r="AD1920" s="4"/>
      <c r="AE1920" s="4"/>
      <c r="AF1920" s="6">
        <v>65</v>
      </c>
      <c r="AG1920" s="6"/>
      <c r="AH1920" s="7">
        <v>0</v>
      </c>
      <c r="AI1920" s="4"/>
      <c r="AJ1920" s="4">
        <f>=ROUNDDOWN({0},0)</f>
      </c>
      <c r="AK1920" s="5"/>
      <c r="AL1920" s="2" t="s">
        <v>233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/>
      <c r="BK1920" s="8"/>
      <c r="BL1920" s="2" t="s">
        <v>233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243</v>
      </c>
      <c r="BV1920" s="2" t="s">
        <v>233</v>
      </c>
      <c r="BW1920" s="2" t="s">
        <v>233</v>
      </c>
      <c r="BX1920" s="2" t="s">
        <v>243</v>
      </c>
      <c r="BY1920" s="2" t="s">
        <v>244</v>
      </c>
      <c r="BZ1920" s="2" t="s">
        <v>245</v>
      </c>
      <c r="CA1920" s="2" t="s">
        <v>233</v>
      </c>
      <c r="CB1920" s="2" t="s">
        <v>233</v>
      </c>
      <c r="CC1920" s="2" t="s">
        <v>246</v>
      </c>
      <c r="CD1920" s="2" t="s">
        <v>233</v>
      </c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4"/>
      <c r="HH1920" s="4"/>
      <c r="HI1920" s="4"/>
      <c r="HJ1920" s="4"/>
      <c r="HK1920" s="4"/>
      <c r="HL1920" s="4"/>
      <c r="HM1920" s="4"/>
      <c r="HN1920" s="4"/>
      <c r="HO1920" s="4"/>
      <c r="HP1920" s="4"/>
      <c r="HQ1920" s="4"/>
      <c r="HR1920" s="4"/>
    </row>
    <row r="1921">
      <c r="A1921" s="2" t="s">
        <v>8822</v>
      </c>
      <c r="B1921" s="2" t="s">
        <v>1066</v>
      </c>
      <c r="C1921" s="2" t="s">
        <v>901</v>
      </c>
      <c r="D1921" s="2" t="s">
        <v>1067</v>
      </c>
      <c r="E1921" s="2" t="s">
        <v>1068</v>
      </c>
      <c r="F1921" s="2" t="s">
        <v>8823</v>
      </c>
      <c r="G1921" s="2" t="s">
        <v>8823</v>
      </c>
      <c r="H1921" s="2" t="s">
        <v>8823</v>
      </c>
      <c r="I1921" s="2" t="s">
        <v>2650</v>
      </c>
      <c r="J1921" s="2" t="s">
        <v>892</v>
      </c>
      <c r="K1921" s="2" t="s">
        <v>1201</v>
      </c>
      <c r="L1921" s="3">
        <v>174.8</v>
      </c>
      <c r="M1921" s="3">
        <v>183.54</v>
      </c>
      <c r="N1921" s="3">
        <v>369</v>
      </c>
      <c r="O1921" s="2" t="s">
        <v>245</v>
      </c>
      <c r="P1921" s="2" t="s">
        <v>272</v>
      </c>
      <c r="Q1921" s="2" t="s">
        <v>239</v>
      </c>
      <c r="R1921" s="2" t="s">
        <v>233</v>
      </c>
      <c r="S1921" s="2" t="s">
        <v>233</v>
      </c>
      <c r="T1921" s="2" t="s">
        <v>233</v>
      </c>
      <c r="U1921" s="2" t="s">
        <v>396</v>
      </c>
      <c r="V1921" s="2" t="s">
        <v>241</v>
      </c>
      <c r="W1921" s="2" t="s">
        <v>894</v>
      </c>
      <c r="X1921" s="2" t="s">
        <v>233</v>
      </c>
      <c r="Y1921" s="2" t="s">
        <v>8816</v>
      </c>
      <c r="Z1921" s="4">
        <v>81</v>
      </c>
      <c r="AA1921" s="4">
        <f>=ROUNDDOWN(13.5,0)</f>
      </c>
      <c r="AB1921" s="5">
        <v>6</v>
      </c>
      <c r="AC1921" s="2" t="s">
        <v>319</v>
      </c>
      <c r="AD1921" s="4">
        <v>46</v>
      </c>
      <c r="AE1921" s="4">
        <v>146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233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20</v>
      </c>
      <c r="BK1921" s="8">
        <v>3229.56</v>
      </c>
      <c r="BL1921" s="2" t="s">
        <v>8824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8825</v>
      </c>
      <c r="BV1921" s="2" t="s">
        <v>233</v>
      </c>
      <c r="BW1921" s="2" t="s">
        <v>233</v>
      </c>
      <c r="BX1921" s="2" t="s">
        <v>233</v>
      </c>
      <c r="BY1921" s="2" t="s">
        <v>280</v>
      </c>
      <c r="BZ1921" s="2" t="s">
        <v>245</v>
      </c>
      <c r="CA1921" s="2" t="s">
        <v>2894</v>
      </c>
      <c r="CB1921" s="2" t="s">
        <v>8224</v>
      </c>
      <c r="CC1921" s="2" t="s">
        <v>246</v>
      </c>
      <c r="CD1921" s="2" t="s">
        <v>233</v>
      </c>
      <c r="CE1921" s="4"/>
      <c r="CF1921" s="4">
        <v>81</v>
      </c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>
        <v>46</v>
      </c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>
        <v>100</v>
      </c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4"/>
      <c r="HE1921" s="4"/>
      <c r="HF1921" s="4"/>
      <c r="HG1921" s="4"/>
      <c r="HH1921" s="4"/>
      <c r="HI1921" s="4"/>
      <c r="HJ1921" s="4"/>
      <c r="HK1921" s="4"/>
      <c r="HL1921" s="4"/>
      <c r="HM1921" s="4"/>
      <c r="HN1921" s="4"/>
      <c r="HO1921" s="4"/>
      <c r="HP1921" s="4"/>
      <c r="HQ1921" s="4"/>
      <c r="HR1921" s="4"/>
    </row>
    <row r="1922">
      <c r="A1922" s="2" t="s">
        <v>8826</v>
      </c>
      <c r="B1922" s="2" t="s">
        <v>1242</v>
      </c>
      <c r="C1922" s="2" t="s">
        <v>701</v>
      </c>
      <c r="D1922" s="2" t="s">
        <v>969</v>
      </c>
      <c r="E1922" s="2" t="s">
        <v>3334</v>
      </c>
      <c r="F1922" s="2" t="s">
        <v>8827</v>
      </c>
      <c r="G1922" s="2" t="s">
        <v>8827</v>
      </c>
      <c r="H1922" s="2" t="s">
        <v>8827</v>
      </c>
      <c r="I1922" s="2" t="s">
        <v>8828</v>
      </c>
      <c r="J1922" s="2" t="s">
        <v>348</v>
      </c>
      <c r="K1922" s="2" t="s">
        <v>271</v>
      </c>
      <c r="L1922" s="3">
        <v>47.61</v>
      </c>
      <c r="M1922" s="3">
        <v>49.99</v>
      </c>
      <c r="N1922" s="3">
        <v>99.99</v>
      </c>
      <c r="O1922" s="2" t="s">
        <v>245</v>
      </c>
      <c r="P1922" s="2" t="s">
        <v>996</v>
      </c>
      <c r="Q1922" s="2" t="s">
        <v>239</v>
      </c>
      <c r="R1922" s="2" t="s">
        <v>233</v>
      </c>
      <c r="S1922" s="2" t="s">
        <v>8829</v>
      </c>
      <c r="T1922" s="2" t="s">
        <v>395</v>
      </c>
      <c r="U1922" s="2" t="s">
        <v>3750</v>
      </c>
      <c r="V1922" s="2" t="s">
        <v>1085</v>
      </c>
      <c r="W1922" s="2" t="s">
        <v>397</v>
      </c>
      <c r="X1922" s="2" t="s">
        <v>233</v>
      </c>
      <c r="Y1922" s="2" t="s">
        <v>3464</v>
      </c>
      <c r="Z1922" s="4"/>
      <c r="AA1922" s="4">
        <f>=ROUNDDOWN({0},0)</f>
      </c>
      <c r="AB1922" s="5">
        <v>15.1</v>
      </c>
      <c r="AC1922" s="2" t="s">
        <v>233</v>
      </c>
      <c r="AD1922" s="4"/>
      <c r="AE1922" s="4"/>
      <c r="AF1922" s="6"/>
      <c r="AG1922" s="6"/>
      <c r="AH1922" s="7">
        <v>0</v>
      </c>
      <c r="AI1922" s="4"/>
      <c r="AJ1922" s="4">
        <f>=ROUNDDOWN({0},0)</f>
      </c>
      <c r="AK1922" s="5"/>
      <c r="AL1922" s="2" t="s">
        <v>233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233</v>
      </c>
      <c r="BD1922" s="8" t="s">
        <v>233</v>
      </c>
      <c r="BE1922" s="4" t="s">
        <v>233</v>
      </c>
      <c r="BF1922" s="8" t="s">
        <v>233</v>
      </c>
      <c r="BG1922" s="7" t="s">
        <v>233</v>
      </c>
      <c r="BH1922" s="7" t="s">
        <v>233</v>
      </c>
      <c r="BI1922" s="7"/>
      <c r="BJ1922" s="4"/>
      <c r="BK1922" s="8"/>
      <c r="BL1922" s="2" t="s">
        <v>8830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8831</v>
      </c>
      <c r="BV1922" s="2" t="s">
        <v>233</v>
      </c>
      <c r="BW1922" s="2" t="s">
        <v>233</v>
      </c>
      <c r="BX1922" s="2" t="s">
        <v>233</v>
      </c>
      <c r="BY1922" s="2" t="s">
        <v>280</v>
      </c>
      <c r="BZ1922" s="2" t="s">
        <v>245</v>
      </c>
      <c r="CA1922" s="2" t="s">
        <v>6707</v>
      </c>
      <c r="CB1922" s="2" t="s">
        <v>3174</v>
      </c>
      <c r="CC1922" s="2" t="s">
        <v>246</v>
      </c>
      <c r="CD1922" s="2" t="s">
        <v>233</v>
      </c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  <c r="HF1922" s="4"/>
      <c r="HG1922" s="4"/>
      <c r="HH1922" s="4"/>
      <c r="HI1922" s="4"/>
      <c r="HJ1922" s="4"/>
      <c r="HK1922" s="4"/>
      <c r="HL1922" s="4"/>
      <c r="HM1922" s="4"/>
      <c r="HN1922" s="4"/>
      <c r="HO1922" s="4"/>
      <c r="HP1922" s="4"/>
      <c r="HQ1922" s="4"/>
      <c r="HR1922" s="4"/>
    </row>
    <row r="1923">
      <c r="A1923" s="2" t="s">
        <v>8832</v>
      </c>
      <c r="B1923" s="2" t="s">
        <v>1242</v>
      </c>
      <c r="C1923" s="2" t="s">
        <v>701</v>
      </c>
      <c r="D1923" s="2" t="s">
        <v>969</v>
      </c>
      <c r="E1923" s="2" t="s">
        <v>3334</v>
      </c>
      <c r="F1923" s="2" t="s">
        <v>8827</v>
      </c>
      <c r="G1923" s="2" t="s">
        <v>8827</v>
      </c>
      <c r="H1923" s="2" t="s">
        <v>8827</v>
      </c>
      <c r="I1923" s="2" t="s">
        <v>8828</v>
      </c>
      <c r="J1923" s="2" t="s">
        <v>348</v>
      </c>
      <c r="K1923" s="2" t="s">
        <v>255</v>
      </c>
      <c r="L1923" s="3">
        <v>47.61</v>
      </c>
      <c r="M1923" s="3">
        <v>49.99</v>
      </c>
      <c r="N1923" s="3">
        <v>99.99</v>
      </c>
      <c r="O1923" s="2" t="s">
        <v>245</v>
      </c>
      <c r="P1923" s="2" t="s">
        <v>996</v>
      </c>
      <c r="Q1923" s="2" t="s">
        <v>239</v>
      </c>
      <c r="R1923" s="2" t="s">
        <v>233</v>
      </c>
      <c r="S1923" s="2" t="s">
        <v>8833</v>
      </c>
      <c r="T1923" s="2" t="s">
        <v>395</v>
      </c>
      <c r="U1923" s="2" t="s">
        <v>3750</v>
      </c>
      <c r="V1923" s="2" t="s">
        <v>1085</v>
      </c>
      <c r="W1923" s="2" t="s">
        <v>397</v>
      </c>
      <c r="X1923" s="2" t="s">
        <v>233</v>
      </c>
      <c r="Y1923" s="2" t="s">
        <v>3464</v>
      </c>
      <c r="Z1923" s="4"/>
      <c r="AA1923" s="4">
        <f>=ROUNDDOWN({0},0)</f>
      </c>
      <c r="AB1923" s="5">
        <v>8.3</v>
      </c>
      <c r="AC1923" s="2" t="s">
        <v>233</v>
      </c>
      <c r="AD1923" s="4"/>
      <c r="AE1923" s="4"/>
      <c r="AF1923" s="6"/>
      <c r="AG1923" s="6"/>
      <c r="AH1923" s="7">
        <v>0</v>
      </c>
      <c r="AI1923" s="4"/>
      <c r="AJ1923" s="4">
        <f>=ROUNDDOWN({0},0)</f>
      </c>
      <c r="AK1923" s="5"/>
      <c r="AL1923" s="2" t="s">
        <v>233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 t="s">
        <v>233</v>
      </c>
      <c r="AW1923" s="8" t="s">
        <v>233</v>
      </c>
      <c r="AX1923" s="4" t="s">
        <v>233</v>
      </c>
      <c r="AY1923" s="8" t="s">
        <v>233</v>
      </c>
      <c r="AZ1923" s="7" t="s">
        <v>233</v>
      </c>
      <c r="BA1923" s="7" t="s">
        <v>233</v>
      </c>
      <c r="BB1923" s="7"/>
      <c r="BC1923" s="4" t="s">
        <v>233</v>
      </c>
      <c r="BD1923" s="8" t="s">
        <v>233</v>
      </c>
      <c r="BE1923" s="4" t="s">
        <v>233</v>
      </c>
      <c r="BF1923" s="8" t="s">
        <v>233</v>
      </c>
      <c r="BG1923" s="7" t="s">
        <v>233</v>
      </c>
      <c r="BH1923" s="7" t="s">
        <v>233</v>
      </c>
      <c r="BI1923" s="7"/>
      <c r="BJ1923" s="4"/>
      <c r="BK1923" s="8"/>
      <c r="BL1923" s="2" t="s">
        <v>8834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8835</v>
      </c>
      <c r="BV1923" s="2" t="s">
        <v>233</v>
      </c>
      <c r="BW1923" s="2" t="s">
        <v>233</v>
      </c>
      <c r="BX1923" s="2" t="s">
        <v>233</v>
      </c>
      <c r="BY1923" s="2" t="s">
        <v>280</v>
      </c>
      <c r="BZ1923" s="2" t="s">
        <v>245</v>
      </c>
      <c r="CA1923" s="2" t="s">
        <v>6707</v>
      </c>
      <c r="CB1923" s="2" t="s">
        <v>5455</v>
      </c>
      <c r="CC1923" s="2" t="s">
        <v>246</v>
      </c>
      <c r="CD1923" s="2" t="s">
        <v>233</v>
      </c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  <c r="HG1923" s="4"/>
      <c r="HH1923" s="4"/>
      <c r="HI1923" s="4"/>
      <c r="HJ1923" s="4"/>
      <c r="HK1923" s="4"/>
      <c r="HL1923" s="4"/>
      <c r="HM1923" s="4"/>
      <c r="HN1923" s="4"/>
      <c r="HO1923" s="4"/>
      <c r="HP1923" s="4"/>
      <c r="HQ1923" s="4"/>
      <c r="HR1923" s="4"/>
    </row>
    <row r="1924">
      <c r="A1924" s="2" t="s">
        <v>8836</v>
      </c>
      <c r="B1924" s="2" t="s">
        <v>1242</v>
      </c>
      <c r="C1924" s="2" t="s">
        <v>701</v>
      </c>
      <c r="D1924" s="2" t="s">
        <v>969</v>
      </c>
      <c r="E1924" s="2" t="s">
        <v>3334</v>
      </c>
      <c r="F1924" s="2" t="s">
        <v>8827</v>
      </c>
      <c r="G1924" s="2" t="s">
        <v>8827</v>
      </c>
      <c r="H1924" s="2" t="s">
        <v>8827</v>
      </c>
      <c r="I1924" s="2" t="s">
        <v>8828</v>
      </c>
      <c r="J1924" s="2" t="s">
        <v>328</v>
      </c>
      <c r="K1924" s="2" t="s">
        <v>255</v>
      </c>
      <c r="L1924" s="3">
        <v>52.38</v>
      </c>
      <c r="M1924" s="3">
        <v>55</v>
      </c>
      <c r="N1924" s="3">
        <v>109.99</v>
      </c>
      <c r="O1924" s="2" t="s">
        <v>245</v>
      </c>
      <c r="P1924" s="2" t="s">
        <v>996</v>
      </c>
      <c r="Q1924" s="2" t="s">
        <v>239</v>
      </c>
      <c r="R1924" s="2" t="s">
        <v>233</v>
      </c>
      <c r="S1924" s="2" t="s">
        <v>8833</v>
      </c>
      <c r="T1924" s="2" t="s">
        <v>395</v>
      </c>
      <c r="U1924" s="2" t="s">
        <v>3750</v>
      </c>
      <c r="V1924" s="2" t="s">
        <v>1085</v>
      </c>
      <c r="W1924" s="2" t="s">
        <v>397</v>
      </c>
      <c r="X1924" s="2" t="s">
        <v>233</v>
      </c>
      <c r="Y1924" s="2" t="s">
        <v>3464</v>
      </c>
      <c r="Z1924" s="4"/>
      <c r="AA1924" s="4">
        <f>=ROUNDDOWN({0},0)</f>
      </c>
      <c r="AB1924" s="5">
        <v>7.4</v>
      </c>
      <c r="AC1924" s="2" t="s">
        <v>233</v>
      </c>
      <c r="AD1924" s="4"/>
      <c r="AE1924" s="4"/>
      <c r="AF1924" s="6"/>
      <c r="AG1924" s="6"/>
      <c r="AH1924" s="7">
        <v>0</v>
      </c>
      <c r="AI1924" s="4"/>
      <c r="AJ1924" s="4">
        <f>=ROUNDDOWN({0},0)</f>
      </c>
      <c r="AK1924" s="5"/>
      <c r="AL1924" s="2" t="s">
        <v>233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 t="s">
        <v>233</v>
      </c>
      <c r="AW1924" s="8" t="s">
        <v>233</v>
      </c>
      <c r="AX1924" s="4" t="s">
        <v>233</v>
      </c>
      <c r="AY1924" s="8" t="s">
        <v>233</v>
      </c>
      <c r="AZ1924" s="7" t="s">
        <v>233</v>
      </c>
      <c r="BA1924" s="7" t="s">
        <v>233</v>
      </c>
      <c r="BB1924" s="7"/>
      <c r="BC1924" s="4" t="s">
        <v>233</v>
      </c>
      <c r="BD1924" s="8" t="s">
        <v>233</v>
      </c>
      <c r="BE1924" s="4" t="s">
        <v>233</v>
      </c>
      <c r="BF1924" s="8" t="s">
        <v>233</v>
      </c>
      <c r="BG1924" s="7" t="s">
        <v>233</v>
      </c>
      <c r="BH1924" s="7" t="s">
        <v>233</v>
      </c>
      <c r="BI1924" s="7"/>
      <c r="BJ1924" s="4"/>
      <c r="BK1924" s="8"/>
      <c r="BL1924" s="2" t="s">
        <v>8837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8838</v>
      </c>
      <c r="BV1924" s="2" t="s">
        <v>233</v>
      </c>
      <c r="BW1924" s="2" t="s">
        <v>233</v>
      </c>
      <c r="BX1924" s="2" t="s">
        <v>233</v>
      </c>
      <c r="BY1924" s="2" t="s">
        <v>280</v>
      </c>
      <c r="BZ1924" s="2" t="s">
        <v>245</v>
      </c>
      <c r="CA1924" s="2" t="s">
        <v>6707</v>
      </c>
      <c r="CB1924" s="2" t="s">
        <v>3300</v>
      </c>
      <c r="CC1924" s="2" t="s">
        <v>246</v>
      </c>
      <c r="CD1924" s="2" t="s">
        <v>233</v>
      </c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  <c r="HF1924" s="4"/>
      <c r="HG1924" s="4"/>
      <c r="HH1924" s="4"/>
      <c r="HI1924" s="4"/>
      <c r="HJ1924" s="4"/>
      <c r="HK1924" s="4"/>
      <c r="HL1924" s="4"/>
      <c r="HM1924" s="4"/>
      <c r="HN1924" s="4"/>
      <c r="HO1924" s="4"/>
      <c r="HP1924" s="4"/>
      <c r="HQ1924" s="4"/>
      <c r="HR1924" s="4"/>
    </row>
    <row r="1925">
      <c r="A1925" s="2" t="s">
        <v>8839</v>
      </c>
      <c r="B1925" s="2" t="s">
        <v>228</v>
      </c>
      <c r="C1925" s="2" t="s">
        <v>530</v>
      </c>
      <c r="D1925" s="2" t="s">
        <v>969</v>
      </c>
      <c r="E1925" s="2" t="s">
        <v>970</v>
      </c>
      <c r="F1925" s="2" t="s">
        <v>8840</v>
      </c>
      <c r="G1925" s="2" t="s">
        <v>8841</v>
      </c>
      <c r="H1925" s="2" t="s">
        <v>233</v>
      </c>
      <c r="I1925" s="2" t="s">
        <v>8842</v>
      </c>
      <c r="J1925" s="2" t="s">
        <v>918</v>
      </c>
      <c r="K1925" s="2" t="s">
        <v>569</v>
      </c>
      <c r="L1925" s="3">
        <v>38.4</v>
      </c>
      <c r="M1925" s="3">
        <v>40.32</v>
      </c>
      <c r="N1925" s="3">
        <v>79.99</v>
      </c>
      <c r="O1925" s="2" t="s">
        <v>245</v>
      </c>
      <c r="P1925" s="2" t="s">
        <v>311</v>
      </c>
      <c r="Q1925" s="2" t="s">
        <v>239</v>
      </c>
      <c r="R1925" s="2" t="s">
        <v>233</v>
      </c>
      <c r="S1925" s="2" t="s">
        <v>8843</v>
      </c>
      <c r="T1925" s="2" t="s">
        <v>976</v>
      </c>
      <c r="U1925" s="2" t="s">
        <v>233</v>
      </c>
      <c r="V1925" s="2" t="s">
        <v>1932</v>
      </c>
      <c r="W1925" s="2" t="s">
        <v>1056</v>
      </c>
      <c r="X1925" s="2" t="s">
        <v>776</v>
      </c>
      <c r="Y1925" s="2" t="s">
        <v>8844</v>
      </c>
      <c r="Z1925" s="4"/>
      <c r="AA1925" s="4">
        <f>=ROUNDDOWN({0},0)</f>
      </c>
      <c r="AB1925" s="5">
        <v>4</v>
      </c>
      <c r="AC1925" s="2" t="s">
        <v>233</v>
      </c>
      <c r="AD1925" s="4"/>
      <c r="AE1925" s="4"/>
      <c r="AF1925" s="6">
        <v>65</v>
      </c>
      <c r="AG1925" s="6"/>
      <c r="AH1925" s="7">
        <v>0</v>
      </c>
      <c r="AI1925" s="4"/>
      <c r="AJ1925" s="4">
        <f>=ROUNDDOWN({0},0)</f>
      </c>
      <c r="AK1925" s="5"/>
      <c r="AL1925" s="2" t="s">
        <v>233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/>
      <c r="BK1925" s="8"/>
      <c r="BL1925" s="2" t="s">
        <v>233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8845</v>
      </c>
      <c r="BV1925" s="2" t="s">
        <v>233</v>
      </c>
      <c r="BW1925" s="2" t="s">
        <v>233</v>
      </c>
      <c r="BX1925" s="2" t="s">
        <v>233</v>
      </c>
      <c r="BY1925" s="2" t="s">
        <v>280</v>
      </c>
      <c r="BZ1925" s="2" t="s">
        <v>245</v>
      </c>
      <c r="CA1925" s="2" t="s">
        <v>1625</v>
      </c>
      <c r="CB1925" s="2" t="s">
        <v>3618</v>
      </c>
      <c r="CC1925" s="2" t="s">
        <v>246</v>
      </c>
      <c r="CD1925" s="2" t="s">
        <v>233</v>
      </c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  <c r="HG1925" s="4"/>
      <c r="HH1925" s="4"/>
      <c r="HI1925" s="4"/>
      <c r="HJ1925" s="4"/>
      <c r="HK1925" s="4"/>
      <c r="HL1925" s="4"/>
      <c r="HM1925" s="4"/>
      <c r="HN1925" s="4"/>
      <c r="HO1925" s="4"/>
      <c r="HP1925" s="4"/>
      <c r="HQ1925" s="4"/>
      <c r="HR1925" s="4"/>
    </row>
    <row r="1926">
      <c r="A1926" s="2" t="s">
        <v>8846</v>
      </c>
      <c r="B1926" s="2" t="s">
        <v>989</v>
      </c>
      <c r="C1926" s="2" t="s">
        <v>901</v>
      </c>
      <c r="D1926" s="2" t="s">
        <v>991</v>
      </c>
      <c r="E1926" s="2" t="s">
        <v>992</v>
      </c>
      <c r="F1926" s="2" t="s">
        <v>1770</v>
      </c>
      <c r="G1926" s="2" t="s">
        <v>2342</v>
      </c>
      <c r="H1926" s="2" t="s">
        <v>8847</v>
      </c>
      <c r="I1926" s="2" t="s">
        <v>8848</v>
      </c>
      <c r="J1926" s="2" t="s">
        <v>892</v>
      </c>
      <c r="K1926" s="2" t="s">
        <v>773</v>
      </c>
      <c r="L1926" s="3">
        <v>26.65</v>
      </c>
      <c r="M1926" s="3">
        <v>27.98</v>
      </c>
      <c r="N1926" s="3">
        <v>59.99</v>
      </c>
      <c r="O1926" s="2" t="s">
        <v>245</v>
      </c>
      <c r="P1926" s="2" t="s">
        <v>311</v>
      </c>
      <c r="Q1926" s="2" t="s">
        <v>239</v>
      </c>
      <c r="R1926" s="2" t="s">
        <v>233</v>
      </c>
      <c r="S1926" s="2" t="s">
        <v>8849</v>
      </c>
      <c r="T1926" s="2" t="s">
        <v>341</v>
      </c>
      <c r="U1926" s="2" t="s">
        <v>871</v>
      </c>
      <c r="V1926" s="2" t="s">
        <v>241</v>
      </c>
      <c r="W1926" s="2" t="s">
        <v>1763</v>
      </c>
      <c r="X1926" s="2" t="s">
        <v>275</v>
      </c>
      <c r="Y1926" s="2" t="s">
        <v>5265</v>
      </c>
      <c r="Z1926" s="4">
        <v>336</v>
      </c>
      <c r="AA1926" s="4">
        <f>=ROUNDDOWN(84,0)</f>
      </c>
      <c r="AB1926" s="5">
        <v>4</v>
      </c>
      <c r="AC1926" s="2" t="s">
        <v>233</v>
      </c>
      <c r="AD1926" s="4"/>
      <c r="AE1926" s="4"/>
      <c r="AF1926" s="6">
        <v>67</v>
      </c>
      <c r="AG1926" s="6"/>
      <c r="AH1926" s="7">
        <v>1</v>
      </c>
      <c r="AI1926" s="4"/>
      <c r="AJ1926" s="4">
        <f>=ROUNDDOWN({0},0)</f>
      </c>
      <c r="AK1926" s="5"/>
      <c r="AL1926" s="2" t="s">
        <v>233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233</v>
      </c>
      <c r="BD1926" s="8" t="s">
        <v>233</v>
      </c>
      <c r="BE1926" s="4" t="s">
        <v>233</v>
      </c>
      <c r="BF1926" s="8" t="s">
        <v>233</v>
      </c>
      <c r="BG1926" s="7" t="s">
        <v>233</v>
      </c>
      <c r="BH1926" s="7" t="s">
        <v>233</v>
      </c>
      <c r="BI1926" s="7"/>
      <c r="BJ1926" s="4">
        <v>10</v>
      </c>
      <c r="BK1926" s="8">
        <v>295.5</v>
      </c>
      <c r="BL1926" s="2" t="s">
        <v>8850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8851</v>
      </c>
      <c r="BV1926" s="2" t="s">
        <v>233</v>
      </c>
      <c r="BW1926" s="2" t="s">
        <v>233</v>
      </c>
      <c r="BX1926" s="2" t="s">
        <v>233</v>
      </c>
      <c r="BY1926" s="2" t="s">
        <v>280</v>
      </c>
      <c r="BZ1926" s="2" t="s">
        <v>245</v>
      </c>
      <c r="CA1926" s="2" t="s">
        <v>5688</v>
      </c>
      <c r="CB1926" s="2" t="s">
        <v>2090</v>
      </c>
      <c r="CC1926" s="2" t="s">
        <v>246</v>
      </c>
      <c r="CD1926" s="2" t="s">
        <v>233</v>
      </c>
      <c r="CE1926" s="4">
        <v>336</v>
      </c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/>
      <c r="HB1926" s="4"/>
      <c r="HC1926" s="4"/>
      <c r="HD1926" s="4"/>
      <c r="HE1926" s="4"/>
      <c r="HF1926" s="4"/>
      <c r="HG1926" s="4"/>
      <c r="HH1926" s="4"/>
      <c r="HI1926" s="4"/>
      <c r="HJ1926" s="4"/>
      <c r="HK1926" s="4"/>
      <c r="HL1926" s="4"/>
      <c r="HM1926" s="4"/>
      <c r="HN1926" s="4"/>
      <c r="HO1926" s="4"/>
      <c r="HP1926" s="4"/>
      <c r="HQ1926" s="4"/>
      <c r="HR1926" s="4"/>
    </row>
    <row r="1927">
      <c r="A1927" s="2" t="s">
        <v>8852</v>
      </c>
      <c r="B1927" s="2" t="s">
        <v>1276</v>
      </c>
      <c r="C1927" s="2" t="s">
        <v>1277</v>
      </c>
      <c r="D1927" s="2" t="s">
        <v>1278</v>
      </c>
      <c r="E1927" s="2" t="s">
        <v>1279</v>
      </c>
      <c r="F1927" s="2" t="s">
        <v>1770</v>
      </c>
      <c r="G1927" s="2" t="s">
        <v>1770</v>
      </c>
      <c r="H1927" s="2" t="s">
        <v>1770</v>
      </c>
      <c r="I1927" s="2" t="s">
        <v>8853</v>
      </c>
      <c r="J1927" s="2" t="s">
        <v>2695</v>
      </c>
      <c r="K1927" s="2" t="s">
        <v>255</v>
      </c>
      <c r="L1927" s="3">
        <v>8.66</v>
      </c>
      <c r="M1927" s="3">
        <v>9.09</v>
      </c>
      <c r="N1927" s="3">
        <v>19.99</v>
      </c>
      <c r="O1927" s="2" t="s">
        <v>245</v>
      </c>
      <c r="P1927" s="2" t="s">
        <v>238</v>
      </c>
      <c r="Q1927" s="2" t="s">
        <v>239</v>
      </c>
      <c r="R1927" s="2" t="s">
        <v>233</v>
      </c>
      <c r="S1927" s="2" t="s">
        <v>233</v>
      </c>
      <c r="T1927" s="2" t="s">
        <v>233</v>
      </c>
      <c r="U1927" s="2" t="s">
        <v>396</v>
      </c>
      <c r="V1927" s="2" t="s">
        <v>893</v>
      </c>
      <c r="W1927" s="2" t="s">
        <v>275</v>
      </c>
      <c r="X1927" s="2" t="s">
        <v>233</v>
      </c>
      <c r="Y1927" s="2" t="s">
        <v>2973</v>
      </c>
      <c r="Z1927" s="4">
        <v>1800</v>
      </c>
      <c r="AA1927" s="4">
        <f>=ROUNDDOWN(60,0)</f>
      </c>
      <c r="AB1927" s="5">
        <v>30</v>
      </c>
      <c r="AC1927" s="2" t="s">
        <v>233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233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233</v>
      </c>
      <c r="AW1927" s="8" t="s">
        <v>233</v>
      </c>
      <c r="AX1927" s="4" t="s">
        <v>233</v>
      </c>
      <c r="AY1927" s="8" t="s">
        <v>233</v>
      </c>
      <c r="AZ1927" s="7" t="s">
        <v>233</v>
      </c>
      <c r="BA1927" s="7" t="s">
        <v>233</v>
      </c>
      <c r="BB1927" s="7"/>
      <c r="BC1927" s="4" t="s">
        <v>233</v>
      </c>
      <c r="BD1927" s="8" t="s">
        <v>233</v>
      </c>
      <c r="BE1927" s="4" t="s">
        <v>233</v>
      </c>
      <c r="BF1927" s="8" t="s">
        <v>233</v>
      </c>
      <c r="BG1927" s="7" t="s">
        <v>233</v>
      </c>
      <c r="BH1927" s="7" t="s">
        <v>233</v>
      </c>
      <c r="BI1927" s="7"/>
      <c r="BJ1927" s="4">
        <v>30</v>
      </c>
      <c r="BK1927" s="8">
        <v>295.36</v>
      </c>
      <c r="BL1927" s="2" t="s">
        <v>5134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243</v>
      </c>
      <c r="BV1927" s="2" t="s">
        <v>233</v>
      </c>
      <c r="BW1927" s="2" t="s">
        <v>233</v>
      </c>
      <c r="BX1927" s="2" t="s">
        <v>243</v>
      </c>
      <c r="BY1927" s="2" t="s">
        <v>346</v>
      </c>
      <c r="BZ1927" s="2" t="s">
        <v>245</v>
      </c>
      <c r="CA1927" s="2" t="s">
        <v>233</v>
      </c>
      <c r="CB1927" s="2" t="s">
        <v>233</v>
      </c>
      <c r="CC1927" s="2" t="s">
        <v>246</v>
      </c>
      <c r="CD1927" s="2" t="s">
        <v>233</v>
      </c>
      <c r="CE1927" s="4"/>
      <c r="CF1927" s="4">
        <v>355</v>
      </c>
      <c r="CG1927" s="4"/>
      <c r="CH1927" s="4"/>
      <c r="CI1927" s="4">
        <v>1445</v>
      </c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/>
      <c r="GX1927" s="4"/>
      <c r="GY1927" s="4"/>
      <c r="GZ1927" s="4"/>
      <c r="HA1927" s="4"/>
      <c r="HB1927" s="4"/>
      <c r="HC1927" s="4"/>
      <c r="HD1927" s="4"/>
      <c r="HE1927" s="4"/>
      <c r="HF1927" s="4"/>
      <c r="HG1927" s="4"/>
      <c r="HH1927" s="4"/>
      <c r="HI1927" s="4"/>
      <c r="HJ1927" s="4"/>
      <c r="HK1927" s="4"/>
      <c r="HL1927" s="4"/>
      <c r="HM1927" s="4"/>
      <c r="HN1927" s="4"/>
      <c r="HO1927" s="4"/>
      <c r="HP1927" s="4"/>
      <c r="HQ1927" s="4"/>
      <c r="HR1927" s="4"/>
    </row>
    <row r="1928">
      <c r="A1928" s="2" t="s">
        <v>8854</v>
      </c>
      <c r="B1928" s="2" t="s">
        <v>1276</v>
      </c>
      <c r="C1928" s="2" t="s">
        <v>1277</v>
      </c>
      <c r="D1928" s="2" t="s">
        <v>1278</v>
      </c>
      <c r="E1928" s="2" t="s">
        <v>1279</v>
      </c>
      <c r="F1928" s="2" t="s">
        <v>1770</v>
      </c>
      <c r="G1928" s="2" t="s">
        <v>1770</v>
      </c>
      <c r="H1928" s="2" t="s">
        <v>1770</v>
      </c>
      <c r="I1928" s="2" t="s">
        <v>8853</v>
      </c>
      <c r="J1928" s="2" t="s">
        <v>1282</v>
      </c>
      <c r="K1928" s="2" t="s">
        <v>255</v>
      </c>
      <c r="L1928" s="3">
        <v>10.57</v>
      </c>
      <c r="M1928" s="3">
        <v>11.1</v>
      </c>
      <c r="N1928" s="3">
        <v>23.99</v>
      </c>
      <c r="O1928" s="2" t="s">
        <v>245</v>
      </c>
      <c r="P1928" s="2" t="s">
        <v>238</v>
      </c>
      <c r="Q1928" s="2" t="s">
        <v>239</v>
      </c>
      <c r="R1928" s="2" t="s">
        <v>233</v>
      </c>
      <c r="S1928" s="2" t="s">
        <v>233</v>
      </c>
      <c r="T1928" s="2" t="s">
        <v>233</v>
      </c>
      <c r="U1928" s="2" t="s">
        <v>396</v>
      </c>
      <c r="V1928" s="2" t="s">
        <v>893</v>
      </c>
      <c r="W1928" s="2" t="s">
        <v>275</v>
      </c>
      <c r="X1928" s="2" t="s">
        <v>233</v>
      </c>
      <c r="Y1928" s="2" t="s">
        <v>2973</v>
      </c>
      <c r="Z1928" s="4">
        <v>1821</v>
      </c>
      <c r="AA1928" s="4">
        <f>=ROUNDDOWN(113.8125,0)</f>
      </c>
      <c r="AB1928" s="5">
        <v>16</v>
      </c>
      <c r="AC1928" s="2" t="s">
        <v>233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233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233</v>
      </c>
      <c r="AW1928" s="8" t="s">
        <v>233</v>
      </c>
      <c r="AX1928" s="4" t="s">
        <v>233</v>
      </c>
      <c r="AY1928" s="8" t="s">
        <v>233</v>
      </c>
      <c r="AZ1928" s="7" t="s">
        <v>233</v>
      </c>
      <c r="BA1928" s="7" t="s">
        <v>233</v>
      </c>
      <c r="BB1928" s="7"/>
      <c r="BC1928" s="4" t="s">
        <v>233</v>
      </c>
      <c r="BD1928" s="8" t="s">
        <v>233</v>
      </c>
      <c r="BE1928" s="4" t="s">
        <v>233</v>
      </c>
      <c r="BF1928" s="8" t="s">
        <v>233</v>
      </c>
      <c r="BG1928" s="7" t="s">
        <v>233</v>
      </c>
      <c r="BH1928" s="7" t="s">
        <v>233</v>
      </c>
      <c r="BI1928" s="7"/>
      <c r="BJ1928" s="4">
        <v>35</v>
      </c>
      <c r="BK1928" s="8">
        <v>417.12</v>
      </c>
      <c r="BL1928" s="2" t="s">
        <v>5134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243</v>
      </c>
      <c r="BV1928" s="2" t="s">
        <v>233</v>
      </c>
      <c r="BW1928" s="2" t="s">
        <v>233</v>
      </c>
      <c r="BX1928" s="2" t="s">
        <v>243</v>
      </c>
      <c r="BY1928" s="2" t="s">
        <v>346</v>
      </c>
      <c r="BZ1928" s="2" t="s">
        <v>245</v>
      </c>
      <c r="CA1928" s="2" t="s">
        <v>233</v>
      </c>
      <c r="CB1928" s="2" t="s">
        <v>233</v>
      </c>
      <c r="CC1928" s="2" t="s">
        <v>246</v>
      </c>
      <c r="CD1928" s="2" t="s">
        <v>233</v>
      </c>
      <c r="CE1928" s="4"/>
      <c r="CF1928" s="4">
        <v>379</v>
      </c>
      <c r="CG1928" s="4"/>
      <c r="CH1928" s="4"/>
      <c r="CI1928" s="4">
        <v>1442</v>
      </c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/>
      <c r="HB1928" s="4"/>
      <c r="HC1928" s="4"/>
      <c r="HD1928" s="4"/>
      <c r="HE1928" s="4"/>
      <c r="HF1928" s="4"/>
      <c r="HG1928" s="4"/>
      <c r="HH1928" s="4"/>
      <c r="HI1928" s="4"/>
      <c r="HJ1928" s="4"/>
      <c r="HK1928" s="4"/>
      <c r="HL1928" s="4"/>
      <c r="HM1928" s="4"/>
      <c r="HN1928" s="4"/>
      <c r="HO1928" s="4"/>
      <c r="HP1928" s="4"/>
      <c r="HQ1928" s="4"/>
      <c r="HR1928" s="4"/>
    </row>
    <row r="1929">
      <c r="A1929" s="2" t="s">
        <v>8855</v>
      </c>
      <c r="B1929" s="2" t="s">
        <v>1276</v>
      </c>
      <c r="C1929" s="2" t="s">
        <v>1277</v>
      </c>
      <c r="D1929" s="2" t="s">
        <v>1278</v>
      </c>
      <c r="E1929" s="2" t="s">
        <v>1279</v>
      </c>
      <c r="F1929" s="2" t="s">
        <v>1770</v>
      </c>
      <c r="G1929" s="2" t="s">
        <v>1770</v>
      </c>
      <c r="H1929" s="2" t="s">
        <v>1770</v>
      </c>
      <c r="I1929" s="2" t="s">
        <v>8853</v>
      </c>
      <c r="J1929" s="2" t="s">
        <v>1287</v>
      </c>
      <c r="K1929" s="2" t="s">
        <v>255</v>
      </c>
      <c r="L1929" s="3">
        <v>13.42</v>
      </c>
      <c r="M1929" s="3">
        <v>14.09</v>
      </c>
      <c r="N1929" s="3">
        <v>29.99</v>
      </c>
      <c r="O1929" s="2" t="s">
        <v>245</v>
      </c>
      <c r="P1929" s="2" t="s">
        <v>238</v>
      </c>
      <c r="Q1929" s="2" t="s">
        <v>239</v>
      </c>
      <c r="R1929" s="2" t="s">
        <v>233</v>
      </c>
      <c r="S1929" s="2" t="s">
        <v>233</v>
      </c>
      <c r="T1929" s="2" t="s">
        <v>233</v>
      </c>
      <c r="U1929" s="2" t="s">
        <v>396</v>
      </c>
      <c r="V1929" s="2" t="s">
        <v>893</v>
      </c>
      <c r="W1929" s="2" t="s">
        <v>275</v>
      </c>
      <c r="X1929" s="2" t="s">
        <v>233</v>
      </c>
      <c r="Y1929" s="2" t="s">
        <v>2973</v>
      </c>
      <c r="Z1929" s="4">
        <v>1806</v>
      </c>
      <c r="AA1929" s="4">
        <f>=ROUNDDOWN(120.4,0)</f>
      </c>
      <c r="AB1929" s="5">
        <v>15</v>
      </c>
      <c r="AC1929" s="2" t="s">
        <v>233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233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 t="s">
        <v>233</v>
      </c>
      <c r="AW1929" s="8" t="s">
        <v>233</v>
      </c>
      <c r="AX1929" s="4" t="s">
        <v>233</v>
      </c>
      <c r="AY1929" s="8" t="s">
        <v>233</v>
      </c>
      <c r="AZ1929" s="7" t="s">
        <v>233</v>
      </c>
      <c r="BA1929" s="7" t="s">
        <v>233</v>
      </c>
      <c r="BB1929" s="7"/>
      <c r="BC1929" s="4" t="s">
        <v>233</v>
      </c>
      <c r="BD1929" s="8" t="s">
        <v>233</v>
      </c>
      <c r="BE1929" s="4" t="s">
        <v>233</v>
      </c>
      <c r="BF1929" s="8" t="s">
        <v>233</v>
      </c>
      <c r="BG1929" s="7" t="s">
        <v>233</v>
      </c>
      <c r="BH1929" s="7" t="s">
        <v>233</v>
      </c>
      <c r="BI1929" s="7"/>
      <c r="BJ1929" s="4">
        <v>35</v>
      </c>
      <c r="BK1929" s="8">
        <v>514.94</v>
      </c>
      <c r="BL1929" s="2" t="s">
        <v>5134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243</v>
      </c>
      <c r="BV1929" s="2" t="s">
        <v>233</v>
      </c>
      <c r="BW1929" s="2" t="s">
        <v>233</v>
      </c>
      <c r="BX1929" s="2" t="s">
        <v>243</v>
      </c>
      <c r="BY1929" s="2" t="s">
        <v>346</v>
      </c>
      <c r="BZ1929" s="2" t="s">
        <v>245</v>
      </c>
      <c r="CA1929" s="2" t="s">
        <v>233</v>
      </c>
      <c r="CB1929" s="2" t="s">
        <v>233</v>
      </c>
      <c r="CC1929" s="2" t="s">
        <v>246</v>
      </c>
      <c r="CD1929" s="2" t="s">
        <v>233</v>
      </c>
      <c r="CE1929" s="4"/>
      <c r="CF1929" s="4">
        <v>398</v>
      </c>
      <c r="CG1929" s="4"/>
      <c r="CH1929" s="4"/>
      <c r="CI1929" s="4">
        <v>1408</v>
      </c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/>
      <c r="GX1929" s="4"/>
      <c r="GY1929" s="4"/>
      <c r="GZ1929" s="4"/>
      <c r="HA1929" s="4"/>
      <c r="HB1929" s="4"/>
      <c r="HC1929" s="4"/>
      <c r="HD1929" s="4"/>
      <c r="HE1929" s="4"/>
      <c r="HF1929" s="4"/>
      <c r="HG1929" s="4"/>
      <c r="HH1929" s="4"/>
      <c r="HI1929" s="4"/>
      <c r="HJ1929" s="4"/>
      <c r="HK1929" s="4"/>
      <c r="HL1929" s="4"/>
      <c r="HM1929" s="4"/>
      <c r="HN1929" s="4"/>
      <c r="HO1929" s="4"/>
      <c r="HP1929" s="4"/>
      <c r="HQ1929" s="4"/>
      <c r="HR1929" s="4"/>
    </row>
    <row r="1930">
      <c r="A1930" s="2" t="s">
        <v>8856</v>
      </c>
      <c r="B1930" s="2" t="s">
        <v>1276</v>
      </c>
      <c r="C1930" s="2" t="s">
        <v>1277</v>
      </c>
      <c r="D1930" s="2" t="s">
        <v>1278</v>
      </c>
      <c r="E1930" s="2" t="s">
        <v>1279</v>
      </c>
      <c r="F1930" s="2" t="s">
        <v>1770</v>
      </c>
      <c r="G1930" s="2" t="s">
        <v>1770</v>
      </c>
      <c r="H1930" s="2" t="s">
        <v>1770</v>
      </c>
      <c r="I1930" s="2" t="s">
        <v>8853</v>
      </c>
      <c r="J1930" s="2" t="s">
        <v>1290</v>
      </c>
      <c r="K1930" s="2" t="s">
        <v>255</v>
      </c>
      <c r="L1930" s="3">
        <v>15.03</v>
      </c>
      <c r="M1930" s="3">
        <v>15.78</v>
      </c>
      <c r="N1930" s="3">
        <v>34.99</v>
      </c>
      <c r="O1930" s="2" t="s">
        <v>245</v>
      </c>
      <c r="P1930" s="2" t="s">
        <v>238</v>
      </c>
      <c r="Q1930" s="2" t="s">
        <v>239</v>
      </c>
      <c r="R1930" s="2" t="s">
        <v>233</v>
      </c>
      <c r="S1930" s="2" t="s">
        <v>233</v>
      </c>
      <c r="T1930" s="2" t="s">
        <v>233</v>
      </c>
      <c r="U1930" s="2" t="s">
        <v>396</v>
      </c>
      <c r="V1930" s="2" t="s">
        <v>893</v>
      </c>
      <c r="W1930" s="2" t="s">
        <v>275</v>
      </c>
      <c r="X1930" s="2" t="s">
        <v>233</v>
      </c>
      <c r="Y1930" s="2" t="s">
        <v>2973</v>
      </c>
      <c r="Z1930" s="4">
        <v>1891</v>
      </c>
      <c r="AA1930" s="4">
        <f>=ROUNDDOWN(210.111111111111,0)</f>
      </c>
      <c r="AB1930" s="5">
        <v>9</v>
      </c>
      <c r="AC1930" s="2" t="s">
        <v>233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233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 t="s">
        <v>233</v>
      </c>
      <c r="AW1930" s="8" t="s">
        <v>233</v>
      </c>
      <c r="AX1930" s="4" t="s">
        <v>233</v>
      </c>
      <c r="AY1930" s="8" t="s">
        <v>233</v>
      </c>
      <c r="AZ1930" s="7" t="s">
        <v>233</v>
      </c>
      <c r="BA1930" s="7" t="s">
        <v>233</v>
      </c>
      <c r="BB1930" s="7"/>
      <c r="BC1930" s="4" t="s">
        <v>233</v>
      </c>
      <c r="BD1930" s="8" t="s">
        <v>233</v>
      </c>
      <c r="BE1930" s="4" t="s">
        <v>233</v>
      </c>
      <c r="BF1930" s="8" t="s">
        <v>233</v>
      </c>
      <c r="BG1930" s="7" t="s">
        <v>233</v>
      </c>
      <c r="BH1930" s="7" t="s">
        <v>233</v>
      </c>
      <c r="BI1930" s="7"/>
      <c r="BJ1930" s="4">
        <v>8</v>
      </c>
      <c r="BK1930" s="8">
        <v>126.24</v>
      </c>
      <c r="BL1930" s="2" t="s">
        <v>1028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243</v>
      </c>
      <c r="BV1930" s="2" t="s">
        <v>233</v>
      </c>
      <c r="BW1930" s="2" t="s">
        <v>233</v>
      </c>
      <c r="BX1930" s="2" t="s">
        <v>243</v>
      </c>
      <c r="BY1930" s="2" t="s">
        <v>346</v>
      </c>
      <c r="BZ1930" s="2" t="s">
        <v>245</v>
      </c>
      <c r="CA1930" s="2" t="s">
        <v>233</v>
      </c>
      <c r="CB1930" s="2" t="s">
        <v>233</v>
      </c>
      <c r="CC1930" s="2" t="s">
        <v>246</v>
      </c>
      <c r="CD1930" s="2" t="s">
        <v>233</v>
      </c>
      <c r="CE1930" s="4"/>
      <c r="CF1930" s="4">
        <v>463</v>
      </c>
      <c r="CG1930" s="4"/>
      <c r="CH1930" s="4"/>
      <c r="CI1930" s="4">
        <v>1428</v>
      </c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/>
      <c r="GS1930" s="4"/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4"/>
      <c r="HE1930" s="4"/>
      <c r="HF1930" s="4"/>
      <c r="HG1930" s="4"/>
      <c r="HH1930" s="4"/>
      <c r="HI1930" s="4"/>
      <c r="HJ1930" s="4"/>
      <c r="HK1930" s="4"/>
      <c r="HL1930" s="4"/>
      <c r="HM1930" s="4"/>
      <c r="HN1930" s="4"/>
      <c r="HO1930" s="4"/>
      <c r="HP1930" s="4"/>
      <c r="HQ1930" s="4"/>
      <c r="HR1930" s="4"/>
    </row>
    <row r="1931">
      <c r="A1931" s="2" t="s">
        <v>8857</v>
      </c>
      <c r="B1931" s="2" t="s">
        <v>1276</v>
      </c>
      <c r="C1931" s="2" t="s">
        <v>1277</v>
      </c>
      <c r="D1931" s="2" t="s">
        <v>1278</v>
      </c>
      <c r="E1931" s="2" t="s">
        <v>1279</v>
      </c>
      <c r="F1931" s="2" t="s">
        <v>1770</v>
      </c>
      <c r="G1931" s="2" t="s">
        <v>1770</v>
      </c>
      <c r="H1931" s="2" t="s">
        <v>1770</v>
      </c>
      <c r="I1931" s="2" t="s">
        <v>8858</v>
      </c>
      <c r="J1931" s="2" t="s">
        <v>2695</v>
      </c>
      <c r="K1931" s="2" t="s">
        <v>8859</v>
      </c>
      <c r="L1931" s="3">
        <v>11.19</v>
      </c>
      <c r="M1931" s="3">
        <v>11.75</v>
      </c>
      <c r="N1931" s="3">
        <v>21.99</v>
      </c>
      <c r="O1931" s="2" t="s">
        <v>245</v>
      </c>
      <c r="P1931" s="2" t="s">
        <v>238</v>
      </c>
      <c r="Q1931" s="2" t="s">
        <v>239</v>
      </c>
      <c r="R1931" s="2" t="s">
        <v>233</v>
      </c>
      <c r="S1931" s="2" t="s">
        <v>233</v>
      </c>
      <c r="T1931" s="2" t="s">
        <v>233</v>
      </c>
      <c r="U1931" s="2" t="s">
        <v>396</v>
      </c>
      <c r="V1931" s="2" t="s">
        <v>893</v>
      </c>
      <c r="W1931" s="2" t="s">
        <v>275</v>
      </c>
      <c r="X1931" s="2" t="s">
        <v>233</v>
      </c>
      <c r="Y1931" s="2" t="s">
        <v>1800</v>
      </c>
      <c r="Z1931" s="4">
        <v>1915</v>
      </c>
      <c r="AA1931" s="4">
        <f>=ROUNDDOWN(136.785714285714,0)</f>
      </c>
      <c r="AB1931" s="5">
        <v>14</v>
      </c>
      <c r="AC1931" s="2" t="s">
        <v>233</v>
      </c>
      <c r="AD1931" s="4"/>
      <c r="AE1931" s="4"/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233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 t="s">
        <v>233</v>
      </c>
      <c r="AW1931" s="8" t="s">
        <v>233</v>
      </c>
      <c r="AX1931" s="4" t="s">
        <v>233</v>
      </c>
      <c r="AY1931" s="8" t="s">
        <v>233</v>
      </c>
      <c r="AZ1931" s="7" t="s">
        <v>233</v>
      </c>
      <c r="BA1931" s="7" t="s">
        <v>233</v>
      </c>
      <c r="BB1931" s="7"/>
      <c r="BC1931" s="4" t="s">
        <v>233</v>
      </c>
      <c r="BD1931" s="8" t="s">
        <v>233</v>
      </c>
      <c r="BE1931" s="4" t="s">
        <v>233</v>
      </c>
      <c r="BF1931" s="8" t="s">
        <v>233</v>
      </c>
      <c r="BG1931" s="7" t="s">
        <v>233</v>
      </c>
      <c r="BH1931" s="7" t="s">
        <v>233</v>
      </c>
      <c r="BI1931" s="7"/>
      <c r="BJ1931" s="4">
        <v>8</v>
      </c>
      <c r="BK1931" s="8">
        <v>112.08</v>
      </c>
      <c r="BL1931" s="2" t="s">
        <v>8860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243</v>
      </c>
      <c r="BV1931" s="2" t="s">
        <v>233</v>
      </c>
      <c r="BW1931" s="2" t="s">
        <v>233</v>
      </c>
      <c r="BX1931" s="2" t="s">
        <v>243</v>
      </c>
      <c r="BY1931" s="2" t="s">
        <v>346</v>
      </c>
      <c r="BZ1931" s="2" t="s">
        <v>245</v>
      </c>
      <c r="CA1931" s="2" t="s">
        <v>233</v>
      </c>
      <c r="CB1931" s="2" t="s">
        <v>233</v>
      </c>
      <c r="CC1931" s="2" t="s">
        <v>246</v>
      </c>
      <c r="CD1931" s="2" t="s">
        <v>233</v>
      </c>
      <c r="CE1931" s="4"/>
      <c r="CF1931" s="4">
        <v>454</v>
      </c>
      <c r="CG1931" s="4"/>
      <c r="CH1931" s="4"/>
      <c r="CI1931" s="4">
        <v>1461</v>
      </c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4"/>
      <c r="HE1931" s="4"/>
      <c r="HF1931" s="4"/>
      <c r="HG1931" s="4"/>
      <c r="HH1931" s="4"/>
      <c r="HI1931" s="4"/>
      <c r="HJ1931" s="4"/>
      <c r="HK1931" s="4"/>
      <c r="HL1931" s="4"/>
      <c r="HM1931" s="4"/>
      <c r="HN1931" s="4"/>
      <c r="HO1931" s="4"/>
      <c r="HP1931" s="4"/>
      <c r="HQ1931" s="4"/>
      <c r="HR1931" s="4"/>
    </row>
    <row r="1932">
      <c r="A1932" s="2" t="s">
        <v>8861</v>
      </c>
      <c r="B1932" s="2" t="s">
        <v>1276</v>
      </c>
      <c r="C1932" s="2" t="s">
        <v>1277</v>
      </c>
      <c r="D1932" s="2" t="s">
        <v>1278</v>
      </c>
      <c r="E1932" s="2" t="s">
        <v>1279</v>
      </c>
      <c r="F1932" s="2" t="s">
        <v>1770</v>
      </c>
      <c r="G1932" s="2" t="s">
        <v>1770</v>
      </c>
      <c r="H1932" s="2" t="s">
        <v>1770</v>
      </c>
      <c r="I1932" s="2" t="s">
        <v>8858</v>
      </c>
      <c r="J1932" s="2" t="s">
        <v>1282</v>
      </c>
      <c r="K1932" s="2" t="s">
        <v>8859</v>
      </c>
      <c r="L1932" s="3">
        <v>13.49</v>
      </c>
      <c r="M1932" s="3">
        <v>14.16</v>
      </c>
      <c r="N1932" s="3">
        <v>24.99</v>
      </c>
      <c r="O1932" s="2" t="s">
        <v>245</v>
      </c>
      <c r="P1932" s="2" t="s">
        <v>238</v>
      </c>
      <c r="Q1932" s="2" t="s">
        <v>239</v>
      </c>
      <c r="R1932" s="2" t="s">
        <v>233</v>
      </c>
      <c r="S1932" s="2" t="s">
        <v>233</v>
      </c>
      <c r="T1932" s="2" t="s">
        <v>233</v>
      </c>
      <c r="U1932" s="2" t="s">
        <v>396</v>
      </c>
      <c r="V1932" s="2" t="s">
        <v>893</v>
      </c>
      <c r="W1932" s="2" t="s">
        <v>275</v>
      </c>
      <c r="X1932" s="2" t="s">
        <v>233</v>
      </c>
      <c r="Y1932" s="2" t="s">
        <v>1800</v>
      </c>
      <c r="Z1932" s="4">
        <v>1873</v>
      </c>
      <c r="AA1932" s="4">
        <f>=ROUNDDOWN(124.866666666667,0)</f>
      </c>
      <c r="AB1932" s="5">
        <v>15</v>
      </c>
      <c r="AC1932" s="2" t="s">
        <v>233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233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 t="s">
        <v>233</v>
      </c>
      <c r="AW1932" s="8" t="s">
        <v>233</v>
      </c>
      <c r="AX1932" s="4" t="s">
        <v>233</v>
      </c>
      <c r="AY1932" s="8" t="s">
        <v>233</v>
      </c>
      <c r="AZ1932" s="7" t="s">
        <v>233</v>
      </c>
      <c r="BA1932" s="7" t="s">
        <v>233</v>
      </c>
      <c r="BB1932" s="7"/>
      <c r="BC1932" s="4" t="s">
        <v>233</v>
      </c>
      <c r="BD1932" s="8" t="s">
        <v>233</v>
      </c>
      <c r="BE1932" s="4" t="s">
        <v>233</v>
      </c>
      <c r="BF1932" s="8" t="s">
        <v>233</v>
      </c>
      <c r="BG1932" s="7" t="s">
        <v>233</v>
      </c>
      <c r="BH1932" s="7" t="s">
        <v>233</v>
      </c>
      <c r="BI1932" s="7"/>
      <c r="BJ1932" s="4">
        <v>20</v>
      </c>
      <c r="BK1932" s="8">
        <v>319.68</v>
      </c>
      <c r="BL1932" s="2" t="s">
        <v>8860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243</v>
      </c>
      <c r="BV1932" s="2" t="s">
        <v>233</v>
      </c>
      <c r="BW1932" s="2" t="s">
        <v>233</v>
      </c>
      <c r="BX1932" s="2" t="s">
        <v>243</v>
      </c>
      <c r="BY1932" s="2" t="s">
        <v>346</v>
      </c>
      <c r="BZ1932" s="2" t="s">
        <v>245</v>
      </c>
      <c r="CA1932" s="2" t="s">
        <v>233</v>
      </c>
      <c r="CB1932" s="2" t="s">
        <v>233</v>
      </c>
      <c r="CC1932" s="2" t="s">
        <v>246</v>
      </c>
      <c r="CD1932" s="2" t="s">
        <v>233</v>
      </c>
      <c r="CE1932" s="4"/>
      <c r="CF1932" s="4">
        <v>431</v>
      </c>
      <c r="CG1932" s="4"/>
      <c r="CH1932" s="4"/>
      <c r="CI1932" s="4">
        <v>1442</v>
      </c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/>
      <c r="HF1932" s="4"/>
      <c r="HG1932" s="4"/>
      <c r="HH1932" s="4"/>
      <c r="HI1932" s="4"/>
      <c r="HJ1932" s="4"/>
      <c r="HK1932" s="4"/>
      <c r="HL1932" s="4"/>
      <c r="HM1932" s="4"/>
      <c r="HN1932" s="4"/>
      <c r="HO1932" s="4"/>
      <c r="HP1932" s="4"/>
      <c r="HQ1932" s="4"/>
      <c r="HR1932" s="4"/>
    </row>
    <row r="1933">
      <c r="A1933" s="2" t="s">
        <v>8862</v>
      </c>
      <c r="B1933" s="2" t="s">
        <v>1276</v>
      </c>
      <c r="C1933" s="2" t="s">
        <v>1277</v>
      </c>
      <c r="D1933" s="2" t="s">
        <v>1278</v>
      </c>
      <c r="E1933" s="2" t="s">
        <v>1279</v>
      </c>
      <c r="F1933" s="2" t="s">
        <v>1770</v>
      </c>
      <c r="G1933" s="2" t="s">
        <v>1770</v>
      </c>
      <c r="H1933" s="2" t="s">
        <v>1770</v>
      </c>
      <c r="I1933" s="2" t="s">
        <v>8858</v>
      </c>
      <c r="J1933" s="2" t="s">
        <v>1287</v>
      </c>
      <c r="K1933" s="2" t="s">
        <v>8859</v>
      </c>
      <c r="L1933" s="3">
        <v>18.65</v>
      </c>
      <c r="M1933" s="3">
        <v>19.58</v>
      </c>
      <c r="N1933" s="3">
        <v>26.99</v>
      </c>
      <c r="O1933" s="2" t="s">
        <v>245</v>
      </c>
      <c r="P1933" s="2" t="s">
        <v>238</v>
      </c>
      <c r="Q1933" s="2" t="s">
        <v>239</v>
      </c>
      <c r="R1933" s="2" t="s">
        <v>233</v>
      </c>
      <c r="S1933" s="2" t="s">
        <v>233</v>
      </c>
      <c r="T1933" s="2" t="s">
        <v>233</v>
      </c>
      <c r="U1933" s="2" t="s">
        <v>396</v>
      </c>
      <c r="V1933" s="2" t="s">
        <v>893</v>
      </c>
      <c r="W1933" s="2" t="s">
        <v>275</v>
      </c>
      <c r="X1933" s="2" t="s">
        <v>233</v>
      </c>
      <c r="Y1933" s="2" t="s">
        <v>1800</v>
      </c>
      <c r="Z1933" s="4">
        <v>1866</v>
      </c>
      <c r="AA1933" s="4">
        <f>=ROUNDDOWN(109.764705882353,0)</f>
      </c>
      <c r="AB1933" s="5">
        <v>17</v>
      </c>
      <c r="AC1933" s="2" t="s">
        <v>233</v>
      </c>
      <c r="AD1933" s="4"/>
      <c r="AE1933" s="4"/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233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 t="s">
        <v>233</v>
      </c>
      <c r="AW1933" s="8" t="s">
        <v>233</v>
      </c>
      <c r="AX1933" s="4" t="s">
        <v>233</v>
      </c>
      <c r="AY1933" s="8" t="s">
        <v>233</v>
      </c>
      <c r="AZ1933" s="7" t="s">
        <v>233</v>
      </c>
      <c r="BA1933" s="7" t="s">
        <v>233</v>
      </c>
      <c r="BB1933" s="7"/>
      <c r="BC1933" s="4" t="s">
        <v>233</v>
      </c>
      <c r="BD1933" s="8" t="s">
        <v>233</v>
      </c>
      <c r="BE1933" s="4" t="s">
        <v>233</v>
      </c>
      <c r="BF1933" s="8" t="s">
        <v>233</v>
      </c>
      <c r="BG1933" s="7" t="s">
        <v>233</v>
      </c>
      <c r="BH1933" s="7" t="s">
        <v>233</v>
      </c>
      <c r="BI1933" s="7"/>
      <c r="BJ1933" s="4">
        <v>16</v>
      </c>
      <c r="BK1933" s="8">
        <v>346.73</v>
      </c>
      <c r="BL1933" s="2" t="s">
        <v>8863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243</v>
      </c>
      <c r="BV1933" s="2" t="s">
        <v>233</v>
      </c>
      <c r="BW1933" s="2" t="s">
        <v>233</v>
      </c>
      <c r="BX1933" s="2" t="s">
        <v>243</v>
      </c>
      <c r="BY1933" s="2" t="s">
        <v>346</v>
      </c>
      <c r="BZ1933" s="2" t="s">
        <v>245</v>
      </c>
      <c r="CA1933" s="2" t="s">
        <v>233</v>
      </c>
      <c r="CB1933" s="2" t="s">
        <v>233</v>
      </c>
      <c r="CC1933" s="2" t="s">
        <v>246</v>
      </c>
      <c r="CD1933" s="2" t="s">
        <v>233</v>
      </c>
      <c r="CE1933" s="4"/>
      <c r="CF1933" s="4">
        <v>403</v>
      </c>
      <c r="CG1933" s="4"/>
      <c r="CH1933" s="4"/>
      <c r="CI1933" s="4">
        <v>1463</v>
      </c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/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4"/>
      <c r="HG1933" s="4"/>
      <c r="HH1933" s="4"/>
      <c r="HI1933" s="4"/>
      <c r="HJ1933" s="4"/>
      <c r="HK1933" s="4"/>
      <c r="HL1933" s="4"/>
      <c r="HM1933" s="4"/>
      <c r="HN1933" s="4"/>
      <c r="HO1933" s="4"/>
      <c r="HP1933" s="4"/>
      <c r="HQ1933" s="4"/>
      <c r="HR1933" s="4"/>
    </row>
    <row r="1934">
      <c r="A1934" s="2" t="s">
        <v>8864</v>
      </c>
      <c r="B1934" s="2" t="s">
        <v>1276</v>
      </c>
      <c r="C1934" s="2" t="s">
        <v>1277</v>
      </c>
      <c r="D1934" s="2" t="s">
        <v>1278</v>
      </c>
      <c r="E1934" s="2" t="s">
        <v>1279</v>
      </c>
      <c r="F1934" s="2" t="s">
        <v>1770</v>
      </c>
      <c r="G1934" s="2" t="s">
        <v>1770</v>
      </c>
      <c r="H1934" s="2" t="s">
        <v>1770</v>
      </c>
      <c r="I1934" s="2" t="s">
        <v>8858</v>
      </c>
      <c r="J1934" s="2" t="s">
        <v>1290</v>
      </c>
      <c r="K1934" s="2" t="s">
        <v>8859</v>
      </c>
      <c r="L1934" s="3">
        <v>20.9</v>
      </c>
      <c r="M1934" s="3">
        <v>21.95</v>
      </c>
      <c r="N1934" s="3">
        <v>29.99</v>
      </c>
      <c r="O1934" s="2" t="s">
        <v>245</v>
      </c>
      <c r="P1934" s="2" t="s">
        <v>238</v>
      </c>
      <c r="Q1934" s="2" t="s">
        <v>239</v>
      </c>
      <c r="R1934" s="2" t="s">
        <v>233</v>
      </c>
      <c r="S1934" s="2" t="s">
        <v>233</v>
      </c>
      <c r="T1934" s="2" t="s">
        <v>233</v>
      </c>
      <c r="U1934" s="2" t="s">
        <v>396</v>
      </c>
      <c r="V1934" s="2" t="s">
        <v>893</v>
      </c>
      <c r="W1934" s="2" t="s">
        <v>275</v>
      </c>
      <c r="X1934" s="2" t="s">
        <v>233</v>
      </c>
      <c r="Y1934" s="2" t="s">
        <v>1800</v>
      </c>
      <c r="Z1934" s="4">
        <v>1895</v>
      </c>
      <c r="AA1934" s="4">
        <f>=ROUNDDOWN(126.333333333333,0)</f>
      </c>
      <c r="AB1934" s="5">
        <v>15</v>
      </c>
      <c r="AC1934" s="2" t="s">
        <v>233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233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 t="s">
        <v>233</v>
      </c>
      <c r="AW1934" s="8" t="s">
        <v>233</v>
      </c>
      <c r="AX1934" s="4" t="s">
        <v>233</v>
      </c>
      <c r="AY1934" s="8" t="s">
        <v>233</v>
      </c>
      <c r="AZ1934" s="7" t="s">
        <v>233</v>
      </c>
      <c r="BA1934" s="7" t="s">
        <v>233</v>
      </c>
      <c r="BB1934" s="7"/>
      <c r="BC1934" s="4" t="s">
        <v>233</v>
      </c>
      <c r="BD1934" s="8" t="s">
        <v>233</v>
      </c>
      <c r="BE1934" s="4" t="s">
        <v>233</v>
      </c>
      <c r="BF1934" s="8" t="s">
        <v>233</v>
      </c>
      <c r="BG1934" s="7" t="s">
        <v>233</v>
      </c>
      <c r="BH1934" s="7" t="s">
        <v>233</v>
      </c>
      <c r="BI1934" s="7"/>
      <c r="BJ1934" s="4">
        <v>8</v>
      </c>
      <c r="BK1934" s="8">
        <v>202.13</v>
      </c>
      <c r="BL1934" s="2" t="s">
        <v>8865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243</v>
      </c>
      <c r="BV1934" s="2" t="s">
        <v>233</v>
      </c>
      <c r="BW1934" s="2" t="s">
        <v>233</v>
      </c>
      <c r="BX1934" s="2" t="s">
        <v>243</v>
      </c>
      <c r="BY1934" s="2" t="s">
        <v>346</v>
      </c>
      <c r="BZ1934" s="2" t="s">
        <v>245</v>
      </c>
      <c r="CA1934" s="2" t="s">
        <v>233</v>
      </c>
      <c r="CB1934" s="2" t="s">
        <v>233</v>
      </c>
      <c r="CC1934" s="2" t="s">
        <v>246</v>
      </c>
      <c r="CD1934" s="2" t="s">
        <v>233</v>
      </c>
      <c r="CE1934" s="4"/>
      <c r="CF1934" s="4">
        <v>426</v>
      </c>
      <c r="CG1934" s="4"/>
      <c r="CH1934" s="4"/>
      <c r="CI1934" s="4">
        <v>1469</v>
      </c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/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4"/>
      <c r="HG1934" s="4"/>
      <c r="HH1934" s="4"/>
      <c r="HI1934" s="4"/>
      <c r="HJ1934" s="4"/>
      <c r="HK1934" s="4"/>
      <c r="HL1934" s="4"/>
      <c r="HM1934" s="4"/>
      <c r="HN1934" s="4"/>
      <c r="HO1934" s="4"/>
      <c r="HP1934" s="4"/>
      <c r="HQ1934" s="4"/>
      <c r="HR1934" s="4"/>
    </row>
    <row r="1935">
      <c r="A1935" s="2" t="s">
        <v>8866</v>
      </c>
      <c r="B1935" s="2" t="s">
        <v>1066</v>
      </c>
      <c r="C1935" s="2" t="s">
        <v>901</v>
      </c>
      <c r="D1935" s="2" t="s">
        <v>1067</v>
      </c>
      <c r="E1935" s="2" t="s">
        <v>1068</v>
      </c>
      <c r="F1935" s="2" t="s">
        <v>8867</v>
      </c>
      <c r="G1935" s="2" t="s">
        <v>8867</v>
      </c>
      <c r="H1935" s="2" t="s">
        <v>8867</v>
      </c>
      <c r="I1935" s="2" t="s">
        <v>1068</v>
      </c>
      <c r="J1935" s="2" t="s">
        <v>892</v>
      </c>
      <c r="K1935" s="2" t="s">
        <v>1191</v>
      </c>
      <c r="L1935" s="3">
        <v>161.5</v>
      </c>
      <c r="M1935" s="3">
        <v>169.58</v>
      </c>
      <c r="N1935" s="3">
        <v>339</v>
      </c>
      <c r="O1935" s="2" t="s">
        <v>245</v>
      </c>
      <c r="P1935" s="2" t="s">
        <v>272</v>
      </c>
      <c r="Q1935" s="2" t="s">
        <v>239</v>
      </c>
      <c r="R1935" s="2" t="s">
        <v>233</v>
      </c>
      <c r="S1935" s="2" t="s">
        <v>233</v>
      </c>
      <c r="T1935" s="2" t="s">
        <v>233</v>
      </c>
      <c r="U1935" s="2" t="s">
        <v>396</v>
      </c>
      <c r="V1935" s="2" t="s">
        <v>241</v>
      </c>
      <c r="W1935" s="2" t="s">
        <v>894</v>
      </c>
      <c r="X1935" s="2" t="s">
        <v>397</v>
      </c>
      <c r="Y1935" s="2" t="s">
        <v>5406</v>
      </c>
      <c r="Z1935" s="4">
        <v>184</v>
      </c>
      <c r="AA1935" s="4">
        <f>=ROUNDDOWN(20.4444444444444,0)</f>
      </c>
      <c r="AB1935" s="5">
        <v>9</v>
      </c>
      <c r="AC1935" s="2" t="s">
        <v>1719</v>
      </c>
      <c r="AD1935" s="4">
        <v>130</v>
      </c>
      <c r="AE1935" s="4">
        <v>130</v>
      </c>
      <c r="AF1935" s="6">
        <v>65</v>
      </c>
      <c r="AG1935" s="6">
        <v>48</v>
      </c>
      <c r="AH1935" s="7">
        <v>1</v>
      </c>
      <c r="AI1935" s="4"/>
      <c r="AJ1935" s="4">
        <f>=ROUNDDOWN({0},0)</f>
      </c>
      <c r="AK1935" s="5"/>
      <c r="AL1935" s="2" t="s">
        <v>233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 t="s">
        <v>233</v>
      </c>
      <c r="AW1935" s="8" t="s">
        <v>233</v>
      </c>
      <c r="AX1935" s="4" t="s">
        <v>233</v>
      </c>
      <c r="AY1935" s="8" t="s">
        <v>233</v>
      </c>
      <c r="AZ1935" s="7" t="s">
        <v>233</v>
      </c>
      <c r="BA1935" s="7" t="s">
        <v>233</v>
      </c>
      <c r="BB1935" s="7" t="s">
        <v>233</v>
      </c>
      <c r="BC1935" s="4" t="s">
        <v>233</v>
      </c>
      <c r="BD1935" s="8" t="s">
        <v>233</v>
      </c>
      <c r="BE1935" s="4" t="s">
        <v>233</v>
      </c>
      <c r="BF1935" s="8" t="s">
        <v>233</v>
      </c>
      <c r="BG1935" s="7" t="s">
        <v>233</v>
      </c>
      <c r="BH1935" s="7" t="s">
        <v>233</v>
      </c>
      <c r="BI1935" s="7"/>
      <c r="BJ1935" s="4">
        <v>49</v>
      </c>
      <c r="BK1935" s="8">
        <v>6985.17</v>
      </c>
      <c r="BL1935" s="2" t="s">
        <v>2915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8868</v>
      </c>
      <c r="BV1935" s="2" t="s">
        <v>233</v>
      </c>
      <c r="BW1935" s="2" t="s">
        <v>233</v>
      </c>
      <c r="BX1935" s="2" t="s">
        <v>243</v>
      </c>
      <c r="BY1935" s="2" t="s">
        <v>280</v>
      </c>
      <c r="BZ1935" s="2" t="s">
        <v>245</v>
      </c>
      <c r="CA1935" s="2" t="s">
        <v>8869</v>
      </c>
      <c r="CB1935" s="2" t="s">
        <v>942</v>
      </c>
      <c r="CC1935" s="2" t="s">
        <v>246</v>
      </c>
      <c r="CD1935" s="2" t="s">
        <v>233</v>
      </c>
      <c r="CE1935" s="4"/>
      <c r="CF1935" s="4">
        <v>166</v>
      </c>
      <c r="CG1935" s="4"/>
      <c r="CH1935" s="4"/>
      <c r="CI1935" s="4">
        <v>18</v>
      </c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>
        <v>130</v>
      </c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  <c r="GL1935" s="4"/>
      <c r="GM1935" s="4"/>
      <c r="GN1935" s="4"/>
      <c r="GO1935" s="4"/>
      <c r="GP1935" s="4"/>
      <c r="GQ1935" s="4"/>
      <c r="GR1935" s="4"/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  <c r="HF1935" s="4"/>
      <c r="HG1935" s="4"/>
      <c r="HH1935" s="4"/>
      <c r="HI1935" s="4"/>
      <c r="HJ1935" s="4"/>
      <c r="HK1935" s="4"/>
      <c r="HL1935" s="4"/>
      <c r="HM1935" s="4"/>
      <c r="HN1935" s="4"/>
      <c r="HO1935" s="4"/>
      <c r="HP1935" s="4"/>
      <c r="HQ1935" s="4"/>
      <c r="HR1935" s="4"/>
    </row>
    <row r="1936">
      <c r="A1936" s="2" t="s">
        <v>8870</v>
      </c>
      <c r="B1936" s="2" t="s">
        <v>1066</v>
      </c>
      <c r="C1936" s="2" t="s">
        <v>901</v>
      </c>
      <c r="D1936" s="2" t="s">
        <v>1067</v>
      </c>
      <c r="E1936" s="2" t="s">
        <v>1068</v>
      </c>
      <c r="F1936" s="2" t="s">
        <v>8867</v>
      </c>
      <c r="G1936" s="2" t="s">
        <v>8867</v>
      </c>
      <c r="H1936" s="2" t="s">
        <v>8867</v>
      </c>
      <c r="I1936" s="2" t="s">
        <v>8764</v>
      </c>
      <c r="J1936" s="2" t="s">
        <v>892</v>
      </c>
      <c r="K1936" s="2" t="s">
        <v>1191</v>
      </c>
      <c r="L1936" s="3">
        <v>316.54</v>
      </c>
      <c r="M1936" s="3">
        <v>332.37</v>
      </c>
      <c r="N1936" s="3">
        <v>659</v>
      </c>
      <c r="O1936" s="2" t="s">
        <v>245</v>
      </c>
      <c r="P1936" s="2" t="s">
        <v>1118</v>
      </c>
      <c r="Q1936" s="2" t="s">
        <v>233</v>
      </c>
      <c r="R1936" s="2" t="s">
        <v>233</v>
      </c>
      <c r="S1936" s="2" t="s">
        <v>233</v>
      </c>
      <c r="T1936" s="2" t="s">
        <v>233</v>
      </c>
      <c r="U1936" s="2" t="s">
        <v>491</v>
      </c>
      <c r="V1936" s="2" t="s">
        <v>241</v>
      </c>
      <c r="W1936" s="2" t="s">
        <v>894</v>
      </c>
      <c r="X1936" s="2" t="s">
        <v>397</v>
      </c>
      <c r="Y1936" s="2" t="s">
        <v>8871</v>
      </c>
      <c r="Z1936" s="4">
        <v>93</v>
      </c>
      <c r="AA1936" s="4">
        <f>=ROUNDDOWN({0},0)</f>
      </c>
      <c r="AB1936" s="5"/>
      <c r="AC1936" s="2" t="s">
        <v>1719</v>
      </c>
      <c r="AD1936" s="4">
        <v>65</v>
      </c>
      <c r="AE1936" s="4">
        <v>65</v>
      </c>
      <c r="AF1936" s="6"/>
      <c r="AG1936" s="6"/>
      <c r="AH1936" s="7">
        <v>0.1935</v>
      </c>
      <c r="AI1936" s="4"/>
      <c r="AJ1936" s="4">
        <f>=ROUNDDOWN({0},0)</f>
      </c>
      <c r="AK1936" s="5"/>
      <c r="AL1936" s="2" t="s">
        <v>233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 t="s">
        <v>233</v>
      </c>
      <c r="AW1936" s="8" t="s">
        <v>233</v>
      </c>
      <c r="AX1936" s="4" t="s">
        <v>233</v>
      </c>
      <c r="AY1936" s="8" t="s">
        <v>233</v>
      </c>
      <c r="AZ1936" s="7" t="s">
        <v>233</v>
      </c>
      <c r="BA1936" s="7" t="s">
        <v>233</v>
      </c>
      <c r="BB1936" s="7" t="s">
        <v>233</v>
      </c>
      <c r="BC1936" s="4" t="s">
        <v>233</v>
      </c>
      <c r="BD1936" s="8" t="s">
        <v>233</v>
      </c>
      <c r="BE1936" s="4" t="s">
        <v>233</v>
      </c>
      <c r="BF1936" s="8" t="s">
        <v>233</v>
      </c>
      <c r="BG1936" s="7" t="s">
        <v>233</v>
      </c>
      <c r="BH1936" s="7" t="s">
        <v>233</v>
      </c>
      <c r="BI1936" s="7"/>
      <c r="BJ1936" s="4"/>
      <c r="BK1936" s="8"/>
      <c r="BL1936" s="2" t="s">
        <v>233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243</v>
      </c>
      <c r="BV1936" s="2" t="s">
        <v>233</v>
      </c>
      <c r="BW1936" s="2" t="s">
        <v>233</v>
      </c>
      <c r="BX1936" s="2" t="s">
        <v>243</v>
      </c>
      <c r="BY1936" s="2" t="s">
        <v>244</v>
      </c>
      <c r="BZ1936" s="2" t="s">
        <v>245</v>
      </c>
      <c r="CA1936" s="2" t="s">
        <v>233</v>
      </c>
      <c r="CB1936" s="2" t="s">
        <v>233</v>
      </c>
      <c r="CC1936" s="2" t="s">
        <v>246</v>
      </c>
      <c r="CD1936" s="2" t="s">
        <v>233</v>
      </c>
      <c r="CE1936" s="4"/>
      <c r="CF1936" s="4">
        <v>83</v>
      </c>
      <c r="CG1936" s="4"/>
      <c r="CH1936" s="4"/>
      <c r="CI1936" s="4">
        <v>10</v>
      </c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>
        <v>65</v>
      </c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  <c r="HF1936" s="4"/>
      <c r="HG1936" s="4"/>
      <c r="HH1936" s="4"/>
      <c r="HI1936" s="4"/>
      <c r="HJ1936" s="4"/>
      <c r="HK1936" s="4"/>
      <c r="HL1936" s="4"/>
      <c r="HM1936" s="4"/>
      <c r="HN1936" s="4"/>
      <c r="HO1936" s="4"/>
      <c r="HP1936" s="4"/>
      <c r="HQ1936" s="4"/>
      <c r="HR1936" s="4"/>
    </row>
    <row r="1937">
      <c r="A1937" s="2" t="s">
        <v>8872</v>
      </c>
      <c r="B1937" s="2" t="s">
        <v>1066</v>
      </c>
      <c r="C1937" s="2" t="s">
        <v>901</v>
      </c>
      <c r="D1937" s="2" t="s">
        <v>1067</v>
      </c>
      <c r="E1937" s="2" t="s">
        <v>1068</v>
      </c>
      <c r="F1937" s="2" t="s">
        <v>8867</v>
      </c>
      <c r="G1937" s="2" t="s">
        <v>8867</v>
      </c>
      <c r="H1937" s="2" t="s">
        <v>8867</v>
      </c>
      <c r="I1937" s="2" t="s">
        <v>1068</v>
      </c>
      <c r="J1937" s="2" t="s">
        <v>892</v>
      </c>
      <c r="K1937" s="2" t="s">
        <v>255</v>
      </c>
      <c r="L1937" s="3">
        <v>161.5</v>
      </c>
      <c r="M1937" s="3">
        <v>169.58</v>
      </c>
      <c r="N1937" s="3">
        <v>339</v>
      </c>
      <c r="O1937" s="2" t="s">
        <v>245</v>
      </c>
      <c r="P1937" s="2" t="s">
        <v>272</v>
      </c>
      <c r="Q1937" s="2" t="s">
        <v>239</v>
      </c>
      <c r="R1937" s="2" t="s">
        <v>233</v>
      </c>
      <c r="S1937" s="2" t="s">
        <v>233</v>
      </c>
      <c r="T1937" s="2" t="s">
        <v>233</v>
      </c>
      <c r="U1937" s="2" t="s">
        <v>396</v>
      </c>
      <c r="V1937" s="2" t="s">
        <v>241</v>
      </c>
      <c r="W1937" s="2" t="s">
        <v>894</v>
      </c>
      <c r="X1937" s="2" t="s">
        <v>397</v>
      </c>
      <c r="Y1937" s="2" t="s">
        <v>8873</v>
      </c>
      <c r="Z1937" s="4">
        <v>332</v>
      </c>
      <c r="AA1937" s="4">
        <f>=ROUNDDOWN(58.2456140350877,0)</f>
      </c>
      <c r="AB1937" s="5">
        <v>5.7</v>
      </c>
      <c r="AC1937" s="2" t="s">
        <v>233</v>
      </c>
      <c r="AD1937" s="4"/>
      <c r="AE1937" s="4"/>
      <c r="AF1937" s="6">
        <v>65</v>
      </c>
      <c r="AG1937" s="6">
        <v>48</v>
      </c>
      <c r="AH1937" s="7">
        <v>1</v>
      </c>
      <c r="AI1937" s="4"/>
      <c r="AJ1937" s="4">
        <f>=ROUNDDOWN({0},0)</f>
      </c>
      <c r="AK1937" s="5"/>
      <c r="AL1937" s="2" t="s">
        <v>233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 t="s">
        <v>233</v>
      </c>
      <c r="AW1937" s="8" t="s">
        <v>233</v>
      </c>
      <c r="AX1937" s="4" t="s">
        <v>233</v>
      </c>
      <c r="AY1937" s="8" t="s">
        <v>233</v>
      </c>
      <c r="AZ1937" s="7" t="s">
        <v>233</v>
      </c>
      <c r="BA1937" s="7" t="s">
        <v>233</v>
      </c>
      <c r="BB1937" s="7" t="s">
        <v>233</v>
      </c>
      <c r="BC1937" s="4" t="s">
        <v>233</v>
      </c>
      <c r="BD1937" s="8" t="s">
        <v>233</v>
      </c>
      <c r="BE1937" s="4" t="s">
        <v>233</v>
      </c>
      <c r="BF1937" s="8" t="s">
        <v>233</v>
      </c>
      <c r="BG1937" s="7" t="s">
        <v>233</v>
      </c>
      <c r="BH1937" s="7" t="s">
        <v>233</v>
      </c>
      <c r="BI1937" s="7"/>
      <c r="BJ1937" s="4">
        <v>18</v>
      </c>
      <c r="BK1937" s="8">
        <v>2821.46</v>
      </c>
      <c r="BL1937" s="2" t="s">
        <v>8874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8875</v>
      </c>
      <c r="BV1937" s="2" t="s">
        <v>233</v>
      </c>
      <c r="BW1937" s="2" t="s">
        <v>233</v>
      </c>
      <c r="BX1937" s="2" t="s">
        <v>243</v>
      </c>
      <c r="BY1937" s="2" t="s">
        <v>280</v>
      </c>
      <c r="BZ1937" s="2" t="s">
        <v>245</v>
      </c>
      <c r="CA1937" s="2" t="s">
        <v>8873</v>
      </c>
      <c r="CB1937" s="2" t="s">
        <v>8876</v>
      </c>
      <c r="CC1937" s="2" t="s">
        <v>246</v>
      </c>
      <c r="CD1937" s="2" t="s">
        <v>233</v>
      </c>
      <c r="CE1937" s="4"/>
      <c r="CF1937" s="4">
        <v>332</v>
      </c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  <c r="GL1937" s="4"/>
      <c r="GM1937" s="4"/>
      <c r="GN1937" s="4"/>
      <c r="GO1937" s="4"/>
      <c r="GP1937" s="4"/>
      <c r="GQ1937" s="4"/>
      <c r="GR1937" s="4"/>
      <c r="GS1937" s="4"/>
      <c r="GT1937" s="4"/>
      <c r="GU1937" s="4"/>
      <c r="GV1937" s="4"/>
      <c r="GW1937" s="4"/>
      <c r="GX1937" s="4"/>
      <c r="GY1937" s="4"/>
      <c r="GZ1937" s="4"/>
      <c r="HA1937" s="4"/>
      <c r="HB1937" s="4"/>
      <c r="HC1937" s="4"/>
      <c r="HD1937" s="4"/>
      <c r="HE1937" s="4"/>
      <c r="HF1937" s="4"/>
      <c r="HG1937" s="4"/>
      <c r="HH1937" s="4"/>
      <c r="HI1937" s="4"/>
      <c r="HJ1937" s="4"/>
      <c r="HK1937" s="4"/>
      <c r="HL1937" s="4"/>
      <c r="HM1937" s="4"/>
      <c r="HN1937" s="4"/>
      <c r="HO1937" s="4"/>
      <c r="HP1937" s="4"/>
      <c r="HQ1937" s="4"/>
      <c r="HR1937" s="4"/>
    </row>
    <row r="1938">
      <c r="A1938" s="2" t="s">
        <v>8877</v>
      </c>
      <c r="B1938" s="2" t="s">
        <v>1066</v>
      </c>
      <c r="C1938" s="2" t="s">
        <v>901</v>
      </c>
      <c r="D1938" s="2" t="s">
        <v>1067</v>
      </c>
      <c r="E1938" s="2" t="s">
        <v>1068</v>
      </c>
      <c r="F1938" s="2" t="s">
        <v>8867</v>
      </c>
      <c r="G1938" s="2" t="s">
        <v>8867</v>
      </c>
      <c r="H1938" s="2" t="s">
        <v>8867</v>
      </c>
      <c r="I1938" s="2" t="s">
        <v>8764</v>
      </c>
      <c r="J1938" s="2" t="s">
        <v>892</v>
      </c>
      <c r="K1938" s="2" t="s">
        <v>255</v>
      </c>
      <c r="L1938" s="3">
        <v>316.54</v>
      </c>
      <c r="M1938" s="3">
        <v>332.37</v>
      </c>
      <c r="N1938" s="3">
        <v>659</v>
      </c>
      <c r="O1938" s="2" t="s">
        <v>245</v>
      </c>
      <c r="P1938" s="2" t="s">
        <v>1118</v>
      </c>
      <c r="Q1938" s="2" t="s">
        <v>233</v>
      </c>
      <c r="R1938" s="2" t="s">
        <v>233</v>
      </c>
      <c r="S1938" s="2" t="s">
        <v>233</v>
      </c>
      <c r="T1938" s="2" t="s">
        <v>233</v>
      </c>
      <c r="U1938" s="2" t="s">
        <v>491</v>
      </c>
      <c r="V1938" s="2" t="s">
        <v>241</v>
      </c>
      <c r="W1938" s="2" t="s">
        <v>894</v>
      </c>
      <c r="X1938" s="2" t="s">
        <v>397</v>
      </c>
      <c r="Y1938" s="2" t="s">
        <v>8878</v>
      </c>
      <c r="Z1938" s="4">
        <v>166</v>
      </c>
      <c r="AA1938" s="4">
        <f>=ROUNDDOWN({0},0)</f>
      </c>
      <c r="AB1938" s="5"/>
      <c r="AC1938" s="2" t="s">
        <v>233</v>
      </c>
      <c r="AD1938" s="4"/>
      <c r="AE1938" s="4"/>
      <c r="AF1938" s="6"/>
      <c r="AG1938" s="6"/>
      <c r="AH1938" s="7">
        <v>0.1935</v>
      </c>
      <c r="AI1938" s="4"/>
      <c r="AJ1938" s="4">
        <f>=ROUNDDOWN({0},0)</f>
      </c>
      <c r="AK1938" s="5"/>
      <c r="AL1938" s="2" t="s">
        <v>233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 t="s">
        <v>233</v>
      </c>
      <c r="AW1938" s="8" t="s">
        <v>233</v>
      </c>
      <c r="AX1938" s="4" t="s">
        <v>233</v>
      </c>
      <c r="AY1938" s="8" t="s">
        <v>233</v>
      </c>
      <c r="AZ1938" s="7" t="s">
        <v>233</v>
      </c>
      <c r="BA1938" s="7" t="s">
        <v>233</v>
      </c>
      <c r="BB1938" s="7" t="s">
        <v>233</v>
      </c>
      <c r="BC1938" s="4" t="s">
        <v>233</v>
      </c>
      <c r="BD1938" s="8" t="s">
        <v>233</v>
      </c>
      <c r="BE1938" s="4" t="s">
        <v>233</v>
      </c>
      <c r="BF1938" s="8" t="s">
        <v>233</v>
      </c>
      <c r="BG1938" s="7" t="s">
        <v>233</v>
      </c>
      <c r="BH1938" s="7" t="s">
        <v>233</v>
      </c>
      <c r="BI1938" s="7"/>
      <c r="BJ1938" s="4"/>
      <c r="BK1938" s="8"/>
      <c r="BL1938" s="2" t="s">
        <v>233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243</v>
      </c>
      <c r="BV1938" s="2" t="s">
        <v>233</v>
      </c>
      <c r="BW1938" s="2" t="s">
        <v>233</v>
      </c>
      <c r="BX1938" s="2" t="s">
        <v>243</v>
      </c>
      <c r="BY1938" s="2" t="s">
        <v>244</v>
      </c>
      <c r="BZ1938" s="2" t="s">
        <v>245</v>
      </c>
      <c r="CA1938" s="2" t="s">
        <v>233</v>
      </c>
      <c r="CB1938" s="2" t="s">
        <v>233</v>
      </c>
      <c r="CC1938" s="2" t="s">
        <v>246</v>
      </c>
      <c r="CD1938" s="2" t="s">
        <v>233</v>
      </c>
      <c r="CE1938" s="4"/>
      <c r="CF1938" s="4">
        <v>166</v>
      </c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4"/>
      <c r="HH1938" s="4"/>
      <c r="HI1938" s="4"/>
      <c r="HJ1938" s="4"/>
      <c r="HK1938" s="4"/>
      <c r="HL1938" s="4"/>
      <c r="HM1938" s="4"/>
      <c r="HN1938" s="4"/>
      <c r="HO1938" s="4"/>
      <c r="HP1938" s="4"/>
      <c r="HQ1938" s="4"/>
      <c r="HR1938" s="4"/>
    </row>
    <row r="1939">
      <c r="A1939" s="2" t="s">
        <v>8879</v>
      </c>
      <c r="B1939" s="2" t="s">
        <v>1066</v>
      </c>
      <c r="C1939" s="2" t="s">
        <v>901</v>
      </c>
      <c r="D1939" s="2" t="s">
        <v>1067</v>
      </c>
      <c r="E1939" s="2" t="s">
        <v>1068</v>
      </c>
      <c r="F1939" s="2" t="s">
        <v>8867</v>
      </c>
      <c r="G1939" s="2" t="s">
        <v>8867</v>
      </c>
      <c r="H1939" s="2" t="s">
        <v>8867</v>
      </c>
      <c r="I1939" s="2" t="s">
        <v>8764</v>
      </c>
      <c r="J1939" s="2" t="s">
        <v>892</v>
      </c>
      <c r="K1939" s="2" t="s">
        <v>1938</v>
      </c>
      <c r="L1939" s="3">
        <v>316.54</v>
      </c>
      <c r="M1939" s="3">
        <v>332.37</v>
      </c>
      <c r="N1939" s="3">
        <v>659</v>
      </c>
      <c r="O1939" s="2" t="s">
        <v>245</v>
      </c>
      <c r="P1939" s="2" t="s">
        <v>1118</v>
      </c>
      <c r="Q1939" s="2" t="s">
        <v>233</v>
      </c>
      <c r="R1939" s="2" t="s">
        <v>233</v>
      </c>
      <c r="S1939" s="2" t="s">
        <v>233</v>
      </c>
      <c r="T1939" s="2" t="s">
        <v>233</v>
      </c>
      <c r="U1939" s="2" t="s">
        <v>491</v>
      </c>
      <c r="V1939" s="2" t="s">
        <v>241</v>
      </c>
      <c r="W1939" s="2" t="s">
        <v>894</v>
      </c>
      <c r="X1939" s="2" t="s">
        <v>397</v>
      </c>
      <c r="Y1939" s="2" t="s">
        <v>4201</v>
      </c>
      <c r="Z1939" s="4">
        <v>234</v>
      </c>
      <c r="AA1939" s="4">
        <f>=ROUNDDOWN({0},0)</f>
      </c>
      <c r="AB1939" s="5"/>
      <c r="AC1939" s="2" t="s">
        <v>233</v>
      </c>
      <c r="AD1939" s="4"/>
      <c r="AE1939" s="4"/>
      <c r="AF1939" s="6"/>
      <c r="AG1939" s="6"/>
      <c r="AH1939" s="7">
        <v>0.1935</v>
      </c>
      <c r="AI1939" s="4"/>
      <c r="AJ1939" s="4">
        <f>=ROUNDDOWN({0},0)</f>
      </c>
      <c r="AK1939" s="5"/>
      <c r="AL1939" s="2" t="s">
        <v>4953</v>
      </c>
      <c r="AM1939" s="4">
        <v>100</v>
      </c>
      <c r="AN1939" s="4">
        <v>100</v>
      </c>
      <c r="AO1939" s="7">
        <v>0</v>
      </c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 t="s">
        <v>233</v>
      </c>
      <c r="BD1939" s="8" t="s">
        <v>233</v>
      </c>
      <c r="BE1939" s="4" t="s">
        <v>233</v>
      </c>
      <c r="BF1939" s="8" t="s">
        <v>233</v>
      </c>
      <c r="BG1939" s="7" t="s">
        <v>233</v>
      </c>
      <c r="BH1939" s="7" t="s">
        <v>233</v>
      </c>
      <c r="BI1939" s="7"/>
      <c r="BJ1939" s="4"/>
      <c r="BK1939" s="8"/>
      <c r="BL1939" s="2" t="s">
        <v>233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243</v>
      </c>
      <c r="BV1939" s="2" t="s">
        <v>233</v>
      </c>
      <c r="BW1939" s="2" t="s">
        <v>233</v>
      </c>
      <c r="BX1939" s="2" t="s">
        <v>243</v>
      </c>
      <c r="BY1939" s="2" t="s">
        <v>244</v>
      </c>
      <c r="BZ1939" s="2" t="s">
        <v>245</v>
      </c>
      <c r="CA1939" s="2" t="s">
        <v>233</v>
      </c>
      <c r="CB1939" s="2" t="s">
        <v>233</v>
      </c>
      <c r="CC1939" s="2" t="s">
        <v>246</v>
      </c>
      <c r="CD1939" s="2" t="s">
        <v>233</v>
      </c>
      <c r="CE1939" s="4"/>
      <c r="CF1939" s="4">
        <v>185</v>
      </c>
      <c r="CG1939" s="4"/>
      <c r="CH1939" s="4"/>
      <c r="CI1939" s="4">
        <v>49</v>
      </c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  <c r="HG1939" s="4"/>
      <c r="HH1939" s="4"/>
      <c r="HI1939" s="4"/>
      <c r="HJ1939" s="4"/>
      <c r="HK1939" s="4"/>
      <c r="HL1939" s="4"/>
      <c r="HM1939" s="4"/>
      <c r="HN1939" s="4"/>
      <c r="HO1939" s="4">
        <v>100</v>
      </c>
      <c r="HP1939" s="4"/>
      <c r="HQ1939" s="4"/>
      <c r="HR1939" s="4"/>
    </row>
    <row r="1940">
      <c r="A1940" s="2" t="s">
        <v>8880</v>
      </c>
      <c r="B1940" s="2" t="s">
        <v>1066</v>
      </c>
      <c r="C1940" s="2" t="s">
        <v>901</v>
      </c>
      <c r="D1940" s="2" t="s">
        <v>1067</v>
      </c>
      <c r="E1940" s="2" t="s">
        <v>1068</v>
      </c>
      <c r="F1940" s="2" t="s">
        <v>8867</v>
      </c>
      <c r="G1940" s="2" t="s">
        <v>8867</v>
      </c>
      <c r="H1940" s="2" t="s">
        <v>8867</v>
      </c>
      <c r="I1940" s="2" t="s">
        <v>8764</v>
      </c>
      <c r="J1940" s="2" t="s">
        <v>892</v>
      </c>
      <c r="K1940" s="2" t="s">
        <v>1117</v>
      </c>
      <c r="L1940" s="3">
        <v>316.54</v>
      </c>
      <c r="M1940" s="3">
        <v>332.37</v>
      </c>
      <c r="N1940" s="3">
        <v>659</v>
      </c>
      <c r="O1940" s="2" t="s">
        <v>245</v>
      </c>
      <c r="P1940" s="2" t="s">
        <v>1118</v>
      </c>
      <c r="Q1940" s="2" t="s">
        <v>233</v>
      </c>
      <c r="R1940" s="2" t="s">
        <v>233</v>
      </c>
      <c r="S1940" s="2" t="s">
        <v>233</v>
      </c>
      <c r="T1940" s="2" t="s">
        <v>233</v>
      </c>
      <c r="U1940" s="2" t="s">
        <v>491</v>
      </c>
      <c r="V1940" s="2" t="s">
        <v>241</v>
      </c>
      <c r="W1940" s="2" t="s">
        <v>894</v>
      </c>
      <c r="X1940" s="2" t="s">
        <v>397</v>
      </c>
      <c r="Y1940" s="2" t="s">
        <v>8881</v>
      </c>
      <c r="Z1940" s="4">
        <v>83</v>
      </c>
      <c r="AA1940" s="4">
        <f>=ROUNDDOWN({0},0)</f>
      </c>
      <c r="AB1940" s="5"/>
      <c r="AC1940" s="2" t="s">
        <v>233</v>
      </c>
      <c r="AD1940" s="4"/>
      <c r="AE1940" s="4"/>
      <c r="AF1940" s="6"/>
      <c r="AG1940" s="6"/>
      <c r="AH1940" s="7">
        <v>0.1935</v>
      </c>
      <c r="AI1940" s="4"/>
      <c r="AJ1940" s="4">
        <f>=ROUNDDOWN({0},0)</f>
      </c>
      <c r="AK1940" s="5"/>
      <c r="AL1940" s="2" t="s">
        <v>233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 t="s">
        <v>233</v>
      </c>
      <c r="BD1940" s="8" t="s">
        <v>233</v>
      </c>
      <c r="BE1940" s="4" t="s">
        <v>233</v>
      </c>
      <c r="BF1940" s="8" t="s">
        <v>233</v>
      </c>
      <c r="BG1940" s="7" t="s">
        <v>233</v>
      </c>
      <c r="BH1940" s="7" t="s">
        <v>233</v>
      </c>
      <c r="BI1940" s="7"/>
      <c r="BJ1940" s="4"/>
      <c r="BK1940" s="8"/>
      <c r="BL1940" s="2" t="s">
        <v>233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243</v>
      </c>
      <c r="BV1940" s="2" t="s">
        <v>233</v>
      </c>
      <c r="BW1940" s="2" t="s">
        <v>233</v>
      </c>
      <c r="BX1940" s="2" t="s">
        <v>243</v>
      </c>
      <c r="BY1940" s="2" t="s">
        <v>244</v>
      </c>
      <c r="BZ1940" s="2" t="s">
        <v>245</v>
      </c>
      <c r="CA1940" s="2" t="s">
        <v>233</v>
      </c>
      <c r="CB1940" s="2" t="s">
        <v>233</v>
      </c>
      <c r="CC1940" s="2" t="s">
        <v>246</v>
      </c>
      <c r="CD1940" s="2" t="s">
        <v>233</v>
      </c>
      <c r="CE1940" s="4"/>
      <c r="CF1940" s="4">
        <v>83</v>
      </c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/>
      <c r="GX1940" s="4"/>
      <c r="GY1940" s="4"/>
      <c r="GZ1940" s="4"/>
      <c r="HA1940" s="4"/>
      <c r="HB1940" s="4"/>
      <c r="HC1940" s="4"/>
      <c r="HD1940" s="4"/>
      <c r="HE1940" s="4"/>
      <c r="HF1940" s="4"/>
      <c r="HG1940" s="4"/>
      <c r="HH1940" s="4"/>
      <c r="HI1940" s="4"/>
      <c r="HJ1940" s="4"/>
      <c r="HK1940" s="4"/>
      <c r="HL1940" s="4"/>
      <c r="HM1940" s="4"/>
      <c r="HN1940" s="4"/>
      <c r="HO1940" s="4"/>
      <c r="HP1940" s="4"/>
      <c r="HQ1940" s="4"/>
      <c r="HR1940" s="4"/>
    </row>
    <row r="1941">
      <c r="A1941" s="2" t="s">
        <v>8882</v>
      </c>
      <c r="B1941" s="2" t="s">
        <v>1066</v>
      </c>
      <c r="C1941" s="2" t="s">
        <v>901</v>
      </c>
      <c r="D1941" s="2" t="s">
        <v>1067</v>
      </c>
      <c r="E1941" s="2" t="s">
        <v>1068</v>
      </c>
      <c r="F1941" s="2" t="s">
        <v>8867</v>
      </c>
      <c r="G1941" s="2" t="s">
        <v>8867</v>
      </c>
      <c r="H1941" s="2" t="s">
        <v>8867</v>
      </c>
      <c r="I1941" s="2" t="s">
        <v>8764</v>
      </c>
      <c r="J1941" s="2" t="s">
        <v>892</v>
      </c>
      <c r="K1941" s="2" t="s">
        <v>2197</v>
      </c>
      <c r="L1941" s="3">
        <v>316.54</v>
      </c>
      <c r="M1941" s="3">
        <v>332.37</v>
      </c>
      <c r="N1941" s="3">
        <v>659</v>
      </c>
      <c r="O1941" s="2" t="s">
        <v>245</v>
      </c>
      <c r="P1941" s="2" t="s">
        <v>1118</v>
      </c>
      <c r="Q1941" s="2" t="s">
        <v>233</v>
      </c>
      <c r="R1941" s="2" t="s">
        <v>233</v>
      </c>
      <c r="S1941" s="2" t="s">
        <v>8883</v>
      </c>
      <c r="T1941" s="2" t="s">
        <v>233</v>
      </c>
      <c r="U1941" s="2" t="s">
        <v>491</v>
      </c>
      <c r="V1941" s="2" t="s">
        <v>241</v>
      </c>
      <c r="W1941" s="2" t="s">
        <v>894</v>
      </c>
      <c r="X1941" s="2" t="s">
        <v>397</v>
      </c>
      <c r="Y1941" s="2" t="s">
        <v>276</v>
      </c>
      <c r="Z1941" s="4">
        <v>195</v>
      </c>
      <c r="AA1941" s="4">
        <f>=ROUNDDOWN({0},0)</f>
      </c>
      <c r="AB1941" s="5"/>
      <c r="AC1941" s="2" t="s">
        <v>4725</v>
      </c>
      <c r="AD1941" s="4">
        <v>75</v>
      </c>
      <c r="AE1941" s="4">
        <v>95</v>
      </c>
      <c r="AF1941" s="6"/>
      <c r="AG1941" s="6"/>
      <c r="AH1941" s="7">
        <v>0.1935</v>
      </c>
      <c r="AI1941" s="4"/>
      <c r="AJ1941" s="4">
        <f>=ROUNDDOWN({0},0)</f>
      </c>
      <c r="AK1941" s="5"/>
      <c r="AL1941" s="2" t="s">
        <v>2519</v>
      </c>
      <c r="AM1941" s="4">
        <v>50</v>
      </c>
      <c r="AN1941" s="4">
        <v>50</v>
      </c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 t="s">
        <v>233</v>
      </c>
      <c r="BD1941" s="8" t="s">
        <v>233</v>
      </c>
      <c r="BE1941" s="4" t="s">
        <v>233</v>
      </c>
      <c r="BF1941" s="8" t="s">
        <v>233</v>
      </c>
      <c r="BG1941" s="7" t="s">
        <v>233</v>
      </c>
      <c r="BH1941" s="7" t="s">
        <v>233</v>
      </c>
      <c r="BI1941" s="7"/>
      <c r="BJ1941" s="4"/>
      <c r="BK1941" s="8"/>
      <c r="BL1941" s="2" t="s">
        <v>233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243</v>
      </c>
      <c r="BV1941" s="2" t="s">
        <v>233</v>
      </c>
      <c r="BW1941" s="2" t="s">
        <v>233</v>
      </c>
      <c r="BX1941" s="2" t="s">
        <v>243</v>
      </c>
      <c r="BY1941" s="2" t="s">
        <v>244</v>
      </c>
      <c r="BZ1941" s="2" t="s">
        <v>245</v>
      </c>
      <c r="CA1941" s="2" t="s">
        <v>233</v>
      </c>
      <c r="CB1941" s="2" t="s">
        <v>233</v>
      </c>
      <c r="CC1941" s="2" t="s">
        <v>246</v>
      </c>
      <c r="CD1941" s="2" t="s">
        <v>233</v>
      </c>
      <c r="CE1941" s="4"/>
      <c r="CF1941" s="4">
        <v>195</v>
      </c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>
        <v>75</v>
      </c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  <c r="GQ1941" s="4"/>
      <c r="GR1941" s="4"/>
      <c r="GS1941" s="4">
        <v>20</v>
      </c>
      <c r="GT1941" s="4"/>
      <c r="GU1941" s="4"/>
      <c r="GV1941" s="4"/>
      <c r="GW1941" s="4"/>
      <c r="GX1941" s="4"/>
      <c r="GY1941" s="4"/>
      <c r="GZ1941" s="4"/>
      <c r="HA1941" s="4"/>
      <c r="HB1941" s="4"/>
      <c r="HC1941" s="4"/>
      <c r="HD1941" s="4"/>
      <c r="HE1941" s="4"/>
      <c r="HF1941" s="4"/>
      <c r="HG1941" s="4"/>
      <c r="HH1941" s="4"/>
      <c r="HI1941" s="4"/>
      <c r="HJ1941" s="4"/>
      <c r="HK1941" s="4"/>
      <c r="HL1941" s="4"/>
      <c r="HM1941" s="4"/>
      <c r="HN1941" s="4"/>
      <c r="HO1941" s="4"/>
      <c r="HP1941" s="4"/>
      <c r="HQ1941" s="4">
        <v>50</v>
      </c>
      <c r="HR1941" s="4"/>
    </row>
    <row r="1942">
      <c r="A1942" s="2" t="s">
        <v>8884</v>
      </c>
      <c r="B1942" s="2" t="s">
        <v>1066</v>
      </c>
      <c r="C1942" s="2" t="s">
        <v>901</v>
      </c>
      <c r="D1942" s="2" t="s">
        <v>1067</v>
      </c>
      <c r="E1942" s="2" t="s">
        <v>1068</v>
      </c>
      <c r="F1942" s="2" t="s">
        <v>8867</v>
      </c>
      <c r="G1942" s="2" t="s">
        <v>8867</v>
      </c>
      <c r="H1942" s="2" t="s">
        <v>8867</v>
      </c>
      <c r="I1942" s="2" t="s">
        <v>8764</v>
      </c>
      <c r="J1942" s="2" t="s">
        <v>892</v>
      </c>
      <c r="K1942" s="2" t="s">
        <v>620</v>
      </c>
      <c r="L1942" s="3">
        <v>316.54</v>
      </c>
      <c r="M1942" s="3">
        <v>332.37</v>
      </c>
      <c r="N1942" s="3">
        <v>659</v>
      </c>
      <c r="O1942" s="2" t="s">
        <v>245</v>
      </c>
      <c r="P1942" s="2" t="s">
        <v>1118</v>
      </c>
      <c r="Q1942" s="2" t="s">
        <v>233</v>
      </c>
      <c r="R1942" s="2" t="s">
        <v>233</v>
      </c>
      <c r="S1942" s="2" t="s">
        <v>233</v>
      </c>
      <c r="T1942" s="2" t="s">
        <v>233</v>
      </c>
      <c r="U1942" s="2" t="s">
        <v>491</v>
      </c>
      <c r="V1942" s="2" t="s">
        <v>241</v>
      </c>
      <c r="W1942" s="2" t="s">
        <v>894</v>
      </c>
      <c r="X1942" s="2" t="s">
        <v>397</v>
      </c>
      <c r="Y1942" s="2" t="s">
        <v>8878</v>
      </c>
      <c r="Z1942" s="4">
        <v>102</v>
      </c>
      <c r="AA1942" s="4">
        <f>=ROUNDDOWN({0},0)</f>
      </c>
      <c r="AB1942" s="5"/>
      <c r="AC1942" s="2" t="s">
        <v>1719</v>
      </c>
      <c r="AD1942" s="4">
        <v>104</v>
      </c>
      <c r="AE1942" s="4">
        <v>177</v>
      </c>
      <c r="AF1942" s="6"/>
      <c r="AG1942" s="6"/>
      <c r="AH1942" s="7">
        <v>0.1935</v>
      </c>
      <c r="AI1942" s="4"/>
      <c r="AJ1942" s="4">
        <f>=ROUNDDOWN({0},0)</f>
      </c>
      <c r="AK1942" s="5"/>
      <c r="AL1942" s="2" t="s">
        <v>233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233</v>
      </c>
      <c r="BD1942" s="8" t="s">
        <v>233</v>
      </c>
      <c r="BE1942" s="4" t="s">
        <v>233</v>
      </c>
      <c r="BF1942" s="8" t="s">
        <v>233</v>
      </c>
      <c r="BG1942" s="7" t="s">
        <v>233</v>
      </c>
      <c r="BH1942" s="7" t="s">
        <v>233</v>
      </c>
      <c r="BI1942" s="7"/>
      <c r="BJ1942" s="4"/>
      <c r="BK1942" s="8"/>
      <c r="BL1942" s="2" t="s">
        <v>233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243</v>
      </c>
      <c r="BV1942" s="2" t="s">
        <v>233</v>
      </c>
      <c r="BW1942" s="2" t="s">
        <v>233</v>
      </c>
      <c r="BX1942" s="2" t="s">
        <v>243</v>
      </c>
      <c r="BY1942" s="2" t="s">
        <v>244</v>
      </c>
      <c r="BZ1942" s="2" t="s">
        <v>245</v>
      </c>
      <c r="CA1942" s="2" t="s">
        <v>233</v>
      </c>
      <c r="CB1942" s="2" t="s">
        <v>233</v>
      </c>
      <c r="CC1942" s="2" t="s">
        <v>246</v>
      </c>
      <c r="CD1942" s="2" t="s">
        <v>233</v>
      </c>
      <c r="CE1942" s="4"/>
      <c r="CF1942" s="4">
        <v>89</v>
      </c>
      <c r="CG1942" s="4"/>
      <c r="CH1942" s="4"/>
      <c r="CI1942" s="4">
        <v>13</v>
      </c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>
        <v>104</v>
      </c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>
        <v>3</v>
      </c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>
        <v>70</v>
      </c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  <c r="HG1942" s="4"/>
      <c r="HH1942" s="4"/>
      <c r="HI1942" s="4"/>
      <c r="HJ1942" s="4"/>
      <c r="HK1942" s="4"/>
      <c r="HL1942" s="4"/>
      <c r="HM1942" s="4"/>
      <c r="HN1942" s="4"/>
      <c r="HO1942" s="4"/>
      <c r="HP1942" s="4"/>
      <c r="HQ1942" s="4"/>
      <c r="HR1942" s="4"/>
    </row>
    <row r="1943">
      <c r="A1943" s="2" t="s">
        <v>8885</v>
      </c>
      <c r="B1943" s="2" t="s">
        <v>333</v>
      </c>
      <c r="C1943" s="2" t="s">
        <v>911</v>
      </c>
      <c r="D1943" s="2" t="s">
        <v>335</v>
      </c>
      <c r="E1943" s="2" t="s">
        <v>336</v>
      </c>
      <c r="F1943" s="2" t="s">
        <v>3951</v>
      </c>
      <c r="G1943" s="2" t="s">
        <v>3951</v>
      </c>
      <c r="H1943" s="2" t="s">
        <v>3951</v>
      </c>
      <c r="I1943" s="2" t="s">
        <v>8886</v>
      </c>
      <c r="J1943" s="2" t="s">
        <v>8887</v>
      </c>
      <c r="K1943" s="2" t="s">
        <v>8888</v>
      </c>
      <c r="L1943" s="3">
        <v>12.6</v>
      </c>
      <c r="M1943" s="3">
        <v>13.23</v>
      </c>
      <c r="N1943" s="3">
        <v>27.99</v>
      </c>
      <c r="O1943" s="2" t="s">
        <v>245</v>
      </c>
      <c r="P1943" s="2" t="s">
        <v>272</v>
      </c>
      <c r="Q1943" s="2" t="s">
        <v>239</v>
      </c>
      <c r="R1943" s="2" t="s">
        <v>233</v>
      </c>
      <c r="S1943" s="2" t="s">
        <v>8889</v>
      </c>
      <c r="T1943" s="2" t="s">
        <v>395</v>
      </c>
      <c r="U1943" s="2" t="s">
        <v>233</v>
      </c>
      <c r="V1943" s="2" t="s">
        <v>3951</v>
      </c>
      <c r="W1943" s="2" t="s">
        <v>275</v>
      </c>
      <c r="X1943" s="2" t="s">
        <v>233</v>
      </c>
      <c r="Y1943" s="2" t="s">
        <v>8890</v>
      </c>
      <c r="Z1943" s="4">
        <v>20</v>
      </c>
      <c r="AA1943" s="4">
        <f>=ROUNDDOWN(4,0)</f>
      </c>
      <c r="AB1943" s="5">
        <v>5</v>
      </c>
      <c r="AC1943" s="2" t="s">
        <v>319</v>
      </c>
      <c r="AD1943" s="4">
        <v>30</v>
      </c>
      <c r="AE1943" s="4">
        <v>170</v>
      </c>
      <c r="AF1943" s="6">
        <v>65</v>
      </c>
      <c r="AG1943" s="6"/>
      <c r="AH1943" s="7">
        <v>0</v>
      </c>
      <c r="AI1943" s="4"/>
      <c r="AJ1943" s="4">
        <f>=ROUNDDOWN({0},0)</f>
      </c>
      <c r="AK1943" s="5"/>
      <c r="AL1943" s="2" t="s">
        <v>233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 t="s">
        <v>233</v>
      </c>
      <c r="AW1943" s="8" t="s">
        <v>233</v>
      </c>
      <c r="AX1943" s="4" t="s">
        <v>233</v>
      </c>
      <c r="AY1943" s="8" t="s">
        <v>233</v>
      </c>
      <c r="AZ1943" s="7" t="s">
        <v>233</v>
      </c>
      <c r="BA1943" s="7" t="s">
        <v>233</v>
      </c>
      <c r="BB1943" s="7"/>
      <c r="BC1943" s="4" t="s">
        <v>233</v>
      </c>
      <c r="BD1943" s="8" t="s">
        <v>233</v>
      </c>
      <c r="BE1943" s="4" t="s">
        <v>233</v>
      </c>
      <c r="BF1943" s="8" t="s">
        <v>233</v>
      </c>
      <c r="BG1943" s="7" t="s">
        <v>233</v>
      </c>
      <c r="BH1943" s="7" t="s">
        <v>233</v>
      </c>
      <c r="BI1943" s="7"/>
      <c r="BJ1943" s="4">
        <v>2</v>
      </c>
      <c r="BK1943" s="8">
        <v>29.04</v>
      </c>
      <c r="BL1943" s="2" t="s">
        <v>8891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8892</v>
      </c>
      <c r="BV1943" s="2" t="s">
        <v>233</v>
      </c>
      <c r="BW1943" s="2" t="s">
        <v>233</v>
      </c>
      <c r="BX1943" s="2" t="s">
        <v>233</v>
      </c>
      <c r="BY1943" s="2" t="s">
        <v>280</v>
      </c>
      <c r="BZ1943" s="2" t="s">
        <v>245</v>
      </c>
      <c r="CA1943" s="2" t="s">
        <v>8893</v>
      </c>
      <c r="CB1943" s="2" t="s">
        <v>8224</v>
      </c>
      <c r="CC1943" s="2" t="s">
        <v>246</v>
      </c>
      <c r="CD1943" s="2" t="s">
        <v>233</v>
      </c>
      <c r="CE1943" s="4"/>
      <c r="CF1943" s="4"/>
      <c r="CG1943" s="4"/>
      <c r="CH1943" s="4"/>
      <c r="CI1943" s="4"/>
      <c r="CJ1943" s="4"/>
      <c r="CK1943" s="4"/>
      <c r="CL1943" s="4">
        <v>20</v>
      </c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>
        <v>30</v>
      </c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>
        <v>90</v>
      </c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4"/>
      <c r="HE1943" s="4">
        <v>50</v>
      </c>
      <c r="HF1943" s="4"/>
      <c r="HG1943" s="4"/>
      <c r="HH1943" s="4"/>
      <c r="HI1943" s="4"/>
      <c r="HJ1943" s="4"/>
      <c r="HK1943" s="4"/>
      <c r="HL1943" s="4"/>
      <c r="HM1943" s="4"/>
      <c r="HN1943" s="4"/>
      <c r="HO1943" s="4"/>
      <c r="HP1943" s="4"/>
      <c r="HQ1943" s="4"/>
      <c r="HR1943" s="4"/>
    </row>
    <row r="1944">
      <c r="A1944" s="2" t="s">
        <v>8894</v>
      </c>
      <c r="B1944" s="2" t="s">
        <v>333</v>
      </c>
      <c r="C1944" s="2" t="s">
        <v>911</v>
      </c>
      <c r="D1944" s="2" t="s">
        <v>335</v>
      </c>
      <c r="E1944" s="2" t="s">
        <v>336</v>
      </c>
      <c r="F1944" s="2" t="s">
        <v>3951</v>
      </c>
      <c r="G1944" s="2" t="s">
        <v>3951</v>
      </c>
      <c r="H1944" s="2" t="s">
        <v>3951</v>
      </c>
      <c r="I1944" s="2" t="s">
        <v>8886</v>
      </c>
      <c r="J1944" s="2" t="s">
        <v>290</v>
      </c>
      <c r="K1944" s="2" t="s">
        <v>8888</v>
      </c>
      <c r="L1944" s="3">
        <v>13.95</v>
      </c>
      <c r="M1944" s="3">
        <v>14.65</v>
      </c>
      <c r="N1944" s="3">
        <v>30.99</v>
      </c>
      <c r="O1944" s="2" t="s">
        <v>245</v>
      </c>
      <c r="P1944" s="2" t="s">
        <v>272</v>
      </c>
      <c r="Q1944" s="2" t="s">
        <v>239</v>
      </c>
      <c r="R1944" s="2" t="s">
        <v>233</v>
      </c>
      <c r="S1944" s="2" t="s">
        <v>8889</v>
      </c>
      <c r="T1944" s="2" t="s">
        <v>395</v>
      </c>
      <c r="U1944" s="2" t="s">
        <v>233</v>
      </c>
      <c r="V1944" s="2" t="s">
        <v>3951</v>
      </c>
      <c r="W1944" s="2" t="s">
        <v>275</v>
      </c>
      <c r="X1944" s="2" t="s">
        <v>233</v>
      </c>
      <c r="Y1944" s="2" t="s">
        <v>8890</v>
      </c>
      <c r="Z1944" s="4">
        <v>114</v>
      </c>
      <c r="AA1944" s="4">
        <f>=ROUNDDOWN(16.2857142857143,0)</f>
      </c>
      <c r="AB1944" s="5">
        <v>7</v>
      </c>
      <c r="AC1944" s="2" t="s">
        <v>319</v>
      </c>
      <c r="AD1944" s="4">
        <v>90</v>
      </c>
      <c r="AE1944" s="4">
        <v>170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233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 t="s">
        <v>233</v>
      </c>
      <c r="AW1944" s="8" t="s">
        <v>233</v>
      </c>
      <c r="AX1944" s="4" t="s">
        <v>233</v>
      </c>
      <c r="AY1944" s="8" t="s">
        <v>233</v>
      </c>
      <c r="AZ1944" s="7" t="s">
        <v>233</v>
      </c>
      <c r="BA1944" s="7" t="s">
        <v>233</v>
      </c>
      <c r="BB1944" s="7"/>
      <c r="BC1944" s="4" t="s">
        <v>233</v>
      </c>
      <c r="BD1944" s="8" t="s">
        <v>233</v>
      </c>
      <c r="BE1944" s="4" t="s">
        <v>233</v>
      </c>
      <c r="BF1944" s="8" t="s">
        <v>233</v>
      </c>
      <c r="BG1944" s="7" t="s">
        <v>233</v>
      </c>
      <c r="BH1944" s="7" t="s">
        <v>233</v>
      </c>
      <c r="BI1944" s="7"/>
      <c r="BJ1944" s="4">
        <v>18</v>
      </c>
      <c r="BK1944" s="8">
        <v>278.49</v>
      </c>
      <c r="BL1944" s="2" t="s">
        <v>387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8895</v>
      </c>
      <c r="BV1944" s="2" t="s">
        <v>233</v>
      </c>
      <c r="BW1944" s="2" t="s">
        <v>233</v>
      </c>
      <c r="BX1944" s="2" t="s">
        <v>233</v>
      </c>
      <c r="BY1944" s="2" t="s">
        <v>280</v>
      </c>
      <c r="BZ1944" s="2" t="s">
        <v>245</v>
      </c>
      <c r="CA1944" s="2" t="s">
        <v>8893</v>
      </c>
      <c r="CB1944" s="2" t="s">
        <v>8896</v>
      </c>
      <c r="CC1944" s="2" t="s">
        <v>246</v>
      </c>
      <c r="CD1944" s="2" t="s">
        <v>233</v>
      </c>
      <c r="CE1944" s="4">
        <v>74</v>
      </c>
      <c r="CF1944" s="4"/>
      <c r="CG1944" s="4"/>
      <c r="CH1944" s="4"/>
      <c r="CI1944" s="4"/>
      <c r="CJ1944" s="4"/>
      <c r="CK1944" s="4"/>
      <c r="CL1944" s="4">
        <v>40</v>
      </c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>
        <v>90</v>
      </c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/>
      <c r="GX1944" s="4"/>
      <c r="GY1944" s="4"/>
      <c r="GZ1944" s="4"/>
      <c r="HA1944" s="4"/>
      <c r="HB1944" s="4"/>
      <c r="HC1944" s="4"/>
      <c r="HD1944" s="4"/>
      <c r="HE1944" s="4">
        <v>80</v>
      </c>
      <c r="HF1944" s="4"/>
      <c r="HG1944" s="4"/>
      <c r="HH1944" s="4"/>
      <c r="HI1944" s="4"/>
      <c r="HJ1944" s="4"/>
      <c r="HK1944" s="4"/>
      <c r="HL1944" s="4"/>
      <c r="HM1944" s="4"/>
      <c r="HN1944" s="4"/>
      <c r="HO1944" s="4"/>
      <c r="HP1944" s="4"/>
      <c r="HQ1944" s="4"/>
      <c r="HR1944" s="4"/>
    </row>
    <row r="1945">
      <c r="A1945" s="2" t="s">
        <v>8897</v>
      </c>
      <c r="B1945" s="2" t="s">
        <v>333</v>
      </c>
      <c r="C1945" s="2" t="s">
        <v>911</v>
      </c>
      <c r="D1945" s="2" t="s">
        <v>335</v>
      </c>
      <c r="E1945" s="2" t="s">
        <v>336</v>
      </c>
      <c r="F1945" s="2" t="s">
        <v>3951</v>
      </c>
      <c r="G1945" s="2" t="s">
        <v>3951</v>
      </c>
      <c r="H1945" s="2" t="s">
        <v>3951</v>
      </c>
      <c r="I1945" s="2" t="s">
        <v>8886</v>
      </c>
      <c r="J1945" s="2" t="s">
        <v>8887</v>
      </c>
      <c r="K1945" s="2" t="s">
        <v>8898</v>
      </c>
      <c r="L1945" s="3">
        <v>12.6</v>
      </c>
      <c r="M1945" s="3">
        <v>13.23</v>
      </c>
      <c r="N1945" s="3">
        <v>27.99</v>
      </c>
      <c r="O1945" s="2" t="s">
        <v>245</v>
      </c>
      <c r="P1945" s="2" t="s">
        <v>311</v>
      </c>
      <c r="Q1945" s="2" t="s">
        <v>239</v>
      </c>
      <c r="R1945" s="2" t="s">
        <v>233</v>
      </c>
      <c r="S1945" s="2" t="s">
        <v>8899</v>
      </c>
      <c r="T1945" s="2" t="s">
        <v>395</v>
      </c>
      <c r="U1945" s="2" t="s">
        <v>233</v>
      </c>
      <c r="V1945" s="2" t="s">
        <v>3951</v>
      </c>
      <c r="W1945" s="2" t="s">
        <v>275</v>
      </c>
      <c r="X1945" s="2" t="s">
        <v>233</v>
      </c>
      <c r="Y1945" s="2" t="s">
        <v>8890</v>
      </c>
      <c r="Z1945" s="4">
        <v>311</v>
      </c>
      <c r="AA1945" s="4">
        <f>=ROUNDDOWN(103.666666666667,0)</f>
      </c>
      <c r="AB1945" s="5">
        <v>3</v>
      </c>
      <c r="AC1945" s="2" t="s">
        <v>233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233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 t="s">
        <v>233</v>
      </c>
      <c r="BD1945" s="8" t="s">
        <v>233</v>
      </c>
      <c r="BE1945" s="4" t="s">
        <v>233</v>
      </c>
      <c r="BF1945" s="8" t="s">
        <v>233</v>
      </c>
      <c r="BG1945" s="7" t="s">
        <v>233</v>
      </c>
      <c r="BH1945" s="7" t="s">
        <v>233</v>
      </c>
      <c r="BI1945" s="7"/>
      <c r="BJ1945" s="4">
        <v>9</v>
      </c>
      <c r="BK1945" s="8">
        <v>125.8</v>
      </c>
      <c r="BL1945" s="2" t="s">
        <v>6299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8900</v>
      </c>
      <c r="BV1945" s="2" t="s">
        <v>233</v>
      </c>
      <c r="BW1945" s="2" t="s">
        <v>233</v>
      </c>
      <c r="BX1945" s="2" t="s">
        <v>233</v>
      </c>
      <c r="BY1945" s="2" t="s">
        <v>280</v>
      </c>
      <c r="BZ1945" s="2" t="s">
        <v>245</v>
      </c>
      <c r="CA1945" s="2" t="s">
        <v>8893</v>
      </c>
      <c r="CB1945" s="2" t="s">
        <v>8224</v>
      </c>
      <c r="CC1945" s="2" t="s">
        <v>246</v>
      </c>
      <c r="CD1945" s="2" t="s">
        <v>233</v>
      </c>
      <c r="CE1945" s="4">
        <v>311</v>
      </c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  <c r="HG1945" s="4"/>
      <c r="HH1945" s="4"/>
      <c r="HI1945" s="4"/>
      <c r="HJ1945" s="4"/>
      <c r="HK1945" s="4"/>
      <c r="HL1945" s="4"/>
      <c r="HM1945" s="4"/>
      <c r="HN1945" s="4"/>
      <c r="HO1945" s="4"/>
      <c r="HP1945" s="4"/>
      <c r="HQ1945" s="4"/>
      <c r="HR1945" s="4"/>
    </row>
    <row r="1946">
      <c r="A1946" s="2" t="s">
        <v>8901</v>
      </c>
      <c r="B1946" s="2" t="s">
        <v>333</v>
      </c>
      <c r="C1946" s="2" t="s">
        <v>911</v>
      </c>
      <c r="D1946" s="2" t="s">
        <v>335</v>
      </c>
      <c r="E1946" s="2" t="s">
        <v>336</v>
      </c>
      <c r="F1946" s="2" t="s">
        <v>3951</v>
      </c>
      <c r="G1946" s="2" t="s">
        <v>3951</v>
      </c>
      <c r="H1946" s="2" t="s">
        <v>3951</v>
      </c>
      <c r="I1946" s="2" t="s">
        <v>8886</v>
      </c>
      <c r="J1946" s="2" t="s">
        <v>8887</v>
      </c>
      <c r="K1946" s="2" t="s">
        <v>8902</v>
      </c>
      <c r="L1946" s="3">
        <v>12.6</v>
      </c>
      <c r="M1946" s="3">
        <v>13.23</v>
      </c>
      <c r="N1946" s="3">
        <v>27.99</v>
      </c>
      <c r="O1946" s="2" t="s">
        <v>245</v>
      </c>
      <c r="P1946" s="2" t="s">
        <v>272</v>
      </c>
      <c r="Q1946" s="2" t="s">
        <v>239</v>
      </c>
      <c r="R1946" s="2" t="s">
        <v>233</v>
      </c>
      <c r="S1946" s="2" t="s">
        <v>8903</v>
      </c>
      <c r="T1946" s="2" t="s">
        <v>395</v>
      </c>
      <c r="U1946" s="2" t="s">
        <v>475</v>
      </c>
      <c r="V1946" s="2" t="s">
        <v>3951</v>
      </c>
      <c r="W1946" s="2" t="s">
        <v>275</v>
      </c>
      <c r="X1946" s="2" t="s">
        <v>233</v>
      </c>
      <c r="Y1946" s="2" t="s">
        <v>8890</v>
      </c>
      <c r="Z1946" s="4">
        <v>77</v>
      </c>
      <c r="AA1946" s="4">
        <f>=ROUNDDOWN(15.4,0)</f>
      </c>
      <c r="AB1946" s="5">
        <v>5</v>
      </c>
      <c r="AC1946" s="2" t="s">
        <v>319</v>
      </c>
      <c r="AD1946" s="4">
        <v>110</v>
      </c>
      <c r="AE1946" s="4">
        <v>140</v>
      </c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233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 t="s">
        <v>233</v>
      </c>
      <c r="AW1946" s="8" t="s">
        <v>233</v>
      </c>
      <c r="AX1946" s="4" t="s">
        <v>233</v>
      </c>
      <c r="AY1946" s="8" t="s">
        <v>233</v>
      </c>
      <c r="AZ1946" s="7" t="s">
        <v>233</v>
      </c>
      <c r="BA1946" s="7" t="s">
        <v>233</v>
      </c>
      <c r="BB1946" s="7"/>
      <c r="BC1946" s="4" t="s">
        <v>233</v>
      </c>
      <c r="BD1946" s="8" t="s">
        <v>233</v>
      </c>
      <c r="BE1946" s="4" t="s">
        <v>233</v>
      </c>
      <c r="BF1946" s="8" t="s">
        <v>233</v>
      </c>
      <c r="BG1946" s="7" t="s">
        <v>233</v>
      </c>
      <c r="BH1946" s="7" t="s">
        <v>233</v>
      </c>
      <c r="BI1946" s="7"/>
      <c r="BJ1946" s="4">
        <v>14</v>
      </c>
      <c r="BK1946" s="8">
        <v>197.76</v>
      </c>
      <c r="BL1946" s="2" t="s">
        <v>8904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8905</v>
      </c>
      <c r="BV1946" s="2" t="s">
        <v>233</v>
      </c>
      <c r="BW1946" s="2" t="s">
        <v>233</v>
      </c>
      <c r="BX1946" s="2" t="s">
        <v>233</v>
      </c>
      <c r="BY1946" s="2" t="s">
        <v>280</v>
      </c>
      <c r="BZ1946" s="2" t="s">
        <v>245</v>
      </c>
      <c r="CA1946" s="2" t="s">
        <v>8893</v>
      </c>
      <c r="CB1946" s="2" t="s">
        <v>8816</v>
      </c>
      <c r="CC1946" s="2" t="s">
        <v>246</v>
      </c>
      <c r="CD1946" s="2" t="s">
        <v>233</v>
      </c>
      <c r="CE1946" s="4">
        <v>77</v>
      </c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>
        <v>110</v>
      </c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>
        <v>30</v>
      </c>
      <c r="HF1946" s="4"/>
      <c r="HG1946" s="4"/>
      <c r="HH1946" s="4"/>
      <c r="HI1946" s="4"/>
      <c r="HJ1946" s="4"/>
      <c r="HK1946" s="4"/>
      <c r="HL1946" s="4"/>
      <c r="HM1946" s="4"/>
      <c r="HN1946" s="4"/>
      <c r="HO1946" s="4"/>
      <c r="HP1946" s="4"/>
      <c r="HQ1946" s="4"/>
      <c r="HR1946" s="4"/>
    </row>
    <row r="1947">
      <c r="A1947" s="2" t="s">
        <v>8906</v>
      </c>
      <c r="B1947" s="2" t="s">
        <v>333</v>
      </c>
      <c r="C1947" s="2" t="s">
        <v>911</v>
      </c>
      <c r="D1947" s="2" t="s">
        <v>335</v>
      </c>
      <c r="E1947" s="2" t="s">
        <v>336</v>
      </c>
      <c r="F1947" s="2" t="s">
        <v>3951</v>
      </c>
      <c r="G1947" s="2" t="s">
        <v>3951</v>
      </c>
      <c r="H1947" s="2" t="s">
        <v>3951</v>
      </c>
      <c r="I1947" s="2" t="s">
        <v>8886</v>
      </c>
      <c r="J1947" s="2" t="s">
        <v>348</v>
      </c>
      <c r="K1947" s="2" t="s">
        <v>8902</v>
      </c>
      <c r="L1947" s="3">
        <v>14.85</v>
      </c>
      <c r="M1947" s="3">
        <v>15.59</v>
      </c>
      <c r="N1947" s="3">
        <v>32.99</v>
      </c>
      <c r="O1947" s="2" t="s">
        <v>245</v>
      </c>
      <c r="P1947" s="2" t="s">
        <v>272</v>
      </c>
      <c r="Q1947" s="2" t="s">
        <v>239</v>
      </c>
      <c r="R1947" s="2" t="s">
        <v>233</v>
      </c>
      <c r="S1947" s="2" t="s">
        <v>8903</v>
      </c>
      <c r="T1947" s="2" t="s">
        <v>395</v>
      </c>
      <c r="U1947" s="2" t="s">
        <v>342</v>
      </c>
      <c r="V1947" s="2" t="s">
        <v>3951</v>
      </c>
      <c r="W1947" s="2" t="s">
        <v>275</v>
      </c>
      <c r="X1947" s="2" t="s">
        <v>233</v>
      </c>
      <c r="Y1947" s="2" t="s">
        <v>8890</v>
      </c>
      <c r="Z1947" s="4">
        <v>201</v>
      </c>
      <c r="AA1947" s="4">
        <f>=ROUNDDOWN(14.3571428571429,0)</f>
      </c>
      <c r="AB1947" s="5">
        <v>14</v>
      </c>
      <c r="AC1947" s="2" t="s">
        <v>319</v>
      </c>
      <c r="AD1947" s="4">
        <v>200</v>
      </c>
      <c r="AE1947" s="4">
        <v>290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233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 t="s">
        <v>233</v>
      </c>
      <c r="AW1947" s="8" t="s">
        <v>233</v>
      </c>
      <c r="AX1947" s="4" t="s">
        <v>233</v>
      </c>
      <c r="AY1947" s="8" t="s">
        <v>233</v>
      </c>
      <c r="AZ1947" s="7" t="s">
        <v>233</v>
      </c>
      <c r="BA1947" s="7" t="s">
        <v>233</v>
      </c>
      <c r="BB1947" s="7"/>
      <c r="BC1947" s="4" t="s">
        <v>233</v>
      </c>
      <c r="BD1947" s="8" t="s">
        <v>233</v>
      </c>
      <c r="BE1947" s="4" t="s">
        <v>233</v>
      </c>
      <c r="BF1947" s="8" t="s">
        <v>233</v>
      </c>
      <c r="BG1947" s="7" t="s">
        <v>233</v>
      </c>
      <c r="BH1947" s="7" t="s">
        <v>233</v>
      </c>
      <c r="BI1947" s="7"/>
      <c r="BJ1947" s="4">
        <v>48</v>
      </c>
      <c r="BK1947" s="8">
        <v>823.84</v>
      </c>
      <c r="BL1947" s="2" t="s">
        <v>8904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8907</v>
      </c>
      <c r="BV1947" s="2" t="s">
        <v>233</v>
      </c>
      <c r="BW1947" s="2" t="s">
        <v>233</v>
      </c>
      <c r="BX1947" s="2" t="s">
        <v>233</v>
      </c>
      <c r="BY1947" s="2" t="s">
        <v>280</v>
      </c>
      <c r="BZ1947" s="2" t="s">
        <v>245</v>
      </c>
      <c r="CA1947" s="2" t="s">
        <v>8893</v>
      </c>
      <c r="CB1947" s="2" t="s">
        <v>2894</v>
      </c>
      <c r="CC1947" s="2" t="s">
        <v>246</v>
      </c>
      <c r="CD1947" s="2" t="s">
        <v>233</v>
      </c>
      <c r="CE1947" s="4">
        <v>171</v>
      </c>
      <c r="CF1947" s="4"/>
      <c r="CG1947" s="4"/>
      <c r="CH1947" s="4"/>
      <c r="CI1947" s="4"/>
      <c r="CJ1947" s="4"/>
      <c r="CK1947" s="4"/>
      <c r="CL1947" s="4">
        <v>30</v>
      </c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>
        <v>200</v>
      </c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/>
      <c r="GN1947" s="4"/>
      <c r="GO1947" s="4"/>
      <c r="GP1947" s="4"/>
      <c r="GQ1947" s="4"/>
      <c r="GR1947" s="4"/>
      <c r="GS1947" s="4"/>
      <c r="GT1947" s="4"/>
      <c r="GU1947" s="4"/>
      <c r="GV1947" s="4"/>
      <c r="GW1947" s="4"/>
      <c r="GX1947" s="4"/>
      <c r="GY1947" s="4"/>
      <c r="GZ1947" s="4"/>
      <c r="HA1947" s="4"/>
      <c r="HB1947" s="4"/>
      <c r="HC1947" s="4"/>
      <c r="HD1947" s="4"/>
      <c r="HE1947" s="4">
        <v>90</v>
      </c>
      <c r="HF1947" s="4"/>
      <c r="HG1947" s="4"/>
      <c r="HH1947" s="4"/>
      <c r="HI1947" s="4"/>
      <c r="HJ1947" s="4"/>
      <c r="HK1947" s="4"/>
      <c r="HL1947" s="4"/>
      <c r="HM1947" s="4"/>
      <c r="HN1947" s="4"/>
      <c r="HO1947" s="4"/>
      <c r="HP1947" s="4"/>
      <c r="HQ1947" s="4"/>
      <c r="HR1947" s="4"/>
    </row>
    <row r="1948">
      <c r="A1948" s="2" t="s">
        <v>8908</v>
      </c>
      <c r="B1948" s="2" t="s">
        <v>333</v>
      </c>
      <c r="C1948" s="2" t="s">
        <v>911</v>
      </c>
      <c r="D1948" s="2" t="s">
        <v>335</v>
      </c>
      <c r="E1948" s="2" t="s">
        <v>336</v>
      </c>
      <c r="F1948" s="2" t="s">
        <v>3951</v>
      </c>
      <c r="G1948" s="2" t="s">
        <v>3951</v>
      </c>
      <c r="H1948" s="2" t="s">
        <v>3951</v>
      </c>
      <c r="I1948" s="2" t="s">
        <v>8886</v>
      </c>
      <c r="J1948" s="2" t="s">
        <v>270</v>
      </c>
      <c r="K1948" s="2" t="s">
        <v>8909</v>
      </c>
      <c r="L1948" s="3">
        <v>12.6</v>
      </c>
      <c r="M1948" s="3">
        <v>13.23</v>
      </c>
      <c r="N1948" s="3">
        <v>27.99</v>
      </c>
      <c r="O1948" s="2" t="s">
        <v>245</v>
      </c>
      <c r="P1948" s="2" t="s">
        <v>272</v>
      </c>
      <c r="Q1948" s="2" t="s">
        <v>239</v>
      </c>
      <c r="R1948" s="2" t="s">
        <v>233</v>
      </c>
      <c r="S1948" s="2" t="s">
        <v>8910</v>
      </c>
      <c r="T1948" s="2" t="s">
        <v>395</v>
      </c>
      <c r="U1948" s="2" t="s">
        <v>233</v>
      </c>
      <c r="V1948" s="2" t="s">
        <v>3951</v>
      </c>
      <c r="W1948" s="2" t="s">
        <v>275</v>
      </c>
      <c r="X1948" s="2" t="s">
        <v>233</v>
      </c>
      <c r="Y1948" s="2" t="s">
        <v>8890</v>
      </c>
      <c r="Z1948" s="4">
        <v>100</v>
      </c>
      <c r="AA1948" s="4">
        <f>=ROUNDDOWN(12.5,0)</f>
      </c>
      <c r="AB1948" s="5">
        <v>8</v>
      </c>
      <c r="AC1948" s="2" t="s">
        <v>319</v>
      </c>
      <c r="AD1948" s="4">
        <v>60</v>
      </c>
      <c r="AE1948" s="4">
        <v>180</v>
      </c>
      <c r="AF1948" s="6">
        <v>65</v>
      </c>
      <c r="AG1948" s="6"/>
      <c r="AH1948" s="7">
        <v>0</v>
      </c>
      <c r="AI1948" s="4"/>
      <c r="AJ1948" s="4">
        <f>=ROUNDDOWN({0},0)</f>
      </c>
      <c r="AK1948" s="5"/>
      <c r="AL1948" s="2" t="s">
        <v>233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 t="s">
        <v>233</v>
      </c>
      <c r="AW1948" s="8" t="s">
        <v>233</v>
      </c>
      <c r="AX1948" s="4" t="s">
        <v>233</v>
      </c>
      <c r="AY1948" s="8" t="s">
        <v>233</v>
      </c>
      <c r="AZ1948" s="7" t="s">
        <v>233</v>
      </c>
      <c r="BA1948" s="7" t="s">
        <v>233</v>
      </c>
      <c r="BB1948" s="7"/>
      <c r="BC1948" s="4" t="s">
        <v>233</v>
      </c>
      <c r="BD1948" s="8" t="s">
        <v>233</v>
      </c>
      <c r="BE1948" s="4" t="s">
        <v>233</v>
      </c>
      <c r="BF1948" s="8" t="s">
        <v>233</v>
      </c>
      <c r="BG1948" s="7" t="s">
        <v>233</v>
      </c>
      <c r="BH1948" s="7" t="s">
        <v>233</v>
      </c>
      <c r="BI1948" s="7"/>
      <c r="BJ1948" s="4"/>
      <c r="BK1948" s="8"/>
      <c r="BL1948" s="2" t="s">
        <v>8911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8912</v>
      </c>
      <c r="BV1948" s="2" t="s">
        <v>233</v>
      </c>
      <c r="BW1948" s="2" t="s">
        <v>233</v>
      </c>
      <c r="BX1948" s="2" t="s">
        <v>233</v>
      </c>
      <c r="BY1948" s="2" t="s">
        <v>280</v>
      </c>
      <c r="BZ1948" s="2" t="s">
        <v>245</v>
      </c>
      <c r="CA1948" s="2" t="s">
        <v>8893</v>
      </c>
      <c r="CB1948" s="2" t="s">
        <v>4598</v>
      </c>
      <c r="CC1948" s="2" t="s">
        <v>246</v>
      </c>
      <c r="CD1948" s="2" t="s">
        <v>233</v>
      </c>
      <c r="CE1948" s="4"/>
      <c r="CF1948" s="4"/>
      <c r="CG1948" s="4"/>
      <c r="CH1948" s="4"/>
      <c r="CI1948" s="4"/>
      <c r="CJ1948" s="4"/>
      <c r="CK1948" s="4"/>
      <c r="CL1948" s="4">
        <v>100</v>
      </c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>
        <v>60</v>
      </c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>
        <v>60</v>
      </c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/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/>
      <c r="HD1948" s="4"/>
      <c r="HE1948" s="4">
        <v>60</v>
      </c>
      <c r="HF1948" s="4"/>
      <c r="HG1948" s="4"/>
      <c r="HH1948" s="4"/>
      <c r="HI1948" s="4"/>
      <c r="HJ1948" s="4"/>
      <c r="HK1948" s="4"/>
      <c r="HL1948" s="4"/>
      <c r="HM1948" s="4"/>
      <c r="HN1948" s="4"/>
      <c r="HO1948" s="4"/>
      <c r="HP1948" s="4"/>
      <c r="HQ1948" s="4"/>
      <c r="HR1948" s="4"/>
    </row>
    <row r="1949">
      <c r="A1949" s="2" t="s">
        <v>8913</v>
      </c>
      <c r="B1949" s="2" t="s">
        <v>333</v>
      </c>
      <c r="C1949" s="2" t="s">
        <v>911</v>
      </c>
      <c r="D1949" s="2" t="s">
        <v>335</v>
      </c>
      <c r="E1949" s="2" t="s">
        <v>336</v>
      </c>
      <c r="F1949" s="2" t="s">
        <v>3951</v>
      </c>
      <c r="G1949" s="2" t="s">
        <v>3951</v>
      </c>
      <c r="H1949" s="2" t="s">
        <v>3951</v>
      </c>
      <c r="I1949" s="2" t="s">
        <v>8886</v>
      </c>
      <c r="J1949" s="2" t="s">
        <v>290</v>
      </c>
      <c r="K1949" s="2" t="s">
        <v>8909</v>
      </c>
      <c r="L1949" s="3">
        <v>13.95</v>
      </c>
      <c r="M1949" s="3">
        <v>14.65</v>
      </c>
      <c r="N1949" s="3">
        <v>30.99</v>
      </c>
      <c r="O1949" s="2" t="s">
        <v>245</v>
      </c>
      <c r="P1949" s="2" t="s">
        <v>272</v>
      </c>
      <c r="Q1949" s="2" t="s">
        <v>239</v>
      </c>
      <c r="R1949" s="2" t="s">
        <v>233</v>
      </c>
      <c r="S1949" s="2" t="s">
        <v>8910</v>
      </c>
      <c r="T1949" s="2" t="s">
        <v>395</v>
      </c>
      <c r="U1949" s="2" t="s">
        <v>233</v>
      </c>
      <c r="V1949" s="2" t="s">
        <v>3951</v>
      </c>
      <c r="W1949" s="2" t="s">
        <v>275</v>
      </c>
      <c r="X1949" s="2" t="s">
        <v>233</v>
      </c>
      <c r="Y1949" s="2" t="s">
        <v>8890</v>
      </c>
      <c r="Z1949" s="4">
        <v>149</v>
      </c>
      <c r="AA1949" s="4">
        <f>=ROUNDDOWN(16.5555555555556,0)</f>
      </c>
      <c r="AB1949" s="5">
        <v>9</v>
      </c>
      <c r="AC1949" s="2" t="s">
        <v>319</v>
      </c>
      <c r="AD1949" s="4">
        <v>105</v>
      </c>
      <c r="AE1949" s="4">
        <v>135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233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 t="s">
        <v>233</v>
      </c>
      <c r="AW1949" s="8" t="s">
        <v>233</v>
      </c>
      <c r="AX1949" s="4" t="s">
        <v>233</v>
      </c>
      <c r="AY1949" s="8" t="s">
        <v>233</v>
      </c>
      <c r="AZ1949" s="7" t="s">
        <v>233</v>
      </c>
      <c r="BA1949" s="7" t="s">
        <v>233</v>
      </c>
      <c r="BB1949" s="7"/>
      <c r="BC1949" s="4" t="s">
        <v>233</v>
      </c>
      <c r="BD1949" s="8" t="s">
        <v>233</v>
      </c>
      <c r="BE1949" s="4" t="s">
        <v>233</v>
      </c>
      <c r="BF1949" s="8" t="s">
        <v>233</v>
      </c>
      <c r="BG1949" s="7" t="s">
        <v>233</v>
      </c>
      <c r="BH1949" s="7" t="s">
        <v>233</v>
      </c>
      <c r="BI1949" s="7"/>
      <c r="BJ1949" s="4">
        <v>20</v>
      </c>
      <c r="BK1949" s="8">
        <v>313.79</v>
      </c>
      <c r="BL1949" s="2" t="s">
        <v>8914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8915</v>
      </c>
      <c r="BV1949" s="2" t="s">
        <v>233</v>
      </c>
      <c r="BW1949" s="2" t="s">
        <v>233</v>
      </c>
      <c r="BX1949" s="2" t="s">
        <v>233</v>
      </c>
      <c r="BY1949" s="2" t="s">
        <v>280</v>
      </c>
      <c r="BZ1949" s="2" t="s">
        <v>245</v>
      </c>
      <c r="CA1949" s="2" t="s">
        <v>8893</v>
      </c>
      <c r="CB1949" s="2" t="s">
        <v>8916</v>
      </c>
      <c r="CC1949" s="2" t="s">
        <v>246</v>
      </c>
      <c r="CD1949" s="2" t="s">
        <v>233</v>
      </c>
      <c r="CE1949" s="4">
        <v>9</v>
      </c>
      <c r="CF1949" s="4"/>
      <c r="CG1949" s="4"/>
      <c r="CH1949" s="4"/>
      <c r="CI1949" s="4"/>
      <c r="CJ1949" s="4"/>
      <c r="CK1949" s="4"/>
      <c r="CL1949" s="4">
        <v>140</v>
      </c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>
        <v>105</v>
      </c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/>
      <c r="HD1949" s="4"/>
      <c r="HE1949" s="4">
        <v>30</v>
      </c>
      <c r="HF1949" s="4"/>
      <c r="HG1949" s="4"/>
      <c r="HH1949" s="4"/>
      <c r="HI1949" s="4"/>
      <c r="HJ1949" s="4"/>
      <c r="HK1949" s="4"/>
      <c r="HL1949" s="4"/>
      <c r="HM1949" s="4"/>
      <c r="HN1949" s="4"/>
      <c r="HO1949" s="4"/>
      <c r="HP1949" s="4"/>
      <c r="HQ1949" s="4"/>
      <c r="HR1949" s="4"/>
    </row>
    <row r="1950">
      <c r="A1950" s="2" t="s">
        <v>8917</v>
      </c>
      <c r="B1950" s="2" t="s">
        <v>333</v>
      </c>
      <c r="C1950" s="2" t="s">
        <v>911</v>
      </c>
      <c r="D1950" s="2" t="s">
        <v>335</v>
      </c>
      <c r="E1950" s="2" t="s">
        <v>336</v>
      </c>
      <c r="F1950" s="2" t="s">
        <v>3951</v>
      </c>
      <c r="G1950" s="2" t="s">
        <v>3951</v>
      </c>
      <c r="H1950" s="2" t="s">
        <v>3951</v>
      </c>
      <c r="I1950" s="2" t="s">
        <v>8886</v>
      </c>
      <c r="J1950" s="2" t="s">
        <v>348</v>
      </c>
      <c r="K1950" s="2" t="s">
        <v>8909</v>
      </c>
      <c r="L1950" s="3">
        <v>14.85</v>
      </c>
      <c r="M1950" s="3">
        <v>15.59</v>
      </c>
      <c r="N1950" s="3">
        <v>32.99</v>
      </c>
      <c r="O1950" s="2" t="s">
        <v>245</v>
      </c>
      <c r="P1950" s="2" t="s">
        <v>272</v>
      </c>
      <c r="Q1950" s="2" t="s">
        <v>239</v>
      </c>
      <c r="R1950" s="2" t="s">
        <v>233</v>
      </c>
      <c r="S1950" s="2" t="s">
        <v>8910</v>
      </c>
      <c r="T1950" s="2" t="s">
        <v>395</v>
      </c>
      <c r="U1950" s="2" t="s">
        <v>233</v>
      </c>
      <c r="V1950" s="2" t="s">
        <v>3951</v>
      </c>
      <c r="W1950" s="2" t="s">
        <v>275</v>
      </c>
      <c r="X1950" s="2" t="s">
        <v>233</v>
      </c>
      <c r="Y1950" s="2" t="s">
        <v>8890</v>
      </c>
      <c r="Z1950" s="4">
        <v>51</v>
      </c>
      <c r="AA1950" s="4">
        <f>=ROUNDDOWN(5.1,0)</f>
      </c>
      <c r="AB1950" s="5">
        <v>10</v>
      </c>
      <c r="AC1950" s="2" t="s">
        <v>319</v>
      </c>
      <c r="AD1950" s="4">
        <v>80</v>
      </c>
      <c r="AE1950" s="4">
        <v>320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233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 t="s">
        <v>233</v>
      </c>
      <c r="AW1950" s="8" t="s">
        <v>233</v>
      </c>
      <c r="AX1950" s="4" t="s">
        <v>233</v>
      </c>
      <c r="AY1950" s="8" t="s">
        <v>233</v>
      </c>
      <c r="AZ1950" s="7" t="s">
        <v>233</v>
      </c>
      <c r="BA1950" s="7" t="s">
        <v>233</v>
      </c>
      <c r="BB1950" s="7"/>
      <c r="BC1950" s="4" t="s">
        <v>233</v>
      </c>
      <c r="BD1950" s="8" t="s">
        <v>233</v>
      </c>
      <c r="BE1950" s="4" t="s">
        <v>233</v>
      </c>
      <c r="BF1950" s="8" t="s">
        <v>233</v>
      </c>
      <c r="BG1950" s="7" t="s">
        <v>233</v>
      </c>
      <c r="BH1950" s="7" t="s">
        <v>233</v>
      </c>
      <c r="BI1950" s="7"/>
      <c r="BJ1950" s="4">
        <v>32</v>
      </c>
      <c r="BK1950" s="8">
        <v>538.53</v>
      </c>
      <c r="BL1950" s="2" t="s">
        <v>8918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8919</v>
      </c>
      <c r="BV1950" s="2" t="s">
        <v>233</v>
      </c>
      <c r="BW1950" s="2" t="s">
        <v>233</v>
      </c>
      <c r="BX1950" s="2" t="s">
        <v>233</v>
      </c>
      <c r="BY1950" s="2" t="s">
        <v>280</v>
      </c>
      <c r="BZ1950" s="2" t="s">
        <v>245</v>
      </c>
      <c r="CA1950" s="2" t="s">
        <v>8893</v>
      </c>
      <c r="CB1950" s="2" t="s">
        <v>2894</v>
      </c>
      <c r="CC1950" s="2" t="s">
        <v>246</v>
      </c>
      <c r="CD1950" s="2" t="s">
        <v>233</v>
      </c>
      <c r="CE1950" s="4">
        <v>51</v>
      </c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>
        <v>80</v>
      </c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>
        <v>150</v>
      </c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/>
      <c r="HD1950" s="4"/>
      <c r="HE1950" s="4">
        <v>90</v>
      </c>
      <c r="HF1950" s="4"/>
      <c r="HG1950" s="4"/>
      <c r="HH1950" s="4"/>
      <c r="HI1950" s="4"/>
      <c r="HJ1950" s="4"/>
      <c r="HK1950" s="4"/>
      <c r="HL1950" s="4"/>
      <c r="HM1950" s="4"/>
      <c r="HN1950" s="4"/>
      <c r="HO1950" s="4"/>
      <c r="HP1950" s="4"/>
      <c r="HQ1950" s="4"/>
      <c r="HR1950" s="4"/>
    </row>
    <row r="1951">
      <c r="A1951" s="2" t="s">
        <v>8920</v>
      </c>
      <c r="B1951" s="2" t="s">
        <v>989</v>
      </c>
      <c r="C1951" s="2" t="s">
        <v>701</v>
      </c>
      <c r="D1951" s="2" t="s">
        <v>991</v>
      </c>
      <c r="E1951" s="2" t="s">
        <v>992</v>
      </c>
      <c r="F1951" s="2" t="s">
        <v>8921</v>
      </c>
      <c r="G1951" s="2" t="s">
        <v>8921</v>
      </c>
      <c r="H1951" s="2" t="s">
        <v>8921</v>
      </c>
      <c r="I1951" s="2" t="s">
        <v>8922</v>
      </c>
      <c r="J1951" s="2" t="s">
        <v>892</v>
      </c>
      <c r="K1951" s="2" t="s">
        <v>271</v>
      </c>
      <c r="L1951" s="3">
        <v>36.5</v>
      </c>
      <c r="M1951" s="3">
        <v>38.33</v>
      </c>
      <c r="N1951" s="3">
        <v>79.99</v>
      </c>
      <c r="O1951" s="2" t="s">
        <v>245</v>
      </c>
      <c r="P1951" s="2" t="s">
        <v>393</v>
      </c>
      <c r="Q1951" s="2" t="s">
        <v>239</v>
      </c>
      <c r="R1951" s="2" t="s">
        <v>233</v>
      </c>
      <c r="S1951" s="2" t="s">
        <v>8923</v>
      </c>
      <c r="T1951" s="2" t="s">
        <v>341</v>
      </c>
      <c r="U1951" s="2" t="s">
        <v>871</v>
      </c>
      <c r="V1951" s="2" t="s">
        <v>241</v>
      </c>
      <c r="W1951" s="2" t="s">
        <v>705</v>
      </c>
      <c r="X1951" s="2" t="s">
        <v>233</v>
      </c>
      <c r="Y1951" s="2" t="s">
        <v>3375</v>
      </c>
      <c r="Z1951" s="4">
        <v>312</v>
      </c>
      <c r="AA1951" s="4">
        <f>=ROUNDDOWN(34.6666666666667,0)</f>
      </c>
      <c r="AB1951" s="5">
        <v>9</v>
      </c>
      <c r="AC1951" s="2" t="s">
        <v>7236</v>
      </c>
      <c r="AD1951" s="4">
        <v>230</v>
      </c>
      <c r="AE1951" s="4">
        <v>230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233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 t="s">
        <v>233</v>
      </c>
      <c r="BD1951" s="8" t="s">
        <v>233</v>
      </c>
      <c r="BE1951" s="4" t="s">
        <v>233</v>
      </c>
      <c r="BF1951" s="8" t="s">
        <v>233</v>
      </c>
      <c r="BG1951" s="7" t="s">
        <v>233</v>
      </c>
      <c r="BH1951" s="7" t="s">
        <v>233</v>
      </c>
      <c r="BI1951" s="7"/>
      <c r="BJ1951" s="4">
        <v>28</v>
      </c>
      <c r="BK1951" s="8">
        <v>1150.81</v>
      </c>
      <c r="BL1951" s="2" t="s">
        <v>8924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8925</v>
      </c>
      <c r="BV1951" s="2" t="s">
        <v>233</v>
      </c>
      <c r="BW1951" s="2" t="s">
        <v>233</v>
      </c>
      <c r="BX1951" s="2" t="s">
        <v>233</v>
      </c>
      <c r="BY1951" s="2" t="s">
        <v>280</v>
      </c>
      <c r="BZ1951" s="2" t="s">
        <v>245</v>
      </c>
      <c r="CA1951" s="2" t="s">
        <v>1680</v>
      </c>
      <c r="CB1951" s="2" t="s">
        <v>1674</v>
      </c>
      <c r="CC1951" s="2" t="s">
        <v>246</v>
      </c>
      <c r="CD1951" s="2" t="s">
        <v>233</v>
      </c>
      <c r="CE1951" s="4">
        <v>312</v>
      </c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>
        <v>230</v>
      </c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4"/>
      <c r="HE1951" s="4"/>
      <c r="HF1951" s="4"/>
      <c r="HG1951" s="4"/>
      <c r="HH1951" s="4"/>
      <c r="HI1951" s="4"/>
      <c r="HJ1951" s="4"/>
      <c r="HK1951" s="4"/>
      <c r="HL1951" s="4"/>
      <c r="HM1951" s="4"/>
      <c r="HN1951" s="4"/>
      <c r="HO1951" s="4"/>
      <c r="HP1951" s="4"/>
      <c r="HQ1951" s="4"/>
      <c r="HR1951" s="4"/>
    </row>
    <row r="1952">
      <c r="A1952" s="2" t="s">
        <v>8926</v>
      </c>
      <c r="B1952" s="2" t="s">
        <v>989</v>
      </c>
      <c r="C1952" s="2" t="s">
        <v>701</v>
      </c>
      <c r="D1952" s="2" t="s">
        <v>991</v>
      </c>
      <c r="E1952" s="2" t="s">
        <v>992</v>
      </c>
      <c r="F1952" s="2" t="s">
        <v>8921</v>
      </c>
      <c r="G1952" s="2" t="s">
        <v>8921</v>
      </c>
      <c r="H1952" s="2" t="s">
        <v>8921</v>
      </c>
      <c r="I1952" s="2" t="s">
        <v>8922</v>
      </c>
      <c r="J1952" s="2" t="s">
        <v>892</v>
      </c>
      <c r="K1952" s="2" t="s">
        <v>255</v>
      </c>
      <c r="L1952" s="3">
        <v>36.5</v>
      </c>
      <c r="M1952" s="3">
        <v>38.33</v>
      </c>
      <c r="N1952" s="3">
        <v>79.99</v>
      </c>
      <c r="O1952" s="2" t="s">
        <v>245</v>
      </c>
      <c r="P1952" s="2" t="s">
        <v>393</v>
      </c>
      <c r="Q1952" s="2" t="s">
        <v>239</v>
      </c>
      <c r="R1952" s="2" t="s">
        <v>233</v>
      </c>
      <c r="S1952" s="2" t="s">
        <v>8927</v>
      </c>
      <c r="T1952" s="2" t="s">
        <v>341</v>
      </c>
      <c r="U1952" s="2" t="s">
        <v>871</v>
      </c>
      <c r="V1952" s="2" t="s">
        <v>241</v>
      </c>
      <c r="W1952" s="2" t="s">
        <v>705</v>
      </c>
      <c r="X1952" s="2" t="s">
        <v>233</v>
      </c>
      <c r="Y1952" s="2" t="s">
        <v>3375</v>
      </c>
      <c r="Z1952" s="4">
        <v>197</v>
      </c>
      <c r="AA1952" s="4">
        <f>=ROUNDDOWN(21.8888888888889,0)</f>
      </c>
      <c r="AB1952" s="5">
        <v>9</v>
      </c>
      <c r="AC1952" s="2" t="s">
        <v>7236</v>
      </c>
      <c r="AD1952" s="4">
        <v>420</v>
      </c>
      <c r="AE1952" s="4">
        <v>420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233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 t="s">
        <v>233</v>
      </c>
      <c r="BD1952" s="8" t="s">
        <v>233</v>
      </c>
      <c r="BE1952" s="4" t="s">
        <v>233</v>
      </c>
      <c r="BF1952" s="8" t="s">
        <v>233</v>
      </c>
      <c r="BG1952" s="7" t="s">
        <v>233</v>
      </c>
      <c r="BH1952" s="7" t="s">
        <v>233</v>
      </c>
      <c r="BI1952" s="7"/>
      <c r="BJ1952" s="4">
        <v>27</v>
      </c>
      <c r="BK1952" s="8">
        <v>1102.1</v>
      </c>
      <c r="BL1952" s="2" t="s">
        <v>8924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8928</v>
      </c>
      <c r="BV1952" s="2" t="s">
        <v>233</v>
      </c>
      <c r="BW1952" s="2" t="s">
        <v>233</v>
      </c>
      <c r="BX1952" s="2" t="s">
        <v>233</v>
      </c>
      <c r="BY1952" s="2" t="s">
        <v>280</v>
      </c>
      <c r="BZ1952" s="2" t="s">
        <v>245</v>
      </c>
      <c r="CA1952" s="2" t="s">
        <v>1680</v>
      </c>
      <c r="CB1952" s="2" t="s">
        <v>8929</v>
      </c>
      <c r="CC1952" s="2" t="s">
        <v>246</v>
      </c>
      <c r="CD1952" s="2" t="s">
        <v>233</v>
      </c>
      <c r="CE1952" s="4">
        <v>197</v>
      </c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>
        <v>420</v>
      </c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4"/>
      <c r="HE1952" s="4"/>
      <c r="HF1952" s="4"/>
      <c r="HG1952" s="4"/>
      <c r="HH1952" s="4"/>
      <c r="HI1952" s="4"/>
      <c r="HJ1952" s="4"/>
      <c r="HK1952" s="4"/>
      <c r="HL1952" s="4"/>
      <c r="HM1952" s="4"/>
      <c r="HN1952" s="4"/>
      <c r="HO1952" s="4"/>
      <c r="HP1952" s="4"/>
      <c r="HQ1952" s="4"/>
      <c r="HR1952" s="4"/>
    </row>
    <row r="1953">
      <c r="A1953" s="2" t="s">
        <v>8930</v>
      </c>
      <c r="B1953" s="2" t="s">
        <v>989</v>
      </c>
      <c r="C1953" s="2" t="s">
        <v>701</v>
      </c>
      <c r="D1953" s="2" t="s">
        <v>991</v>
      </c>
      <c r="E1953" s="2" t="s">
        <v>992</v>
      </c>
      <c r="F1953" s="2" t="s">
        <v>8921</v>
      </c>
      <c r="G1953" s="2" t="s">
        <v>8921</v>
      </c>
      <c r="H1953" s="2" t="s">
        <v>8921</v>
      </c>
      <c r="I1953" s="2" t="s">
        <v>8922</v>
      </c>
      <c r="J1953" s="2" t="s">
        <v>892</v>
      </c>
      <c r="K1953" s="2" t="s">
        <v>499</v>
      </c>
      <c r="L1953" s="3">
        <v>36.5</v>
      </c>
      <c r="M1953" s="3">
        <v>38.33</v>
      </c>
      <c r="N1953" s="3">
        <v>79.99</v>
      </c>
      <c r="O1953" s="2" t="s">
        <v>245</v>
      </c>
      <c r="P1953" s="2" t="s">
        <v>393</v>
      </c>
      <c r="Q1953" s="2" t="s">
        <v>239</v>
      </c>
      <c r="R1953" s="2" t="s">
        <v>233</v>
      </c>
      <c r="S1953" s="2" t="s">
        <v>8931</v>
      </c>
      <c r="T1953" s="2" t="s">
        <v>341</v>
      </c>
      <c r="U1953" s="2" t="s">
        <v>871</v>
      </c>
      <c r="V1953" s="2" t="s">
        <v>241</v>
      </c>
      <c r="W1953" s="2" t="s">
        <v>705</v>
      </c>
      <c r="X1953" s="2" t="s">
        <v>233</v>
      </c>
      <c r="Y1953" s="2" t="s">
        <v>3375</v>
      </c>
      <c r="Z1953" s="4">
        <v>302</v>
      </c>
      <c r="AA1953" s="4">
        <f>=ROUNDDOWN(37.75,0)</f>
      </c>
      <c r="AB1953" s="5">
        <v>8</v>
      </c>
      <c r="AC1953" s="2" t="s">
        <v>7236</v>
      </c>
      <c r="AD1953" s="4">
        <v>260</v>
      </c>
      <c r="AE1953" s="4">
        <v>260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233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 t="s">
        <v>233</v>
      </c>
      <c r="BD1953" s="8" t="s">
        <v>233</v>
      </c>
      <c r="BE1953" s="4" t="s">
        <v>233</v>
      </c>
      <c r="BF1953" s="8" t="s">
        <v>233</v>
      </c>
      <c r="BG1953" s="7" t="s">
        <v>233</v>
      </c>
      <c r="BH1953" s="7" t="s">
        <v>233</v>
      </c>
      <c r="BI1953" s="7"/>
      <c r="BJ1953" s="4">
        <v>10</v>
      </c>
      <c r="BK1953" s="8">
        <v>406.23</v>
      </c>
      <c r="BL1953" s="2" t="s">
        <v>6893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8932</v>
      </c>
      <c r="BV1953" s="2" t="s">
        <v>233</v>
      </c>
      <c r="BW1953" s="2" t="s">
        <v>233</v>
      </c>
      <c r="BX1953" s="2" t="s">
        <v>233</v>
      </c>
      <c r="BY1953" s="2" t="s">
        <v>280</v>
      </c>
      <c r="BZ1953" s="2" t="s">
        <v>245</v>
      </c>
      <c r="CA1953" s="2" t="s">
        <v>1680</v>
      </c>
      <c r="CB1953" s="2" t="s">
        <v>1674</v>
      </c>
      <c r="CC1953" s="2" t="s">
        <v>246</v>
      </c>
      <c r="CD1953" s="2" t="s">
        <v>233</v>
      </c>
      <c r="CE1953" s="4">
        <v>302</v>
      </c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>
        <v>260</v>
      </c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4"/>
      <c r="HE1953" s="4"/>
      <c r="HF1953" s="4"/>
      <c r="HG1953" s="4"/>
      <c r="HH1953" s="4"/>
      <c r="HI1953" s="4"/>
      <c r="HJ1953" s="4"/>
      <c r="HK1953" s="4"/>
      <c r="HL1953" s="4"/>
      <c r="HM1953" s="4"/>
      <c r="HN1953" s="4"/>
      <c r="HO1953" s="4"/>
      <c r="HP1953" s="4"/>
      <c r="HQ1953" s="4"/>
      <c r="HR1953" s="4"/>
    </row>
    <row r="1954">
      <c r="A1954" s="2" t="s">
        <v>8933</v>
      </c>
      <c r="B1954" s="2" t="s">
        <v>989</v>
      </c>
      <c r="C1954" s="2" t="s">
        <v>701</v>
      </c>
      <c r="D1954" s="2" t="s">
        <v>991</v>
      </c>
      <c r="E1954" s="2" t="s">
        <v>992</v>
      </c>
      <c r="F1954" s="2" t="s">
        <v>8921</v>
      </c>
      <c r="G1954" s="2" t="s">
        <v>8921</v>
      </c>
      <c r="H1954" s="2" t="s">
        <v>8921</v>
      </c>
      <c r="I1954" s="2" t="s">
        <v>8922</v>
      </c>
      <c r="J1954" s="2" t="s">
        <v>892</v>
      </c>
      <c r="K1954" s="2" t="s">
        <v>297</v>
      </c>
      <c r="L1954" s="3">
        <v>36.5</v>
      </c>
      <c r="M1954" s="3">
        <v>38.33</v>
      </c>
      <c r="N1954" s="3">
        <v>79.99</v>
      </c>
      <c r="O1954" s="2" t="s">
        <v>245</v>
      </c>
      <c r="P1954" s="2" t="s">
        <v>393</v>
      </c>
      <c r="Q1954" s="2" t="s">
        <v>239</v>
      </c>
      <c r="R1954" s="2" t="s">
        <v>233</v>
      </c>
      <c r="S1954" s="2" t="s">
        <v>8934</v>
      </c>
      <c r="T1954" s="2" t="s">
        <v>341</v>
      </c>
      <c r="U1954" s="2" t="s">
        <v>871</v>
      </c>
      <c r="V1954" s="2" t="s">
        <v>241</v>
      </c>
      <c r="W1954" s="2" t="s">
        <v>705</v>
      </c>
      <c r="X1954" s="2" t="s">
        <v>233</v>
      </c>
      <c r="Y1954" s="2" t="s">
        <v>3375</v>
      </c>
      <c r="Z1954" s="4">
        <v>334</v>
      </c>
      <c r="AA1954" s="4">
        <f>=ROUNDDOWN(37.1111111111111,0)</f>
      </c>
      <c r="AB1954" s="5">
        <v>9</v>
      </c>
      <c r="AC1954" s="2" t="s">
        <v>7236</v>
      </c>
      <c r="AD1954" s="4">
        <v>220</v>
      </c>
      <c r="AE1954" s="4">
        <v>220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233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 t="s">
        <v>233</v>
      </c>
      <c r="BD1954" s="8" t="s">
        <v>233</v>
      </c>
      <c r="BE1954" s="4" t="s">
        <v>233</v>
      </c>
      <c r="BF1954" s="8" t="s">
        <v>233</v>
      </c>
      <c r="BG1954" s="7" t="s">
        <v>233</v>
      </c>
      <c r="BH1954" s="7" t="s">
        <v>233</v>
      </c>
      <c r="BI1954" s="7"/>
      <c r="BJ1954" s="4">
        <v>20</v>
      </c>
      <c r="BK1954" s="8">
        <v>815.15</v>
      </c>
      <c r="BL1954" s="2" t="s">
        <v>8935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8936</v>
      </c>
      <c r="BV1954" s="2" t="s">
        <v>233</v>
      </c>
      <c r="BW1954" s="2" t="s">
        <v>233</v>
      </c>
      <c r="BX1954" s="2" t="s">
        <v>233</v>
      </c>
      <c r="BY1954" s="2" t="s">
        <v>280</v>
      </c>
      <c r="BZ1954" s="2" t="s">
        <v>245</v>
      </c>
      <c r="CA1954" s="2" t="s">
        <v>1680</v>
      </c>
      <c r="CB1954" s="2" t="s">
        <v>6000</v>
      </c>
      <c r="CC1954" s="2" t="s">
        <v>246</v>
      </c>
      <c r="CD1954" s="2" t="s">
        <v>233</v>
      </c>
      <c r="CE1954" s="4">
        <v>334</v>
      </c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/>
      <c r="GP1954" s="4"/>
      <c r="GQ1954" s="4"/>
      <c r="GR1954" s="4"/>
      <c r="GS1954" s="4">
        <v>220</v>
      </c>
      <c r="GT1954" s="4"/>
      <c r="GU1954" s="4"/>
      <c r="GV1954" s="4"/>
      <c r="GW1954" s="4"/>
      <c r="GX1954" s="4"/>
      <c r="GY1954" s="4"/>
      <c r="GZ1954" s="4"/>
      <c r="HA1954" s="4"/>
      <c r="HB1954" s="4"/>
      <c r="HC1954" s="4"/>
      <c r="HD1954" s="4"/>
      <c r="HE1954" s="4"/>
      <c r="HF1954" s="4"/>
      <c r="HG1954" s="4"/>
      <c r="HH1954" s="4"/>
      <c r="HI1954" s="4"/>
      <c r="HJ1954" s="4"/>
      <c r="HK1954" s="4"/>
      <c r="HL1954" s="4"/>
      <c r="HM1954" s="4"/>
      <c r="HN1954" s="4"/>
      <c r="HO1954" s="4"/>
      <c r="HP1954" s="4"/>
      <c r="HQ1954" s="4"/>
      <c r="HR1954" s="4"/>
    </row>
    <row r="1955">
      <c r="A1955" s="2" t="s">
        <v>8937</v>
      </c>
      <c r="B1955" s="2" t="s">
        <v>989</v>
      </c>
      <c r="C1955" s="2" t="s">
        <v>446</v>
      </c>
      <c r="D1955" s="2" t="s">
        <v>991</v>
      </c>
      <c r="E1955" s="2" t="s">
        <v>992</v>
      </c>
      <c r="F1955" s="2" t="s">
        <v>8938</v>
      </c>
      <c r="G1955" s="2" t="s">
        <v>8938</v>
      </c>
      <c r="H1955" s="2" t="s">
        <v>8938</v>
      </c>
      <c r="I1955" s="2" t="s">
        <v>8939</v>
      </c>
      <c r="J1955" s="2" t="s">
        <v>892</v>
      </c>
      <c r="K1955" s="2" t="s">
        <v>297</v>
      </c>
      <c r="L1955" s="3">
        <v>23.09</v>
      </c>
      <c r="M1955" s="3">
        <v>24.24</v>
      </c>
      <c r="N1955" s="3">
        <v>54.99</v>
      </c>
      <c r="O1955" s="2" t="s">
        <v>245</v>
      </c>
      <c r="P1955" s="2" t="s">
        <v>272</v>
      </c>
      <c r="Q1955" s="2" t="s">
        <v>239</v>
      </c>
      <c r="R1955" s="2" t="s">
        <v>233</v>
      </c>
      <c r="S1955" s="2" t="s">
        <v>8940</v>
      </c>
      <c r="T1955" s="2" t="s">
        <v>341</v>
      </c>
      <c r="U1955" s="2" t="s">
        <v>871</v>
      </c>
      <c r="V1955" s="2" t="s">
        <v>241</v>
      </c>
      <c r="W1955" s="2" t="s">
        <v>275</v>
      </c>
      <c r="X1955" s="2" t="s">
        <v>397</v>
      </c>
      <c r="Y1955" s="2" t="s">
        <v>8941</v>
      </c>
      <c r="Z1955" s="4">
        <v>291</v>
      </c>
      <c r="AA1955" s="4">
        <f>=ROUNDDOWN(29.1,0)</f>
      </c>
      <c r="AB1955" s="5">
        <v>10</v>
      </c>
      <c r="AC1955" s="2" t="s">
        <v>8942</v>
      </c>
      <c r="AD1955" s="4">
        <v>380</v>
      </c>
      <c r="AE1955" s="4">
        <v>380</v>
      </c>
      <c r="AF1955" s="6">
        <v>67</v>
      </c>
      <c r="AG1955" s="6"/>
      <c r="AH1955" s="7">
        <v>1</v>
      </c>
      <c r="AI1955" s="4"/>
      <c r="AJ1955" s="4">
        <f>=ROUNDDOWN({0},0)</f>
      </c>
      <c r="AK1955" s="5"/>
      <c r="AL1955" s="2" t="s">
        <v>233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>
        <v>35</v>
      </c>
      <c r="BK1955" s="8">
        <v>896.84</v>
      </c>
      <c r="BL1955" s="2" t="s">
        <v>8943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8944</v>
      </c>
      <c r="BV1955" s="2" t="s">
        <v>233</v>
      </c>
      <c r="BW1955" s="2" t="s">
        <v>233</v>
      </c>
      <c r="BX1955" s="2" t="s">
        <v>233</v>
      </c>
      <c r="BY1955" s="2" t="s">
        <v>280</v>
      </c>
      <c r="BZ1955" s="2" t="s">
        <v>245</v>
      </c>
      <c r="CA1955" s="2" t="s">
        <v>8945</v>
      </c>
      <c r="CB1955" s="2" t="s">
        <v>3744</v>
      </c>
      <c r="CC1955" s="2" t="s">
        <v>246</v>
      </c>
      <c r="CD1955" s="2" t="s">
        <v>233</v>
      </c>
      <c r="CE1955" s="4">
        <v>291</v>
      </c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>
        <v>380</v>
      </c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4"/>
      <c r="HE1955" s="4"/>
      <c r="HF1955" s="4"/>
      <c r="HG1955" s="4"/>
      <c r="HH1955" s="4"/>
      <c r="HI1955" s="4"/>
      <c r="HJ1955" s="4"/>
      <c r="HK1955" s="4"/>
      <c r="HL1955" s="4"/>
      <c r="HM1955" s="4"/>
      <c r="HN1955" s="4"/>
      <c r="HO1955" s="4"/>
      <c r="HP1955" s="4"/>
      <c r="HQ1955" s="4"/>
      <c r="HR1955" s="4"/>
    </row>
    <row r="1956">
      <c r="A1956" s="2" t="s">
        <v>8946</v>
      </c>
      <c r="B1956" s="2" t="s">
        <v>1242</v>
      </c>
      <c r="C1956" s="2" t="s">
        <v>1321</v>
      </c>
      <c r="D1956" s="2" t="s">
        <v>969</v>
      </c>
      <c r="E1956" s="2" t="s">
        <v>1078</v>
      </c>
      <c r="F1956" s="2" t="s">
        <v>8947</v>
      </c>
      <c r="G1956" s="2" t="s">
        <v>8947</v>
      </c>
      <c r="H1956" s="2" t="s">
        <v>8947</v>
      </c>
      <c r="I1956" s="2" t="s">
        <v>8948</v>
      </c>
      <c r="J1956" s="2" t="s">
        <v>981</v>
      </c>
      <c r="K1956" s="2" t="s">
        <v>773</v>
      </c>
      <c r="L1956" s="3">
        <v>150</v>
      </c>
      <c r="M1956" s="3">
        <v>157.5</v>
      </c>
      <c r="N1956" s="3">
        <v>299.99</v>
      </c>
      <c r="O1956" s="2" t="s">
        <v>245</v>
      </c>
      <c r="P1956" s="2" t="s">
        <v>238</v>
      </c>
      <c r="Q1956" s="2" t="s">
        <v>239</v>
      </c>
      <c r="R1956" s="2" t="s">
        <v>233</v>
      </c>
      <c r="S1956" s="2" t="s">
        <v>8949</v>
      </c>
      <c r="T1956" s="2" t="s">
        <v>233</v>
      </c>
      <c r="U1956" s="2" t="s">
        <v>5309</v>
      </c>
      <c r="V1956" s="2" t="s">
        <v>359</v>
      </c>
      <c r="W1956" s="2" t="s">
        <v>275</v>
      </c>
      <c r="X1956" s="2" t="s">
        <v>451</v>
      </c>
      <c r="Y1956" s="2" t="s">
        <v>1026</v>
      </c>
      <c r="Z1956" s="4">
        <v>146</v>
      </c>
      <c r="AA1956" s="4">
        <f>=ROUNDDOWN(73,0)</f>
      </c>
      <c r="AB1956" s="5">
        <v>2</v>
      </c>
      <c r="AC1956" s="2" t="s">
        <v>233</v>
      </c>
      <c r="AD1956" s="4"/>
      <c r="AE1956" s="4"/>
      <c r="AF1956" s="6">
        <v>67</v>
      </c>
      <c r="AG1956" s="6"/>
      <c r="AH1956" s="7">
        <v>1</v>
      </c>
      <c r="AI1956" s="4"/>
      <c r="AJ1956" s="4">
        <f>=ROUNDDOWN({0},0)</f>
      </c>
      <c r="AK1956" s="5"/>
      <c r="AL1956" s="2" t="s">
        <v>233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 t="s">
        <v>233</v>
      </c>
      <c r="AW1956" s="8" t="s">
        <v>233</v>
      </c>
      <c r="AX1956" s="4" t="s">
        <v>233</v>
      </c>
      <c r="AY1956" s="8" t="s">
        <v>233</v>
      </c>
      <c r="AZ1956" s="7" t="s">
        <v>233</v>
      </c>
      <c r="BA1956" s="7" t="s">
        <v>233</v>
      </c>
      <c r="BB1956" s="7"/>
      <c r="BC1956" s="4" t="s">
        <v>233</v>
      </c>
      <c r="BD1956" s="8" t="s">
        <v>233</v>
      </c>
      <c r="BE1956" s="4" t="s">
        <v>233</v>
      </c>
      <c r="BF1956" s="8" t="s">
        <v>233</v>
      </c>
      <c r="BG1956" s="7" t="s">
        <v>233</v>
      </c>
      <c r="BH1956" s="7" t="s">
        <v>233</v>
      </c>
      <c r="BI1956" s="7"/>
      <c r="BJ1956" s="4">
        <v>16</v>
      </c>
      <c r="BK1956" s="8">
        <v>2253.81</v>
      </c>
      <c r="BL1956" s="2" t="s">
        <v>744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8950</v>
      </c>
      <c r="BV1956" s="2" t="s">
        <v>233</v>
      </c>
      <c r="BW1956" s="2" t="s">
        <v>233</v>
      </c>
      <c r="BX1956" s="2" t="s">
        <v>243</v>
      </c>
      <c r="BY1956" s="2" t="s">
        <v>280</v>
      </c>
      <c r="BZ1956" s="2" t="s">
        <v>245</v>
      </c>
      <c r="CA1956" s="2" t="s">
        <v>2564</v>
      </c>
      <c r="CB1956" s="2" t="s">
        <v>233</v>
      </c>
      <c r="CC1956" s="2" t="s">
        <v>246</v>
      </c>
      <c r="CD1956" s="2" t="s">
        <v>233</v>
      </c>
      <c r="CE1956" s="4">
        <v>146</v>
      </c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  <c r="HF1956" s="4"/>
      <c r="HG1956" s="4"/>
      <c r="HH1956" s="4"/>
      <c r="HI1956" s="4"/>
      <c r="HJ1956" s="4"/>
      <c r="HK1956" s="4"/>
      <c r="HL1956" s="4"/>
      <c r="HM1956" s="4"/>
      <c r="HN1956" s="4"/>
      <c r="HO1956" s="4"/>
      <c r="HP1956" s="4"/>
      <c r="HQ1956" s="4"/>
      <c r="HR1956" s="4"/>
    </row>
    <row r="1957">
      <c r="A1957" s="2" t="s">
        <v>8951</v>
      </c>
      <c r="B1957" s="2" t="s">
        <v>1242</v>
      </c>
      <c r="C1957" s="2" t="s">
        <v>1321</v>
      </c>
      <c r="D1957" s="2" t="s">
        <v>969</v>
      </c>
      <c r="E1957" s="2" t="s">
        <v>1078</v>
      </c>
      <c r="F1957" s="2" t="s">
        <v>8947</v>
      </c>
      <c r="G1957" s="2" t="s">
        <v>8947</v>
      </c>
      <c r="H1957" s="2" t="s">
        <v>8947</v>
      </c>
      <c r="I1957" s="2" t="s">
        <v>8948</v>
      </c>
      <c r="J1957" s="2" t="s">
        <v>1142</v>
      </c>
      <c r="K1957" s="2" t="s">
        <v>773</v>
      </c>
      <c r="L1957" s="3">
        <v>175</v>
      </c>
      <c r="M1957" s="3">
        <v>183.75</v>
      </c>
      <c r="N1957" s="3">
        <v>349.99</v>
      </c>
      <c r="O1957" s="2" t="s">
        <v>245</v>
      </c>
      <c r="P1957" s="2" t="s">
        <v>238</v>
      </c>
      <c r="Q1957" s="2" t="s">
        <v>239</v>
      </c>
      <c r="R1957" s="2" t="s">
        <v>233</v>
      </c>
      <c r="S1957" s="2" t="s">
        <v>8949</v>
      </c>
      <c r="T1957" s="2" t="s">
        <v>233</v>
      </c>
      <c r="U1957" s="2" t="s">
        <v>3165</v>
      </c>
      <c r="V1957" s="2" t="s">
        <v>359</v>
      </c>
      <c r="W1957" s="2" t="s">
        <v>275</v>
      </c>
      <c r="X1957" s="2" t="s">
        <v>451</v>
      </c>
      <c r="Y1957" s="2" t="s">
        <v>4316</v>
      </c>
      <c r="Z1957" s="4">
        <v>155</v>
      </c>
      <c r="AA1957" s="4">
        <f>=ROUNDDOWN(38.75,0)</f>
      </c>
      <c r="AB1957" s="5">
        <v>4</v>
      </c>
      <c r="AC1957" s="2" t="s">
        <v>233</v>
      </c>
      <c r="AD1957" s="4"/>
      <c r="AE1957" s="4"/>
      <c r="AF1957" s="6">
        <v>67</v>
      </c>
      <c r="AG1957" s="6"/>
      <c r="AH1957" s="7">
        <v>1</v>
      </c>
      <c r="AI1957" s="4"/>
      <c r="AJ1957" s="4">
        <f>=ROUNDDOWN({0},0)</f>
      </c>
      <c r="AK1957" s="5"/>
      <c r="AL1957" s="2" t="s">
        <v>233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233</v>
      </c>
      <c r="AW1957" s="8" t="s">
        <v>233</v>
      </c>
      <c r="AX1957" s="4" t="s">
        <v>233</v>
      </c>
      <c r="AY1957" s="8" t="s">
        <v>233</v>
      </c>
      <c r="AZ1957" s="7" t="s">
        <v>233</v>
      </c>
      <c r="BA1957" s="7" t="s">
        <v>233</v>
      </c>
      <c r="BB1957" s="7"/>
      <c r="BC1957" s="4" t="s">
        <v>233</v>
      </c>
      <c r="BD1957" s="8" t="s">
        <v>233</v>
      </c>
      <c r="BE1957" s="4" t="s">
        <v>233</v>
      </c>
      <c r="BF1957" s="8" t="s">
        <v>233</v>
      </c>
      <c r="BG1957" s="7" t="s">
        <v>233</v>
      </c>
      <c r="BH1957" s="7" t="s">
        <v>233</v>
      </c>
      <c r="BI1957" s="7"/>
      <c r="BJ1957" s="4">
        <v>29</v>
      </c>
      <c r="BK1957" s="8">
        <v>4876.75</v>
      </c>
      <c r="BL1957" s="2" t="s">
        <v>744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8952</v>
      </c>
      <c r="BV1957" s="2" t="s">
        <v>233</v>
      </c>
      <c r="BW1957" s="2" t="s">
        <v>233</v>
      </c>
      <c r="BX1957" s="2" t="s">
        <v>243</v>
      </c>
      <c r="BY1957" s="2" t="s">
        <v>280</v>
      </c>
      <c r="BZ1957" s="2" t="s">
        <v>245</v>
      </c>
      <c r="CA1957" s="2" t="s">
        <v>2564</v>
      </c>
      <c r="CB1957" s="2" t="s">
        <v>233</v>
      </c>
      <c r="CC1957" s="2" t="s">
        <v>246</v>
      </c>
      <c r="CD1957" s="2" t="s">
        <v>233</v>
      </c>
      <c r="CE1957" s="4">
        <v>155</v>
      </c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/>
      <c r="GR1957" s="4"/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  <c r="HF1957" s="4"/>
      <c r="HG1957" s="4"/>
      <c r="HH1957" s="4"/>
      <c r="HI1957" s="4"/>
      <c r="HJ1957" s="4"/>
      <c r="HK1957" s="4"/>
      <c r="HL1957" s="4"/>
      <c r="HM1957" s="4"/>
      <c r="HN1957" s="4"/>
      <c r="HO1957" s="4"/>
      <c r="HP1957" s="4"/>
      <c r="HQ1957" s="4"/>
      <c r="HR1957" s="4"/>
    </row>
    <row r="1958">
      <c r="A1958" s="2" t="s">
        <v>8953</v>
      </c>
      <c r="B1958" s="2" t="s">
        <v>228</v>
      </c>
      <c r="C1958" s="2" t="s">
        <v>530</v>
      </c>
      <c r="D1958" s="2" t="s">
        <v>1616</v>
      </c>
      <c r="E1958" s="2" t="s">
        <v>2599</v>
      </c>
      <c r="F1958" s="2" t="s">
        <v>8954</v>
      </c>
      <c r="G1958" s="2" t="s">
        <v>8954</v>
      </c>
      <c r="H1958" s="2" t="s">
        <v>8954</v>
      </c>
      <c r="I1958" s="2" t="s">
        <v>8327</v>
      </c>
      <c r="J1958" s="2" t="s">
        <v>6223</v>
      </c>
      <c r="K1958" s="2" t="s">
        <v>1083</v>
      </c>
      <c r="L1958" s="3">
        <v>11.64</v>
      </c>
      <c r="M1958" s="3">
        <v>12.22</v>
      </c>
      <c r="N1958" s="3">
        <v>25.99</v>
      </c>
      <c r="O1958" s="2" t="s">
        <v>245</v>
      </c>
      <c r="P1958" s="2" t="s">
        <v>272</v>
      </c>
      <c r="Q1958" s="2" t="s">
        <v>239</v>
      </c>
      <c r="R1958" s="2" t="s">
        <v>233</v>
      </c>
      <c r="S1958" s="2" t="s">
        <v>8955</v>
      </c>
      <c r="T1958" s="2" t="s">
        <v>1622</v>
      </c>
      <c r="U1958" s="2" t="s">
        <v>233</v>
      </c>
      <c r="V1958" s="2" t="s">
        <v>1085</v>
      </c>
      <c r="W1958" s="2" t="s">
        <v>275</v>
      </c>
      <c r="X1958" s="2" t="s">
        <v>451</v>
      </c>
      <c r="Y1958" s="2" t="s">
        <v>276</v>
      </c>
      <c r="Z1958" s="4">
        <v>319</v>
      </c>
      <c r="AA1958" s="4">
        <f>=ROUNDDOWN(9.96875,0)</f>
      </c>
      <c r="AB1958" s="5">
        <v>32</v>
      </c>
      <c r="AC1958" s="2" t="s">
        <v>1514</v>
      </c>
      <c r="AD1958" s="4">
        <v>500</v>
      </c>
      <c r="AE1958" s="4">
        <v>1150</v>
      </c>
      <c r="AF1958" s="6">
        <v>64</v>
      </c>
      <c r="AG1958" s="6"/>
      <c r="AH1958" s="7">
        <v>1</v>
      </c>
      <c r="AI1958" s="4"/>
      <c r="AJ1958" s="4">
        <f>=ROUNDDOWN({0},0)</f>
      </c>
      <c r="AK1958" s="5"/>
      <c r="AL1958" s="2" t="s">
        <v>233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 t="s">
        <v>233</v>
      </c>
      <c r="BD1958" s="8" t="s">
        <v>233</v>
      </c>
      <c r="BE1958" s="4" t="s">
        <v>233</v>
      </c>
      <c r="BF1958" s="8" t="s">
        <v>233</v>
      </c>
      <c r="BG1958" s="7" t="s">
        <v>233</v>
      </c>
      <c r="BH1958" s="7" t="s">
        <v>233</v>
      </c>
      <c r="BI1958" s="7"/>
      <c r="BJ1958" s="4">
        <v>94</v>
      </c>
      <c r="BK1958" s="8">
        <v>1073.17</v>
      </c>
      <c r="BL1958" s="2" t="s">
        <v>8956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8957</v>
      </c>
      <c r="BV1958" s="2" t="s">
        <v>233</v>
      </c>
      <c r="BW1958" s="2" t="s">
        <v>233</v>
      </c>
      <c r="BX1958" s="2" t="s">
        <v>233</v>
      </c>
      <c r="BY1958" s="2" t="s">
        <v>280</v>
      </c>
      <c r="BZ1958" s="2" t="s">
        <v>245</v>
      </c>
      <c r="CA1958" s="2" t="s">
        <v>281</v>
      </c>
      <c r="CB1958" s="2" t="s">
        <v>8958</v>
      </c>
      <c r="CC1958" s="2" t="s">
        <v>246</v>
      </c>
      <c r="CD1958" s="2" t="s">
        <v>233</v>
      </c>
      <c r="CE1958" s="4">
        <v>319</v>
      </c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>
        <v>500</v>
      </c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>
        <v>650</v>
      </c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/>
      <c r="GR1958" s="4"/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  <c r="HF1958" s="4"/>
      <c r="HG1958" s="4"/>
      <c r="HH1958" s="4"/>
      <c r="HI1958" s="4"/>
      <c r="HJ1958" s="4"/>
      <c r="HK1958" s="4"/>
      <c r="HL1958" s="4"/>
      <c r="HM1958" s="4"/>
      <c r="HN1958" s="4"/>
      <c r="HO1958" s="4"/>
      <c r="HP1958" s="4"/>
      <c r="HQ1958" s="4"/>
      <c r="HR1958" s="4"/>
    </row>
    <row r="1959">
      <c r="A1959" s="2" t="s">
        <v>8959</v>
      </c>
      <c r="B1959" s="2" t="s">
        <v>228</v>
      </c>
      <c r="C1959" s="2" t="s">
        <v>530</v>
      </c>
      <c r="D1959" s="2" t="s">
        <v>1616</v>
      </c>
      <c r="E1959" s="2" t="s">
        <v>2599</v>
      </c>
      <c r="F1959" s="2" t="s">
        <v>8954</v>
      </c>
      <c r="G1959" s="2" t="s">
        <v>8954</v>
      </c>
      <c r="H1959" s="2" t="s">
        <v>8954</v>
      </c>
      <c r="I1959" s="2" t="s">
        <v>8327</v>
      </c>
      <c r="J1959" s="2" t="s">
        <v>6223</v>
      </c>
      <c r="K1959" s="2" t="s">
        <v>645</v>
      </c>
      <c r="L1959" s="3">
        <v>11.64</v>
      </c>
      <c r="M1959" s="3">
        <v>12.22</v>
      </c>
      <c r="N1959" s="3">
        <v>25.99</v>
      </c>
      <c r="O1959" s="2" t="s">
        <v>245</v>
      </c>
      <c r="P1959" s="2" t="s">
        <v>272</v>
      </c>
      <c r="Q1959" s="2" t="s">
        <v>239</v>
      </c>
      <c r="R1959" s="2" t="s">
        <v>233</v>
      </c>
      <c r="S1959" s="2" t="s">
        <v>8960</v>
      </c>
      <c r="T1959" s="2" t="s">
        <v>1622</v>
      </c>
      <c r="U1959" s="2" t="s">
        <v>233</v>
      </c>
      <c r="V1959" s="2" t="s">
        <v>1085</v>
      </c>
      <c r="W1959" s="2" t="s">
        <v>275</v>
      </c>
      <c r="X1959" s="2" t="s">
        <v>451</v>
      </c>
      <c r="Y1959" s="2" t="s">
        <v>276</v>
      </c>
      <c r="Z1959" s="4">
        <v>177</v>
      </c>
      <c r="AA1959" s="4">
        <f>=ROUNDDOWN(12.6428571428571,0)</f>
      </c>
      <c r="AB1959" s="5">
        <v>14</v>
      </c>
      <c r="AC1959" s="2" t="s">
        <v>1514</v>
      </c>
      <c r="AD1959" s="4">
        <v>300</v>
      </c>
      <c r="AE1959" s="4">
        <v>500</v>
      </c>
      <c r="AF1959" s="6">
        <v>64</v>
      </c>
      <c r="AG1959" s="6"/>
      <c r="AH1959" s="7">
        <v>1</v>
      </c>
      <c r="AI1959" s="4"/>
      <c r="AJ1959" s="4">
        <f>=ROUNDDOWN({0},0)</f>
      </c>
      <c r="AK1959" s="5"/>
      <c r="AL1959" s="2" t="s">
        <v>233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 t="s">
        <v>233</v>
      </c>
      <c r="BD1959" s="8" t="s">
        <v>233</v>
      </c>
      <c r="BE1959" s="4" t="s">
        <v>233</v>
      </c>
      <c r="BF1959" s="8" t="s">
        <v>233</v>
      </c>
      <c r="BG1959" s="7" t="s">
        <v>233</v>
      </c>
      <c r="BH1959" s="7" t="s">
        <v>233</v>
      </c>
      <c r="BI1959" s="7"/>
      <c r="BJ1959" s="4">
        <v>24</v>
      </c>
      <c r="BK1959" s="8">
        <v>285.64</v>
      </c>
      <c r="BL1959" s="2" t="s">
        <v>8961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8962</v>
      </c>
      <c r="BV1959" s="2" t="s">
        <v>233</v>
      </c>
      <c r="BW1959" s="2" t="s">
        <v>233</v>
      </c>
      <c r="BX1959" s="2" t="s">
        <v>233</v>
      </c>
      <c r="BY1959" s="2" t="s">
        <v>280</v>
      </c>
      <c r="BZ1959" s="2" t="s">
        <v>245</v>
      </c>
      <c r="CA1959" s="2" t="s">
        <v>2632</v>
      </c>
      <c r="CB1959" s="2" t="s">
        <v>8963</v>
      </c>
      <c r="CC1959" s="2" t="s">
        <v>246</v>
      </c>
      <c r="CD1959" s="2" t="s">
        <v>233</v>
      </c>
      <c r="CE1959" s="4">
        <v>177</v>
      </c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>
        <v>300</v>
      </c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>
        <v>200</v>
      </c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/>
      <c r="GR1959" s="4"/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  <c r="HF1959" s="4"/>
      <c r="HG1959" s="4"/>
      <c r="HH1959" s="4"/>
      <c r="HI1959" s="4"/>
      <c r="HJ1959" s="4"/>
      <c r="HK1959" s="4"/>
      <c r="HL1959" s="4"/>
      <c r="HM1959" s="4"/>
      <c r="HN1959" s="4"/>
      <c r="HO1959" s="4"/>
      <c r="HP1959" s="4"/>
      <c r="HQ1959" s="4"/>
      <c r="HR1959" s="4"/>
    </row>
    <row r="1960">
      <c r="A1960" s="2" t="s">
        <v>8964</v>
      </c>
      <c r="B1960" s="2" t="s">
        <v>228</v>
      </c>
      <c r="C1960" s="2" t="s">
        <v>530</v>
      </c>
      <c r="D1960" s="2" t="s">
        <v>1616</v>
      </c>
      <c r="E1960" s="2" t="s">
        <v>2599</v>
      </c>
      <c r="F1960" s="2" t="s">
        <v>8954</v>
      </c>
      <c r="G1960" s="2" t="s">
        <v>8954</v>
      </c>
      <c r="H1960" s="2" t="s">
        <v>8954</v>
      </c>
      <c r="I1960" s="2" t="s">
        <v>8327</v>
      </c>
      <c r="J1960" s="2" t="s">
        <v>6223</v>
      </c>
      <c r="K1960" s="2" t="s">
        <v>255</v>
      </c>
      <c r="L1960" s="3">
        <v>11.64</v>
      </c>
      <c r="M1960" s="3">
        <v>12.22</v>
      </c>
      <c r="N1960" s="3">
        <v>25.99</v>
      </c>
      <c r="O1960" s="2" t="s">
        <v>245</v>
      </c>
      <c r="P1960" s="2" t="s">
        <v>272</v>
      </c>
      <c r="Q1960" s="2" t="s">
        <v>239</v>
      </c>
      <c r="R1960" s="2" t="s">
        <v>233</v>
      </c>
      <c r="S1960" s="2" t="s">
        <v>8965</v>
      </c>
      <c r="T1960" s="2" t="s">
        <v>1622</v>
      </c>
      <c r="U1960" s="2" t="s">
        <v>233</v>
      </c>
      <c r="V1960" s="2" t="s">
        <v>1085</v>
      </c>
      <c r="W1960" s="2" t="s">
        <v>275</v>
      </c>
      <c r="X1960" s="2" t="s">
        <v>451</v>
      </c>
      <c r="Y1960" s="2" t="s">
        <v>276</v>
      </c>
      <c r="Z1960" s="4">
        <v>271</v>
      </c>
      <c r="AA1960" s="4">
        <f>=ROUNDDOWN(11.7826086956522,0)</f>
      </c>
      <c r="AB1960" s="5">
        <v>23</v>
      </c>
      <c r="AC1960" s="2" t="s">
        <v>1514</v>
      </c>
      <c r="AD1960" s="4">
        <v>500</v>
      </c>
      <c r="AE1960" s="4">
        <v>1300</v>
      </c>
      <c r="AF1960" s="6">
        <v>64</v>
      </c>
      <c r="AG1960" s="6"/>
      <c r="AH1960" s="7">
        <v>1</v>
      </c>
      <c r="AI1960" s="4"/>
      <c r="AJ1960" s="4">
        <f>=ROUNDDOWN({0},0)</f>
      </c>
      <c r="AK1960" s="5"/>
      <c r="AL1960" s="2" t="s">
        <v>233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 t="s">
        <v>233</v>
      </c>
      <c r="BD1960" s="8" t="s">
        <v>233</v>
      </c>
      <c r="BE1960" s="4" t="s">
        <v>233</v>
      </c>
      <c r="BF1960" s="8" t="s">
        <v>233</v>
      </c>
      <c r="BG1960" s="7" t="s">
        <v>233</v>
      </c>
      <c r="BH1960" s="7" t="s">
        <v>233</v>
      </c>
      <c r="BI1960" s="7"/>
      <c r="BJ1960" s="4">
        <v>89</v>
      </c>
      <c r="BK1960" s="8">
        <v>1047.74</v>
      </c>
      <c r="BL1960" s="2" t="s">
        <v>8966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8967</v>
      </c>
      <c r="BV1960" s="2" t="s">
        <v>233</v>
      </c>
      <c r="BW1960" s="2" t="s">
        <v>233</v>
      </c>
      <c r="BX1960" s="2" t="s">
        <v>233</v>
      </c>
      <c r="BY1960" s="2" t="s">
        <v>280</v>
      </c>
      <c r="BZ1960" s="2" t="s">
        <v>245</v>
      </c>
      <c r="CA1960" s="2" t="s">
        <v>281</v>
      </c>
      <c r="CB1960" s="2" t="s">
        <v>8968</v>
      </c>
      <c r="CC1960" s="2" t="s">
        <v>246</v>
      </c>
      <c r="CD1960" s="2" t="s">
        <v>233</v>
      </c>
      <c r="CE1960" s="4">
        <v>271</v>
      </c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>
        <v>500</v>
      </c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>
        <v>800</v>
      </c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/>
      <c r="GV1960" s="4"/>
      <c r="GW1960" s="4"/>
      <c r="GX1960" s="4"/>
      <c r="GY1960" s="4"/>
      <c r="GZ1960" s="4"/>
      <c r="HA1960" s="4"/>
      <c r="HB1960" s="4"/>
      <c r="HC1960" s="4"/>
      <c r="HD1960" s="4"/>
      <c r="HE1960" s="4"/>
      <c r="HF1960" s="4"/>
      <c r="HG1960" s="4"/>
      <c r="HH1960" s="4"/>
      <c r="HI1960" s="4"/>
      <c r="HJ1960" s="4"/>
      <c r="HK1960" s="4"/>
      <c r="HL1960" s="4"/>
      <c r="HM1960" s="4"/>
      <c r="HN1960" s="4"/>
      <c r="HO1960" s="4"/>
      <c r="HP1960" s="4"/>
      <c r="HQ1960" s="4"/>
      <c r="HR1960" s="4"/>
    </row>
    <row r="1961">
      <c r="A1961" s="2" t="s">
        <v>8969</v>
      </c>
      <c r="B1961" s="2" t="s">
        <v>928</v>
      </c>
      <c r="C1961" s="2" t="s">
        <v>530</v>
      </c>
      <c r="D1961" s="2" t="s">
        <v>1757</v>
      </c>
      <c r="E1961" s="2" t="s">
        <v>7319</v>
      </c>
      <c r="F1961" s="2" t="s">
        <v>8970</v>
      </c>
      <c r="G1961" s="2" t="s">
        <v>8970</v>
      </c>
      <c r="H1961" s="2" t="s">
        <v>8970</v>
      </c>
      <c r="I1961" s="2" t="s">
        <v>8971</v>
      </c>
      <c r="J1961" s="2" t="s">
        <v>892</v>
      </c>
      <c r="K1961" s="2" t="s">
        <v>1537</v>
      </c>
      <c r="L1961" s="3">
        <v>40.47</v>
      </c>
      <c r="M1961" s="3">
        <v>42.49</v>
      </c>
      <c r="N1961" s="3">
        <v>84.99</v>
      </c>
      <c r="O1961" s="2" t="s">
        <v>237</v>
      </c>
      <c r="P1961" s="2" t="s">
        <v>311</v>
      </c>
      <c r="Q1961" s="2" t="s">
        <v>239</v>
      </c>
      <c r="R1961" s="2" t="s">
        <v>233</v>
      </c>
      <c r="S1961" s="2" t="s">
        <v>8972</v>
      </c>
      <c r="T1961" s="2" t="s">
        <v>233</v>
      </c>
      <c r="U1961" s="2" t="s">
        <v>396</v>
      </c>
      <c r="V1961" s="2" t="s">
        <v>1762</v>
      </c>
      <c r="W1961" s="2" t="s">
        <v>397</v>
      </c>
      <c r="X1961" s="2" t="s">
        <v>275</v>
      </c>
      <c r="Y1961" s="2" t="s">
        <v>3238</v>
      </c>
      <c r="Z1961" s="4">
        <v>24</v>
      </c>
      <c r="AA1961" s="4">
        <f>=ROUNDDOWN(21.8181818181818,0)</f>
      </c>
      <c r="AB1961" s="5">
        <v>1.1</v>
      </c>
      <c r="AC1961" s="2" t="s">
        <v>233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233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8</v>
      </c>
      <c r="BK1961" s="8">
        <v>455.53</v>
      </c>
      <c r="BL1961" s="2" t="s">
        <v>8973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8974</v>
      </c>
      <c r="BV1961" s="2" t="s">
        <v>233</v>
      </c>
      <c r="BW1961" s="2" t="s">
        <v>233</v>
      </c>
      <c r="BX1961" s="2" t="s">
        <v>233</v>
      </c>
      <c r="BY1961" s="2" t="s">
        <v>280</v>
      </c>
      <c r="BZ1961" s="2" t="s">
        <v>245</v>
      </c>
      <c r="CA1961" s="2" t="s">
        <v>1684</v>
      </c>
      <c r="CB1961" s="2" t="s">
        <v>7021</v>
      </c>
      <c r="CC1961" s="2" t="s">
        <v>246</v>
      </c>
      <c r="CD1961" s="2" t="s">
        <v>233</v>
      </c>
      <c r="CE1961" s="4"/>
      <c r="CF1961" s="4">
        <v>24</v>
      </c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  <c r="GL1961" s="4"/>
      <c r="GM1961" s="4"/>
      <c r="GN1961" s="4"/>
      <c r="GO1961" s="4"/>
      <c r="GP1961" s="4"/>
      <c r="GQ1961" s="4"/>
      <c r="GR1961" s="4"/>
      <c r="GS1961" s="4"/>
      <c r="GT1961" s="4"/>
      <c r="GU1961" s="4"/>
      <c r="GV1961" s="4"/>
      <c r="GW1961" s="4"/>
      <c r="GX1961" s="4"/>
      <c r="GY1961" s="4"/>
      <c r="GZ1961" s="4"/>
      <c r="HA1961" s="4"/>
      <c r="HB1961" s="4"/>
      <c r="HC1961" s="4"/>
      <c r="HD1961" s="4"/>
      <c r="HE1961" s="4"/>
      <c r="HF1961" s="4"/>
      <c r="HG1961" s="4"/>
      <c r="HH1961" s="4"/>
      <c r="HI1961" s="4"/>
      <c r="HJ1961" s="4"/>
      <c r="HK1961" s="4"/>
      <c r="HL1961" s="4"/>
      <c r="HM1961" s="4"/>
      <c r="HN1961" s="4"/>
      <c r="HO1961" s="4"/>
      <c r="HP1961" s="4"/>
      <c r="HQ1961" s="4"/>
      <c r="HR1961" s="4"/>
    </row>
    <row r="1962">
      <c r="A1962" s="2" t="s">
        <v>8975</v>
      </c>
      <c r="B1962" s="2" t="s">
        <v>928</v>
      </c>
      <c r="C1962" s="2" t="s">
        <v>530</v>
      </c>
      <c r="D1962" s="2" t="s">
        <v>961</v>
      </c>
      <c r="E1962" s="2" t="s">
        <v>2028</v>
      </c>
      <c r="F1962" s="2" t="s">
        <v>8976</v>
      </c>
      <c r="G1962" s="2" t="s">
        <v>8976</v>
      </c>
      <c r="H1962" s="2" t="s">
        <v>8976</v>
      </c>
      <c r="I1962" s="2" t="s">
        <v>8977</v>
      </c>
      <c r="J1962" s="2" t="s">
        <v>892</v>
      </c>
      <c r="K1962" s="2" t="s">
        <v>8978</v>
      </c>
      <c r="L1962" s="3">
        <v>28.33</v>
      </c>
      <c r="M1962" s="3">
        <v>29.75</v>
      </c>
      <c r="N1962" s="3">
        <v>59.49</v>
      </c>
      <c r="O1962" s="2" t="s">
        <v>245</v>
      </c>
      <c r="P1962" s="2" t="s">
        <v>238</v>
      </c>
      <c r="Q1962" s="2" t="s">
        <v>239</v>
      </c>
      <c r="R1962" s="2" t="s">
        <v>233</v>
      </c>
      <c r="S1962" s="2" t="s">
        <v>233</v>
      </c>
      <c r="T1962" s="2" t="s">
        <v>233</v>
      </c>
      <c r="U1962" s="2" t="s">
        <v>396</v>
      </c>
      <c r="V1962" s="2" t="s">
        <v>2225</v>
      </c>
      <c r="W1962" s="2" t="s">
        <v>8979</v>
      </c>
      <c r="X1962" s="2" t="s">
        <v>977</v>
      </c>
      <c r="Y1962" s="2" t="s">
        <v>3854</v>
      </c>
      <c r="Z1962" s="4">
        <v>46</v>
      </c>
      <c r="AA1962" s="4">
        <f>=ROUNDDOWN(23,0)</f>
      </c>
      <c r="AB1962" s="5">
        <v>2</v>
      </c>
      <c r="AC1962" s="2" t="s">
        <v>233</v>
      </c>
      <c r="AD1962" s="4"/>
      <c r="AE1962" s="4"/>
      <c r="AF1962" s="6">
        <v>63</v>
      </c>
      <c r="AG1962" s="6"/>
      <c r="AH1962" s="7">
        <v>1</v>
      </c>
      <c r="AI1962" s="4"/>
      <c r="AJ1962" s="4">
        <f>=ROUNDDOWN({0},0)</f>
      </c>
      <c r="AK1962" s="5"/>
      <c r="AL1962" s="2" t="s">
        <v>233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5</v>
      </c>
      <c r="BK1962" s="8">
        <v>187</v>
      </c>
      <c r="BL1962" s="2" t="s">
        <v>6389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8980</v>
      </c>
      <c r="BV1962" s="2" t="s">
        <v>233</v>
      </c>
      <c r="BW1962" s="2" t="s">
        <v>233</v>
      </c>
      <c r="BX1962" s="2" t="s">
        <v>233</v>
      </c>
      <c r="BY1962" s="2" t="s">
        <v>280</v>
      </c>
      <c r="BZ1962" s="2" t="s">
        <v>245</v>
      </c>
      <c r="CA1962" s="2" t="s">
        <v>3854</v>
      </c>
      <c r="CB1962" s="2" t="s">
        <v>233</v>
      </c>
      <c r="CC1962" s="2" t="s">
        <v>246</v>
      </c>
      <c r="CD1962" s="2" t="s">
        <v>233</v>
      </c>
      <c r="CE1962" s="4"/>
      <c r="CF1962" s="4">
        <v>46</v>
      </c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/>
      <c r="GX1962" s="4"/>
      <c r="GY1962" s="4"/>
      <c r="GZ1962" s="4"/>
      <c r="HA1962" s="4"/>
      <c r="HB1962" s="4"/>
      <c r="HC1962" s="4"/>
      <c r="HD1962" s="4"/>
      <c r="HE1962" s="4"/>
      <c r="HF1962" s="4"/>
      <c r="HG1962" s="4"/>
      <c r="HH1962" s="4"/>
      <c r="HI1962" s="4"/>
      <c r="HJ1962" s="4"/>
      <c r="HK1962" s="4"/>
      <c r="HL1962" s="4"/>
      <c r="HM1962" s="4"/>
      <c r="HN1962" s="4"/>
      <c r="HO1962" s="4"/>
      <c r="HP1962" s="4"/>
      <c r="HQ1962" s="4"/>
      <c r="HR1962" s="4"/>
    </row>
    <row r="1963">
      <c r="A1963" s="2" t="s">
        <v>8981</v>
      </c>
      <c r="B1963" s="2" t="s">
        <v>928</v>
      </c>
      <c r="C1963" s="2" t="s">
        <v>530</v>
      </c>
      <c r="D1963" s="2" t="s">
        <v>961</v>
      </c>
      <c r="E1963" s="2" t="s">
        <v>2028</v>
      </c>
      <c r="F1963" s="2" t="s">
        <v>8982</v>
      </c>
      <c r="G1963" s="2" t="s">
        <v>8982</v>
      </c>
      <c r="H1963" s="2" t="s">
        <v>233</v>
      </c>
      <c r="I1963" s="2" t="s">
        <v>8983</v>
      </c>
      <c r="J1963" s="2" t="s">
        <v>892</v>
      </c>
      <c r="K1963" s="2" t="s">
        <v>950</v>
      </c>
      <c r="L1963" s="3">
        <v>19.62</v>
      </c>
      <c r="M1963" s="3">
        <v>20.6</v>
      </c>
      <c r="N1963" s="3">
        <v>44.99</v>
      </c>
      <c r="O1963" s="2" t="s">
        <v>252</v>
      </c>
      <c r="P1963" s="2" t="s">
        <v>311</v>
      </c>
      <c r="Q1963" s="2" t="s">
        <v>239</v>
      </c>
      <c r="R1963" s="2" t="s">
        <v>233</v>
      </c>
      <c r="S1963" s="2" t="s">
        <v>8984</v>
      </c>
      <c r="T1963" s="2" t="s">
        <v>233</v>
      </c>
      <c r="U1963" s="2" t="s">
        <v>396</v>
      </c>
      <c r="V1963" s="2" t="s">
        <v>8985</v>
      </c>
      <c r="W1963" s="2" t="s">
        <v>776</v>
      </c>
      <c r="X1963" s="2" t="s">
        <v>233</v>
      </c>
      <c r="Y1963" s="2" t="s">
        <v>276</v>
      </c>
      <c r="Z1963" s="4">
        <v>48</v>
      </c>
      <c r="AA1963" s="4">
        <f>=ROUNDDOWN({0},0)</f>
      </c>
      <c r="AB1963" s="5"/>
      <c r="AC1963" s="2" t="s">
        <v>233</v>
      </c>
      <c r="AD1963" s="4"/>
      <c r="AE1963" s="4"/>
      <c r="AF1963" s="6">
        <v>63</v>
      </c>
      <c r="AG1963" s="6"/>
      <c r="AH1963" s="7">
        <v>0.1935</v>
      </c>
      <c r="AI1963" s="4"/>
      <c r="AJ1963" s="4">
        <f>=ROUNDDOWN({0},0)</f>
      </c>
      <c r="AK1963" s="5"/>
      <c r="AL1963" s="2" t="s">
        <v>233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/>
      <c r="BD1963" s="8"/>
      <c r="BE1963" s="4"/>
      <c r="BF1963" s="8"/>
      <c r="BG1963" s="7"/>
      <c r="BH1963" s="7"/>
      <c r="BI1963" s="7"/>
      <c r="BJ1963" s="4"/>
      <c r="BK1963" s="8"/>
      <c r="BL1963" s="2" t="s">
        <v>233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8986</v>
      </c>
      <c r="BV1963" s="2" t="s">
        <v>233</v>
      </c>
      <c r="BW1963" s="2" t="s">
        <v>233</v>
      </c>
      <c r="BX1963" s="2" t="s">
        <v>243</v>
      </c>
      <c r="BY1963" s="2" t="s">
        <v>280</v>
      </c>
      <c r="BZ1963" s="2" t="s">
        <v>245</v>
      </c>
      <c r="CA1963" s="2" t="s">
        <v>8987</v>
      </c>
      <c r="CB1963" s="2" t="s">
        <v>8988</v>
      </c>
      <c r="CC1963" s="2" t="s">
        <v>246</v>
      </c>
      <c r="CD1963" s="2" t="s">
        <v>233</v>
      </c>
      <c r="CE1963" s="4"/>
      <c r="CF1963" s="4">
        <v>48</v>
      </c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/>
      <c r="GV1963" s="4"/>
      <c r="GW1963" s="4"/>
      <c r="GX1963" s="4"/>
      <c r="GY1963" s="4"/>
      <c r="GZ1963" s="4"/>
      <c r="HA1963" s="4"/>
      <c r="HB1963" s="4"/>
      <c r="HC1963" s="4"/>
      <c r="HD1963" s="4"/>
      <c r="HE1963" s="4"/>
      <c r="HF1963" s="4"/>
      <c r="HG1963" s="4"/>
      <c r="HH1963" s="4"/>
      <c r="HI1963" s="4"/>
      <c r="HJ1963" s="4"/>
      <c r="HK1963" s="4"/>
      <c r="HL1963" s="4"/>
      <c r="HM1963" s="4"/>
      <c r="HN1963" s="4"/>
      <c r="HO1963" s="4"/>
      <c r="HP1963" s="4"/>
      <c r="HQ1963" s="4"/>
      <c r="HR1963" s="4"/>
    </row>
    <row r="1964">
      <c r="A1964" s="2" t="s">
        <v>8989</v>
      </c>
      <c r="B1964" s="2" t="s">
        <v>910</v>
      </c>
      <c r="C1964" s="2" t="s">
        <v>911</v>
      </c>
      <c r="D1964" s="2" t="s">
        <v>969</v>
      </c>
      <c r="E1964" s="2" t="s">
        <v>1078</v>
      </c>
      <c r="F1964" s="2" t="s">
        <v>8990</v>
      </c>
      <c r="G1964" s="2" t="s">
        <v>8991</v>
      </c>
      <c r="H1964" s="2" t="s">
        <v>2175</v>
      </c>
      <c r="I1964" s="2" t="s">
        <v>8992</v>
      </c>
      <c r="J1964" s="2" t="s">
        <v>918</v>
      </c>
      <c r="K1964" s="2" t="s">
        <v>2942</v>
      </c>
      <c r="L1964" s="3">
        <v>23.8</v>
      </c>
      <c r="M1964" s="3">
        <v>24.99</v>
      </c>
      <c r="N1964" s="3">
        <v>49.99</v>
      </c>
      <c r="O1964" s="2" t="s">
        <v>245</v>
      </c>
      <c r="P1964" s="2" t="s">
        <v>238</v>
      </c>
      <c r="Q1964" s="2" t="s">
        <v>239</v>
      </c>
      <c r="R1964" s="2" t="s">
        <v>233</v>
      </c>
      <c r="S1964" s="2" t="s">
        <v>8993</v>
      </c>
      <c r="T1964" s="2" t="s">
        <v>395</v>
      </c>
      <c r="U1964" s="2" t="s">
        <v>342</v>
      </c>
      <c r="V1964" s="2" t="s">
        <v>1869</v>
      </c>
      <c r="W1964" s="2" t="s">
        <v>1056</v>
      </c>
      <c r="X1964" s="2" t="s">
        <v>233</v>
      </c>
      <c r="Y1964" s="2" t="s">
        <v>1580</v>
      </c>
      <c r="Z1964" s="4">
        <v>120</v>
      </c>
      <c r="AA1964" s="4">
        <f>=ROUNDDOWN({0},0)</f>
      </c>
      <c r="AB1964" s="5"/>
      <c r="AC1964" s="2" t="s">
        <v>1492</v>
      </c>
      <c r="AD1964" s="4">
        <v>110</v>
      </c>
      <c r="AE1964" s="4">
        <v>110</v>
      </c>
      <c r="AF1964" s="6">
        <v>64</v>
      </c>
      <c r="AG1964" s="6"/>
      <c r="AH1964" s="7">
        <v>1</v>
      </c>
      <c r="AI1964" s="4"/>
      <c r="AJ1964" s="4">
        <f>=ROUNDDOWN({0},0)</f>
      </c>
      <c r="AK1964" s="5"/>
      <c r="AL1964" s="2" t="s">
        <v>233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233</v>
      </c>
      <c r="AW1964" s="8" t="s">
        <v>233</v>
      </c>
      <c r="AX1964" s="4" t="s">
        <v>233</v>
      </c>
      <c r="AY1964" s="8" t="s">
        <v>233</v>
      </c>
      <c r="AZ1964" s="7" t="s">
        <v>233</v>
      </c>
      <c r="BA1964" s="7" t="s">
        <v>233</v>
      </c>
      <c r="BB1964" s="7" t="s">
        <v>233</v>
      </c>
      <c r="BC1964" s="4" t="s">
        <v>233</v>
      </c>
      <c r="BD1964" s="8" t="s">
        <v>233</v>
      </c>
      <c r="BE1964" s="4" t="s">
        <v>233</v>
      </c>
      <c r="BF1964" s="8" t="s">
        <v>233</v>
      </c>
      <c r="BG1964" s="7" t="s">
        <v>233</v>
      </c>
      <c r="BH1964" s="7" t="s">
        <v>233</v>
      </c>
      <c r="BI1964" s="7"/>
      <c r="BJ1964" s="4"/>
      <c r="BK1964" s="8"/>
      <c r="BL1964" s="2" t="s">
        <v>233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8994</v>
      </c>
      <c r="BV1964" s="2" t="s">
        <v>233</v>
      </c>
      <c r="BW1964" s="2" t="s">
        <v>233</v>
      </c>
      <c r="BX1964" s="2" t="s">
        <v>243</v>
      </c>
      <c r="BY1964" s="2" t="s">
        <v>280</v>
      </c>
      <c r="BZ1964" s="2" t="s">
        <v>245</v>
      </c>
      <c r="CA1964" s="2" t="s">
        <v>3257</v>
      </c>
      <c r="CB1964" s="2" t="s">
        <v>233</v>
      </c>
      <c r="CC1964" s="2" t="s">
        <v>246</v>
      </c>
      <c r="CD1964" s="2" t="s">
        <v>233</v>
      </c>
      <c r="CE1964" s="4">
        <v>120</v>
      </c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>
        <v>110</v>
      </c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/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  <c r="HF1964" s="4"/>
      <c r="HG1964" s="4"/>
      <c r="HH1964" s="4"/>
      <c r="HI1964" s="4"/>
      <c r="HJ1964" s="4"/>
      <c r="HK1964" s="4"/>
      <c r="HL1964" s="4"/>
      <c r="HM1964" s="4"/>
      <c r="HN1964" s="4"/>
      <c r="HO1964" s="4"/>
      <c r="HP1964" s="4"/>
      <c r="HQ1964" s="4"/>
      <c r="HR1964" s="4"/>
    </row>
    <row r="1965">
      <c r="A1965" s="2" t="s">
        <v>8995</v>
      </c>
      <c r="B1965" s="2" t="s">
        <v>910</v>
      </c>
      <c r="C1965" s="2" t="s">
        <v>911</v>
      </c>
      <c r="D1965" s="2" t="s">
        <v>912</v>
      </c>
      <c r="E1965" s="2" t="s">
        <v>1139</v>
      </c>
      <c r="F1965" s="2" t="s">
        <v>8990</v>
      </c>
      <c r="G1965" s="2" t="s">
        <v>8991</v>
      </c>
      <c r="H1965" s="2" t="s">
        <v>2175</v>
      </c>
      <c r="I1965" s="2" t="s">
        <v>8996</v>
      </c>
      <c r="J1965" s="2" t="s">
        <v>918</v>
      </c>
      <c r="K1965" s="2" t="s">
        <v>2942</v>
      </c>
      <c r="L1965" s="3">
        <v>14.28</v>
      </c>
      <c r="M1965" s="3">
        <v>14.99</v>
      </c>
      <c r="N1965" s="3">
        <v>29.99</v>
      </c>
      <c r="O1965" s="2" t="s">
        <v>245</v>
      </c>
      <c r="P1965" s="2" t="s">
        <v>238</v>
      </c>
      <c r="Q1965" s="2" t="s">
        <v>239</v>
      </c>
      <c r="R1965" s="2" t="s">
        <v>233</v>
      </c>
      <c r="S1965" s="2" t="s">
        <v>8993</v>
      </c>
      <c r="T1965" s="2" t="s">
        <v>395</v>
      </c>
      <c r="U1965" s="2" t="s">
        <v>491</v>
      </c>
      <c r="V1965" s="2" t="s">
        <v>1869</v>
      </c>
      <c r="W1965" s="2" t="s">
        <v>1056</v>
      </c>
      <c r="X1965" s="2" t="s">
        <v>233</v>
      </c>
      <c r="Y1965" s="2" t="s">
        <v>1485</v>
      </c>
      <c r="Z1965" s="4">
        <v>50</v>
      </c>
      <c r="AA1965" s="4">
        <f>=ROUNDDOWN({0},0)</f>
      </c>
      <c r="AB1965" s="5"/>
      <c r="AC1965" s="2" t="s">
        <v>1492</v>
      </c>
      <c r="AD1965" s="4">
        <v>50</v>
      </c>
      <c r="AE1965" s="4">
        <v>50</v>
      </c>
      <c r="AF1965" s="6">
        <v>64</v>
      </c>
      <c r="AG1965" s="6"/>
      <c r="AH1965" s="7">
        <v>1</v>
      </c>
      <c r="AI1965" s="4"/>
      <c r="AJ1965" s="4">
        <f>=ROUNDDOWN({0},0)</f>
      </c>
      <c r="AK1965" s="5"/>
      <c r="AL1965" s="2" t="s">
        <v>233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233</v>
      </c>
      <c r="AW1965" s="8" t="s">
        <v>233</v>
      </c>
      <c r="AX1965" s="4" t="s">
        <v>233</v>
      </c>
      <c r="AY1965" s="8" t="s">
        <v>233</v>
      </c>
      <c r="AZ1965" s="7" t="s">
        <v>233</v>
      </c>
      <c r="BA1965" s="7" t="s">
        <v>233</v>
      </c>
      <c r="BB1965" s="7" t="s">
        <v>233</v>
      </c>
      <c r="BC1965" s="4" t="s">
        <v>233</v>
      </c>
      <c r="BD1965" s="8" t="s">
        <v>233</v>
      </c>
      <c r="BE1965" s="4" t="s">
        <v>233</v>
      </c>
      <c r="BF1965" s="8" t="s">
        <v>233</v>
      </c>
      <c r="BG1965" s="7" t="s">
        <v>233</v>
      </c>
      <c r="BH1965" s="7" t="s">
        <v>233</v>
      </c>
      <c r="BI1965" s="7"/>
      <c r="BJ1965" s="4"/>
      <c r="BK1965" s="8"/>
      <c r="BL1965" s="2" t="s">
        <v>233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8997</v>
      </c>
      <c r="BV1965" s="2" t="s">
        <v>233</v>
      </c>
      <c r="BW1965" s="2" t="s">
        <v>233</v>
      </c>
      <c r="BX1965" s="2" t="s">
        <v>243</v>
      </c>
      <c r="BY1965" s="2" t="s">
        <v>280</v>
      </c>
      <c r="BZ1965" s="2" t="s">
        <v>245</v>
      </c>
      <c r="CA1965" s="2" t="s">
        <v>3257</v>
      </c>
      <c r="CB1965" s="2" t="s">
        <v>233</v>
      </c>
      <c r="CC1965" s="2" t="s">
        <v>246</v>
      </c>
      <c r="CD1965" s="2" t="s">
        <v>233</v>
      </c>
      <c r="CE1965" s="4">
        <v>50</v>
      </c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>
        <v>50</v>
      </c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/>
      <c r="GM1965" s="4"/>
      <c r="GN1965" s="4"/>
      <c r="GO1965" s="4"/>
      <c r="GP1965" s="4"/>
      <c r="GQ1965" s="4"/>
      <c r="GR1965" s="4"/>
      <c r="GS1965" s="4"/>
      <c r="GT1965" s="4"/>
      <c r="GU1965" s="4"/>
      <c r="GV1965" s="4"/>
      <c r="GW1965" s="4"/>
      <c r="GX1965" s="4"/>
      <c r="GY1965" s="4"/>
      <c r="GZ1965" s="4"/>
      <c r="HA1965" s="4"/>
      <c r="HB1965" s="4"/>
      <c r="HC1965" s="4"/>
      <c r="HD1965" s="4"/>
      <c r="HE1965" s="4"/>
      <c r="HF1965" s="4"/>
      <c r="HG1965" s="4"/>
      <c r="HH1965" s="4"/>
      <c r="HI1965" s="4"/>
      <c r="HJ1965" s="4"/>
      <c r="HK1965" s="4"/>
      <c r="HL1965" s="4"/>
      <c r="HM1965" s="4"/>
      <c r="HN1965" s="4"/>
      <c r="HO1965" s="4"/>
      <c r="HP1965" s="4"/>
      <c r="HQ1965" s="4"/>
      <c r="HR1965" s="4"/>
    </row>
    <row r="1966">
      <c r="A1966" s="2" t="s">
        <v>8998</v>
      </c>
      <c r="B1966" s="2" t="s">
        <v>910</v>
      </c>
      <c r="C1966" s="2" t="s">
        <v>911</v>
      </c>
      <c r="D1966" s="2" t="s">
        <v>969</v>
      </c>
      <c r="E1966" s="2" t="s">
        <v>1078</v>
      </c>
      <c r="F1966" s="2" t="s">
        <v>8990</v>
      </c>
      <c r="G1966" s="2" t="s">
        <v>8991</v>
      </c>
      <c r="H1966" s="2" t="s">
        <v>2175</v>
      </c>
      <c r="I1966" s="2" t="s">
        <v>8992</v>
      </c>
      <c r="J1966" s="2" t="s">
        <v>981</v>
      </c>
      <c r="K1966" s="2" t="s">
        <v>2942</v>
      </c>
      <c r="L1966" s="3">
        <v>28.57</v>
      </c>
      <c r="M1966" s="3">
        <v>30</v>
      </c>
      <c r="N1966" s="3">
        <v>59.99</v>
      </c>
      <c r="O1966" s="2" t="s">
        <v>245</v>
      </c>
      <c r="P1966" s="2" t="s">
        <v>238</v>
      </c>
      <c r="Q1966" s="2" t="s">
        <v>239</v>
      </c>
      <c r="R1966" s="2" t="s">
        <v>233</v>
      </c>
      <c r="S1966" s="2" t="s">
        <v>8993</v>
      </c>
      <c r="T1966" s="2" t="s">
        <v>395</v>
      </c>
      <c r="U1966" s="2" t="s">
        <v>1482</v>
      </c>
      <c r="V1966" s="2" t="s">
        <v>1869</v>
      </c>
      <c r="W1966" s="2" t="s">
        <v>1056</v>
      </c>
      <c r="X1966" s="2" t="s">
        <v>233</v>
      </c>
      <c r="Y1966" s="2" t="s">
        <v>1580</v>
      </c>
      <c r="Z1966" s="4">
        <v>180</v>
      </c>
      <c r="AA1966" s="4">
        <f>=ROUNDDOWN({0},0)</f>
      </c>
      <c r="AB1966" s="5"/>
      <c r="AC1966" s="2" t="s">
        <v>1492</v>
      </c>
      <c r="AD1966" s="4">
        <v>170</v>
      </c>
      <c r="AE1966" s="4">
        <v>170</v>
      </c>
      <c r="AF1966" s="6">
        <v>64</v>
      </c>
      <c r="AG1966" s="6"/>
      <c r="AH1966" s="7">
        <v>1</v>
      </c>
      <c r="AI1966" s="4"/>
      <c r="AJ1966" s="4">
        <f>=ROUNDDOWN({0},0)</f>
      </c>
      <c r="AK1966" s="5"/>
      <c r="AL1966" s="2" t="s">
        <v>233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233</v>
      </c>
      <c r="AW1966" s="8" t="s">
        <v>233</v>
      </c>
      <c r="AX1966" s="4" t="s">
        <v>233</v>
      </c>
      <c r="AY1966" s="8" t="s">
        <v>233</v>
      </c>
      <c r="AZ1966" s="7" t="s">
        <v>233</v>
      </c>
      <c r="BA1966" s="7" t="s">
        <v>233</v>
      </c>
      <c r="BB1966" s="7" t="s">
        <v>233</v>
      </c>
      <c r="BC1966" s="4" t="s">
        <v>233</v>
      </c>
      <c r="BD1966" s="8" t="s">
        <v>233</v>
      </c>
      <c r="BE1966" s="4" t="s">
        <v>233</v>
      </c>
      <c r="BF1966" s="8" t="s">
        <v>233</v>
      </c>
      <c r="BG1966" s="7" t="s">
        <v>233</v>
      </c>
      <c r="BH1966" s="7" t="s">
        <v>233</v>
      </c>
      <c r="BI1966" s="7"/>
      <c r="BJ1966" s="4"/>
      <c r="BK1966" s="8"/>
      <c r="BL1966" s="2" t="s">
        <v>233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8999</v>
      </c>
      <c r="BV1966" s="2" t="s">
        <v>233</v>
      </c>
      <c r="BW1966" s="2" t="s">
        <v>233</v>
      </c>
      <c r="BX1966" s="2" t="s">
        <v>243</v>
      </c>
      <c r="BY1966" s="2" t="s">
        <v>280</v>
      </c>
      <c r="BZ1966" s="2" t="s">
        <v>245</v>
      </c>
      <c r="CA1966" s="2" t="s">
        <v>3257</v>
      </c>
      <c r="CB1966" s="2" t="s">
        <v>233</v>
      </c>
      <c r="CC1966" s="2" t="s">
        <v>246</v>
      </c>
      <c r="CD1966" s="2" t="s">
        <v>233</v>
      </c>
      <c r="CE1966" s="4">
        <v>180</v>
      </c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>
        <v>170</v>
      </c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  <c r="GL1966" s="4"/>
      <c r="GM1966" s="4"/>
      <c r="GN1966" s="4"/>
      <c r="GO1966" s="4"/>
      <c r="GP1966" s="4"/>
      <c r="GQ1966" s="4"/>
      <c r="GR1966" s="4"/>
      <c r="GS1966" s="4"/>
      <c r="GT1966" s="4"/>
      <c r="GU1966" s="4"/>
      <c r="GV1966" s="4"/>
      <c r="GW1966" s="4"/>
      <c r="GX1966" s="4"/>
      <c r="GY1966" s="4"/>
      <c r="GZ1966" s="4"/>
      <c r="HA1966" s="4"/>
      <c r="HB1966" s="4"/>
      <c r="HC1966" s="4"/>
      <c r="HD1966" s="4"/>
      <c r="HE1966" s="4"/>
      <c r="HF1966" s="4"/>
      <c r="HG1966" s="4"/>
      <c r="HH1966" s="4"/>
      <c r="HI1966" s="4"/>
      <c r="HJ1966" s="4"/>
      <c r="HK1966" s="4"/>
      <c r="HL1966" s="4"/>
      <c r="HM1966" s="4"/>
      <c r="HN1966" s="4"/>
      <c r="HO1966" s="4"/>
      <c r="HP1966" s="4"/>
      <c r="HQ1966" s="4"/>
      <c r="HR1966" s="4"/>
    </row>
    <row r="1967">
      <c r="A1967" s="2" t="s">
        <v>9000</v>
      </c>
      <c r="B1967" s="2" t="s">
        <v>910</v>
      </c>
      <c r="C1967" s="2" t="s">
        <v>911</v>
      </c>
      <c r="D1967" s="2" t="s">
        <v>912</v>
      </c>
      <c r="E1967" s="2" t="s">
        <v>1139</v>
      </c>
      <c r="F1967" s="2" t="s">
        <v>8990</v>
      </c>
      <c r="G1967" s="2" t="s">
        <v>8991</v>
      </c>
      <c r="H1967" s="2" t="s">
        <v>2175</v>
      </c>
      <c r="I1967" s="2" t="s">
        <v>8996</v>
      </c>
      <c r="J1967" s="2" t="s">
        <v>981</v>
      </c>
      <c r="K1967" s="2" t="s">
        <v>2942</v>
      </c>
      <c r="L1967" s="3">
        <v>19.04</v>
      </c>
      <c r="M1967" s="3">
        <v>19.99</v>
      </c>
      <c r="N1967" s="3">
        <v>39.99</v>
      </c>
      <c r="O1967" s="2" t="s">
        <v>245</v>
      </c>
      <c r="P1967" s="2" t="s">
        <v>238</v>
      </c>
      <c r="Q1967" s="2" t="s">
        <v>239</v>
      </c>
      <c r="R1967" s="2" t="s">
        <v>233</v>
      </c>
      <c r="S1967" s="2" t="s">
        <v>8993</v>
      </c>
      <c r="T1967" s="2" t="s">
        <v>395</v>
      </c>
      <c r="U1967" s="2" t="s">
        <v>475</v>
      </c>
      <c r="V1967" s="2" t="s">
        <v>1869</v>
      </c>
      <c r="W1967" s="2" t="s">
        <v>1056</v>
      </c>
      <c r="X1967" s="2" t="s">
        <v>233</v>
      </c>
      <c r="Y1967" s="2" t="s">
        <v>1485</v>
      </c>
      <c r="Z1967" s="4">
        <v>60</v>
      </c>
      <c r="AA1967" s="4">
        <f>=ROUNDDOWN({0},0)</f>
      </c>
      <c r="AB1967" s="5"/>
      <c r="AC1967" s="2" t="s">
        <v>1492</v>
      </c>
      <c r="AD1967" s="4">
        <v>60</v>
      </c>
      <c r="AE1967" s="4">
        <v>60</v>
      </c>
      <c r="AF1967" s="6">
        <v>64</v>
      </c>
      <c r="AG1967" s="6"/>
      <c r="AH1967" s="7">
        <v>1</v>
      </c>
      <c r="AI1967" s="4"/>
      <c r="AJ1967" s="4">
        <f>=ROUNDDOWN({0},0)</f>
      </c>
      <c r="AK1967" s="5"/>
      <c r="AL1967" s="2" t="s">
        <v>233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233</v>
      </c>
      <c r="AW1967" s="8" t="s">
        <v>233</v>
      </c>
      <c r="AX1967" s="4" t="s">
        <v>233</v>
      </c>
      <c r="AY1967" s="8" t="s">
        <v>233</v>
      </c>
      <c r="AZ1967" s="7" t="s">
        <v>233</v>
      </c>
      <c r="BA1967" s="7" t="s">
        <v>233</v>
      </c>
      <c r="BB1967" s="7" t="s">
        <v>233</v>
      </c>
      <c r="BC1967" s="4" t="s">
        <v>233</v>
      </c>
      <c r="BD1967" s="8" t="s">
        <v>233</v>
      </c>
      <c r="BE1967" s="4" t="s">
        <v>233</v>
      </c>
      <c r="BF1967" s="8" t="s">
        <v>233</v>
      </c>
      <c r="BG1967" s="7" t="s">
        <v>233</v>
      </c>
      <c r="BH1967" s="7" t="s">
        <v>233</v>
      </c>
      <c r="BI1967" s="7"/>
      <c r="BJ1967" s="4"/>
      <c r="BK1967" s="8"/>
      <c r="BL1967" s="2" t="s">
        <v>233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9001</v>
      </c>
      <c r="BV1967" s="2" t="s">
        <v>233</v>
      </c>
      <c r="BW1967" s="2" t="s">
        <v>233</v>
      </c>
      <c r="BX1967" s="2" t="s">
        <v>243</v>
      </c>
      <c r="BY1967" s="2" t="s">
        <v>280</v>
      </c>
      <c r="BZ1967" s="2" t="s">
        <v>245</v>
      </c>
      <c r="CA1967" s="2" t="s">
        <v>3257</v>
      </c>
      <c r="CB1967" s="2" t="s">
        <v>233</v>
      </c>
      <c r="CC1967" s="2" t="s">
        <v>246</v>
      </c>
      <c r="CD1967" s="2" t="s">
        <v>233</v>
      </c>
      <c r="CE1967" s="4">
        <v>60</v>
      </c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>
        <v>60</v>
      </c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  <c r="HF1967" s="4"/>
      <c r="HG1967" s="4"/>
      <c r="HH1967" s="4"/>
      <c r="HI1967" s="4"/>
      <c r="HJ1967" s="4"/>
      <c r="HK1967" s="4"/>
      <c r="HL1967" s="4"/>
      <c r="HM1967" s="4"/>
      <c r="HN1967" s="4"/>
      <c r="HO1967" s="4"/>
      <c r="HP1967" s="4"/>
      <c r="HQ1967" s="4"/>
      <c r="HR1967" s="4"/>
    </row>
    <row r="1968">
      <c r="A1968" s="2" t="s">
        <v>9002</v>
      </c>
      <c r="B1968" s="2" t="s">
        <v>910</v>
      </c>
      <c r="C1968" s="2" t="s">
        <v>911</v>
      </c>
      <c r="D1968" s="2" t="s">
        <v>969</v>
      </c>
      <c r="E1968" s="2" t="s">
        <v>1078</v>
      </c>
      <c r="F1968" s="2" t="s">
        <v>9003</v>
      </c>
      <c r="G1968" s="2" t="s">
        <v>8415</v>
      </c>
      <c r="H1968" s="2" t="s">
        <v>1198</v>
      </c>
      <c r="I1968" s="2" t="s">
        <v>9004</v>
      </c>
      <c r="J1968" s="2" t="s">
        <v>918</v>
      </c>
      <c r="K1968" s="2" t="s">
        <v>236</v>
      </c>
      <c r="L1968" s="3">
        <v>23.8</v>
      </c>
      <c r="M1968" s="3">
        <v>24.99</v>
      </c>
      <c r="N1968" s="3">
        <v>49.99</v>
      </c>
      <c r="O1968" s="2" t="s">
        <v>245</v>
      </c>
      <c r="P1968" s="2" t="s">
        <v>238</v>
      </c>
      <c r="Q1968" s="2" t="s">
        <v>239</v>
      </c>
      <c r="R1968" s="2" t="s">
        <v>233</v>
      </c>
      <c r="S1968" s="2" t="s">
        <v>9005</v>
      </c>
      <c r="T1968" s="2" t="s">
        <v>1481</v>
      </c>
      <c r="U1968" s="2" t="s">
        <v>475</v>
      </c>
      <c r="V1968" s="2" t="s">
        <v>241</v>
      </c>
      <c r="W1968" s="2" t="s">
        <v>397</v>
      </c>
      <c r="X1968" s="2" t="s">
        <v>275</v>
      </c>
      <c r="Y1968" s="2" t="s">
        <v>9006</v>
      </c>
      <c r="Z1968" s="4">
        <v>140</v>
      </c>
      <c r="AA1968" s="4">
        <f>=ROUNDDOWN({0},0)</f>
      </c>
      <c r="AB1968" s="5"/>
      <c r="AC1968" s="2" t="s">
        <v>319</v>
      </c>
      <c r="AD1968" s="4">
        <v>130</v>
      </c>
      <c r="AE1968" s="4">
        <v>130</v>
      </c>
      <c r="AF1968" s="6">
        <v>64</v>
      </c>
      <c r="AG1968" s="6"/>
      <c r="AH1968" s="7">
        <v>1</v>
      </c>
      <c r="AI1968" s="4"/>
      <c r="AJ1968" s="4">
        <f>=ROUNDDOWN({0},0)</f>
      </c>
      <c r="AK1968" s="5"/>
      <c r="AL1968" s="2" t="s">
        <v>233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233</v>
      </c>
      <c r="AW1968" s="8" t="s">
        <v>233</v>
      </c>
      <c r="AX1968" s="4" t="s">
        <v>233</v>
      </c>
      <c r="AY1968" s="8" t="s">
        <v>233</v>
      </c>
      <c r="AZ1968" s="7" t="s">
        <v>233</v>
      </c>
      <c r="BA1968" s="7" t="s">
        <v>233</v>
      </c>
      <c r="BB1968" s="7" t="s">
        <v>233</v>
      </c>
      <c r="BC1968" s="4" t="s">
        <v>233</v>
      </c>
      <c r="BD1968" s="8" t="s">
        <v>233</v>
      </c>
      <c r="BE1968" s="4" t="s">
        <v>233</v>
      </c>
      <c r="BF1968" s="8" t="s">
        <v>233</v>
      </c>
      <c r="BG1968" s="7" t="s">
        <v>233</v>
      </c>
      <c r="BH1968" s="7" t="s">
        <v>233</v>
      </c>
      <c r="BI1968" s="7"/>
      <c r="BJ1968" s="4"/>
      <c r="BK1968" s="8"/>
      <c r="BL1968" s="2" t="s">
        <v>233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9007</v>
      </c>
      <c r="BV1968" s="2" t="s">
        <v>233</v>
      </c>
      <c r="BW1968" s="2" t="s">
        <v>233</v>
      </c>
      <c r="BX1968" s="2" t="s">
        <v>243</v>
      </c>
      <c r="BY1968" s="2" t="s">
        <v>280</v>
      </c>
      <c r="BZ1968" s="2" t="s">
        <v>245</v>
      </c>
      <c r="CA1968" s="2" t="s">
        <v>2467</v>
      </c>
      <c r="CB1968" s="2" t="s">
        <v>233</v>
      </c>
      <c r="CC1968" s="2" t="s">
        <v>246</v>
      </c>
      <c r="CD1968" s="2" t="s">
        <v>233</v>
      </c>
      <c r="CE1968" s="4">
        <v>140</v>
      </c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>
        <v>130</v>
      </c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/>
      <c r="GM1968" s="4"/>
      <c r="GN1968" s="4"/>
      <c r="GO1968" s="4"/>
      <c r="GP1968" s="4"/>
      <c r="GQ1968" s="4"/>
      <c r="GR1968" s="4"/>
      <c r="GS1968" s="4"/>
      <c r="GT1968" s="4"/>
      <c r="GU1968" s="4"/>
      <c r="GV1968" s="4"/>
      <c r="GW1968" s="4"/>
      <c r="GX1968" s="4"/>
      <c r="GY1968" s="4"/>
      <c r="GZ1968" s="4"/>
      <c r="HA1968" s="4"/>
      <c r="HB1968" s="4"/>
      <c r="HC1968" s="4"/>
      <c r="HD1968" s="4"/>
      <c r="HE1968" s="4"/>
      <c r="HF1968" s="4"/>
      <c r="HG1968" s="4"/>
      <c r="HH1968" s="4"/>
      <c r="HI1968" s="4"/>
      <c r="HJ1968" s="4"/>
      <c r="HK1968" s="4"/>
      <c r="HL1968" s="4"/>
      <c r="HM1968" s="4"/>
      <c r="HN1968" s="4"/>
      <c r="HO1968" s="4"/>
      <c r="HP1968" s="4"/>
      <c r="HQ1968" s="4"/>
      <c r="HR1968" s="4"/>
    </row>
    <row r="1969">
      <c r="A1969" s="2" t="s">
        <v>9008</v>
      </c>
      <c r="B1969" s="2" t="s">
        <v>910</v>
      </c>
      <c r="C1969" s="2" t="s">
        <v>911</v>
      </c>
      <c r="D1969" s="2" t="s">
        <v>912</v>
      </c>
      <c r="E1969" s="2" t="s">
        <v>913</v>
      </c>
      <c r="F1969" s="2" t="s">
        <v>9003</v>
      </c>
      <c r="G1969" s="2" t="s">
        <v>8415</v>
      </c>
      <c r="H1969" s="2" t="s">
        <v>1198</v>
      </c>
      <c r="I1969" s="2" t="s">
        <v>9009</v>
      </c>
      <c r="J1969" s="2" t="s">
        <v>918</v>
      </c>
      <c r="K1969" s="2" t="s">
        <v>236</v>
      </c>
      <c r="L1969" s="3">
        <v>19.04</v>
      </c>
      <c r="M1969" s="3">
        <v>19.99</v>
      </c>
      <c r="N1969" s="3">
        <v>39.99</v>
      </c>
      <c r="O1969" s="2" t="s">
        <v>245</v>
      </c>
      <c r="P1969" s="2" t="s">
        <v>238</v>
      </c>
      <c r="Q1969" s="2" t="s">
        <v>239</v>
      </c>
      <c r="R1969" s="2" t="s">
        <v>233</v>
      </c>
      <c r="S1969" s="2" t="s">
        <v>9005</v>
      </c>
      <c r="T1969" s="2" t="s">
        <v>1481</v>
      </c>
      <c r="U1969" s="2" t="s">
        <v>475</v>
      </c>
      <c r="V1969" s="2" t="s">
        <v>241</v>
      </c>
      <c r="W1969" s="2" t="s">
        <v>397</v>
      </c>
      <c r="X1969" s="2" t="s">
        <v>275</v>
      </c>
      <c r="Y1969" s="2" t="s">
        <v>9006</v>
      </c>
      <c r="Z1969" s="4">
        <v>50</v>
      </c>
      <c r="AA1969" s="4">
        <f>=ROUNDDOWN({0},0)</f>
      </c>
      <c r="AB1969" s="5"/>
      <c r="AC1969" s="2" t="s">
        <v>319</v>
      </c>
      <c r="AD1969" s="4">
        <v>40</v>
      </c>
      <c r="AE1969" s="4">
        <v>40</v>
      </c>
      <c r="AF1969" s="6">
        <v>64</v>
      </c>
      <c r="AG1969" s="6"/>
      <c r="AH1969" s="7">
        <v>1</v>
      </c>
      <c r="AI1969" s="4"/>
      <c r="AJ1969" s="4">
        <f>=ROUNDDOWN({0},0)</f>
      </c>
      <c r="AK1969" s="5"/>
      <c r="AL1969" s="2" t="s">
        <v>233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233</v>
      </c>
      <c r="AW1969" s="8" t="s">
        <v>233</v>
      </c>
      <c r="AX1969" s="4" t="s">
        <v>233</v>
      </c>
      <c r="AY1969" s="8" t="s">
        <v>233</v>
      </c>
      <c r="AZ1969" s="7" t="s">
        <v>233</v>
      </c>
      <c r="BA1969" s="7" t="s">
        <v>233</v>
      </c>
      <c r="BB1969" s="7" t="s">
        <v>233</v>
      </c>
      <c r="BC1969" s="4" t="s">
        <v>233</v>
      </c>
      <c r="BD1969" s="8" t="s">
        <v>233</v>
      </c>
      <c r="BE1969" s="4" t="s">
        <v>233</v>
      </c>
      <c r="BF1969" s="8" t="s">
        <v>233</v>
      </c>
      <c r="BG1969" s="7" t="s">
        <v>233</v>
      </c>
      <c r="BH1969" s="7" t="s">
        <v>233</v>
      </c>
      <c r="BI1969" s="7"/>
      <c r="BJ1969" s="4"/>
      <c r="BK1969" s="8"/>
      <c r="BL1969" s="2" t="s">
        <v>233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9010</v>
      </c>
      <c r="BV1969" s="2" t="s">
        <v>233</v>
      </c>
      <c r="BW1969" s="2" t="s">
        <v>233</v>
      </c>
      <c r="BX1969" s="2" t="s">
        <v>243</v>
      </c>
      <c r="BY1969" s="2" t="s">
        <v>280</v>
      </c>
      <c r="BZ1969" s="2" t="s">
        <v>245</v>
      </c>
      <c r="CA1969" s="2" t="s">
        <v>2467</v>
      </c>
      <c r="CB1969" s="2" t="s">
        <v>233</v>
      </c>
      <c r="CC1969" s="2" t="s">
        <v>246</v>
      </c>
      <c r="CD1969" s="2" t="s">
        <v>233</v>
      </c>
      <c r="CE1969" s="4">
        <v>50</v>
      </c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>
        <v>40</v>
      </c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  <c r="HF1969" s="4"/>
      <c r="HG1969" s="4"/>
      <c r="HH1969" s="4"/>
      <c r="HI1969" s="4"/>
      <c r="HJ1969" s="4"/>
      <c r="HK1969" s="4"/>
      <c r="HL1969" s="4"/>
      <c r="HM1969" s="4"/>
      <c r="HN1969" s="4"/>
      <c r="HO1969" s="4"/>
      <c r="HP1969" s="4"/>
      <c r="HQ1969" s="4"/>
      <c r="HR1969" s="4"/>
    </row>
    <row r="1970">
      <c r="A1970" s="2" t="s">
        <v>9011</v>
      </c>
      <c r="B1970" s="2" t="s">
        <v>910</v>
      </c>
      <c r="C1970" s="2" t="s">
        <v>911</v>
      </c>
      <c r="D1970" s="2" t="s">
        <v>969</v>
      </c>
      <c r="E1970" s="2" t="s">
        <v>1078</v>
      </c>
      <c r="F1970" s="2" t="s">
        <v>9003</v>
      </c>
      <c r="G1970" s="2" t="s">
        <v>8415</v>
      </c>
      <c r="H1970" s="2" t="s">
        <v>1198</v>
      </c>
      <c r="I1970" s="2" t="s">
        <v>9004</v>
      </c>
      <c r="J1970" s="2" t="s">
        <v>981</v>
      </c>
      <c r="K1970" s="2" t="s">
        <v>236</v>
      </c>
      <c r="L1970" s="3">
        <v>28.57</v>
      </c>
      <c r="M1970" s="3">
        <v>30</v>
      </c>
      <c r="N1970" s="3">
        <v>59.99</v>
      </c>
      <c r="O1970" s="2" t="s">
        <v>245</v>
      </c>
      <c r="P1970" s="2" t="s">
        <v>238</v>
      </c>
      <c r="Q1970" s="2" t="s">
        <v>239</v>
      </c>
      <c r="R1970" s="2" t="s">
        <v>233</v>
      </c>
      <c r="S1970" s="2" t="s">
        <v>9005</v>
      </c>
      <c r="T1970" s="2" t="s">
        <v>1481</v>
      </c>
      <c r="U1970" s="2" t="s">
        <v>342</v>
      </c>
      <c r="V1970" s="2" t="s">
        <v>241</v>
      </c>
      <c r="W1970" s="2" t="s">
        <v>397</v>
      </c>
      <c r="X1970" s="2" t="s">
        <v>275</v>
      </c>
      <c r="Y1970" s="2" t="s">
        <v>9006</v>
      </c>
      <c r="Z1970" s="4">
        <v>200</v>
      </c>
      <c r="AA1970" s="4">
        <f>=ROUNDDOWN({0},0)</f>
      </c>
      <c r="AB1970" s="5"/>
      <c r="AC1970" s="2" t="s">
        <v>319</v>
      </c>
      <c r="AD1970" s="4">
        <v>200</v>
      </c>
      <c r="AE1970" s="4">
        <v>200</v>
      </c>
      <c r="AF1970" s="6">
        <v>64</v>
      </c>
      <c r="AG1970" s="6"/>
      <c r="AH1970" s="7">
        <v>1</v>
      </c>
      <c r="AI1970" s="4"/>
      <c r="AJ1970" s="4">
        <f>=ROUNDDOWN({0},0)</f>
      </c>
      <c r="AK1970" s="5"/>
      <c r="AL1970" s="2" t="s">
        <v>233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233</v>
      </c>
      <c r="AW1970" s="8" t="s">
        <v>233</v>
      </c>
      <c r="AX1970" s="4" t="s">
        <v>233</v>
      </c>
      <c r="AY1970" s="8" t="s">
        <v>233</v>
      </c>
      <c r="AZ1970" s="7" t="s">
        <v>233</v>
      </c>
      <c r="BA1970" s="7" t="s">
        <v>233</v>
      </c>
      <c r="BB1970" s="7" t="s">
        <v>233</v>
      </c>
      <c r="BC1970" s="4" t="s">
        <v>233</v>
      </c>
      <c r="BD1970" s="8" t="s">
        <v>233</v>
      </c>
      <c r="BE1970" s="4" t="s">
        <v>233</v>
      </c>
      <c r="BF1970" s="8" t="s">
        <v>233</v>
      </c>
      <c r="BG1970" s="7" t="s">
        <v>233</v>
      </c>
      <c r="BH1970" s="7" t="s">
        <v>233</v>
      </c>
      <c r="BI1970" s="7"/>
      <c r="BJ1970" s="4"/>
      <c r="BK1970" s="8"/>
      <c r="BL1970" s="2" t="s">
        <v>233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9012</v>
      </c>
      <c r="BV1970" s="2" t="s">
        <v>233</v>
      </c>
      <c r="BW1970" s="2" t="s">
        <v>233</v>
      </c>
      <c r="BX1970" s="2" t="s">
        <v>243</v>
      </c>
      <c r="BY1970" s="2" t="s">
        <v>280</v>
      </c>
      <c r="BZ1970" s="2" t="s">
        <v>245</v>
      </c>
      <c r="CA1970" s="2" t="s">
        <v>2467</v>
      </c>
      <c r="CB1970" s="2" t="s">
        <v>233</v>
      </c>
      <c r="CC1970" s="2" t="s">
        <v>246</v>
      </c>
      <c r="CD1970" s="2" t="s">
        <v>233</v>
      </c>
      <c r="CE1970" s="4">
        <v>200</v>
      </c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>
        <v>200</v>
      </c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/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  <c r="HF1970" s="4"/>
      <c r="HG1970" s="4"/>
      <c r="HH1970" s="4"/>
      <c r="HI1970" s="4"/>
      <c r="HJ1970" s="4"/>
      <c r="HK1970" s="4"/>
      <c r="HL1970" s="4"/>
      <c r="HM1970" s="4"/>
      <c r="HN1970" s="4"/>
      <c r="HO1970" s="4"/>
      <c r="HP1970" s="4"/>
      <c r="HQ1970" s="4"/>
      <c r="HR1970" s="4"/>
    </row>
    <row r="1971">
      <c r="A1971" s="2" t="s">
        <v>9013</v>
      </c>
      <c r="B1971" s="2" t="s">
        <v>910</v>
      </c>
      <c r="C1971" s="2" t="s">
        <v>911</v>
      </c>
      <c r="D1971" s="2" t="s">
        <v>912</v>
      </c>
      <c r="E1971" s="2" t="s">
        <v>913</v>
      </c>
      <c r="F1971" s="2" t="s">
        <v>9003</v>
      </c>
      <c r="G1971" s="2" t="s">
        <v>8415</v>
      </c>
      <c r="H1971" s="2" t="s">
        <v>1198</v>
      </c>
      <c r="I1971" s="2" t="s">
        <v>9009</v>
      </c>
      <c r="J1971" s="2" t="s">
        <v>981</v>
      </c>
      <c r="K1971" s="2" t="s">
        <v>236</v>
      </c>
      <c r="L1971" s="3">
        <v>23.8</v>
      </c>
      <c r="M1971" s="3">
        <v>24.99</v>
      </c>
      <c r="N1971" s="3">
        <v>49.99</v>
      </c>
      <c r="O1971" s="2" t="s">
        <v>245</v>
      </c>
      <c r="P1971" s="2" t="s">
        <v>238</v>
      </c>
      <c r="Q1971" s="2" t="s">
        <v>239</v>
      </c>
      <c r="R1971" s="2" t="s">
        <v>233</v>
      </c>
      <c r="S1971" s="2" t="s">
        <v>9005</v>
      </c>
      <c r="T1971" s="2" t="s">
        <v>1481</v>
      </c>
      <c r="U1971" s="2" t="s">
        <v>342</v>
      </c>
      <c r="V1971" s="2" t="s">
        <v>241</v>
      </c>
      <c r="W1971" s="2" t="s">
        <v>397</v>
      </c>
      <c r="X1971" s="2" t="s">
        <v>275</v>
      </c>
      <c r="Y1971" s="2" t="s">
        <v>9006</v>
      </c>
      <c r="Z1971" s="4">
        <v>70</v>
      </c>
      <c r="AA1971" s="4">
        <f>=ROUNDDOWN({0},0)</f>
      </c>
      <c r="AB1971" s="5"/>
      <c r="AC1971" s="2" t="s">
        <v>319</v>
      </c>
      <c r="AD1971" s="4">
        <v>70</v>
      </c>
      <c r="AE1971" s="4">
        <v>70</v>
      </c>
      <c r="AF1971" s="6">
        <v>64</v>
      </c>
      <c r="AG1971" s="6"/>
      <c r="AH1971" s="7">
        <v>1</v>
      </c>
      <c r="AI1971" s="4"/>
      <c r="AJ1971" s="4">
        <f>=ROUNDDOWN({0},0)</f>
      </c>
      <c r="AK1971" s="5"/>
      <c r="AL1971" s="2" t="s">
        <v>233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233</v>
      </c>
      <c r="AW1971" s="8" t="s">
        <v>233</v>
      </c>
      <c r="AX1971" s="4" t="s">
        <v>233</v>
      </c>
      <c r="AY1971" s="8" t="s">
        <v>233</v>
      </c>
      <c r="AZ1971" s="7" t="s">
        <v>233</v>
      </c>
      <c r="BA1971" s="7" t="s">
        <v>233</v>
      </c>
      <c r="BB1971" s="7" t="s">
        <v>233</v>
      </c>
      <c r="BC1971" s="4" t="s">
        <v>233</v>
      </c>
      <c r="BD1971" s="8" t="s">
        <v>233</v>
      </c>
      <c r="BE1971" s="4" t="s">
        <v>233</v>
      </c>
      <c r="BF1971" s="8" t="s">
        <v>233</v>
      </c>
      <c r="BG1971" s="7" t="s">
        <v>233</v>
      </c>
      <c r="BH1971" s="7" t="s">
        <v>233</v>
      </c>
      <c r="BI1971" s="7"/>
      <c r="BJ1971" s="4"/>
      <c r="BK1971" s="8"/>
      <c r="BL1971" s="2" t="s">
        <v>233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9014</v>
      </c>
      <c r="BV1971" s="2" t="s">
        <v>233</v>
      </c>
      <c r="BW1971" s="2" t="s">
        <v>233</v>
      </c>
      <c r="BX1971" s="2" t="s">
        <v>243</v>
      </c>
      <c r="BY1971" s="2" t="s">
        <v>280</v>
      </c>
      <c r="BZ1971" s="2" t="s">
        <v>245</v>
      </c>
      <c r="CA1971" s="2" t="s">
        <v>2467</v>
      </c>
      <c r="CB1971" s="2" t="s">
        <v>233</v>
      </c>
      <c r="CC1971" s="2" t="s">
        <v>246</v>
      </c>
      <c r="CD1971" s="2" t="s">
        <v>233</v>
      </c>
      <c r="CE1971" s="4">
        <v>70</v>
      </c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>
        <v>70</v>
      </c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/>
      <c r="GK1971" s="4"/>
      <c r="GL1971" s="4"/>
      <c r="GM1971" s="4"/>
      <c r="GN1971" s="4"/>
      <c r="GO1971" s="4"/>
      <c r="GP1971" s="4"/>
      <c r="GQ1971" s="4"/>
      <c r="GR1971" s="4"/>
      <c r="GS1971" s="4"/>
      <c r="GT1971" s="4"/>
      <c r="GU1971" s="4"/>
      <c r="GV1971" s="4"/>
      <c r="GW1971" s="4"/>
      <c r="GX1971" s="4"/>
      <c r="GY1971" s="4"/>
      <c r="GZ1971" s="4"/>
      <c r="HA1971" s="4"/>
      <c r="HB1971" s="4"/>
      <c r="HC1971" s="4"/>
      <c r="HD1971" s="4"/>
      <c r="HE1971" s="4"/>
      <c r="HF1971" s="4"/>
      <c r="HG1971" s="4"/>
      <c r="HH1971" s="4"/>
      <c r="HI1971" s="4"/>
      <c r="HJ1971" s="4"/>
      <c r="HK1971" s="4"/>
      <c r="HL1971" s="4"/>
      <c r="HM1971" s="4"/>
      <c r="HN1971" s="4"/>
      <c r="HO1971" s="4"/>
      <c r="HP1971" s="4"/>
      <c r="HQ1971" s="4"/>
      <c r="HR1971" s="4"/>
    </row>
    <row r="1972">
      <c r="A1972" s="2" t="s">
        <v>9015</v>
      </c>
      <c r="B1972" s="2" t="s">
        <v>1242</v>
      </c>
      <c r="C1972" s="2" t="s">
        <v>3501</v>
      </c>
      <c r="D1972" s="2" t="s">
        <v>969</v>
      </c>
      <c r="E1972" s="2" t="s">
        <v>970</v>
      </c>
      <c r="F1972" s="2" t="s">
        <v>9016</v>
      </c>
      <c r="G1972" s="2" t="s">
        <v>9016</v>
      </c>
      <c r="H1972" s="2" t="s">
        <v>9016</v>
      </c>
      <c r="I1972" s="2" t="s">
        <v>9017</v>
      </c>
      <c r="J1972" s="2" t="s">
        <v>981</v>
      </c>
      <c r="K1972" s="2" t="s">
        <v>255</v>
      </c>
      <c r="L1972" s="3">
        <v>72</v>
      </c>
      <c r="M1972" s="3">
        <v>75.6</v>
      </c>
      <c r="N1972" s="3">
        <v>159.99</v>
      </c>
      <c r="O1972" s="2" t="s">
        <v>237</v>
      </c>
      <c r="P1972" s="2" t="s">
        <v>311</v>
      </c>
      <c r="Q1972" s="2" t="s">
        <v>239</v>
      </c>
      <c r="R1972" s="2" t="s">
        <v>233</v>
      </c>
      <c r="S1972" s="2" t="s">
        <v>9018</v>
      </c>
      <c r="T1972" s="2" t="s">
        <v>233</v>
      </c>
      <c r="U1972" s="2" t="s">
        <v>475</v>
      </c>
      <c r="V1972" s="2" t="s">
        <v>241</v>
      </c>
      <c r="W1972" s="2" t="s">
        <v>397</v>
      </c>
      <c r="X1972" s="2" t="s">
        <v>3104</v>
      </c>
      <c r="Y1972" s="2" t="s">
        <v>5455</v>
      </c>
      <c r="Z1972" s="4">
        <v>34</v>
      </c>
      <c r="AA1972" s="4">
        <f>=ROUNDDOWN(34,0)</f>
      </c>
      <c r="AB1972" s="5">
        <v>1</v>
      </c>
      <c r="AC1972" s="2" t="s">
        <v>233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233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5</v>
      </c>
      <c r="BK1972" s="8">
        <v>256.52</v>
      </c>
      <c r="BL1972" s="2" t="s">
        <v>516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9019</v>
      </c>
      <c r="BV1972" s="2" t="s">
        <v>233</v>
      </c>
      <c r="BW1972" s="2" t="s">
        <v>233</v>
      </c>
      <c r="BX1972" s="2" t="s">
        <v>233</v>
      </c>
      <c r="BY1972" s="2" t="s">
        <v>280</v>
      </c>
      <c r="BZ1972" s="2" t="s">
        <v>245</v>
      </c>
      <c r="CA1972" s="2" t="s">
        <v>5483</v>
      </c>
      <c r="CB1972" s="2" t="s">
        <v>2799</v>
      </c>
      <c r="CC1972" s="2" t="s">
        <v>246</v>
      </c>
      <c r="CD1972" s="2" t="s">
        <v>233</v>
      </c>
      <c r="CE1972" s="4">
        <v>34</v>
      </c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  <c r="GI1972" s="4"/>
      <c r="GJ1972" s="4"/>
      <c r="GK1972" s="4"/>
      <c r="GL1972" s="4"/>
      <c r="GM1972" s="4"/>
      <c r="GN1972" s="4"/>
      <c r="GO1972" s="4"/>
      <c r="GP1972" s="4"/>
      <c r="GQ1972" s="4"/>
      <c r="GR1972" s="4"/>
      <c r="GS1972" s="4"/>
      <c r="GT1972" s="4"/>
      <c r="GU1972" s="4"/>
      <c r="GV1972" s="4"/>
      <c r="GW1972" s="4"/>
      <c r="GX1972" s="4"/>
      <c r="GY1972" s="4"/>
      <c r="GZ1972" s="4"/>
      <c r="HA1972" s="4"/>
      <c r="HB1972" s="4"/>
      <c r="HC1972" s="4"/>
      <c r="HD1972" s="4"/>
      <c r="HE1972" s="4"/>
      <c r="HF1972" s="4"/>
      <c r="HG1972" s="4"/>
      <c r="HH1972" s="4"/>
      <c r="HI1972" s="4"/>
      <c r="HJ1972" s="4"/>
      <c r="HK1972" s="4"/>
      <c r="HL1972" s="4"/>
      <c r="HM1972" s="4"/>
      <c r="HN1972" s="4"/>
      <c r="HO1972" s="4"/>
      <c r="HP1972" s="4"/>
      <c r="HQ1972" s="4"/>
      <c r="HR1972" s="4"/>
    </row>
    <row r="1973">
      <c r="A1973" s="2" t="s">
        <v>9020</v>
      </c>
      <c r="B1973" s="2" t="s">
        <v>886</v>
      </c>
      <c r="C1973" s="2" t="s">
        <v>901</v>
      </c>
      <c r="D1973" s="2" t="s">
        <v>1122</v>
      </c>
      <c r="E1973" s="2" t="s">
        <v>1123</v>
      </c>
      <c r="F1973" s="2" t="s">
        <v>9021</v>
      </c>
      <c r="G1973" s="2" t="s">
        <v>9021</v>
      </c>
      <c r="H1973" s="2" t="s">
        <v>9021</v>
      </c>
      <c r="I1973" s="2" t="s">
        <v>9022</v>
      </c>
      <c r="J1973" s="2" t="s">
        <v>892</v>
      </c>
      <c r="K1973" s="2" t="s">
        <v>9023</v>
      </c>
      <c r="L1973" s="3">
        <v>62</v>
      </c>
      <c r="M1973" s="3">
        <v>65.1</v>
      </c>
      <c r="N1973" s="3">
        <v>129.99</v>
      </c>
      <c r="O1973" s="2" t="s">
        <v>245</v>
      </c>
      <c r="P1973" s="2" t="s">
        <v>311</v>
      </c>
      <c r="Q1973" s="2" t="s">
        <v>239</v>
      </c>
      <c r="R1973" s="2" t="s">
        <v>233</v>
      </c>
      <c r="S1973" s="2" t="s">
        <v>233</v>
      </c>
      <c r="T1973" s="2" t="s">
        <v>233</v>
      </c>
      <c r="U1973" s="2" t="s">
        <v>396</v>
      </c>
      <c r="V1973" s="2" t="s">
        <v>893</v>
      </c>
      <c r="W1973" s="2" t="s">
        <v>397</v>
      </c>
      <c r="X1973" s="2" t="s">
        <v>1813</v>
      </c>
      <c r="Y1973" s="2" t="s">
        <v>1610</v>
      </c>
      <c r="Z1973" s="4">
        <v>88</v>
      </c>
      <c r="AA1973" s="4">
        <f>=ROUNDDOWN({0},0)</f>
      </c>
      <c r="AB1973" s="5"/>
      <c r="AC1973" s="2" t="s">
        <v>233</v>
      </c>
      <c r="AD1973" s="4"/>
      <c r="AE1973" s="4"/>
      <c r="AF1973" s="6">
        <v>63</v>
      </c>
      <c r="AG1973" s="6"/>
      <c r="AH1973" s="7">
        <v>1</v>
      </c>
      <c r="AI1973" s="4"/>
      <c r="AJ1973" s="4">
        <f>=ROUNDDOWN({0},0)</f>
      </c>
      <c r="AK1973" s="5"/>
      <c r="AL1973" s="2" t="s">
        <v>233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/>
      <c r="BK1973" s="8"/>
      <c r="BL1973" s="2" t="s">
        <v>744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9024</v>
      </c>
      <c r="BV1973" s="2" t="s">
        <v>233</v>
      </c>
      <c r="BW1973" s="2" t="s">
        <v>233</v>
      </c>
      <c r="BX1973" s="2" t="s">
        <v>233</v>
      </c>
      <c r="BY1973" s="2" t="s">
        <v>280</v>
      </c>
      <c r="BZ1973" s="2" t="s">
        <v>245</v>
      </c>
      <c r="CA1973" s="2" t="s">
        <v>1816</v>
      </c>
      <c r="CB1973" s="2" t="s">
        <v>5717</v>
      </c>
      <c r="CC1973" s="2" t="s">
        <v>246</v>
      </c>
      <c r="CD1973" s="2" t="s">
        <v>233</v>
      </c>
      <c r="CE1973" s="4"/>
      <c r="CF1973" s="4">
        <v>88</v>
      </c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/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4"/>
      <c r="HE1973" s="4"/>
      <c r="HF1973" s="4"/>
      <c r="HG1973" s="4"/>
      <c r="HH1973" s="4"/>
      <c r="HI1973" s="4"/>
      <c r="HJ1973" s="4"/>
      <c r="HK1973" s="4"/>
      <c r="HL1973" s="4"/>
      <c r="HM1973" s="4"/>
      <c r="HN1973" s="4"/>
      <c r="HO1973" s="4"/>
      <c r="HP1973" s="4"/>
      <c r="HQ1973" s="4"/>
      <c r="HR1973" s="4"/>
    </row>
    <row r="1974">
      <c r="A1974" s="2" t="s">
        <v>9025</v>
      </c>
      <c r="B1974" s="2" t="s">
        <v>228</v>
      </c>
      <c r="C1974" s="2" t="s">
        <v>1335</v>
      </c>
      <c r="D1974" s="2" t="s">
        <v>969</v>
      </c>
      <c r="E1974" s="2" t="s">
        <v>1078</v>
      </c>
      <c r="F1974" s="2" t="s">
        <v>9026</v>
      </c>
      <c r="G1974" s="2" t="s">
        <v>9026</v>
      </c>
      <c r="H1974" s="2" t="s">
        <v>9026</v>
      </c>
      <c r="I1974" s="2" t="s">
        <v>7214</v>
      </c>
      <c r="J1974" s="2" t="s">
        <v>270</v>
      </c>
      <c r="K1974" s="2" t="s">
        <v>257</v>
      </c>
      <c r="L1974" s="3">
        <v>43.9</v>
      </c>
      <c r="M1974" s="3">
        <v>46.1</v>
      </c>
      <c r="N1974" s="3">
        <v>91.99</v>
      </c>
      <c r="O1974" s="2" t="s">
        <v>245</v>
      </c>
      <c r="P1974" s="2" t="s">
        <v>311</v>
      </c>
      <c r="Q1974" s="2" t="s">
        <v>239</v>
      </c>
      <c r="R1974" s="2" t="s">
        <v>233</v>
      </c>
      <c r="S1974" s="2" t="s">
        <v>9027</v>
      </c>
      <c r="T1974" s="2" t="s">
        <v>1622</v>
      </c>
      <c r="U1974" s="2" t="s">
        <v>475</v>
      </c>
      <c r="V1974" s="2" t="s">
        <v>241</v>
      </c>
      <c r="W1974" s="2" t="s">
        <v>1056</v>
      </c>
      <c r="X1974" s="2" t="s">
        <v>776</v>
      </c>
      <c r="Y1974" s="2" t="s">
        <v>2008</v>
      </c>
      <c r="Z1974" s="4">
        <v>85</v>
      </c>
      <c r="AA1974" s="4">
        <f>=ROUNDDOWN(42.5,0)</f>
      </c>
      <c r="AB1974" s="5">
        <v>2</v>
      </c>
      <c r="AC1974" s="2" t="s">
        <v>233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233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233</v>
      </c>
      <c r="AW1974" s="8" t="s">
        <v>233</v>
      </c>
      <c r="AX1974" s="4" t="s">
        <v>233</v>
      </c>
      <c r="AY1974" s="8" t="s">
        <v>233</v>
      </c>
      <c r="AZ1974" s="7" t="s">
        <v>233</v>
      </c>
      <c r="BA1974" s="7" t="s">
        <v>233</v>
      </c>
      <c r="BB1974" s="7"/>
      <c r="BC1974" s="4" t="s">
        <v>233</v>
      </c>
      <c r="BD1974" s="8" t="s">
        <v>233</v>
      </c>
      <c r="BE1974" s="4" t="s">
        <v>233</v>
      </c>
      <c r="BF1974" s="8" t="s">
        <v>233</v>
      </c>
      <c r="BG1974" s="7" t="s">
        <v>233</v>
      </c>
      <c r="BH1974" s="7" t="s">
        <v>233</v>
      </c>
      <c r="BI1974" s="7"/>
      <c r="BJ1974" s="4">
        <v>10</v>
      </c>
      <c r="BK1974" s="8">
        <v>468.73</v>
      </c>
      <c r="BL1974" s="2" t="s">
        <v>9028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9029</v>
      </c>
      <c r="BV1974" s="2" t="s">
        <v>233</v>
      </c>
      <c r="BW1974" s="2" t="s">
        <v>233</v>
      </c>
      <c r="BX1974" s="2" t="s">
        <v>595</v>
      </c>
      <c r="BY1974" s="2" t="s">
        <v>280</v>
      </c>
      <c r="BZ1974" s="2" t="s">
        <v>245</v>
      </c>
      <c r="CA1974" s="2" t="s">
        <v>1357</v>
      </c>
      <c r="CB1974" s="2" t="s">
        <v>8278</v>
      </c>
      <c r="CC1974" s="2" t="s">
        <v>246</v>
      </c>
      <c r="CD1974" s="2" t="s">
        <v>233</v>
      </c>
      <c r="CE1974" s="4">
        <v>85</v>
      </c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  <c r="GL1974" s="4"/>
      <c r="GM1974" s="4"/>
      <c r="GN1974" s="4"/>
      <c r="GO1974" s="4"/>
      <c r="GP1974" s="4"/>
      <c r="GQ1974" s="4"/>
      <c r="GR1974" s="4"/>
      <c r="GS1974" s="4"/>
      <c r="GT1974" s="4"/>
      <c r="GU1974" s="4"/>
      <c r="GV1974" s="4"/>
      <c r="GW1974" s="4"/>
      <c r="GX1974" s="4"/>
      <c r="GY1974" s="4"/>
      <c r="GZ1974" s="4"/>
      <c r="HA1974" s="4"/>
      <c r="HB1974" s="4"/>
      <c r="HC1974" s="4"/>
      <c r="HD1974" s="4"/>
      <c r="HE1974" s="4"/>
      <c r="HF1974" s="4"/>
      <c r="HG1974" s="4"/>
      <c r="HH1974" s="4"/>
      <c r="HI1974" s="4"/>
      <c r="HJ1974" s="4"/>
      <c r="HK1974" s="4"/>
      <c r="HL1974" s="4"/>
      <c r="HM1974" s="4"/>
      <c r="HN1974" s="4"/>
      <c r="HO1974" s="4"/>
      <c r="HP1974" s="4"/>
      <c r="HQ1974" s="4"/>
      <c r="HR1974" s="4"/>
    </row>
    <row r="1975">
      <c r="A1975" s="2" t="s">
        <v>9030</v>
      </c>
      <c r="B1975" s="2" t="s">
        <v>228</v>
      </c>
      <c r="C1975" s="2" t="s">
        <v>1335</v>
      </c>
      <c r="D1975" s="2" t="s">
        <v>969</v>
      </c>
      <c r="E1975" s="2" t="s">
        <v>1078</v>
      </c>
      <c r="F1975" s="2" t="s">
        <v>9026</v>
      </c>
      <c r="G1975" s="2" t="s">
        <v>9026</v>
      </c>
      <c r="H1975" s="2" t="s">
        <v>9026</v>
      </c>
      <c r="I1975" s="2" t="s">
        <v>7214</v>
      </c>
      <c r="J1975" s="2" t="s">
        <v>981</v>
      </c>
      <c r="K1975" s="2" t="s">
        <v>257</v>
      </c>
      <c r="L1975" s="3">
        <v>56.45</v>
      </c>
      <c r="M1975" s="3">
        <v>59.27</v>
      </c>
      <c r="N1975" s="3">
        <v>118.99</v>
      </c>
      <c r="O1975" s="2" t="s">
        <v>245</v>
      </c>
      <c r="P1975" s="2" t="s">
        <v>311</v>
      </c>
      <c r="Q1975" s="2" t="s">
        <v>239</v>
      </c>
      <c r="R1975" s="2" t="s">
        <v>233</v>
      </c>
      <c r="S1975" s="2" t="s">
        <v>9027</v>
      </c>
      <c r="T1975" s="2" t="s">
        <v>1622</v>
      </c>
      <c r="U1975" s="2" t="s">
        <v>342</v>
      </c>
      <c r="V1975" s="2" t="s">
        <v>241</v>
      </c>
      <c r="W1975" s="2" t="s">
        <v>1056</v>
      </c>
      <c r="X1975" s="2" t="s">
        <v>776</v>
      </c>
      <c r="Y1975" s="2" t="s">
        <v>2008</v>
      </c>
      <c r="Z1975" s="4">
        <v>154</v>
      </c>
      <c r="AA1975" s="4">
        <f>=ROUNDDOWN(25.6666666666667,0)</f>
      </c>
      <c r="AB1975" s="5">
        <v>6</v>
      </c>
      <c r="AC1975" s="2" t="s">
        <v>233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233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233</v>
      </c>
      <c r="AW1975" s="8" t="s">
        <v>233</v>
      </c>
      <c r="AX1975" s="4" t="s">
        <v>233</v>
      </c>
      <c r="AY1975" s="8" t="s">
        <v>233</v>
      </c>
      <c r="AZ1975" s="7" t="s">
        <v>233</v>
      </c>
      <c r="BA1975" s="7" t="s">
        <v>233</v>
      </c>
      <c r="BB1975" s="7"/>
      <c r="BC1975" s="4" t="s">
        <v>233</v>
      </c>
      <c r="BD1975" s="8" t="s">
        <v>233</v>
      </c>
      <c r="BE1975" s="4" t="s">
        <v>233</v>
      </c>
      <c r="BF1975" s="8" t="s">
        <v>233</v>
      </c>
      <c r="BG1975" s="7" t="s">
        <v>233</v>
      </c>
      <c r="BH1975" s="7" t="s">
        <v>233</v>
      </c>
      <c r="BI1975" s="7"/>
      <c r="BJ1975" s="4">
        <v>3</v>
      </c>
      <c r="BK1975" s="8">
        <v>209.15</v>
      </c>
      <c r="BL1975" s="2" t="s">
        <v>3519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9031</v>
      </c>
      <c r="BV1975" s="2" t="s">
        <v>233</v>
      </c>
      <c r="BW1975" s="2" t="s">
        <v>233</v>
      </c>
      <c r="BX1975" s="2" t="s">
        <v>595</v>
      </c>
      <c r="BY1975" s="2" t="s">
        <v>280</v>
      </c>
      <c r="BZ1975" s="2" t="s">
        <v>245</v>
      </c>
      <c r="CA1975" s="2" t="s">
        <v>1357</v>
      </c>
      <c r="CB1975" s="2" t="s">
        <v>899</v>
      </c>
      <c r="CC1975" s="2" t="s">
        <v>246</v>
      </c>
      <c r="CD1975" s="2" t="s">
        <v>233</v>
      </c>
      <c r="CE1975" s="4">
        <v>154</v>
      </c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/>
      <c r="GL1975" s="4"/>
      <c r="GM1975" s="4"/>
      <c r="GN1975" s="4"/>
      <c r="GO1975" s="4"/>
      <c r="GP1975" s="4"/>
      <c r="GQ1975" s="4"/>
      <c r="GR1975" s="4"/>
      <c r="GS1975" s="4"/>
      <c r="GT1975" s="4"/>
      <c r="GU1975" s="4"/>
      <c r="GV1975" s="4"/>
      <c r="GW1975" s="4"/>
      <c r="GX1975" s="4"/>
      <c r="GY1975" s="4"/>
      <c r="GZ1975" s="4"/>
      <c r="HA1975" s="4"/>
      <c r="HB1975" s="4"/>
      <c r="HC1975" s="4"/>
      <c r="HD1975" s="4"/>
      <c r="HE1975" s="4"/>
      <c r="HF1975" s="4"/>
      <c r="HG1975" s="4"/>
      <c r="HH1975" s="4"/>
      <c r="HI1975" s="4"/>
      <c r="HJ1975" s="4"/>
      <c r="HK1975" s="4"/>
      <c r="HL1975" s="4"/>
      <c r="HM1975" s="4"/>
      <c r="HN1975" s="4"/>
      <c r="HO1975" s="4"/>
      <c r="HP1975" s="4"/>
      <c r="HQ1975" s="4"/>
      <c r="HR1975" s="4"/>
    </row>
    <row r="1976">
      <c r="A1976" s="2" t="s">
        <v>9032</v>
      </c>
      <c r="B1976" s="2" t="s">
        <v>1242</v>
      </c>
      <c r="C1976" s="2" t="s">
        <v>530</v>
      </c>
      <c r="D1976" s="2" t="s">
        <v>969</v>
      </c>
      <c r="E1976" s="2" t="s">
        <v>970</v>
      </c>
      <c r="F1976" s="2" t="s">
        <v>9033</v>
      </c>
      <c r="G1976" s="2" t="s">
        <v>9034</v>
      </c>
      <c r="H1976" s="2" t="s">
        <v>9035</v>
      </c>
      <c r="I1976" s="2" t="s">
        <v>9036</v>
      </c>
      <c r="J1976" s="2" t="s">
        <v>981</v>
      </c>
      <c r="K1976" s="2" t="s">
        <v>569</v>
      </c>
      <c r="L1976" s="3">
        <v>47.61</v>
      </c>
      <c r="M1976" s="3">
        <v>49.99</v>
      </c>
      <c r="N1976" s="3">
        <v>99.99</v>
      </c>
      <c r="O1976" s="2" t="s">
        <v>245</v>
      </c>
      <c r="P1976" s="2" t="s">
        <v>238</v>
      </c>
      <c r="Q1976" s="2" t="s">
        <v>239</v>
      </c>
      <c r="R1976" s="2" t="s">
        <v>233</v>
      </c>
      <c r="S1976" s="2" t="s">
        <v>9037</v>
      </c>
      <c r="T1976" s="2" t="s">
        <v>1481</v>
      </c>
      <c r="U1976" s="2" t="s">
        <v>475</v>
      </c>
      <c r="V1976" s="2" t="s">
        <v>1762</v>
      </c>
      <c r="W1976" s="2" t="s">
        <v>1056</v>
      </c>
      <c r="X1976" s="2" t="s">
        <v>2882</v>
      </c>
      <c r="Y1976" s="2" t="s">
        <v>5661</v>
      </c>
      <c r="Z1976" s="4">
        <v>216</v>
      </c>
      <c r="AA1976" s="4">
        <f>=ROUNDDOWN(14.4,0)</f>
      </c>
      <c r="AB1976" s="5">
        <v>15</v>
      </c>
      <c r="AC1976" s="2" t="s">
        <v>2902</v>
      </c>
      <c r="AD1976" s="4">
        <v>220</v>
      </c>
      <c r="AE1976" s="4">
        <v>220</v>
      </c>
      <c r="AF1976" s="6">
        <v>64</v>
      </c>
      <c r="AG1976" s="6"/>
      <c r="AH1976" s="7">
        <v>1</v>
      </c>
      <c r="AI1976" s="4"/>
      <c r="AJ1976" s="4">
        <f>=ROUNDDOWN({0},0)</f>
      </c>
      <c r="AK1976" s="5"/>
      <c r="AL1976" s="2" t="s">
        <v>233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233</v>
      </c>
      <c r="AW1976" s="8" t="s">
        <v>233</v>
      </c>
      <c r="AX1976" s="4" t="s">
        <v>233</v>
      </c>
      <c r="AY1976" s="8" t="s">
        <v>233</v>
      </c>
      <c r="AZ1976" s="7" t="s">
        <v>233</v>
      </c>
      <c r="BA1976" s="7" t="s">
        <v>233</v>
      </c>
      <c r="BB1976" s="7"/>
      <c r="BC1976" s="4" t="s">
        <v>233</v>
      </c>
      <c r="BD1976" s="8" t="s">
        <v>233</v>
      </c>
      <c r="BE1976" s="4" t="s">
        <v>233</v>
      </c>
      <c r="BF1976" s="8" t="s">
        <v>233</v>
      </c>
      <c r="BG1976" s="7" t="s">
        <v>233</v>
      </c>
      <c r="BH1976" s="7" t="s">
        <v>233</v>
      </c>
      <c r="BI1976" s="7"/>
      <c r="BJ1976" s="4">
        <v>3</v>
      </c>
      <c r="BK1976" s="8">
        <v>161.97</v>
      </c>
      <c r="BL1976" s="2" t="s">
        <v>2404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9038</v>
      </c>
      <c r="BV1976" s="2" t="s">
        <v>233</v>
      </c>
      <c r="BW1976" s="2" t="s">
        <v>233</v>
      </c>
      <c r="BX1976" s="2" t="s">
        <v>243</v>
      </c>
      <c r="BY1976" s="2" t="s">
        <v>280</v>
      </c>
      <c r="BZ1976" s="2" t="s">
        <v>245</v>
      </c>
      <c r="CA1976" s="2" t="s">
        <v>2564</v>
      </c>
      <c r="CB1976" s="2" t="s">
        <v>233</v>
      </c>
      <c r="CC1976" s="2" t="s">
        <v>246</v>
      </c>
      <c r="CD1976" s="2" t="s">
        <v>233</v>
      </c>
      <c r="CE1976" s="4">
        <v>216</v>
      </c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>
        <v>220</v>
      </c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/>
      <c r="GS1976" s="4"/>
      <c r="GT1976" s="4"/>
      <c r="GU1976" s="4"/>
      <c r="GV1976" s="4"/>
      <c r="GW1976" s="4"/>
      <c r="GX1976" s="4"/>
      <c r="GY1976" s="4"/>
      <c r="GZ1976" s="4"/>
      <c r="HA1976" s="4"/>
      <c r="HB1976" s="4"/>
      <c r="HC1976" s="4"/>
      <c r="HD1976" s="4"/>
      <c r="HE1976" s="4"/>
      <c r="HF1976" s="4"/>
      <c r="HG1976" s="4"/>
      <c r="HH1976" s="4"/>
      <c r="HI1976" s="4"/>
      <c r="HJ1976" s="4"/>
      <c r="HK1976" s="4"/>
      <c r="HL1976" s="4"/>
      <c r="HM1976" s="4"/>
      <c r="HN1976" s="4"/>
      <c r="HO1976" s="4"/>
      <c r="HP1976" s="4"/>
      <c r="HQ1976" s="4"/>
      <c r="HR1976" s="4"/>
    </row>
    <row r="1977">
      <c r="A1977" s="2" t="s">
        <v>9039</v>
      </c>
      <c r="B1977" s="2" t="s">
        <v>1242</v>
      </c>
      <c r="C1977" s="2" t="s">
        <v>530</v>
      </c>
      <c r="D1977" s="2" t="s">
        <v>969</v>
      </c>
      <c r="E1977" s="2" t="s">
        <v>970</v>
      </c>
      <c r="F1977" s="2" t="s">
        <v>9033</v>
      </c>
      <c r="G1977" s="2" t="s">
        <v>9034</v>
      </c>
      <c r="H1977" s="2" t="s">
        <v>9035</v>
      </c>
      <c r="I1977" s="2" t="s">
        <v>9036</v>
      </c>
      <c r="J1977" s="2" t="s">
        <v>1142</v>
      </c>
      <c r="K1977" s="2" t="s">
        <v>569</v>
      </c>
      <c r="L1977" s="3">
        <v>57.14</v>
      </c>
      <c r="M1977" s="3">
        <v>60</v>
      </c>
      <c r="N1977" s="3">
        <v>119.99</v>
      </c>
      <c r="O1977" s="2" t="s">
        <v>245</v>
      </c>
      <c r="P1977" s="2" t="s">
        <v>238</v>
      </c>
      <c r="Q1977" s="2" t="s">
        <v>239</v>
      </c>
      <c r="R1977" s="2" t="s">
        <v>233</v>
      </c>
      <c r="S1977" s="2" t="s">
        <v>9037</v>
      </c>
      <c r="T1977" s="2" t="s">
        <v>1481</v>
      </c>
      <c r="U1977" s="2" t="s">
        <v>475</v>
      </c>
      <c r="V1977" s="2" t="s">
        <v>1762</v>
      </c>
      <c r="W1977" s="2" t="s">
        <v>1056</v>
      </c>
      <c r="X1977" s="2" t="s">
        <v>2882</v>
      </c>
      <c r="Y1977" s="2" t="s">
        <v>5661</v>
      </c>
      <c r="Z1977" s="4">
        <v>276</v>
      </c>
      <c r="AA1977" s="4">
        <f>=ROUNDDOWN(14.5263157894737,0)</f>
      </c>
      <c r="AB1977" s="5">
        <v>19</v>
      </c>
      <c r="AC1977" s="2" t="s">
        <v>2902</v>
      </c>
      <c r="AD1977" s="4">
        <v>280</v>
      </c>
      <c r="AE1977" s="4">
        <v>280</v>
      </c>
      <c r="AF1977" s="6">
        <v>64</v>
      </c>
      <c r="AG1977" s="6"/>
      <c r="AH1977" s="7">
        <v>1</v>
      </c>
      <c r="AI1977" s="4"/>
      <c r="AJ1977" s="4">
        <f>=ROUNDDOWN({0},0)</f>
      </c>
      <c r="AK1977" s="5"/>
      <c r="AL1977" s="2" t="s">
        <v>233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233</v>
      </c>
      <c r="AW1977" s="8" t="s">
        <v>233</v>
      </c>
      <c r="AX1977" s="4" t="s">
        <v>233</v>
      </c>
      <c r="AY1977" s="8" t="s">
        <v>233</v>
      </c>
      <c r="AZ1977" s="7" t="s">
        <v>233</v>
      </c>
      <c r="BA1977" s="7" t="s">
        <v>233</v>
      </c>
      <c r="BB1977" s="7"/>
      <c r="BC1977" s="4" t="s">
        <v>233</v>
      </c>
      <c r="BD1977" s="8" t="s">
        <v>233</v>
      </c>
      <c r="BE1977" s="4" t="s">
        <v>233</v>
      </c>
      <c r="BF1977" s="8" t="s">
        <v>233</v>
      </c>
      <c r="BG1977" s="7" t="s">
        <v>233</v>
      </c>
      <c r="BH1977" s="7" t="s">
        <v>233</v>
      </c>
      <c r="BI1977" s="7"/>
      <c r="BJ1977" s="4">
        <v>2</v>
      </c>
      <c r="BK1977" s="8">
        <v>129.6</v>
      </c>
      <c r="BL1977" s="2" t="s">
        <v>2404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9040</v>
      </c>
      <c r="BV1977" s="2" t="s">
        <v>233</v>
      </c>
      <c r="BW1977" s="2" t="s">
        <v>233</v>
      </c>
      <c r="BX1977" s="2" t="s">
        <v>243</v>
      </c>
      <c r="BY1977" s="2" t="s">
        <v>280</v>
      </c>
      <c r="BZ1977" s="2" t="s">
        <v>245</v>
      </c>
      <c r="CA1977" s="2" t="s">
        <v>2564</v>
      </c>
      <c r="CB1977" s="2" t="s">
        <v>233</v>
      </c>
      <c r="CC1977" s="2" t="s">
        <v>246</v>
      </c>
      <c r="CD1977" s="2" t="s">
        <v>233</v>
      </c>
      <c r="CE1977" s="4">
        <v>276</v>
      </c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>
        <v>280</v>
      </c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  <c r="HG1977" s="4"/>
      <c r="HH1977" s="4"/>
      <c r="HI1977" s="4"/>
      <c r="HJ1977" s="4"/>
      <c r="HK1977" s="4"/>
      <c r="HL1977" s="4"/>
      <c r="HM1977" s="4"/>
      <c r="HN1977" s="4"/>
      <c r="HO1977" s="4"/>
      <c r="HP1977" s="4"/>
      <c r="HQ1977" s="4"/>
      <c r="HR1977" s="4"/>
    </row>
    <row r="1978">
      <c r="A1978" s="2" t="s">
        <v>9041</v>
      </c>
      <c r="B1978" s="2" t="s">
        <v>1066</v>
      </c>
      <c r="C1978" s="2" t="s">
        <v>947</v>
      </c>
      <c r="D1978" s="2" t="s">
        <v>1111</v>
      </c>
      <c r="E1978" s="2" t="s">
        <v>1112</v>
      </c>
      <c r="F1978" s="2" t="s">
        <v>9042</v>
      </c>
      <c r="G1978" s="2" t="s">
        <v>9042</v>
      </c>
      <c r="H1978" s="2" t="s">
        <v>9042</v>
      </c>
      <c r="I1978" s="2" t="s">
        <v>9043</v>
      </c>
      <c r="J1978" s="2" t="s">
        <v>892</v>
      </c>
      <c r="K1978" s="2" t="s">
        <v>569</v>
      </c>
      <c r="L1978" s="3">
        <v>256.5</v>
      </c>
      <c r="M1978" s="3">
        <v>269.32</v>
      </c>
      <c r="N1978" s="3">
        <v>539</v>
      </c>
      <c r="O1978" s="2" t="s">
        <v>245</v>
      </c>
      <c r="P1978" s="2" t="s">
        <v>393</v>
      </c>
      <c r="Q1978" s="2" t="s">
        <v>239</v>
      </c>
      <c r="R1978" s="2" t="s">
        <v>233</v>
      </c>
      <c r="S1978" s="2" t="s">
        <v>233</v>
      </c>
      <c r="T1978" s="2" t="s">
        <v>233</v>
      </c>
      <c r="U1978" s="2" t="s">
        <v>396</v>
      </c>
      <c r="V1978" s="2" t="s">
        <v>893</v>
      </c>
      <c r="W1978" s="2" t="s">
        <v>233</v>
      </c>
      <c r="X1978" s="2" t="s">
        <v>1664</v>
      </c>
      <c r="Y1978" s="2" t="s">
        <v>3020</v>
      </c>
      <c r="Z1978" s="4">
        <v>188</v>
      </c>
      <c r="AA1978" s="4">
        <f>=ROUNDDOWN(626.666666666667,0)</f>
      </c>
      <c r="AB1978" s="5">
        <v>0.3</v>
      </c>
      <c r="AC1978" s="2" t="s">
        <v>233</v>
      </c>
      <c r="AD1978" s="4"/>
      <c r="AE1978" s="4"/>
      <c r="AF1978" s="6">
        <v>74</v>
      </c>
      <c r="AG1978" s="6"/>
      <c r="AH1978" s="7">
        <v>1</v>
      </c>
      <c r="AI1978" s="4"/>
      <c r="AJ1978" s="4">
        <f>=ROUNDDOWN({0},0)</f>
      </c>
      <c r="AK1978" s="5"/>
      <c r="AL1978" s="2" t="s">
        <v>233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/>
      <c r="BD1978" s="8"/>
      <c r="BE1978" s="4"/>
      <c r="BF1978" s="8"/>
      <c r="BG1978" s="7"/>
      <c r="BH1978" s="7"/>
      <c r="BI1978" s="7"/>
      <c r="BJ1978" s="4">
        <v>4</v>
      </c>
      <c r="BK1978" s="8">
        <v>1236.05</v>
      </c>
      <c r="BL1978" s="2" t="s">
        <v>9044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9045</v>
      </c>
      <c r="BV1978" s="2" t="s">
        <v>233</v>
      </c>
      <c r="BW1978" s="2" t="s">
        <v>233</v>
      </c>
      <c r="BX1978" s="2" t="s">
        <v>233</v>
      </c>
      <c r="BY1978" s="2" t="s">
        <v>280</v>
      </c>
      <c r="BZ1978" s="2" t="s">
        <v>245</v>
      </c>
      <c r="CA1978" s="2" t="s">
        <v>9046</v>
      </c>
      <c r="CB1978" s="2" t="s">
        <v>9047</v>
      </c>
      <c r="CC1978" s="2" t="s">
        <v>246</v>
      </c>
      <c r="CD1978" s="2" t="s">
        <v>233</v>
      </c>
      <c r="CE1978" s="4"/>
      <c r="CF1978" s="4">
        <v>188</v>
      </c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/>
      <c r="GR1978" s="4"/>
      <c r="GS1978" s="4"/>
      <c r="GT1978" s="4"/>
      <c r="GU1978" s="4"/>
      <c r="GV1978" s="4"/>
      <c r="GW1978" s="4"/>
      <c r="GX1978" s="4"/>
      <c r="GY1978" s="4"/>
      <c r="GZ1978" s="4"/>
      <c r="HA1978" s="4"/>
      <c r="HB1978" s="4"/>
      <c r="HC1978" s="4"/>
      <c r="HD1978" s="4"/>
      <c r="HE1978" s="4"/>
      <c r="HF1978" s="4"/>
      <c r="HG1978" s="4"/>
      <c r="HH1978" s="4"/>
      <c r="HI1978" s="4"/>
      <c r="HJ1978" s="4"/>
      <c r="HK1978" s="4"/>
      <c r="HL1978" s="4"/>
      <c r="HM1978" s="4"/>
      <c r="HN1978" s="4"/>
      <c r="HO1978" s="4"/>
      <c r="HP1978" s="4"/>
      <c r="HQ1978" s="4"/>
      <c r="HR1978" s="4"/>
    </row>
    <row r="1979">
      <c r="A1979" s="2" t="s">
        <v>9048</v>
      </c>
      <c r="B1979" s="2" t="s">
        <v>1066</v>
      </c>
      <c r="C1979" s="2" t="s">
        <v>901</v>
      </c>
      <c r="D1979" s="2" t="s">
        <v>1067</v>
      </c>
      <c r="E1979" s="2" t="s">
        <v>2650</v>
      </c>
      <c r="F1979" s="2" t="s">
        <v>9049</v>
      </c>
      <c r="G1979" s="2" t="s">
        <v>9049</v>
      </c>
      <c r="H1979" s="2" t="s">
        <v>9049</v>
      </c>
      <c r="I1979" s="2" t="s">
        <v>9050</v>
      </c>
      <c r="J1979" s="2" t="s">
        <v>892</v>
      </c>
      <c r="K1979" s="2" t="s">
        <v>984</v>
      </c>
      <c r="L1979" s="3">
        <v>133.24</v>
      </c>
      <c r="M1979" s="3">
        <v>139.9</v>
      </c>
      <c r="N1979" s="3">
        <v>279</v>
      </c>
      <c r="O1979" s="2" t="s">
        <v>245</v>
      </c>
      <c r="P1979" s="2" t="s">
        <v>393</v>
      </c>
      <c r="Q1979" s="2" t="s">
        <v>239</v>
      </c>
      <c r="R1979" s="2" t="s">
        <v>233</v>
      </c>
      <c r="S1979" s="2" t="s">
        <v>233</v>
      </c>
      <c r="T1979" s="2" t="s">
        <v>233</v>
      </c>
      <c r="U1979" s="2" t="s">
        <v>396</v>
      </c>
      <c r="V1979" s="2" t="s">
        <v>893</v>
      </c>
      <c r="W1979" s="2" t="s">
        <v>275</v>
      </c>
      <c r="X1979" s="2" t="s">
        <v>894</v>
      </c>
      <c r="Y1979" s="2" t="s">
        <v>6659</v>
      </c>
      <c r="Z1979" s="4">
        <v>31</v>
      </c>
      <c r="AA1979" s="4">
        <f>=ROUNDDOWN(31,0)</f>
      </c>
      <c r="AB1979" s="5">
        <v>1</v>
      </c>
      <c r="AC1979" s="2" t="s">
        <v>1701</v>
      </c>
      <c r="AD1979" s="4">
        <v>70</v>
      </c>
      <c r="AE1979" s="4">
        <v>70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233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/>
      <c r="BD1979" s="8"/>
      <c r="BE1979" s="4"/>
      <c r="BF1979" s="8"/>
      <c r="BG1979" s="7"/>
      <c r="BH1979" s="7"/>
      <c r="BI1979" s="7"/>
      <c r="BJ1979" s="4">
        <v>2</v>
      </c>
      <c r="BK1979" s="8">
        <v>293.8</v>
      </c>
      <c r="BL1979" s="2" t="s">
        <v>2064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9051</v>
      </c>
      <c r="BV1979" s="2" t="s">
        <v>233</v>
      </c>
      <c r="BW1979" s="2" t="s">
        <v>233</v>
      </c>
      <c r="BX1979" s="2" t="s">
        <v>243</v>
      </c>
      <c r="BY1979" s="2" t="s">
        <v>280</v>
      </c>
      <c r="BZ1979" s="2" t="s">
        <v>245</v>
      </c>
      <c r="CA1979" s="2" t="s">
        <v>2062</v>
      </c>
      <c r="CB1979" s="2" t="s">
        <v>3021</v>
      </c>
      <c r="CC1979" s="2" t="s">
        <v>246</v>
      </c>
      <c r="CD1979" s="2" t="s">
        <v>233</v>
      </c>
      <c r="CE1979" s="4"/>
      <c r="CF1979" s="4">
        <v>31</v>
      </c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>
        <v>70</v>
      </c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/>
      <c r="GR1979" s="4"/>
      <c r="GS1979" s="4"/>
      <c r="GT1979" s="4"/>
      <c r="GU1979" s="4"/>
      <c r="GV1979" s="4"/>
      <c r="GW1979" s="4"/>
      <c r="GX1979" s="4"/>
      <c r="GY1979" s="4"/>
      <c r="GZ1979" s="4"/>
      <c r="HA1979" s="4"/>
      <c r="HB1979" s="4"/>
      <c r="HC1979" s="4"/>
      <c r="HD1979" s="4"/>
      <c r="HE1979" s="4"/>
      <c r="HF1979" s="4"/>
      <c r="HG1979" s="4"/>
      <c r="HH1979" s="4"/>
      <c r="HI1979" s="4"/>
      <c r="HJ1979" s="4"/>
      <c r="HK1979" s="4"/>
      <c r="HL1979" s="4"/>
      <c r="HM1979" s="4"/>
      <c r="HN1979" s="4"/>
      <c r="HO1979" s="4"/>
      <c r="HP1979" s="4"/>
      <c r="HQ1979" s="4"/>
      <c r="HR1979" s="4"/>
    </row>
    <row r="1980">
      <c r="A1980" s="2" t="s">
        <v>9052</v>
      </c>
      <c r="B1980" s="2" t="s">
        <v>1174</v>
      </c>
      <c r="C1980" s="2" t="s">
        <v>530</v>
      </c>
      <c r="D1980" s="2" t="s">
        <v>1175</v>
      </c>
      <c r="E1980" s="2" t="s">
        <v>3661</v>
      </c>
      <c r="F1980" s="2" t="s">
        <v>9053</v>
      </c>
      <c r="G1980" s="2" t="s">
        <v>9054</v>
      </c>
      <c r="H1980" s="2" t="s">
        <v>9055</v>
      </c>
      <c r="I1980" s="2" t="s">
        <v>9056</v>
      </c>
      <c r="J1980" s="2" t="s">
        <v>3666</v>
      </c>
      <c r="K1980" s="2" t="s">
        <v>255</v>
      </c>
      <c r="L1980" s="3">
        <v>35.1</v>
      </c>
      <c r="M1980" s="3">
        <v>36.86</v>
      </c>
      <c r="N1980" s="3">
        <v>76.99</v>
      </c>
      <c r="O1980" s="2" t="s">
        <v>245</v>
      </c>
      <c r="P1980" s="2" t="s">
        <v>311</v>
      </c>
      <c r="Q1980" s="2" t="s">
        <v>239</v>
      </c>
      <c r="R1980" s="2" t="s">
        <v>233</v>
      </c>
      <c r="S1980" s="2" t="s">
        <v>9057</v>
      </c>
      <c r="T1980" s="2" t="s">
        <v>395</v>
      </c>
      <c r="U1980" s="2" t="s">
        <v>396</v>
      </c>
      <c r="V1980" s="2" t="s">
        <v>241</v>
      </c>
      <c r="W1980" s="2" t="s">
        <v>275</v>
      </c>
      <c r="X1980" s="2" t="s">
        <v>397</v>
      </c>
      <c r="Y1980" s="2" t="s">
        <v>1817</v>
      </c>
      <c r="Z1980" s="4">
        <v>47</v>
      </c>
      <c r="AA1980" s="4">
        <f>=ROUNDDOWN(23.5,0)</f>
      </c>
      <c r="AB1980" s="5">
        <v>2</v>
      </c>
      <c r="AC1980" s="2" t="s">
        <v>233</v>
      </c>
      <c r="AD1980" s="4"/>
      <c r="AE1980" s="4"/>
      <c r="AF1980" s="6">
        <v>75</v>
      </c>
      <c r="AG1980" s="6"/>
      <c r="AH1980" s="7">
        <v>1</v>
      </c>
      <c r="AI1980" s="4"/>
      <c r="AJ1980" s="4">
        <f>=ROUNDDOWN({0},0)</f>
      </c>
      <c r="AK1980" s="5"/>
      <c r="AL1980" s="2" t="s">
        <v>233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233</v>
      </c>
      <c r="AW1980" s="8" t="s">
        <v>233</v>
      </c>
      <c r="AX1980" s="4" t="s">
        <v>233</v>
      </c>
      <c r="AY1980" s="8" t="s">
        <v>233</v>
      </c>
      <c r="AZ1980" s="7" t="s">
        <v>233</v>
      </c>
      <c r="BA1980" s="7" t="s">
        <v>233</v>
      </c>
      <c r="BB1980" s="7"/>
      <c r="BC1980" s="4" t="s">
        <v>233</v>
      </c>
      <c r="BD1980" s="8" t="s">
        <v>233</v>
      </c>
      <c r="BE1980" s="4" t="s">
        <v>233</v>
      </c>
      <c r="BF1980" s="8" t="s">
        <v>233</v>
      </c>
      <c r="BG1980" s="7" t="s">
        <v>233</v>
      </c>
      <c r="BH1980" s="7" t="s">
        <v>233</v>
      </c>
      <c r="BI1980" s="7"/>
      <c r="BJ1980" s="4">
        <v>7</v>
      </c>
      <c r="BK1980" s="8">
        <v>288.58</v>
      </c>
      <c r="BL1980" s="2" t="s">
        <v>8036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9058</v>
      </c>
      <c r="BV1980" s="2" t="s">
        <v>233</v>
      </c>
      <c r="BW1980" s="2" t="s">
        <v>233</v>
      </c>
      <c r="BX1980" s="2" t="s">
        <v>233</v>
      </c>
      <c r="BY1980" s="2" t="s">
        <v>280</v>
      </c>
      <c r="BZ1980" s="2" t="s">
        <v>245</v>
      </c>
      <c r="CA1980" s="2" t="s">
        <v>364</v>
      </c>
      <c r="CB1980" s="2" t="s">
        <v>7008</v>
      </c>
      <c r="CC1980" s="2" t="s">
        <v>246</v>
      </c>
      <c r="CD1980" s="2" t="s">
        <v>233</v>
      </c>
      <c r="CE1980" s="4">
        <v>47</v>
      </c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  <c r="HF1980" s="4"/>
      <c r="HG1980" s="4"/>
      <c r="HH1980" s="4"/>
      <c r="HI1980" s="4"/>
      <c r="HJ1980" s="4"/>
      <c r="HK1980" s="4"/>
      <c r="HL1980" s="4"/>
      <c r="HM1980" s="4"/>
      <c r="HN1980" s="4"/>
      <c r="HO1980" s="4"/>
      <c r="HP1980" s="4"/>
      <c r="HQ1980" s="4"/>
      <c r="HR1980" s="4"/>
    </row>
    <row r="1981">
      <c r="A1981" s="2" t="s">
        <v>9059</v>
      </c>
      <c r="B1981" s="2" t="s">
        <v>1174</v>
      </c>
      <c r="C1981" s="2" t="s">
        <v>530</v>
      </c>
      <c r="D1981" s="2" t="s">
        <v>1175</v>
      </c>
      <c r="E1981" s="2" t="s">
        <v>3661</v>
      </c>
      <c r="F1981" s="2" t="s">
        <v>9053</v>
      </c>
      <c r="G1981" s="2" t="s">
        <v>9054</v>
      </c>
      <c r="H1981" s="2" t="s">
        <v>9055</v>
      </c>
      <c r="I1981" s="2" t="s">
        <v>9056</v>
      </c>
      <c r="J1981" s="2" t="s">
        <v>3671</v>
      </c>
      <c r="K1981" s="2" t="s">
        <v>255</v>
      </c>
      <c r="L1981" s="3">
        <v>38</v>
      </c>
      <c r="M1981" s="3">
        <v>39.9</v>
      </c>
      <c r="N1981" s="3">
        <v>81.99</v>
      </c>
      <c r="O1981" s="2" t="s">
        <v>245</v>
      </c>
      <c r="P1981" s="2" t="s">
        <v>311</v>
      </c>
      <c r="Q1981" s="2" t="s">
        <v>239</v>
      </c>
      <c r="R1981" s="2" t="s">
        <v>233</v>
      </c>
      <c r="S1981" s="2" t="s">
        <v>9057</v>
      </c>
      <c r="T1981" s="2" t="s">
        <v>395</v>
      </c>
      <c r="U1981" s="2" t="s">
        <v>396</v>
      </c>
      <c r="V1981" s="2" t="s">
        <v>241</v>
      </c>
      <c r="W1981" s="2" t="s">
        <v>275</v>
      </c>
      <c r="X1981" s="2" t="s">
        <v>397</v>
      </c>
      <c r="Y1981" s="2" t="s">
        <v>1817</v>
      </c>
      <c r="Z1981" s="4">
        <v>25</v>
      </c>
      <c r="AA1981" s="4">
        <f>=ROUNDDOWN(50,0)</f>
      </c>
      <c r="AB1981" s="5">
        <v>0.5</v>
      </c>
      <c r="AC1981" s="2" t="s">
        <v>233</v>
      </c>
      <c r="AD1981" s="4"/>
      <c r="AE1981" s="4"/>
      <c r="AF1981" s="6">
        <v>75</v>
      </c>
      <c r="AG1981" s="6"/>
      <c r="AH1981" s="7">
        <v>1</v>
      </c>
      <c r="AI1981" s="4"/>
      <c r="AJ1981" s="4">
        <f>=ROUNDDOWN({0},0)</f>
      </c>
      <c r="AK1981" s="5"/>
      <c r="AL1981" s="2" t="s">
        <v>233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 t="s">
        <v>233</v>
      </c>
      <c r="AW1981" s="8" t="s">
        <v>233</v>
      </c>
      <c r="AX1981" s="4" t="s">
        <v>233</v>
      </c>
      <c r="AY1981" s="8" t="s">
        <v>233</v>
      </c>
      <c r="AZ1981" s="7" t="s">
        <v>233</v>
      </c>
      <c r="BA1981" s="7" t="s">
        <v>233</v>
      </c>
      <c r="BB1981" s="7"/>
      <c r="BC1981" s="4" t="s">
        <v>233</v>
      </c>
      <c r="BD1981" s="8" t="s">
        <v>233</v>
      </c>
      <c r="BE1981" s="4" t="s">
        <v>233</v>
      </c>
      <c r="BF1981" s="8" t="s">
        <v>233</v>
      </c>
      <c r="BG1981" s="7" t="s">
        <v>233</v>
      </c>
      <c r="BH1981" s="7" t="s">
        <v>233</v>
      </c>
      <c r="BI1981" s="7"/>
      <c r="BJ1981" s="4">
        <v>2</v>
      </c>
      <c r="BK1981" s="8">
        <v>63.84</v>
      </c>
      <c r="BL1981" s="2" t="s">
        <v>662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9060</v>
      </c>
      <c r="BV1981" s="2" t="s">
        <v>233</v>
      </c>
      <c r="BW1981" s="2" t="s">
        <v>233</v>
      </c>
      <c r="BX1981" s="2" t="s">
        <v>233</v>
      </c>
      <c r="BY1981" s="2" t="s">
        <v>280</v>
      </c>
      <c r="BZ1981" s="2" t="s">
        <v>245</v>
      </c>
      <c r="CA1981" s="2" t="s">
        <v>364</v>
      </c>
      <c r="CB1981" s="2" t="s">
        <v>2796</v>
      </c>
      <c r="CC1981" s="2" t="s">
        <v>246</v>
      </c>
      <c r="CD1981" s="2" t="s">
        <v>233</v>
      </c>
      <c r="CE1981" s="4">
        <v>25</v>
      </c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/>
      <c r="GR1981" s="4"/>
      <c r="GS1981" s="4"/>
      <c r="GT1981" s="4"/>
      <c r="GU1981" s="4"/>
      <c r="GV1981" s="4"/>
      <c r="GW1981" s="4"/>
      <c r="GX1981" s="4"/>
      <c r="GY1981" s="4"/>
      <c r="GZ1981" s="4"/>
      <c r="HA1981" s="4"/>
      <c r="HB1981" s="4"/>
      <c r="HC1981" s="4"/>
      <c r="HD1981" s="4"/>
      <c r="HE1981" s="4"/>
      <c r="HF1981" s="4"/>
      <c r="HG1981" s="4"/>
      <c r="HH1981" s="4"/>
      <c r="HI1981" s="4"/>
      <c r="HJ1981" s="4"/>
      <c r="HK1981" s="4"/>
      <c r="HL1981" s="4"/>
      <c r="HM1981" s="4"/>
      <c r="HN1981" s="4"/>
      <c r="HO1981" s="4"/>
      <c r="HP1981" s="4"/>
      <c r="HQ1981" s="4"/>
      <c r="HR1981" s="4"/>
    </row>
    <row r="1982">
      <c r="A1982" s="2" t="s">
        <v>9061</v>
      </c>
      <c r="B1982" s="2" t="s">
        <v>1174</v>
      </c>
      <c r="C1982" s="2" t="s">
        <v>530</v>
      </c>
      <c r="D1982" s="2" t="s">
        <v>1175</v>
      </c>
      <c r="E1982" s="2" t="s">
        <v>3661</v>
      </c>
      <c r="F1982" s="2" t="s">
        <v>9053</v>
      </c>
      <c r="G1982" s="2" t="s">
        <v>9054</v>
      </c>
      <c r="H1982" s="2" t="s">
        <v>9055</v>
      </c>
      <c r="I1982" s="2" t="s">
        <v>9056</v>
      </c>
      <c r="J1982" s="2" t="s">
        <v>3676</v>
      </c>
      <c r="K1982" s="2" t="s">
        <v>255</v>
      </c>
      <c r="L1982" s="3">
        <v>43.5</v>
      </c>
      <c r="M1982" s="3">
        <v>45.68</v>
      </c>
      <c r="N1982" s="3">
        <v>91.99</v>
      </c>
      <c r="O1982" s="2" t="s">
        <v>245</v>
      </c>
      <c r="P1982" s="2" t="s">
        <v>311</v>
      </c>
      <c r="Q1982" s="2" t="s">
        <v>239</v>
      </c>
      <c r="R1982" s="2" t="s">
        <v>233</v>
      </c>
      <c r="S1982" s="2" t="s">
        <v>9057</v>
      </c>
      <c r="T1982" s="2" t="s">
        <v>395</v>
      </c>
      <c r="U1982" s="2" t="s">
        <v>396</v>
      </c>
      <c r="V1982" s="2" t="s">
        <v>241</v>
      </c>
      <c r="W1982" s="2" t="s">
        <v>275</v>
      </c>
      <c r="X1982" s="2" t="s">
        <v>397</v>
      </c>
      <c r="Y1982" s="2" t="s">
        <v>1817</v>
      </c>
      <c r="Z1982" s="4">
        <v>66</v>
      </c>
      <c r="AA1982" s="4">
        <f>=ROUNDDOWN(66,0)</f>
      </c>
      <c r="AB1982" s="5">
        <v>1</v>
      </c>
      <c r="AC1982" s="2" t="s">
        <v>233</v>
      </c>
      <c r="AD1982" s="4"/>
      <c r="AE1982" s="4"/>
      <c r="AF1982" s="6">
        <v>75</v>
      </c>
      <c r="AG1982" s="6"/>
      <c r="AH1982" s="7">
        <v>1</v>
      </c>
      <c r="AI1982" s="4"/>
      <c r="AJ1982" s="4">
        <f>=ROUNDDOWN({0},0)</f>
      </c>
      <c r="AK1982" s="5"/>
      <c r="AL1982" s="2" t="s">
        <v>233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233</v>
      </c>
      <c r="AW1982" s="8" t="s">
        <v>233</v>
      </c>
      <c r="AX1982" s="4" t="s">
        <v>233</v>
      </c>
      <c r="AY1982" s="8" t="s">
        <v>233</v>
      </c>
      <c r="AZ1982" s="7" t="s">
        <v>233</v>
      </c>
      <c r="BA1982" s="7" t="s">
        <v>233</v>
      </c>
      <c r="BB1982" s="7"/>
      <c r="BC1982" s="4" t="s">
        <v>233</v>
      </c>
      <c r="BD1982" s="8" t="s">
        <v>233</v>
      </c>
      <c r="BE1982" s="4" t="s">
        <v>233</v>
      </c>
      <c r="BF1982" s="8" t="s">
        <v>233</v>
      </c>
      <c r="BG1982" s="7" t="s">
        <v>233</v>
      </c>
      <c r="BH1982" s="7" t="s">
        <v>233</v>
      </c>
      <c r="BI1982" s="7"/>
      <c r="BJ1982" s="4">
        <v>4</v>
      </c>
      <c r="BK1982" s="8">
        <v>187.28</v>
      </c>
      <c r="BL1982" s="2" t="s">
        <v>1588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9062</v>
      </c>
      <c r="BV1982" s="2" t="s">
        <v>233</v>
      </c>
      <c r="BW1982" s="2" t="s">
        <v>233</v>
      </c>
      <c r="BX1982" s="2" t="s">
        <v>233</v>
      </c>
      <c r="BY1982" s="2" t="s">
        <v>280</v>
      </c>
      <c r="BZ1982" s="2" t="s">
        <v>245</v>
      </c>
      <c r="CA1982" s="2" t="s">
        <v>364</v>
      </c>
      <c r="CB1982" s="2" t="s">
        <v>233</v>
      </c>
      <c r="CC1982" s="2" t="s">
        <v>246</v>
      </c>
      <c r="CD1982" s="2" t="s">
        <v>233</v>
      </c>
      <c r="CE1982" s="4">
        <v>66</v>
      </c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/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4"/>
      <c r="HE1982" s="4"/>
      <c r="HF1982" s="4"/>
      <c r="HG1982" s="4"/>
      <c r="HH1982" s="4"/>
      <c r="HI1982" s="4"/>
      <c r="HJ1982" s="4"/>
      <c r="HK1982" s="4"/>
      <c r="HL1982" s="4"/>
      <c r="HM1982" s="4"/>
      <c r="HN1982" s="4"/>
      <c r="HO1982" s="4"/>
      <c r="HP1982" s="4"/>
      <c r="HQ1982" s="4"/>
      <c r="HR1982" s="4"/>
    </row>
    <row r="1983">
      <c r="A1983" s="2" t="s">
        <v>9063</v>
      </c>
      <c r="B1983" s="2" t="s">
        <v>1174</v>
      </c>
      <c r="C1983" s="2" t="s">
        <v>530</v>
      </c>
      <c r="D1983" s="2" t="s">
        <v>1175</v>
      </c>
      <c r="E1983" s="2" t="s">
        <v>3661</v>
      </c>
      <c r="F1983" s="2" t="s">
        <v>9053</v>
      </c>
      <c r="G1983" s="2" t="s">
        <v>9054</v>
      </c>
      <c r="H1983" s="2" t="s">
        <v>9055</v>
      </c>
      <c r="I1983" s="2" t="s">
        <v>9056</v>
      </c>
      <c r="J1983" s="2" t="s">
        <v>3700</v>
      </c>
      <c r="K1983" s="2" t="s">
        <v>255</v>
      </c>
      <c r="L1983" s="3">
        <v>44.8</v>
      </c>
      <c r="M1983" s="3">
        <v>47.04</v>
      </c>
      <c r="N1983" s="3">
        <v>93.99</v>
      </c>
      <c r="O1983" s="2" t="s">
        <v>245</v>
      </c>
      <c r="P1983" s="2" t="s">
        <v>311</v>
      </c>
      <c r="Q1983" s="2" t="s">
        <v>239</v>
      </c>
      <c r="R1983" s="2" t="s">
        <v>233</v>
      </c>
      <c r="S1983" s="2" t="s">
        <v>9057</v>
      </c>
      <c r="T1983" s="2" t="s">
        <v>395</v>
      </c>
      <c r="U1983" s="2" t="s">
        <v>396</v>
      </c>
      <c r="V1983" s="2" t="s">
        <v>241</v>
      </c>
      <c r="W1983" s="2" t="s">
        <v>275</v>
      </c>
      <c r="X1983" s="2" t="s">
        <v>397</v>
      </c>
      <c r="Y1983" s="2" t="s">
        <v>1817</v>
      </c>
      <c r="Z1983" s="4">
        <v>54</v>
      </c>
      <c r="AA1983" s="4">
        <f>=ROUNDDOWN(270,0)</f>
      </c>
      <c r="AB1983" s="5">
        <v>0.2</v>
      </c>
      <c r="AC1983" s="2" t="s">
        <v>233</v>
      </c>
      <c r="AD1983" s="4"/>
      <c r="AE1983" s="4"/>
      <c r="AF1983" s="6">
        <v>75</v>
      </c>
      <c r="AG1983" s="6"/>
      <c r="AH1983" s="7">
        <v>1</v>
      </c>
      <c r="AI1983" s="4"/>
      <c r="AJ1983" s="4">
        <f>=ROUNDDOWN({0},0)</f>
      </c>
      <c r="AK1983" s="5"/>
      <c r="AL1983" s="2" t="s">
        <v>233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 t="s">
        <v>233</v>
      </c>
      <c r="AW1983" s="8" t="s">
        <v>233</v>
      </c>
      <c r="AX1983" s="4" t="s">
        <v>233</v>
      </c>
      <c r="AY1983" s="8" t="s">
        <v>233</v>
      </c>
      <c r="AZ1983" s="7" t="s">
        <v>233</v>
      </c>
      <c r="BA1983" s="7" t="s">
        <v>233</v>
      </c>
      <c r="BB1983" s="7"/>
      <c r="BC1983" s="4" t="s">
        <v>233</v>
      </c>
      <c r="BD1983" s="8" t="s">
        <v>233</v>
      </c>
      <c r="BE1983" s="4" t="s">
        <v>233</v>
      </c>
      <c r="BF1983" s="8" t="s">
        <v>233</v>
      </c>
      <c r="BG1983" s="7" t="s">
        <v>233</v>
      </c>
      <c r="BH1983" s="7" t="s">
        <v>233</v>
      </c>
      <c r="BI1983" s="7"/>
      <c r="BJ1983" s="4"/>
      <c r="BK1983" s="8"/>
      <c r="BL1983" s="2" t="s">
        <v>1592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9064</v>
      </c>
      <c r="BV1983" s="2" t="s">
        <v>233</v>
      </c>
      <c r="BW1983" s="2" t="s">
        <v>233</v>
      </c>
      <c r="BX1983" s="2" t="s">
        <v>233</v>
      </c>
      <c r="BY1983" s="2" t="s">
        <v>280</v>
      </c>
      <c r="BZ1983" s="2" t="s">
        <v>245</v>
      </c>
      <c r="CA1983" s="2" t="s">
        <v>364</v>
      </c>
      <c r="CB1983" s="2" t="s">
        <v>233</v>
      </c>
      <c r="CC1983" s="2" t="s">
        <v>246</v>
      </c>
      <c r="CD1983" s="2" t="s">
        <v>233</v>
      </c>
      <c r="CE1983" s="4">
        <v>54</v>
      </c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4"/>
      <c r="HE1983" s="4"/>
      <c r="HF1983" s="4"/>
      <c r="HG1983" s="4"/>
      <c r="HH1983" s="4"/>
      <c r="HI1983" s="4"/>
      <c r="HJ1983" s="4"/>
      <c r="HK1983" s="4"/>
      <c r="HL1983" s="4"/>
      <c r="HM1983" s="4"/>
      <c r="HN1983" s="4"/>
      <c r="HO1983" s="4"/>
      <c r="HP1983" s="4"/>
      <c r="HQ1983" s="4"/>
      <c r="HR1983" s="4"/>
    </row>
    <row r="1984">
      <c r="A1984" s="2" t="s">
        <v>9065</v>
      </c>
      <c r="B1984" s="2" t="s">
        <v>1174</v>
      </c>
      <c r="C1984" s="2" t="s">
        <v>530</v>
      </c>
      <c r="D1984" s="2" t="s">
        <v>1175</v>
      </c>
      <c r="E1984" s="2" t="s">
        <v>3661</v>
      </c>
      <c r="F1984" s="2" t="s">
        <v>9053</v>
      </c>
      <c r="G1984" s="2" t="s">
        <v>9054</v>
      </c>
      <c r="H1984" s="2" t="s">
        <v>9055</v>
      </c>
      <c r="I1984" s="2" t="s">
        <v>9056</v>
      </c>
      <c r="J1984" s="2" t="s">
        <v>3671</v>
      </c>
      <c r="K1984" s="2" t="s">
        <v>1537</v>
      </c>
      <c r="L1984" s="3">
        <v>38</v>
      </c>
      <c r="M1984" s="3">
        <v>39.9</v>
      </c>
      <c r="N1984" s="3">
        <v>81.99</v>
      </c>
      <c r="O1984" s="2" t="s">
        <v>245</v>
      </c>
      <c r="P1984" s="2" t="s">
        <v>311</v>
      </c>
      <c r="Q1984" s="2" t="s">
        <v>239</v>
      </c>
      <c r="R1984" s="2" t="s">
        <v>233</v>
      </c>
      <c r="S1984" s="2" t="s">
        <v>9066</v>
      </c>
      <c r="T1984" s="2" t="s">
        <v>395</v>
      </c>
      <c r="U1984" s="2" t="s">
        <v>396</v>
      </c>
      <c r="V1984" s="2" t="s">
        <v>241</v>
      </c>
      <c r="W1984" s="2" t="s">
        <v>275</v>
      </c>
      <c r="X1984" s="2" t="s">
        <v>397</v>
      </c>
      <c r="Y1984" s="2" t="s">
        <v>1817</v>
      </c>
      <c r="Z1984" s="4">
        <v>2</v>
      </c>
      <c r="AA1984" s="4">
        <f>=ROUNDDOWN(0.8,0)</f>
      </c>
      <c r="AB1984" s="5">
        <v>2.5</v>
      </c>
      <c r="AC1984" s="2" t="s">
        <v>233</v>
      </c>
      <c r="AD1984" s="4"/>
      <c r="AE1984" s="4"/>
      <c r="AF1984" s="6">
        <v>75</v>
      </c>
      <c r="AG1984" s="6"/>
      <c r="AH1984" s="7">
        <v>0.9677</v>
      </c>
      <c r="AI1984" s="4"/>
      <c r="AJ1984" s="4">
        <f>=ROUNDDOWN({0},0)</f>
      </c>
      <c r="AK1984" s="5"/>
      <c r="AL1984" s="2" t="s">
        <v>233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 t="s">
        <v>233</v>
      </c>
      <c r="AW1984" s="8" t="s">
        <v>233</v>
      </c>
      <c r="AX1984" s="4" t="s">
        <v>233</v>
      </c>
      <c r="AY1984" s="8" t="s">
        <v>233</v>
      </c>
      <c r="AZ1984" s="7" t="s">
        <v>233</v>
      </c>
      <c r="BA1984" s="7" t="s">
        <v>233</v>
      </c>
      <c r="BB1984" s="7"/>
      <c r="BC1984" s="4" t="s">
        <v>233</v>
      </c>
      <c r="BD1984" s="8" t="s">
        <v>233</v>
      </c>
      <c r="BE1984" s="4" t="s">
        <v>233</v>
      </c>
      <c r="BF1984" s="8" t="s">
        <v>233</v>
      </c>
      <c r="BG1984" s="7" t="s">
        <v>233</v>
      </c>
      <c r="BH1984" s="7" t="s">
        <v>233</v>
      </c>
      <c r="BI1984" s="7"/>
      <c r="BJ1984" s="4">
        <v>4</v>
      </c>
      <c r="BK1984" s="8">
        <v>175.97</v>
      </c>
      <c r="BL1984" s="2" t="s">
        <v>5581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9067</v>
      </c>
      <c r="BV1984" s="2" t="s">
        <v>233</v>
      </c>
      <c r="BW1984" s="2" t="s">
        <v>233</v>
      </c>
      <c r="BX1984" s="2" t="s">
        <v>233</v>
      </c>
      <c r="BY1984" s="2" t="s">
        <v>280</v>
      </c>
      <c r="BZ1984" s="2" t="s">
        <v>245</v>
      </c>
      <c r="CA1984" s="2" t="s">
        <v>364</v>
      </c>
      <c r="CB1984" s="2" t="s">
        <v>233</v>
      </c>
      <c r="CC1984" s="2" t="s">
        <v>246</v>
      </c>
      <c r="CD1984" s="2" t="s">
        <v>233</v>
      </c>
      <c r="CE1984" s="4">
        <v>2</v>
      </c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/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/>
      <c r="HC1984" s="4"/>
      <c r="HD1984" s="4"/>
      <c r="HE1984" s="4"/>
      <c r="HF1984" s="4"/>
      <c r="HG1984" s="4"/>
      <c r="HH1984" s="4"/>
      <c r="HI1984" s="4"/>
      <c r="HJ1984" s="4"/>
      <c r="HK1984" s="4"/>
      <c r="HL1984" s="4"/>
      <c r="HM1984" s="4"/>
      <c r="HN1984" s="4"/>
      <c r="HO1984" s="4"/>
      <c r="HP1984" s="4"/>
      <c r="HQ1984" s="4"/>
      <c r="HR1984" s="4"/>
    </row>
    <row r="1985">
      <c r="A1985" s="2" t="s">
        <v>9068</v>
      </c>
      <c r="B1985" s="2" t="s">
        <v>1174</v>
      </c>
      <c r="C1985" s="2" t="s">
        <v>530</v>
      </c>
      <c r="D1985" s="2" t="s">
        <v>1175</v>
      </c>
      <c r="E1985" s="2" t="s">
        <v>3661</v>
      </c>
      <c r="F1985" s="2" t="s">
        <v>9053</v>
      </c>
      <c r="G1985" s="2" t="s">
        <v>9054</v>
      </c>
      <c r="H1985" s="2" t="s">
        <v>9055</v>
      </c>
      <c r="I1985" s="2" t="s">
        <v>9056</v>
      </c>
      <c r="J1985" s="2" t="s">
        <v>3676</v>
      </c>
      <c r="K1985" s="2" t="s">
        <v>1537</v>
      </c>
      <c r="L1985" s="3">
        <v>43.5</v>
      </c>
      <c r="M1985" s="3">
        <v>45.68</v>
      </c>
      <c r="N1985" s="3">
        <v>91.99</v>
      </c>
      <c r="O1985" s="2" t="s">
        <v>245</v>
      </c>
      <c r="P1985" s="2" t="s">
        <v>311</v>
      </c>
      <c r="Q1985" s="2" t="s">
        <v>239</v>
      </c>
      <c r="R1985" s="2" t="s">
        <v>233</v>
      </c>
      <c r="S1985" s="2" t="s">
        <v>9066</v>
      </c>
      <c r="T1985" s="2" t="s">
        <v>395</v>
      </c>
      <c r="U1985" s="2" t="s">
        <v>396</v>
      </c>
      <c r="V1985" s="2" t="s">
        <v>241</v>
      </c>
      <c r="W1985" s="2" t="s">
        <v>275</v>
      </c>
      <c r="X1985" s="2" t="s">
        <v>397</v>
      </c>
      <c r="Y1985" s="2" t="s">
        <v>1817</v>
      </c>
      <c r="Z1985" s="4">
        <v>47</v>
      </c>
      <c r="AA1985" s="4">
        <f>=ROUNDDOWN(47,0)</f>
      </c>
      <c r="AB1985" s="5">
        <v>1</v>
      </c>
      <c r="AC1985" s="2" t="s">
        <v>233</v>
      </c>
      <c r="AD1985" s="4"/>
      <c r="AE1985" s="4"/>
      <c r="AF1985" s="6">
        <v>75</v>
      </c>
      <c r="AG1985" s="6"/>
      <c r="AH1985" s="7">
        <v>1</v>
      </c>
      <c r="AI1985" s="4"/>
      <c r="AJ1985" s="4">
        <f>=ROUNDDOWN({0},0)</f>
      </c>
      <c r="AK1985" s="5"/>
      <c r="AL1985" s="2" t="s">
        <v>233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233</v>
      </c>
      <c r="AW1985" s="8" t="s">
        <v>233</v>
      </c>
      <c r="AX1985" s="4" t="s">
        <v>233</v>
      </c>
      <c r="AY1985" s="8" t="s">
        <v>233</v>
      </c>
      <c r="AZ1985" s="7" t="s">
        <v>233</v>
      </c>
      <c r="BA1985" s="7" t="s">
        <v>233</v>
      </c>
      <c r="BB1985" s="7"/>
      <c r="BC1985" s="4" t="s">
        <v>233</v>
      </c>
      <c r="BD1985" s="8" t="s">
        <v>233</v>
      </c>
      <c r="BE1985" s="4" t="s">
        <v>233</v>
      </c>
      <c r="BF1985" s="8" t="s">
        <v>233</v>
      </c>
      <c r="BG1985" s="7" t="s">
        <v>233</v>
      </c>
      <c r="BH1985" s="7" t="s">
        <v>233</v>
      </c>
      <c r="BI1985" s="7"/>
      <c r="BJ1985" s="4"/>
      <c r="BK1985" s="8"/>
      <c r="BL1985" s="2" t="s">
        <v>233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9069</v>
      </c>
      <c r="BV1985" s="2" t="s">
        <v>233</v>
      </c>
      <c r="BW1985" s="2" t="s">
        <v>233</v>
      </c>
      <c r="BX1985" s="2" t="s">
        <v>233</v>
      </c>
      <c r="BY1985" s="2" t="s">
        <v>280</v>
      </c>
      <c r="BZ1985" s="2" t="s">
        <v>245</v>
      </c>
      <c r="CA1985" s="2" t="s">
        <v>364</v>
      </c>
      <c r="CB1985" s="2" t="s">
        <v>9070</v>
      </c>
      <c r="CC1985" s="2" t="s">
        <v>246</v>
      </c>
      <c r="CD1985" s="2" t="s">
        <v>233</v>
      </c>
      <c r="CE1985" s="4">
        <v>47</v>
      </c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4"/>
      <c r="HE1985" s="4"/>
      <c r="HF1985" s="4"/>
      <c r="HG1985" s="4"/>
      <c r="HH1985" s="4"/>
      <c r="HI1985" s="4"/>
      <c r="HJ1985" s="4"/>
      <c r="HK1985" s="4"/>
      <c r="HL1985" s="4"/>
      <c r="HM1985" s="4"/>
      <c r="HN1985" s="4"/>
      <c r="HO1985" s="4"/>
      <c r="HP1985" s="4"/>
      <c r="HQ1985" s="4"/>
      <c r="HR1985" s="4"/>
    </row>
    <row r="1986">
      <c r="A1986" s="2" t="s">
        <v>9071</v>
      </c>
      <c r="B1986" s="2" t="s">
        <v>1242</v>
      </c>
      <c r="C1986" s="2" t="s">
        <v>1157</v>
      </c>
      <c r="D1986" s="2" t="s">
        <v>1862</v>
      </c>
      <c r="E1986" s="2" t="s">
        <v>7849</v>
      </c>
      <c r="F1986" s="2" t="s">
        <v>9072</v>
      </c>
      <c r="G1986" s="2" t="s">
        <v>9073</v>
      </c>
      <c r="H1986" s="2" t="s">
        <v>9074</v>
      </c>
      <c r="I1986" s="2" t="s">
        <v>9075</v>
      </c>
      <c r="J1986" s="2" t="s">
        <v>981</v>
      </c>
      <c r="K1986" s="2" t="s">
        <v>582</v>
      </c>
      <c r="L1986" s="3">
        <v>21.6</v>
      </c>
      <c r="M1986" s="3">
        <v>22.68</v>
      </c>
      <c r="N1986" s="3">
        <v>59.99</v>
      </c>
      <c r="O1986" s="2" t="s">
        <v>245</v>
      </c>
      <c r="P1986" s="2" t="s">
        <v>272</v>
      </c>
      <c r="Q1986" s="2" t="s">
        <v>239</v>
      </c>
      <c r="R1986" s="2" t="s">
        <v>233</v>
      </c>
      <c r="S1986" s="2" t="s">
        <v>9076</v>
      </c>
      <c r="T1986" s="2" t="s">
        <v>233</v>
      </c>
      <c r="U1986" s="2" t="s">
        <v>475</v>
      </c>
      <c r="V1986" s="2" t="s">
        <v>241</v>
      </c>
      <c r="W1986" s="2" t="s">
        <v>275</v>
      </c>
      <c r="X1986" s="2" t="s">
        <v>1813</v>
      </c>
      <c r="Y1986" s="2" t="s">
        <v>7719</v>
      </c>
      <c r="Z1986" s="4">
        <v>589</v>
      </c>
      <c r="AA1986" s="4">
        <f>=ROUNDDOWN(49.0833333333333,0)</f>
      </c>
      <c r="AB1986" s="5">
        <v>12</v>
      </c>
      <c r="AC1986" s="2" t="s">
        <v>233</v>
      </c>
      <c r="AD1986" s="4"/>
      <c r="AE1986" s="4"/>
      <c r="AF1986" s="6">
        <v>65</v>
      </c>
      <c r="AG1986" s="6">
        <v>48</v>
      </c>
      <c r="AH1986" s="7">
        <v>1</v>
      </c>
      <c r="AI1986" s="4"/>
      <c r="AJ1986" s="4">
        <f>=ROUNDDOWN({0},0)</f>
      </c>
      <c r="AK1986" s="5"/>
      <c r="AL1986" s="2" t="s">
        <v>233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/>
      <c r="BD1986" s="8"/>
      <c r="BE1986" s="4"/>
      <c r="BF1986" s="8"/>
      <c r="BG1986" s="7"/>
      <c r="BH1986" s="7"/>
      <c r="BI1986" s="7"/>
      <c r="BJ1986" s="4">
        <v>53</v>
      </c>
      <c r="BK1986" s="8">
        <v>1105.59</v>
      </c>
      <c r="BL1986" s="2" t="s">
        <v>9077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9078</v>
      </c>
      <c r="BV1986" s="2" t="s">
        <v>233</v>
      </c>
      <c r="BW1986" s="2" t="s">
        <v>233</v>
      </c>
      <c r="BX1986" s="2" t="s">
        <v>233</v>
      </c>
      <c r="BY1986" s="2" t="s">
        <v>280</v>
      </c>
      <c r="BZ1986" s="2" t="s">
        <v>245</v>
      </c>
      <c r="CA1986" s="2" t="s">
        <v>6326</v>
      </c>
      <c r="CB1986" s="2" t="s">
        <v>9079</v>
      </c>
      <c r="CC1986" s="2" t="s">
        <v>246</v>
      </c>
      <c r="CD1986" s="2" t="s">
        <v>233</v>
      </c>
      <c r="CE1986" s="4">
        <v>435</v>
      </c>
      <c r="CF1986" s="4"/>
      <c r="CG1986" s="4"/>
      <c r="CH1986" s="4"/>
      <c r="CI1986" s="4">
        <v>154</v>
      </c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  <c r="GL1986" s="4"/>
      <c r="GM1986" s="4"/>
      <c r="GN1986" s="4"/>
      <c r="GO1986" s="4"/>
      <c r="GP1986" s="4"/>
      <c r="GQ1986" s="4"/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/>
      <c r="HC1986" s="4"/>
      <c r="HD1986" s="4"/>
      <c r="HE1986" s="4"/>
      <c r="HF1986" s="4"/>
      <c r="HG1986" s="4"/>
      <c r="HH1986" s="4"/>
      <c r="HI1986" s="4"/>
      <c r="HJ1986" s="4"/>
      <c r="HK1986" s="4"/>
      <c r="HL1986" s="4"/>
      <c r="HM1986" s="4"/>
      <c r="HN1986" s="4"/>
      <c r="HO1986" s="4"/>
      <c r="HP1986" s="4"/>
      <c r="HQ1986" s="4"/>
      <c r="HR1986" s="4"/>
    </row>
    <row r="1987">
      <c r="A1987" s="2" t="s">
        <v>9080</v>
      </c>
      <c r="B1987" s="2" t="s">
        <v>333</v>
      </c>
      <c r="C1987" s="2" t="s">
        <v>701</v>
      </c>
      <c r="D1987" s="2" t="s">
        <v>335</v>
      </c>
      <c r="E1987" s="2" t="s">
        <v>336</v>
      </c>
      <c r="F1987" s="2" t="s">
        <v>9081</v>
      </c>
      <c r="G1987" s="2" t="s">
        <v>9081</v>
      </c>
      <c r="H1987" s="2" t="s">
        <v>9081</v>
      </c>
      <c r="I1987" s="2" t="s">
        <v>9082</v>
      </c>
      <c r="J1987" s="2" t="s">
        <v>348</v>
      </c>
      <c r="K1987" s="2" t="s">
        <v>9083</v>
      </c>
      <c r="L1987" s="3">
        <v>25.85</v>
      </c>
      <c r="M1987" s="3">
        <v>27.14</v>
      </c>
      <c r="N1987" s="3">
        <v>55.99</v>
      </c>
      <c r="O1987" s="2" t="s">
        <v>245</v>
      </c>
      <c r="P1987" s="2" t="s">
        <v>1366</v>
      </c>
      <c r="Q1987" s="2" t="s">
        <v>239</v>
      </c>
      <c r="R1987" s="2" t="s">
        <v>233</v>
      </c>
      <c r="S1987" s="2" t="s">
        <v>9084</v>
      </c>
      <c r="T1987" s="2" t="s">
        <v>3950</v>
      </c>
      <c r="U1987" s="2" t="s">
        <v>342</v>
      </c>
      <c r="V1987" s="2" t="s">
        <v>1658</v>
      </c>
      <c r="W1987" s="2" t="s">
        <v>275</v>
      </c>
      <c r="X1987" s="2" t="s">
        <v>397</v>
      </c>
      <c r="Y1987" s="2" t="s">
        <v>1383</v>
      </c>
      <c r="Z1987" s="4">
        <v>3</v>
      </c>
      <c r="AA1987" s="4">
        <f>=ROUNDDOWN(0.0769230769230769,0)</f>
      </c>
      <c r="AB1987" s="5">
        <v>39</v>
      </c>
      <c r="AC1987" s="2" t="s">
        <v>1341</v>
      </c>
      <c r="AD1987" s="4">
        <v>326</v>
      </c>
      <c r="AE1987" s="4">
        <v>326</v>
      </c>
      <c r="AF1987" s="6">
        <v>65</v>
      </c>
      <c r="AG1987" s="6"/>
      <c r="AH1987" s="7">
        <v>0</v>
      </c>
      <c r="AI1987" s="4"/>
      <c r="AJ1987" s="4">
        <f>=ROUNDDOWN({0},0)</f>
      </c>
      <c r="AK1987" s="5"/>
      <c r="AL1987" s="2" t="s">
        <v>233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233</v>
      </c>
      <c r="AW1987" s="8" t="s">
        <v>233</v>
      </c>
      <c r="AX1987" s="4" t="s">
        <v>233</v>
      </c>
      <c r="AY1987" s="8" t="s">
        <v>233</v>
      </c>
      <c r="AZ1987" s="7" t="s">
        <v>233</v>
      </c>
      <c r="BA1987" s="7" t="s">
        <v>233</v>
      </c>
      <c r="BB1987" s="7"/>
      <c r="BC1987" s="4" t="s">
        <v>233</v>
      </c>
      <c r="BD1987" s="8" t="s">
        <v>233</v>
      </c>
      <c r="BE1987" s="4" t="s">
        <v>233</v>
      </c>
      <c r="BF1987" s="8" t="s">
        <v>233</v>
      </c>
      <c r="BG1987" s="7" t="s">
        <v>233</v>
      </c>
      <c r="BH1987" s="7" t="s">
        <v>233</v>
      </c>
      <c r="BI1987" s="7"/>
      <c r="BJ1987" s="4"/>
      <c r="BK1987" s="8"/>
      <c r="BL1987" s="2" t="s">
        <v>744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9085</v>
      </c>
      <c r="BV1987" s="2" t="s">
        <v>233</v>
      </c>
      <c r="BW1987" s="2" t="s">
        <v>233</v>
      </c>
      <c r="BX1987" s="2" t="s">
        <v>233</v>
      </c>
      <c r="BY1987" s="2" t="s">
        <v>280</v>
      </c>
      <c r="BZ1987" s="2" t="s">
        <v>245</v>
      </c>
      <c r="CA1987" s="2" t="s">
        <v>1383</v>
      </c>
      <c r="CB1987" s="2" t="s">
        <v>9086</v>
      </c>
      <c r="CC1987" s="2" t="s">
        <v>246</v>
      </c>
      <c r="CD1987" s="2" t="s">
        <v>233</v>
      </c>
      <c r="CE1987" s="4">
        <v>3</v>
      </c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>
        <v>326</v>
      </c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  <c r="GQ1987" s="4"/>
      <c r="GR1987" s="4"/>
      <c r="GS1987" s="4"/>
      <c r="GT1987" s="4"/>
      <c r="GU1987" s="4"/>
      <c r="GV1987" s="4"/>
      <c r="GW1987" s="4"/>
      <c r="GX1987" s="4"/>
      <c r="GY1987" s="4"/>
      <c r="GZ1987" s="4"/>
      <c r="HA1987" s="4"/>
      <c r="HB1987" s="4"/>
      <c r="HC1987" s="4"/>
      <c r="HD1987" s="4"/>
      <c r="HE1987" s="4"/>
      <c r="HF1987" s="4"/>
      <c r="HG1987" s="4"/>
      <c r="HH1987" s="4"/>
      <c r="HI1987" s="4"/>
      <c r="HJ1987" s="4"/>
      <c r="HK1987" s="4"/>
      <c r="HL1987" s="4"/>
      <c r="HM1987" s="4"/>
      <c r="HN1987" s="4"/>
      <c r="HO1987" s="4"/>
      <c r="HP1987" s="4"/>
      <c r="HQ1987" s="4"/>
      <c r="HR1987" s="4"/>
    </row>
    <row r="1988">
      <c r="A1988" s="2" t="s">
        <v>9087</v>
      </c>
      <c r="B1988" s="2" t="s">
        <v>333</v>
      </c>
      <c r="C1988" s="2" t="s">
        <v>701</v>
      </c>
      <c r="D1988" s="2" t="s">
        <v>335</v>
      </c>
      <c r="E1988" s="2" t="s">
        <v>336</v>
      </c>
      <c r="F1988" s="2" t="s">
        <v>9081</v>
      </c>
      <c r="G1988" s="2" t="s">
        <v>9081</v>
      </c>
      <c r="H1988" s="2" t="s">
        <v>9081</v>
      </c>
      <c r="I1988" s="2" t="s">
        <v>9082</v>
      </c>
      <c r="J1988" s="2" t="s">
        <v>546</v>
      </c>
      <c r="K1988" s="2" t="s">
        <v>9083</v>
      </c>
      <c r="L1988" s="3">
        <v>28.68</v>
      </c>
      <c r="M1988" s="3">
        <v>30.11</v>
      </c>
      <c r="N1988" s="3">
        <v>62.99</v>
      </c>
      <c r="O1988" s="2" t="s">
        <v>245</v>
      </c>
      <c r="P1988" s="2" t="s">
        <v>272</v>
      </c>
      <c r="Q1988" s="2" t="s">
        <v>239</v>
      </c>
      <c r="R1988" s="2" t="s">
        <v>233</v>
      </c>
      <c r="S1988" s="2" t="s">
        <v>9084</v>
      </c>
      <c r="T1988" s="2" t="s">
        <v>3950</v>
      </c>
      <c r="U1988" s="2" t="s">
        <v>342</v>
      </c>
      <c r="V1988" s="2" t="s">
        <v>1658</v>
      </c>
      <c r="W1988" s="2" t="s">
        <v>275</v>
      </c>
      <c r="X1988" s="2" t="s">
        <v>397</v>
      </c>
      <c r="Y1988" s="2" t="s">
        <v>1383</v>
      </c>
      <c r="Z1988" s="4">
        <v>3</v>
      </c>
      <c r="AA1988" s="4">
        <f>=ROUNDDOWN(0.3,0)</f>
      </c>
      <c r="AB1988" s="5">
        <v>10</v>
      </c>
      <c r="AC1988" s="2" t="s">
        <v>1341</v>
      </c>
      <c r="AD1988" s="4">
        <v>90</v>
      </c>
      <c r="AE1988" s="4">
        <v>90</v>
      </c>
      <c r="AF1988" s="6">
        <v>65</v>
      </c>
      <c r="AG1988" s="6"/>
      <c r="AH1988" s="7">
        <v>0.1613</v>
      </c>
      <c r="AI1988" s="4"/>
      <c r="AJ1988" s="4">
        <f>=ROUNDDOWN({0},0)</f>
      </c>
      <c r="AK1988" s="5"/>
      <c r="AL1988" s="2" t="s">
        <v>233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233</v>
      </c>
      <c r="AW1988" s="8" t="s">
        <v>233</v>
      </c>
      <c r="AX1988" s="4" t="s">
        <v>233</v>
      </c>
      <c r="AY1988" s="8" t="s">
        <v>233</v>
      </c>
      <c r="AZ1988" s="7" t="s">
        <v>233</v>
      </c>
      <c r="BA1988" s="7" t="s">
        <v>233</v>
      </c>
      <c r="BB1988" s="7"/>
      <c r="BC1988" s="4" t="s">
        <v>233</v>
      </c>
      <c r="BD1988" s="8" t="s">
        <v>233</v>
      </c>
      <c r="BE1988" s="4" t="s">
        <v>233</v>
      </c>
      <c r="BF1988" s="8" t="s">
        <v>233</v>
      </c>
      <c r="BG1988" s="7" t="s">
        <v>233</v>
      </c>
      <c r="BH1988" s="7" t="s">
        <v>233</v>
      </c>
      <c r="BI1988" s="7"/>
      <c r="BJ1988" s="4">
        <v>1</v>
      </c>
      <c r="BK1988" s="8">
        <v>33.45</v>
      </c>
      <c r="BL1988" s="2" t="s">
        <v>5456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9088</v>
      </c>
      <c r="BV1988" s="2" t="s">
        <v>233</v>
      </c>
      <c r="BW1988" s="2" t="s">
        <v>233</v>
      </c>
      <c r="BX1988" s="2" t="s">
        <v>233</v>
      </c>
      <c r="BY1988" s="2" t="s">
        <v>280</v>
      </c>
      <c r="BZ1988" s="2" t="s">
        <v>245</v>
      </c>
      <c r="CA1988" s="2" t="s">
        <v>1383</v>
      </c>
      <c r="CB1988" s="2" t="s">
        <v>9089</v>
      </c>
      <c r="CC1988" s="2" t="s">
        <v>246</v>
      </c>
      <c r="CD1988" s="2" t="s">
        <v>233</v>
      </c>
      <c r="CE1988" s="4">
        <v>3</v>
      </c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>
        <v>90</v>
      </c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/>
      <c r="GR1988" s="4"/>
      <c r="GS1988" s="4"/>
      <c r="GT1988" s="4"/>
      <c r="GU1988" s="4"/>
      <c r="GV1988" s="4"/>
      <c r="GW1988" s="4"/>
      <c r="GX1988" s="4"/>
      <c r="GY1988" s="4"/>
      <c r="GZ1988" s="4"/>
      <c r="HA1988" s="4"/>
      <c r="HB1988" s="4"/>
      <c r="HC1988" s="4"/>
      <c r="HD1988" s="4"/>
      <c r="HE1988" s="4"/>
      <c r="HF1988" s="4"/>
      <c r="HG1988" s="4"/>
      <c r="HH1988" s="4"/>
      <c r="HI1988" s="4"/>
      <c r="HJ1988" s="4"/>
      <c r="HK1988" s="4"/>
      <c r="HL1988" s="4"/>
      <c r="HM1988" s="4"/>
      <c r="HN1988" s="4"/>
      <c r="HO1988" s="4"/>
      <c r="HP1988" s="4"/>
      <c r="HQ1988" s="4"/>
      <c r="HR1988" s="4"/>
    </row>
    <row r="1989">
      <c r="A1989" s="2" t="s">
        <v>9090</v>
      </c>
      <c r="B1989" s="2" t="s">
        <v>333</v>
      </c>
      <c r="C1989" s="2" t="s">
        <v>701</v>
      </c>
      <c r="D1989" s="2" t="s">
        <v>335</v>
      </c>
      <c r="E1989" s="2" t="s">
        <v>336</v>
      </c>
      <c r="F1989" s="2" t="s">
        <v>9081</v>
      </c>
      <c r="G1989" s="2" t="s">
        <v>9081</v>
      </c>
      <c r="H1989" s="2" t="s">
        <v>9081</v>
      </c>
      <c r="I1989" s="2" t="s">
        <v>9082</v>
      </c>
      <c r="J1989" s="2" t="s">
        <v>348</v>
      </c>
      <c r="K1989" s="2" t="s">
        <v>9091</v>
      </c>
      <c r="L1989" s="3">
        <v>25.85</v>
      </c>
      <c r="M1989" s="3">
        <v>27.14</v>
      </c>
      <c r="N1989" s="3">
        <v>55.99</v>
      </c>
      <c r="O1989" s="2" t="s">
        <v>245</v>
      </c>
      <c r="P1989" s="2" t="s">
        <v>272</v>
      </c>
      <c r="Q1989" s="2" t="s">
        <v>239</v>
      </c>
      <c r="R1989" s="2" t="s">
        <v>233</v>
      </c>
      <c r="S1989" s="2" t="s">
        <v>9092</v>
      </c>
      <c r="T1989" s="2" t="s">
        <v>3950</v>
      </c>
      <c r="U1989" s="2" t="s">
        <v>342</v>
      </c>
      <c r="V1989" s="2" t="s">
        <v>359</v>
      </c>
      <c r="W1989" s="2" t="s">
        <v>275</v>
      </c>
      <c r="X1989" s="2" t="s">
        <v>397</v>
      </c>
      <c r="Y1989" s="2" t="s">
        <v>4307</v>
      </c>
      <c r="Z1989" s="4">
        <v>12</v>
      </c>
      <c r="AA1989" s="4">
        <f>=ROUNDDOWN(2.4,0)</f>
      </c>
      <c r="AB1989" s="5">
        <v>5</v>
      </c>
      <c r="AC1989" s="2" t="s">
        <v>233</v>
      </c>
      <c r="AD1989" s="4"/>
      <c r="AE1989" s="4"/>
      <c r="AF1989" s="6">
        <v>74</v>
      </c>
      <c r="AG1989" s="6"/>
      <c r="AH1989" s="7">
        <v>0</v>
      </c>
      <c r="AI1989" s="4"/>
      <c r="AJ1989" s="4">
        <f>=ROUNDDOWN({0},0)</f>
      </c>
      <c r="AK1989" s="5"/>
      <c r="AL1989" s="2" t="s">
        <v>233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233</v>
      </c>
      <c r="AW1989" s="8" t="s">
        <v>233</v>
      </c>
      <c r="AX1989" s="4" t="s">
        <v>233</v>
      </c>
      <c r="AY1989" s="8" t="s">
        <v>233</v>
      </c>
      <c r="AZ1989" s="7" t="s">
        <v>233</v>
      </c>
      <c r="BA1989" s="7" t="s">
        <v>233</v>
      </c>
      <c r="BB1989" s="7"/>
      <c r="BC1989" s="4" t="s">
        <v>233</v>
      </c>
      <c r="BD1989" s="8" t="s">
        <v>233</v>
      </c>
      <c r="BE1989" s="4" t="s">
        <v>233</v>
      </c>
      <c r="BF1989" s="8" t="s">
        <v>233</v>
      </c>
      <c r="BG1989" s="7" t="s">
        <v>233</v>
      </c>
      <c r="BH1989" s="7" t="s">
        <v>233</v>
      </c>
      <c r="BI1989" s="7"/>
      <c r="BJ1989" s="4"/>
      <c r="BK1989" s="8"/>
      <c r="BL1989" s="2" t="s">
        <v>233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9093</v>
      </c>
      <c r="BV1989" s="2" t="s">
        <v>233</v>
      </c>
      <c r="BW1989" s="2" t="s">
        <v>233</v>
      </c>
      <c r="BX1989" s="2" t="s">
        <v>233</v>
      </c>
      <c r="BY1989" s="2" t="s">
        <v>280</v>
      </c>
      <c r="BZ1989" s="2" t="s">
        <v>245</v>
      </c>
      <c r="CA1989" s="2" t="s">
        <v>2423</v>
      </c>
      <c r="CB1989" s="2" t="s">
        <v>8267</v>
      </c>
      <c r="CC1989" s="2" t="s">
        <v>246</v>
      </c>
      <c r="CD1989" s="2" t="s">
        <v>233</v>
      </c>
      <c r="CE1989" s="4">
        <v>12</v>
      </c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/>
      <c r="GR1989" s="4"/>
      <c r="GS1989" s="4"/>
      <c r="GT1989" s="4"/>
      <c r="GU1989" s="4"/>
      <c r="GV1989" s="4"/>
      <c r="GW1989" s="4"/>
      <c r="GX1989" s="4"/>
      <c r="GY1989" s="4"/>
      <c r="GZ1989" s="4"/>
      <c r="HA1989" s="4"/>
      <c r="HB1989" s="4"/>
      <c r="HC1989" s="4"/>
      <c r="HD1989" s="4"/>
      <c r="HE1989" s="4"/>
      <c r="HF1989" s="4"/>
      <c r="HG1989" s="4"/>
      <c r="HH1989" s="4"/>
      <c r="HI1989" s="4"/>
      <c r="HJ1989" s="4"/>
      <c r="HK1989" s="4"/>
      <c r="HL1989" s="4"/>
      <c r="HM1989" s="4"/>
      <c r="HN1989" s="4"/>
      <c r="HO1989" s="4"/>
      <c r="HP1989" s="4"/>
      <c r="HQ1989" s="4"/>
      <c r="HR1989" s="4"/>
    </row>
    <row r="1990">
      <c r="A1990" s="2" t="s">
        <v>9094</v>
      </c>
      <c r="B1990" s="2" t="s">
        <v>333</v>
      </c>
      <c r="C1990" s="2" t="s">
        <v>701</v>
      </c>
      <c r="D1990" s="2" t="s">
        <v>335</v>
      </c>
      <c r="E1990" s="2" t="s">
        <v>336</v>
      </c>
      <c r="F1990" s="2" t="s">
        <v>9081</v>
      </c>
      <c r="G1990" s="2" t="s">
        <v>9081</v>
      </c>
      <c r="H1990" s="2" t="s">
        <v>9081</v>
      </c>
      <c r="I1990" s="2" t="s">
        <v>9082</v>
      </c>
      <c r="J1990" s="2" t="s">
        <v>546</v>
      </c>
      <c r="K1990" s="2" t="s">
        <v>9091</v>
      </c>
      <c r="L1990" s="3">
        <v>28.68</v>
      </c>
      <c r="M1990" s="3">
        <v>30.11</v>
      </c>
      <c r="N1990" s="3">
        <v>62.99</v>
      </c>
      <c r="O1990" s="2" t="s">
        <v>245</v>
      </c>
      <c r="P1990" s="2" t="s">
        <v>272</v>
      </c>
      <c r="Q1990" s="2" t="s">
        <v>239</v>
      </c>
      <c r="R1990" s="2" t="s">
        <v>233</v>
      </c>
      <c r="S1990" s="2" t="s">
        <v>9092</v>
      </c>
      <c r="T1990" s="2" t="s">
        <v>3950</v>
      </c>
      <c r="U1990" s="2" t="s">
        <v>342</v>
      </c>
      <c r="V1990" s="2" t="s">
        <v>359</v>
      </c>
      <c r="W1990" s="2" t="s">
        <v>275</v>
      </c>
      <c r="X1990" s="2" t="s">
        <v>397</v>
      </c>
      <c r="Y1990" s="2" t="s">
        <v>4307</v>
      </c>
      <c r="Z1990" s="4">
        <v>149</v>
      </c>
      <c r="AA1990" s="4">
        <f>=ROUNDDOWN(49.6666666666667,0)</f>
      </c>
      <c r="AB1990" s="5">
        <v>3</v>
      </c>
      <c r="AC1990" s="2" t="s">
        <v>233</v>
      </c>
      <c r="AD1990" s="4"/>
      <c r="AE1990" s="4"/>
      <c r="AF1990" s="6">
        <v>74</v>
      </c>
      <c r="AG1990" s="6"/>
      <c r="AH1990" s="7">
        <v>1</v>
      </c>
      <c r="AI1990" s="4"/>
      <c r="AJ1990" s="4">
        <f>=ROUNDDOWN({0},0)</f>
      </c>
      <c r="AK1990" s="5"/>
      <c r="AL1990" s="2" t="s">
        <v>233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 t="s">
        <v>233</v>
      </c>
      <c r="AW1990" s="8" t="s">
        <v>233</v>
      </c>
      <c r="AX1990" s="4" t="s">
        <v>233</v>
      </c>
      <c r="AY1990" s="8" t="s">
        <v>233</v>
      </c>
      <c r="AZ1990" s="7" t="s">
        <v>233</v>
      </c>
      <c r="BA1990" s="7" t="s">
        <v>233</v>
      </c>
      <c r="BB1990" s="7"/>
      <c r="BC1990" s="4" t="s">
        <v>233</v>
      </c>
      <c r="BD1990" s="8" t="s">
        <v>233</v>
      </c>
      <c r="BE1990" s="4" t="s">
        <v>233</v>
      </c>
      <c r="BF1990" s="8" t="s">
        <v>233</v>
      </c>
      <c r="BG1990" s="7" t="s">
        <v>233</v>
      </c>
      <c r="BH1990" s="7" t="s">
        <v>233</v>
      </c>
      <c r="BI1990" s="7"/>
      <c r="BJ1990" s="4">
        <v>21</v>
      </c>
      <c r="BK1990" s="8">
        <v>682.12</v>
      </c>
      <c r="BL1990" s="2" t="s">
        <v>9095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9096</v>
      </c>
      <c r="BV1990" s="2" t="s">
        <v>233</v>
      </c>
      <c r="BW1990" s="2" t="s">
        <v>233</v>
      </c>
      <c r="BX1990" s="2" t="s">
        <v>233</v>
      </c>
      <c r="BY1990" s="2" t="s">
        <v>280</v>
      </c>
      <c r="BZ1990" s="2" t="s">
        <v>245</v>
      </c>
      <c r="CA1990" s="2" t="s">
        <v>2423</v>
      </c>
      <c r="CB1990" s="2" t="s">
        <v>3042</v>
      </c>
      <c r="CC1990" s="2" t="s">
        <v>246</v>
      </c>
      <c r="CD1990" s="2" t="s">
        <v>233</v>
      </c>
      <c r="CE1990" s="4">
        <v>149</v>
      </c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/>
      <c r="GR1990" s="4"/>
      <c r="GS1990" s="4"/>
      <c r="GT1990" s="4"/>
      <c r="GU1990" s="4"/>
      <c r="GV1990" s="4"/>
      <c r="GW1990" s="4"/>
      <c r="GX1990" s="4"/>
      <c r="GY1990" s="4"/>
      <c r="GZ1990" s="4"/>
      <c r="HA1990" s="4"/>
      <c r="HB1990" s="4"/>
      <c r="HC1990" s="4"/>
      <c r="HD1990" s="4"/>
      <c r="HE1990" s="4"/>
      <c r="HF1990" s="4"/>
      <c r="HG1990" s="4"/>
      <c r="HH1990" s="4"/>
      <c r="HI1990" s="4"/>
      <c r="HJ1990" s="4"/>
      <c r="HK1990" s="4"/>
      <c r="HL1990" s="4"/>
      <c r="HM1990" s="4"/>
      <c r="HN1990" s="4"/>
      <c r="HO1990" s="4"/>
      <c r="HP1990" s="4"/>
      <c r="HQ1990" s="4"/>
      <c r="HR1990" s="4"/>
    </row>
    <row r="1991">
      <c r="A1991" s="2" t="s">
        <v>9097</v>
      </c>
      <c r="B1991" s="2" t="s">
        <v>333</v>
      </c>
      <c r="C1991" s="2" t="s">
        <v>701</v>
      </c>
      <c r="D1991" s="2" t="s">
        <v>335</v>
      </c>
      <c r="E1991" s="2" t="s">
        <v>336</v>
      </c>
      <c r="F1991" s="2" t="s">
        <v>9081</v>
      </c>
      <c r="G1991" s="2" t="s">
        <v>9081</v>
      </c>
      <c r="H1991" s="2" t="s">
        <v>9081</v>
      </c>
      <c r="I1991" s="2" t="s">
        <v>9082</v>
      </c>
      <c r="J1991" s="2" t="s">
        <v>348</v>
      </c>
      <c r="K1991" s="2" t="s">
        <v>9098</v>
      </c>
      <c r="L1991" s="3">
        <v>25.85</v>
      </c>
      <c r="M1991" s="3">
        <v>27.14</v>
      </c>
      <c r="N1991" s="3">
        <v>55.99</v>
      </c>
      <c r="O1991" s="2" t="s">
        <v>245</v>
      </c>
      <c r="P1991" s="2" t="s">
        <v>741</v>
      </c>
      <c r="Q1991" s="2" t="s">
        <v>239</v>
      </c>
      <c r="R1991" s="2" t="s">
        <v>233</v>
      </c>
      <c r="S1991" s="2" t="s">
        <v>9099</v>
      </c>
      <c r="T1991" s="2" t="s">
        <v>3950</v>
      </c>
      <c r="U1991" s="2" t="s">
        <v>342</v>
      </c>
      <c r="V1991" s="2" t="s">
        <v>1658</v>
      </c>
      <c r="W1991" s="2" t="s">
        <v>275</v>
      </c>
      <c r="X1991" s="2" t="s">
        <v>397</v>
      </c>
      <c r="Y1991" s="2" t="s">
        <v>1383</v>
      </c>
      <c r="Z1991" s="4">
        <v>1</v>
      </c>
      <c r="AA1991" s="4">
        <f>=ROUNDDOWN(0.0344827586206897,0)</f>
      </c>
      <c r="AB1991" s="5">
        <v>29</v>
      </c>
      <c r="AC1991" s="2" t="s">
        <v>1341</v>
      </c>
      <c r="AD1991" s="4">
        <v>244</v>
      </c>
      <c r="AE1991" s="4">
        <v>244</v>
      </c>
      <c r="AF1991" s="6">
        <v>65</v>
      </c>
      <c r="AG1991" s="6"/>
      <c r="AH1991" s="7">
        <v>0</v>
      </c>
      <c r="AI1991" s="4"/>
      <c r="AJ1991" s="4">
        <f>=ROUNDDOWN({0},0)</f>
      </c>
      <c r="AK1991" s="5"/>
      <c r="AL1991" s="2" t="s">
        <v>233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 t="s">
        <v>233</v>
      </c>
      <c r="AW1991" s="8" t="s">
        <v>233</v>
      </c>
      <c r="AX1991" s="4" t="s">
        <v>233</v>
      </c>
      <c r="AY1991" s="8" t="s">
        <v>233</v>
      </c>
      <c r="AZ1991" s="7" t="s">
        <v>233</v>
      </c>
      <c r="BA1991" s="7" t="s">
        <v>233</v>
      </c>
      <c r="BB1991" s="7"/>
      <c r="BC1991" s="4" t="s">
        <v>233</v>
      </c>
      <c r="BD1991" s="8" t="s">
        <v>233</v>
      </c>
      <c r="BE1991" s="4" t="s">
        <v>233</v>
      </c>
      <c r="BF1991" s="8" t="s">
        <v>233</v>
      </c>
      <c r="BG1991" s="7" t="s">
        <v>233</v>
      </c>
      <c r="BH1991" s="7" t="s">
        <v>233</v>
      </c>
      <c r="BI1991" s="7"/>
      <c r="BJ1991" s="4"/>
      <c r="BK1991" s="8"/>
      <c r="BL1991" s="2" t="s">
        <v>233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9100</v>
      </c>
      <c r="BV1991" s="2" t="s">
        <v>233</v>
      </c>
      <c r="BW1991" s="2" t="s">
        <v>233</v>
      </c>
      <c r="BX1991" s="2" t="s">
        <v>233</v>
      </c>
      <c r="BY1991" s="2" t="s">
        <v>280</v>
      </c>
      <c r="BZ1991" s="2" t="s">
        <v>245</v>
      </c>
      <c r="CA1991" s="2" t="s">
        <v>1383</v>
      </c>
      <c r="CB1991" s="2" t="s">
        <v>9101</v>
      </c>
      <c r="CC1991" s="2" t="s">
        <v>246</v>
      </c>
      <c r="CD1991" s="2" t="s">
        <v>233</v>
      </c>
      <c r="CE1991" s="4">
        <v>1</v>
      </c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>
        <v>244</v>
      </c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/>
      <c r="GX1991" s="4"/>
      <c r="GY1991" s="4"/>
      <c r="GZ1991" s="4"/>
      <c r="HA1991" s="4"/>
      <c r="HB1991" s="4"/>
      <c r="HC1991" s="4"/>
      <c r="HD1991" s="4"/>
      <c r="HE1991" s="4"/>
      <c r="HF1991" s="4"/>
      <c r="HG1991" s="4"/>
      <c r="HH1991" s="4"/>
      <c r="HI1991" s="4"/>
      <c r="HJ1991" s="4"/>
      <c r="HK1991" s="4"/>
      <c r="HL1991" s="4"/>
      <c r="HM1991" s="4"/>
      <c r="HN1991" s="4"/>
      <c r="HO1991" s="4"/>
      <c r="HP1991" s="4"/>
      <c r="HQ1991" s="4"/>
      <c r="HR1991" s="4"/>
    </row>
    <row r="1992">
      <c r="A1992" s="2" t="s">
        <v>9102</v>
      </c>
      <c r="B1992" s="2" t="s">
        <v>333</v>
      </c>
      <c r="C1992" s="2" t="s">
        <v>701</v>
      </c>
      <c r="D1992" s="2" t="s">
        <v>335</v>
      </c>
      <c r="E1992" s="2" t="s">
        <v>336</v>
      </c>
      <c r="F1992" s="2" t="s">
        <v>9081</v>
      </c>
      <c r="G1992" s="2" t="s">
        <v>9081</v>
      </c>
      <c r="H1992" s="2" t="s">
        <v>9081</v>
      </c>
      <c r="I1992" s="2" t="s">
        <v>9082</v>
      </c>
      <c r="J1992" s="2" t="s">
        <v>328</v>
      </c>
      <c r="K1992" s="2" t="s">
        <v>9098</v>
      </c>
      <c r="L1992" s="3">
        <v>28.68</v>
      </c>
      <c r="M1992" s="3">
        <v>30.11</v>
      </c>
      <c r="N1992" s="3">
        <v>62.99</v>
      </c>
      <c r="O1992" s="2" t="s">
        <v>245</v>
      </c>
      <c r="P1992" s="2" t="s">
        <v>272</v>
      </c>
      <c r="Q1992" s="2" t="s">
        <v>239</v>
      </c>
      <c r="R1992" s="2" t="s">
        <v>233</v>
      </c>
      <c r="S1992" s="2" t="s">
        <v>9099</v>
      </c>
      <c r="T1992" s="2" t="s">
        <v>3950</v>
      </c>
      <c r="U1992" s="2" t="s">
        <v>342</v>
      </c>
      <c r="V1992" s="2" t="s">
        <v>1658</v>
      </c>
      <c r="W1992" s="2" t="s">
        <v>275</v>
      </c>
      <c r="X1992" s="2" t="s">
        <v>397</v>
      </c>
      <c r="Y1992" s="2" t="s">
        <v>1383</v>
      </c>
      <c r="Z1992" s="4">
        <v>2</v>
      </c>
      <c r="AA1992" s="4">
        <f>=ROUNDDOWN(0.142857142857143,0)</f>
      </c>
      <c r="AB1992" s="5">
        <v>14</v>
      </c>
      <c r="AC1992" s="2" t="s">
        <v>1341</v>
      </c>
      <c r="AD1992" s="4">
        <v>123</v>
      </c>
      <c r="AE1992" s="4">
        <v>123</v>
      </c>
      <c r="AF1992" s="6">
        <v>65</v>
      </c>
      <c r="AG1992" s="6"/>
      <c r="AH1992" s="7">
        <v>0</v>
      </c>
      <c r="AI1992" s="4"/>
      <c r="AJ1992" s="4">
        <f>=ROUNDDOWN({0},0)</f>
      </c>
      <c r="AK1992" s="5"/>
      <c r="AL1992" s="2" t="s">
        <v>233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233</v>
      </c>
      <c r="AW1992" s="8" t="s">
        <v>233</v>
      </c>
      <c r="AX1992" s="4" t="s">
        <v>233</v>
      </c>
      <c r="AY1992" s="8" t="s">
        <v>233</v>
      </c>
      <c r="AZ1992" s="7" t="s">
        <v>233</v>
      </c>
      <c r="BA1992" s="7" t="s">
        <v>233</v>
      </c>
      <c r="BB1992" s="7"/>
      <c r="BC1992" s="4" t="s">
        <v>233</v>
      </c>
      <c r="BD1992" s="8" t="s">
        <v>233</v>
      </c>
      <c r="BE1992" s="4" t="s">
        <v>233</v>
      </c>
      <c r="BF1992" s="8" t="s">
        <v>233</v>
      </c>
      <c r="BG1992" s="7" t="s">
        <v>233</v>
      </c>
      <c r="BH1992" s="7" t="s">
        <v>233</v>
      </c>
      <c r="BI1992" s="7"/>
      <c r="BJ1992" s="4"/>
      <c r="BK1992" s="8"/>
      <c r="BL1992" s="2" t="s">
        <v>9103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9104</v>
      </c>
      <c r="BV1992" s="2" t="s">
        <v>233</v>
      </c>
      <c r="BW1992" s="2" t="s">
        <v>233</v>
      </c>
      <c r="BX1992" s="2" t="s">
        <v>233</v>
      </c>
      <c r="BY1992" s="2" t="s">
        <v>280</v>
      </c>
      <c r="BZ1992" s="2" t="s">
        <v>245</v>
      </c>
      <c r="CA1992" s="2" t="s">
        <v>1383</v>
      </c>
      <c r="CB1992" s="2" t="s">
        <v>9105</v>
      </c>
      <c r="CC1992" s="2" t="s">
        <v>246</v>
      </c>
      <c r="CD1992" s="2" t="s">
        <v>233</v>
      </c>
      <c r="CE1992" s="4">
        <v>2</v>
      </c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>
        <v>123</v>
      </c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  <c r="HF1992" s="4"/>
      <c r="HG1992" s="4"/>
      <c r="HH1992" s="4"/>
      <c r="HI1992" s="4"/>
      <c r="HJ1992" s="4"/>
      <c r="HK1992" s="4"/>
      <c r="HL1992" s="4"/>
      <c r="HM1992" s="4"/>
      <c r="HN1992" s="4"/>
      <c r="HO1992" s="4"/>
      <c r="HP1992" s="4"/>
      <c r="HQ1992" s="4"/>
      <c r="HR1992" s="4"/>
    </row>
    <row r="1993">
      <c r="A1993" s="2" t="s">
        <v>9106</v>
      </c>
      <c r="B1993" s="2" t="s">
        <v>333</v>
      </c>
      <c r="C1993" s="2" t="s">
        <v>701</v>
      </c>
      <c r="D1993" s="2" t="s">
        <v>335</v>
      </c>
      <c r="E1993" s="2" t="s">
        <v>336</v>
      </c>
      <c r="F1993" s="2" t="s">
        <v>9081</v>
      </c>
      <c r="G1993" s="2" t="s">
        <v>9081</v>
      </c>
      <c r="H1993" s="2" t="s">
        <v>9081</v>
      </c>
      <c r="I1993" s="2" t="s">
        <v>9082</v>
      </c>
      <c r="J1993" s="2" t="s">
        <v>546</v>
      </c>
      <c r="K1993" s="2" t="s">
        <v>9098</v>
      </c>
      <c r="L1993" s="3">
        <v>28.68</v>
      </c>
      <c r="M1993" s="3">
        <v>30.11</v>
      </c>
      <c r="N1993" s="3">
        <v>62.99</v>
      </c>
      <c r="O1993" s="2" t="s">
        <v>245</v>
      </c>
      <c r="P1993" s="2" t="s">
        <v>272</v>
      </c>
      <c r="Q1993" s="2" t="s">
        <v>239</v>
      </c>
      <c r="R1993" s="2" t="s">
        <v>233</v>
      </c>
      <c r="S1993" s="2" t="s">
        <v>9099</v>
      </c>
      <c r="T1993" s="2" t="s">
        <v>3950</v>
      </c>
      <c r="U1993" s="2" t="s">
        <v>342</v>
      </c>
      <c r="V1993" s="2" t="s">
        <v>1658</v>
      </c>
      <c r="W1993" s="2" t="s">
        <v>275</v>
      </c>
      <c r="X1993" s="2" t="s">
        <v>397</v>
      </c>
      <c r="Y1993" s="2" t="s">
        <v>1383</v>
      </c>
      <c r="Z1993" s="4">
        <v>2</v>
      </c>
      <c r="AA1993" s="4">
        <f>=ROUNDDOWN(0.285714285714286,0)</f>
      </c>
      <c r="AB1993" s="5">
        <v>7</v>
      </c>
      <c r="AC1993" s="2" t="s">
        <v>1341</v>
      </c>
      <c r="AD1993" s="4">
        <v>67</v>
      </c>
      <c r="AE1993" s="4">
        <v>67</v>
      </c>
      <c r="AF1993" s="6">
        <v>65</v>
      </c>
      <c r="AG1993" s="6"/>
      <c r="AH1993" s="7">
        <v>0</v>
      </c>
      <c r="AI1993" s="4"/>
      <c r="AJ1993" s="4">
        <f>=ROUNDDOWN({0},0)</f>
      </c>
      <c r="AK1993" s="5"/>
      <c r="AL1993" s="2" t="s">
        <v>233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233</v>
      </c>
      <c r="AW1993" s="8" t="s">
        <v>233</v>
      </c>
      <c r="AX1993" s="4" t="s">
        <v>233</v>
      </c>
      <c r="AY1993" s="8" t="s">
        <v>233</v>
      </c>
      <c r="AZ1993" s="7" t="s">
        <v>233</v>
      </c>
      <c r="BA1993" s="7" t="s">
        <v>233</v>
      </c>
      <c r="BB1993" s="7"/>
      <c r="BC1993" s="4" t="s">
        <v>233</v>
      </c>
      <c r="BD1993" s="8" t="s">
        <v>233</v>
      </c>
      <c r="BE1993" s="4" t="s">
        <v>233</v>
      </c>
      <c r="BF1993" s="8" t="s">
        <v>233</v>
      </c>
      <c r="BG1993" s="7" t="s">
        <v>233</v>
      </c>
      <c r="BH1993" s="7" t="s">
        <v>233</v>
      </c>
      <c r="BI1993" s="7"/>
      <c r="BJ1993" s="4">
        <v>1</v>
      </c>
      <c r="BK1993" s="8">
        <v>30.11</v>
      </c>
      <c r="BL1993" s="2" t="s">
        <v>9107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9108</v>
      </c>
      <c r="BV1993" s="2" t="s">
        <v>233</v>
      </c>
      <c r="BW1993" s="2" t="s">
        <v>233</v>
      </c>
      <c r="BX1993" s="2" t="s">
        <v>233</v>
      </c>
      <c r="BY1993" s="2" t="s">
        <v>280</v>
      </c>
      <c r="BZ1993" s="2" t="s">
        <v>245</v>
      </c>
      <c r="CA1993" s="2" t="s">
        <v>1383</v>
      </c>
      <c r="CB1993" s="2" t="s">
        <v>9109</v>
      </c>
      <c r="CC1993" s="2" t="s">
        <v>246</v>
      </c>
      <c r="CD1993" s="2" t="s">
        <v>233</v>
      </c>
      <c r="CE1993" s="4">
        <v>2</v>
      </c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>
        <v>67</v>
      </c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/>
      <c r="GX1993" s="4"/>
      <c r="GY1993" s="4"/>
      <c r="GZ1993" s="4"/>
      <c r="HA1993" s="4"/>
      <c r="HB1993" s="4"/>
      <c r="HC1993" s="4"/>
      <c r="HD1993" s="4"/>
      <c r="HE1993" s="4"/>
      <c r="HF1993" s="4"/>
      <c r="HG1993" s="4"/>
      <c r="HH1993" s="4"/>
      <c r="HI1993" s="4"/>
      <c r="HJ1993" s="4"/>
      <c r="HK1993" s="4"/>
      <c r="HL1993" s="4"/>
      <c r="HM1993" s="4"/>
      <c r="HN1993" s="4"/>
      <c r="HO1993" s="4"/>
      <c r="HP1993" s="4"/>
      <c r="HQ1993" s="4"/>
      <c r="HR1993" s="4"/>
    </row>
    <row r="1994">
      <c r="A1994" s="2" t="s">
        <v>9110</v>
      </c>
      <c r="B1994" s="2" t="s">
        <v>333</v>
      </c>
      <c r="C1994" s="2" t="s">
        <v>701</v>
      </c>
      <c r="D1994" s="2" t="s">
        <v>335</v>
      </c>
      <c r="E1994" s="2" t="s">
        <v>336</v>
      </c>
      <c r="F1994" s="2" t="s">
        <v>9081</v>
      </c>
      <c r="G1994" s="2" t="s">
        <v>9081</v>
      </c>
      <c r="H1994" s="2" t="s">
        <v>9081</v>
      </c>
      <c r="I1994" s="2" t="s">
        <v>9082</v>
      </c>
      <c r="J1994" s="2" t="s">
        <v>348</v>
      </c>
      <c r="K1994" s="2" t="s">
        <v>9111</v>
      </c>
      <c r="L1994" s="3">
        <v>25.85</v>
      </c>
      <c r="M1994" s="3">
        <v>27.14</v>
      </c>
      <c r="N1994" s="3">
        <v>55.99</v>
      </c>
      <c r="O1994" s="2" t="s">
        <v>245</v>
      </c>
      <c r="P1994" s="2" t="s">
        <v>741</v>
      </c>
      <c r="Q1994" s="2" t="s">
        <v>239</v>
      </c>
      <c r="R1994" s="2" t="s">
        <v>233</v>
      </c>
      <c r="S1994" s="2" t="s">
        <v>9112</v>
      </c>
      <c r="T1994" s="2" t="s">
        <v>3950</v>
      </c>
      <c r="U1994" s="2" t="s">
        <v>342</v>
      </c>
      <c r="V1994" s="2" t="s">
        <v>1658</v>
      </c>
      <c r="W1994" s="2" t="s">
        <v>275</v>
      </c>
      <c r="X1994" s="2" t="s">
        <v>397</v>
      </c>
      <c r="Y1994" s="2" t="s">
        <v>1383</v>
      </c>
      <c r="Z1994" s="4"/>
      <c r="AA1994" s="4">
        <f>=ROUNDDOWN({0},0)</f>
      </c>
      <c r="AB1994" s="5">
        <v>29</v>
      </c>
      <c r="AC1994" s="2" t="s">
        <v>1341</v>
      </c>
      <c r="AD1994" s="4">
        <v>241</v>
      </c>
      <c r="AE1994" s="4">
        <v>241</v>
      </c>
      <c r="AF1994" s="6">
        <v>65</v>
      </c>
      <c r="AG1994" s="6"/>
      <c r="AH1994" s="7">
        <v>0</v>
      </c>
      <c r="AI1994" s="4"/>
      <c r="AJ1994" s="4">
        <f>=ROUNDDOWN({0},0)</f>
      </c>
      <c r="AK1994" s="5"/>
      <c r="AL1994" s="2" t="s">
        <v>233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 t="s">
        <v>233</v>
      </c>
      <c r="AW1994" s="8" t="s">
        <v>233</v>
      </c>
      <c r="AX1994" s="4" t="s">
        <v>233</v>
      </c>
      <c r="AY1994" s="8" t="s">
        <v>233</v>
      </c>
      <c r="AZ1994" s="7" t="s">
        <v>233</v>
      </c>
      <c r="BA1994" s="7" t="s">
        <v>233</v>
      </c>
      <c r="BB1994" s="7"/>
      <c r="BC1994" s="4" t="s">
        <v>233</v>
      </c>
      <c r="BD1994" s="8" t="s">
        <v>233</v>
      </c>
      <c r="BE1994" s="4" t="s">
        <v>233</v>
      </c>
      <c r="BF1994" s="8" t="s">
        <v>233</v>
      </c>
      <c r="BG1994" s="7" t="s">
        <v>233</v>
      </c>
      <c r="BH1994" s="7" t="s">
        <v>233</v>
      </c>
      <c r="BI1994" s="7"/>
      <c r="BJ1994" s="4"/>
      <c r="BK1994" s="8"/>
      <c r="BL1994" s="2" t="s">
        <v>233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9113</v>
      </c>
      <c r="BV1994" s="2" t="s">
        <v>233</v>
      </c>
      <c r="BW1994" s="2" t="s">
        <v>233</v>
      </c>
      <c r="BX1994" s="2" t="s">
        <v>233</v>
      </c>
      <c r="BY1994" s="2" t="s">
        <v>280</v>
      </c>
      <c r="BZ1994" s="2" t="s">
        <v>245</v>
      </c>
      <c r="CA1994" s="2" t="s">
        <v>1383</v>
      </c>
      <c r="CB1994" s="2" t="s">
        <v>4585</v>
      </c>
      <c r="CC1994" s="2" t="s">
        <v>246</v>
      </c>
      <c r="CD1994" s="2" t="s">
        <v>233</v>
      </c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>
        <v>241</v>
      </c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/>
      <c r="HD1994" s="4"/>
      <c r="HE1994" s="4"/>
      <c r="HF1994" s="4"/>
      <c r="HG1994" s="4"/>
      <c r="HH1994" s="4"/>
      <c r="HI1994" s="4"/>
      <c r="HJ1994" s="4"/>
      <c r="HK1994" s="4"/>
      <c r="HL1994" s="4"/>
      <c r="HM1994" s="4"/>
      <c r="HN1994" s="4"/>
      <c r="HO1994" s="4"/>
      <c r="HP1994" s="4"/>
      <c r="HQ1994" s="4"/>
      <c r="HR1994" s="4"/>
    </row>
    <row r="1995">
      <c r="A1995" s="2" t="s">
        <v>9114</v>
      </c>
      <c r="B1995" s="2" t="s">
        <v>333</v>
      </c>
      <c r="C1995" s="2" t="s">
        <v>701</v>
      </c>
      <c r="D1995" s="2" t="s">
        <v>335</v>
      </c>
      <c r="E1995" s="2" t="s">
        <v>336</v>
      </c>
      <c r="F1995" s="2" t="s">
        <v>9081</v>
      </c>
      <c r="G1995" s="2" t="s">
        <v>9081</v>
      </c>
      <c r="H1995" s="2" t="s">
        <v>9081</v>
      </c>
      <c r="I1995" s="2" t="s">
        <v>9082</v>
      </c>
      <c r="J1995" s="2" t="s">
        <v>328</v>
      </c>
      <c r="K1995" s="2" t="s">
        <v>9111</v>
      </c>
      <c r="L1995" s="3">
        <v>28.68</v>
      </c>
      <c r="M1995" s="3">
        <v>30.11</v>
      </c>
      <c r="N1995" s="3">
        <v>62.99</v>
      </c>
      <c r="O1995" s="2" t="s">
        <v>245</v>
      </c>
      <c r="P1995" s="2" t="s">
        <v>272</v>
      </c>
      <c r="Q1995" s="2" t="s">
        <v>239</v>
      </c>
      <c r="R1995" s="2" t="s">
        <v>233</v>
      </c>
      <c r="S1995" s="2" t="s">
        <v>9112</v>
      </c>
      <c r="T1995" s="2" t="s">
        <v>3950</v>
      </c>
      <c r="U1995" s="2" t="s">
        <v>342</v>
      </c>
      <c r="V1995" s="2" t="s">
        <v>1658</v>
      </c>
      <c r="W1995" s="2" t="s">
        <v>275</v>
      </c>
      <c r="X1995" s="2" t="s">
        <v>397</v>
      </c>
      <c r="Y1995" s="2" t="s">
        <v>1383</v>
      </c>
      <c r="Z1995" s="4">
        <v>23</v>
      </c>
      <c r="AA1995" s="4">
        <f>=ROUNDDOWN(1.4375,0)</f>
      </c>
      <c r="AB1995" s="5">
        <v>16</v>
      </c>
      <c r="AC1995" s="2" t="s">
        <v>1341</v>
      </c>
      <c r="AD1995" s="4">
        <v>136</v>
      </c>
      <c r="AE1995" s="4">
        <v>136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233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233</v>
      </c>
      <c r="AW1995" s="8" t="s">
        <v>233</v>
      </c>
      <c r="AX1995" s="4" t="s">
        <v>233</v>
      </c>
      <c r="AY1995" s="8" t="s">
        <v>233</v>
      </c>
      <c r="AZ1995" s="7" t="s">
        <v>233</v>
      </c>
      <c r="BA1995" s="7" t="s">
        <v>233</v>
      </c>
      <c r="BB1995" s="7"/>
      <c r="BC1995" s="4" t="s">
        <v>233</v>
      </c>
      <c r="BD1995" s="8" t="s">
        <v>233</v>
      </c>
      <c r="BE1995" s="4" t="s">
        <v>233</v>
      </c>
      <c r="BF1995" s="8" t="s">
        <v>233</v>
      </c>
      <c r="BG1995" s="7" t="s">
        <v>233</v>
      </c>
      <c r="BH1995" s="7" t="s">
        <v>233</v>
      </c>
      <c r="BI1995" s="7"/>
      <c r="BJ1995" s="4">
        <v>26</v>
      </c>
      <c r="BK1995" s="8">
        <v>860.08</v>
      </c>
      <c r="BL1995" s="2" t="s">
        <v>9115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9116</v>
      </c>
      <c r="BV1995" s="2" t="s">
        <v>233</v>
      </c>
      <c r="BW1995" s="2" t="s">
        <v>233</v>
      </c>
      <c r="BX1995" s="2" t="s">
        <v>233</v>
      </c>
      <c r="BY1995" s="2" t="s">
        <v>280</v>
      </c>
      <c r="BZ1995" s="2" t="s">
        <v>245</v>
      </c>
      <c r="CA1995" s="2" t="s">
        <v>1383</v>
      </c>
      <c r="CB1995" s="2" t="s">
        <v>9117</v>
      </c>
      <c r="CC1995" s="2" t="s">
        <v>246</v>
      </c>
      <c r="CD1995" s="2" t="s">
        <v>233</v>
      </c>
      <c r="CE1995" s="4">
        <v>23</v>
      </c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>
        <v>136</v>
      </c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/>
      <c r="HD1995" s="4"/>
      <c r="HE1995" s="4"/>
      <c r="HF1995" s="4"/>
      <c r="HG1995" s="4"/>
      <c r="HH1995" s="4"/>
      <c r="HI1995" s="4"/>
      <c r="HJ1995" s="4"/>
      <c r="HK1995" s="4"/>
      <c r="HL1995" s="4"/>
      <c r="HM1995" s="4"/>
      <c r="HN1995" s="4"/>
      <c r="HO1995" s="4"/>
      <c r="HP1995" s="4"/>
      <c r="HQ1995" s="4"/>
      <c r="HR1995" s="4"/>
    </row>
    <row r="1996">
      <c r="A1996" s="2" t="s">
        <v>9118</v>
      </c>
      <c r="B1996" s="2" t="s">
        <v>333</v>
      </c>
      <c r="C1996" s="2" t="s">
        <v>701</v>
      </c>
      <c r="D1996" s="2" t="s">
        <v>335</v>
      </c>
      <c r="E1996" s="2" t="s">
        <v>336</v>
      </c>
      <c r="F1996" s="2" t="s">
        <v>9081</v>
      </c>
      <c r="G1996" s="2" t="s">
        <v>9081</v>
      </c>
      <c r="H1996" s="2" t="s">
        <v>9081</v>
      </c>
      <c r="I1996" s="2" t="s">
        <v>9082</v>
      </c>
      <c r="J1996" s="2" t="s">
        <v>546</v>
      </c>
      <c r="K1996" s="2" t="s">
        <v>9111</v>
      </c>
      <c r="L1996" s="3">
        <v>28.68</v>
      </c>
      <c r="M1996" s="3">
        <v>30.11</v>
      </c>
      <c r="N1996" s="3">
        <v>62.99</v>
      </c>
      <c r="O1996" s="2" t="s">
        <v>245</v>
      </c>
      <c r="P1996" s="2" t="s">
        <v>272</v>
      </c>
      <c r="Q1996" s="2" t="s">
        <v>239</v>
      </c>
      <c r="R1996" s="2" t="s">
        <v>233</v>
      </c>
      <c r="S1996" s="2" t="s">
        <v>9112</v>
      </c>
      <c r="T1996" s="2" t="s">
        <v>3950</v>
      </c>
      <c r="U1996" s="2" t="s">
        <v>342</v>
      </c>
      <c r="V1996" s="2" t="s">
        <v>1658</v>
      </c>
      <c r="W1996" s="2" t="s">
        <v>275</v>
      </c>
      <c r="X1996" s="2" t="s">
        <v>397</v>
      </c>
      <c r="Y1996" s="2" t="s">
        <v>1383</v>
      </c>
      <c r="Z1996" s="4"/>
      <c r="AA1996" s="4">
        <f>=ROUNDDOWN({0},0)</f>
      </c>
      <c r="AB1996" s="5">
        <v>9</v>
      </c>
      <c r="AC1996" s="2" t="s">
        <v>1341</v>
      </c>
      <c r="AD1996" s="4">
        <v>78</v>
      </c>
      <c r="AE1996" s="4">
        <v>78</v>
      </c>
      <c r="AF1996" s="6">
        <v>65</v>
      </c>
      <c r="AG1996" s="6"/>
      <c r="AH1996" s="7">
        <v>0</v>
      </c>
      <c r="AI1996" s="4"/>
      <c r="AJ1996" s="4">
        <f>=ROUNDDOWN({0},0)</f>
      </c>
      <c r="AK1996" s="5"/>
      <c r="AL1996" s="2" t="s">
        <v>233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233</v>
      </c>
      <c r="AW1996" s="8" t="s">
        <v>233</v>
      </c>
      <c r="AX1996" s="4" t="s">
        <v>233</v>
      </c>
      <c r="AY1996" s="8" t="s">
        <v>233</v>
      </c>
      <c r="AZ1996" s="7" t="s">
        <v>233</v>
      </c>
      <c r="BA1996" s="7" t="s">
        <v>233</v>
      </c>
      <c r="BB1996" s="7"/>
      <c r="BC1996" s="4" t="s">
        <v>233</v>
      </c>
      <c r="BD1996" s="8" t="s">
        <v>233</v>
      </c>
      <c r="BE1996" s="4" t="s">
        <v>233</v>
      </c>
      <c r="BF1996" s="8" t="s">
        <v>233</v>
      </c>
      <c r="BG1996" s="7" t="s">
        <v>233</v>
      </c>
      <c r="BH1996" s="7" t="s">
        <v>233</v>
      </c>
      <c r="BI1996" s="7"/>
      <c r="BJ1996" s="4"/>
      <c r="BK1996" s="8"/>
      <c r="BL1996" s="2" t="s">
        <v>4212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9119</v>
      </c>
      <c r="BV1996" s="2" t="s">
        <v>233</v>
      </c>
      <c r="BW1996" s="2" t="s">
        <v>233</v>
      </c>
      <c r="BX1996" s="2" t="s">
        <v>233</v>
      </c>
      <c r="BY1996" s="2" t="s">
        <v>280</v>
      </c>
      <c r="BZ1996" s="2" t="s">
        <v>245</v>
      </c>
      <c r="CA1996" s="2" t="s">
        <v>1383</v>
      </c>
      <c r="CB1996" s="2" t="s">
        <v>9120</v>
      </c>
      <c r="CC1996" s="2" t="s">
        <v>246</v>
      </c>
      <c r="CD1996" s="2" t="s">
        <v>233</v>
      </c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>
        <v>78</v>
      </c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/>
      <c r="HD1996" s="4"/>
      <c r="HE1996" s="4"/>
      <c r="HF1996" s="4"/>
      <c r="HG1996" s="4"/>
      <c r="HH1996" s="4"/>
      <c r="HI1996" s="4"/>
      <c r="HJ1996" s="4"/>
      <c r="HK1996" s="4"/>
      <c r="HL1996" s="4"/>
      <c r="HM1996" s="4"/>
      <c r="HN1996" s="4"/>
      <c r="HO1996" s="4"/>
      <c r="HP1996" s="4"/>
      <c r="HQ1996" s="4"/>
      <c r="HR1996" s="4"/>
    </row>
    <row r="1997">
      <c r="A1997" s="2" t="s">
        <v>9121</v>
      </c>
      <c r="B1997" s="2" t="s">
        <v>333</v>
      </c>
      <c r="C1997" s="2" t="s">
        <v>701</v>
      </c>
      <c r="D1997" s="2" t="s">
        <v>335</v>
      </c>
      <c r="E1997" s="2" t="s">
        <v>336</v>
      </c>
      <c r="F1997" s="2" t="s">
        <v>9081</v>
      </c>
      <c r="G1997" s="2" t="s">
        <v>9081</v>
      </c>
      <c r="H1997" s="2" t="s">
        <v>9081</v>
      </c>
      <c r="I1997" s="2" t="s">
        <v>9082</v>
      </c>
      <c r="J1997" s="2" t="s">
        <v>348</v>
      </c>
      <c r="K1997" s="2" t="s">
        <v>4401</v>
      </c>
      <c r="L1997" s="3">
        <v>25.85</v>
      </c>
      <c r="M1997" s="3">
        <v>27.14</v>
      </c>
      <c r="N1997" s="3">
        <v>55.99</v>
      </c>
      <c r="O1997" s="2" t="s">
        <v>245</v>
      </c>
      <c r="P1997" s="2" t="s">
        <v>763</v>
      </c>
      <c r="Q1997" s="2" t="s">
        <v>239</v>
      </c>
      <c r="R1997" s="2" t="s">
        <v>233</v>
      </c>
      <c r="S1997" s="2" t="s">
        <v>9122</v>
      </c>
      <c r="T1997" s="2" t="s">
        <v>3950</v>
      </c>
      <c r="U1997" s="2" t="s">
        <v>342</v>
      </c>
      <c r="V1997" s="2" t="s">
        <v>241</v>
      </c>
      <c r="W1997" s="2" t="s">
        <v>275</v>
      </c>
      <c r="X1997" s="2" t="s">
        <v>397</v>
      </c>
      <c r="Y1997" s="2" t="s">
        <v>1383</v>
      </c>
      <c r="Z1997" s="4">
        <v>2</v>
      </c>
      <c r="AA1997" s="4">
        <f>=ROUNDDOWN(0.0571428571428571,0)</f>
      </c>
      <c r="AB1997" s="5">
        <v>35</v>
      </c>
      <c r="AC1997" s="2" t="s">
        <v>1341</v>
      </c>
      <c r="AD1997" s="4">
        <v>295</v>
      </c>
      <c r="AE1997" s="4">
        <v>295</v>
      </c>
      <c r="AF1997" s="6">
        <v>65</v>
      </c>
      <c r="AG1997" s="6"/>
      <c r="AH1997" s="7">
        <v>0</v>
      </c>
      <c r="AI1997" s="4"/>
      <c r="AJ1997" s="4">
        <f>=ROUNDDOWN({0},0)</f>
      </c>
      <c r="AK1997" s="5"/>
      <c r="AL1997" s="2" t="s">
        <v>233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233</v>
      </c>
      <c r="AW1997" s="8" t="s">
        <v>233</v>
      </c>
      <c r="AX1997" s="4" t="s">
        <v>233</v>
      </c>
      <c r="AY1997" s="8" t="s">
        <v>233</v>
      </c>
      <c r="AZ1997" s="7" t="s">
        <v>233</v>
      </c>
      <c r="BA1997" s="7" t="s">
        <v>233</v>
      </c>
      <c r="BB1997" s="7"/>
      <c r="BC1997" s="4" t="s">
        <v>233</v>
      </c>
      <c r="BD1997" s="8" t="s">
        <v>233</v>
      </c>
      <c r="BE1997" s="4" t="s">
        <v>233</v>
      </c>
      <c r="BF1997" s="8" t="s">
        <v>233</v>
      </c>
      <c r="BG1997" s="7" t="s">
        <v>233</v>
      </c>
      <c r="BH1997" s="7" t="s">
        <v>233</v>
      </c>
      <c r="BI1997" s="7"/>
      <c r="BJ1997" s="4">
        <v>1</v>
      </c>
      <c r="BK1997" s="8">
        <v>55.99</v>
      </c>
      <c r="BL1997" s="2" t="s">
        <v>9123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9124</v>
      </c>
      <c r="BV1997" s="2" t="s">
        <v>233</v>
      </c>
      <c r="BW1997" s="2" t="s">
        <v>233</v>
      </c>
      <c r="BX1997" s="2" t="s">
        <v>233</v>
      </c>
      <c r="BY1997" s="2" t="s">
        <v>280</v>
      </c>
      <c r="BZ1997" s="2" t="s">
        <v>245</v>
      </c>
      <c r="CA1997" s="2" t="s">
        <v>1383</v>
      </c>
      <c r="CB1997" s="2" t="s">
        <v>9125</v>
      </c>
      <c r="CC1997" s="2" t="s">
        <v>246</v>
      </c>
      <c r="CD1997" s="2" t="s">
        <v>233</v>
      </c>
      <c r="CE1997" s="4">
        <v>2</v>
      </c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>
        <v>295</v>
      </c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/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4"/>
      <c r="HE1997" s="4"/>
      <c r="HF1997" s="4"/>
      <c r="HG1997" s="4"/>
      <c r="HH1997" s="4"/>
      <c r="HI1997" s="4"/>
      <c r="HJ1997" s="4"/>
      <c r="HK1997" s="4"/>
      <c r="HL1997" s="4"/>
      <c r="HM1997" s="4"/>
      <c r="HN1997" s="4"/>
      <c r="HO1997" s="4"/>
      <c r="HP1997" s="4"/>
      <c r="HQ1997" s="4"/>
      <c r="HR1997" s="4"/>
    </row>
    <row r="1998">
      <c r="A1998" s="2" t="s">
        <v>9126</v>
      </c>
      <c r="B1998" s="2" t="s">
        <v>333</v>
      </c>
      <c r="C1998" s="2" t="s">
        <v>701</v>
      </c>
      <c r="D1998" s="2" t="s">
        <v>335</v>
      </c>
      <c r="E1998" s="2" t="s">
        <v>336</v>
      </c>
      <c r="F1998" s="2" t="s">
        <v>9081</v>
      </c>
      <c r="G1998" s="2" t="s">
        <v>9081</v>
      </c>
      <c r="H1998" s="2" t="s">
        <v>9081</v>
      </c>
      <c r="I1998" s="2" t="s">
        <v>9082</v>
      </c>
      <c r="J1998" s="2" t="s">
        <v>328</v>
      </c>
      <c r="K1998" s="2" t="s">
        <v>4401</v>
      </c>
      <c r="L1998" s="3">
        <v>28.68</v>
      </c>
      <c r="M1998" s="3">
        <v>30.11</v>
      </c>
      <c r="N1998" s="3">
        <v>62.99</v>
      </c>
      <c r="O1998" s="2" t="s">
        <v>245</v>
      </c>
      <c r="P1998" s="2" t="s">
        <v>272</v>
      </c>
      <c r="Q1998" s="2" t="s">
        <v>239</v>
      </c>
      <c r="R1998" s="2" t="s">
        <v>233</v>
      </c>
      <c r="S1998" s="2" t="s">
        <v>9122</v>
      </c>
      <c r="T1998" s="2" t="s">
        <v>3950</v>
      </c>
      <c r="U1998" s="2" t="s">
        <v>342</v>
      </c>
      <c r="V1998" s="2" t="s">
        <v>241</v>
      </c>
      <c r="W1998" s="2" t="s">
        <v>275</v>
      </c>
      <c r="X1998" s="2" t="s">
        <v>397</v>
      </c>
      <c r="Y1998" s="2" t="s">
        <v>1383</v>
      </c>
      <c r="Z1998" s="4">
        <v>2</v>
      </c>
      <c r="AA1998" s="4">
        <f>=ROUNDDOWN(0.142857142857143,0)</f>
      </c>
      <c r="AB1998" s="5">
        <v>14</v>
      </c>
      <c r="AC1998" s="2" t="s">
        <v>1341</v>
      </c>
      <c r="AD1998" s="4">
        <v>117</v>
      </c>
      <c r="AE1998" s="4">
        <v>117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233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233</v>
      </c>
      <c r="AW1998" s="8" t="s">
        <v>233</v>
      </c>
      <c r="AX1998" s="4" t="s">
        <v>233</v>
      </c>
      <c r="AY1998" s="8" t="s">
        <v>233</v>
      </c>
      <c r="AZ1998" s="7" t="s">
        <v>233</v>
      </c>
      <c r="BA1998" s="7" t="s">
        <v>233</v>
      </c>
      <c r="BB1998" s="7"/>
      <c r="BC1998" s="4" t="s">
        <v>233</v>
      </c>
      <c r="BD1998" s="8" t="s">
        <v>233</v>
      </c>
      <c r="BE1998" s="4" t="s">
        <v>233</v>
      </c>
      <c r="BF1998" s="8" t="s">
        <v>233</v>
      </c>
      <c r="BG1998" s="7" t="s">
        <v>233</v>
      </c>
      <c r="BH1998" s="7" t="s">
        <v>233</v>
      </c>
      <c r="BI1998" s="7"/>
      <c r="BJ1998" s="4">
        <v>15</v>
      </c>
      <c r="BK1998" s="8">
        <v>506.98</v>
      </c>
      <c r="BL1998" s="2" t="s">
        <v>9127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9128</v>
      </c>
      <c r="BV1998" s="2" t="s">
        <v>233</v>
      </c>
      <c r="BW1998" s="2" t="s">
        <v>233</v>
      </c>
      <c r="BX1998" s="2" t="s">
        <v>233</v>
      </c>
      <c r="BY1998" s="2" t="s">
        <v>280</v>
      </c>
      <c r="BZ1998" s="2" t="s">
        <v>245</v>
      </c>
      <c r="CA1998" s="2" t="s">
        <v>1383</v>
      </c>
      <c r="CB1998" s="2" t="s">
        <v>6196</v>
      </c>
      <c r="CC1998" s="2" t="s">
        <v>246</v>
      </c>
      <c r="CD1998" s="2" t="s">
        <v>233</v>
      </c>
      <c r="CE1998" s="4">
        <v>2</v>
      </c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>
        <v>117</v>
      </c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/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  <c r="HF1998" s="4"/>
      <c r="HG1998" s="4"/>
      <c r="HH1998" s="4"/>
      <c r="HI1998" s="4"/>
      <c r="HJ1998" s="4"/>
      <c r="HK1998" s="4"/>
      <c r="HL1998" s="4"/>
      <c r="HM1998" s="4"/>
      <c r="HN1998" s="4"/>
      <c r="HO1998" s="4"/>
      <c r="HP1998" s="4"/>
      <c r="HQ1998" s="4"/>
      <c r="HR1998" s="4"/>
    </row>
    <row r="1999">
      <c r="A1999" s="2" t="s">
        <v>9129</v>
      </c>
      <c r="B1999" s="2" t="s">
        <v>333</v>
      </c>
      <c r="C1999" s="2" t="s">
        <v>701</v>
      </c>
      <c r="D1999" s="2" t="s">
        <v>335</v>
      </c>
      <c r="E1999" s="2" t="s">
        <v>336</v>
      </c>
      <c r="F1999" s="2" t="s">
        <v>9081</v>
      </c>
      <c r="G1999" s="2" t="s">
        <v>9081</v>
      </c>
      <c r="H1999" s="2" t="s">
        <v>9081</v>
      </c>
      <c r="I1999" s="2" t="s">
        <v>9082</v>
      </c>
      <c r="J1999" s="2" t="s">
        <v>546</v>
      </c>
      <c r="K1999" s="2" t="s">
        <v>4401</v>
      </c>
      <c r="L1999" s="3">
        <v>28.68</v>
      </c>
      <c r="M1999" s="3">
        <v>30.11</v>
      </c>
      <c r="N1999" s="3">
        <v>62.99</v>
      </c>
      <c r="O1999" s="2" t="s">
        <v>245</v>
      </c>
      <c r="P1999" s="2" t="s">
        <v>272</v>
      </c>
      <c r="Q1999" s="2" t="s">
        <v>239</v>
      </c>
      <c r="R1999" s="2" t="s">
        <v>233</v>
      </c>
      <c r="S1999" s="2" t="s">
        <v>9122</v>
      </c>
      <c r="T1999" s="2" t="s">
        <v>3950</v>
      </c>
      <c r="U1999" s="2" t="s">
        <v>342</v>
      </c>
      <c r="V1999" s="2" t="s">
        <v>241</v>
      </c>
      <c r="W1999" s="2" t="s">
        <v>275</v>
      </c>
      <c r="X1999" s="2" t="s">
        <v>397</v>
      </c>
      <c r="Y1999" s="2" t="s">
        <v>1383</v>
      </c>
      <c r="Z1999" s="4"/>
      <c r="AA1999" s="4">
        <f>=ROUNDDOWN({0},0)</f>
      </c>
      <c r="AB1999" s="5">
        <v>7</v>
      </c>
      <c r="AC1999" s="2" t="s">
        <v>1341</v>
      </c>
      <c r="AD1999" s="4">
        <v>51</v>
      </c>
      <c r="AE1999" s="4">
        <v>51</v>
      </c>
      <c r="AF1999" s="6">
        <v>65</v>
      </c>
      <c r="AG1999" s="6"/>
      <c r="AH1999" s="7">
        <v>0</v>
      </c>
      <c r="AI1999" s="4"/>
      <c r="AJ1999" s="4">
        <f>=ROUNDDOWN({0},0)</f>
      </c>
      <c r="AK1999" s="5"/>
      <c r="AL1999" s="2" t="s">
        <v>233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 t="s">
        <v>233</v>
      </c>
      <c r="AW1999" s="8" t="s">
        <v>233</v>
      </c>
      <c r="AX1999" s="4" t="s">
        <v>233</v>
      </c>
      <c r="AY1999" s="8" t="s">
        <v>233</v>
      </c>
      <c r="AZ1999" s="7" t="s">
        <v>233</v>
      </c>
      <c r="BA1999" s="7" t="s">
        <v>233</v>
      </c>
      <c r="BB1999" s="7"/>
      <c r="BC1999" s="4" t="s">
        <v>233</v>
      </c>
      <c r="BD1999" s="8" t="s">
        <v>233</v>
      </c>
      <c r="BE1999" s="4" t="s">
        <v>233</v>
      </c>
      <c r="BF1999" s="8" t="s">
        <v>233</v>
      </c>
      <c r="BG1999" s="7" t="s">
        <v>233</v>
      </c>
      <c r="BH1999" s="7" t="s">
        <v>233</v>
      </c>
      <c r="BI1999" s="7"/>
      <c r="BJ1999" s="4"/>
      <c r="BK1999" s="8"/>
      <c r="BL1999" s="2" t="s">
        <v>233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9130</v>
      </c>
      <c r="BV1999" s="2" t="s">
        <v>233</v>
      </c>
      <c r="BW1999" s="2" t="s">
        <v>233</v>
      </c>
      <c r="BX1999" s="2" t="s">
        <v>233</v>
      </c>
      <c r="BY1999" s="2" t="s">
        <v>280</v>
      </c>
      <c r="BZ1999" s="2" t="s">
        <v>245</v>
      </c>
      <c r="CA1999" s="2" t="s">
        <v>1383</v>
      </c>
      <c r="CB1999" s="2" t="s">
        <v>9131</v>
      </c>
      <c r="CC1999" s="2" t="s">
        <v>246</v>
      </c>
      <c r="CD1999" s="2" t="s">
        <v>233</v>
      </c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>
        <v>51</v>
      </c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/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4"/>
      <c r="HE1999" s="4"/>
      <c r="HF1999" s="4"/>
      <c r="HG1999" s="4"/>
      <c r="HH1999" s="4"/>
      <c r="HI1999" s="4"/>
      <c r="HJ1999" s="4"/>
      <c r="HK1999" s="4"/>
      <c r="HL1999" s="4"/>
      <c r="HM1999" s="4"/>
      <c r="HN1999" s="4"/>
      <c r="HO1999" s="4"/>
      <c r="HP1999" s="4"/>
      <c r="HQ1999" s="4"/>
      <c r="HR1999" s="4"/>
    </row>
    <row r="2000">
      <c r="A2000" s="2" t="s">
        <v>9132</v>
      </c>
      <c r="B2000" s="2" t="s">
        <v>333</v>
      </c>
      <c r="C2000" s="2" t="s">
        <v>701</v>
      </c>
      <c r="D2000" s="2" t="s">
        <v>335</v>
      </c>
      <c r="E2000" s="2" t="s">
        <v>336</v>
      </c>
      <c r="F2000" s="2" t="s">
        <v>9081</v>
      </c>
      <c r="G2000" s="2" t="s">
        <v>9081</v>
      </c>
      <c r="H2000" s="2" t="s">
        <v>9081</v>
      </c>
      <c r="I2000" s="2" t="s">
        <v>9082</v>
      </c>
      <c r="J2000" s="2" t="s">
        <v>348</v>
      </c>
      <c r="K2000" s="2" t="s">
        <v>9133</v>
      </c>
      <c r="L2000" s="3">
        <v>25.85</v>
      </c>
      <c r="M2000" s="3">
        <v>27.14</v>
      </c>
      <c r="N2000" s="3">
        <v>55.99</v>
      </c>
      <c r="O2000" s="2" t="s">
        <v>245</v>
      </c>
      <c r="P2000" s="2" t="s">
        <v>763</v>
      </c>
      <c r="Q2000" s="2" t="s">
        <v>239</v>
      </c>
      <c r="R2000" s="2" t="s">
        <v>233</v>
      </c>
      <c r="S2000" s="2" t="s">
        <v>9134</v>
      </c>
      <c r="T2000" s="2" t="s">
        <v>3950</v>
      </c>
      <c r="U2000" s="2" t="s">
        <v>342</v>
      </c>
      <c r="V2000" s="2" t="s">
        <v>241</v>
      </c>
      <c r="W2000" s="2" t="s">
        <v>275</v>
      </c>
      <c r="X2000" s="2" t="s">
        <v>397</v>
      </c>
      <c r="Y2000" s="2" t="s">
        <v>1383</v>
      </c>
      <c r="Z2000" s="4">
        <v>1</v>
      </c>
      <c r="AA2000" s="4">
        <f>=ROUNDDOWN(0.0238095238095238,0)</f>
      </c>
      <c r="AB2000" s="5">
        <v>42</v>
      </c>
      <c r="AC2000" s="2" t="s">
        <v>1341</v>
      </c>
      <c r="AD2000" s="4">
        <v>350</v>
      </c>
      <c r="AE2000" s="4">
        <v>350</v>
      </c>
      <c r="AF2000" s="6">
        <v>65</v>
      </c>
      <c r="AG2000" s="6"/>
      <c r="AH2000" s="7">
        <v>0</v>
      </c>
      <c r="AI2000" s="4"/>
      <c r="AJ2000" s="4">
        <f>=ROUNDDOWN({0},0)</f>
      </c>
      <c r="AK2000" s="5"/>
      <c r="AL2000" s="2" t="s">
        <v>233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 t="s">
        <v>233</v>
      </c>
      <c r="AW2000" s="8" t="s">
        <v>233</v>
      </c>
      <c r="AX2000" s="4" t="s">
        <v>233</v>
      </c>
      <c r="AY2000" s="8" t="s">
        <v>233</v>
      </c>
      <c r="AZ2000" s="7" t="s">
        <v>233</v>
      </c>
      <c r="BA2000" s="7" t="s">
        <v>233</v>
      </c>
      <c r="BB2000" s="7"/>
      <c r="BC2000" s="4" t="s">
        <v>233</v>
      </c>
      <c r="BD2000" s="8" t="s">
        <v>233</v>
      </c>
      <c r="BE2000" s="4" t="s">
        <v>233</v>
      </c>
      <c r="BF2000" s="8" t="s">
        <v>233</v>
      </c>
      <c r="BG2000" s="7" t="s">
        <v>233</v>
      </c>
      <c r="BH2000" s="7" t="s">
        <v>233</v>
      </c>
      <c r="BI2000" s="7"/>
      <c r="BJ2000" s="4">
        <v>1</v>
      </c>
      <c r="BK2000" s="8">
        <v>55.99</v>
      </c>
      <c r="BL2000" s="2" t="s">
        <v>4620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9135</v>
      </c>
      <c r="BV2000" s="2" t="s">
        <v>233</v>
      </c>
      <c r="BW2000" s="2" t="s">
        <v>233</v>
      </c>
      <c r="BX2000" s="2" t="s">
        <v>233</v>
      </c>
      <c r="BY2000" s="2" t="s">
        <v>280</v>
      </c>
      <c r="BZ2000" s="2" t="s">
        <v>245</v>
      </c>
      <c r="CA2000" s="2" t="s">
        <v>1383</v>
      </c>
      <c r="CB2000" s="2" t="s">
        <v>9136</v>
      </c>
      <c r="CC2000" s="2" t="s">
        <v>246</v>
      </c>
      <c r="CD2000" s="2" t="s">
        <v>233</v>
      </c>
      <c r="CE2000" s="4">
        <v>1</v>
      </c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>
        <v>350</v>
      </c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/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4"/>
      <c r="HE2000" s="4"/>
      <c r="HF2000" s="4"/>
      <c r="HG2000" s="4"/>
      <c r="HH2000" s="4"/>
      <c r="HI2000" s="4"/>
      <c r="HJ2000" s="4"/>
      <c r="HK2000" s="4"/>
      <c r="HL2000" s="4"/>
      <c r="HM2000" s="4"/>
      <c r="HN2000" s="4"/>
      <c r="HO2000" s="4"/>
      <c r="HP2000" s="4"/>
      <c r="HQ2000" s="4"/>
      <c r="HR2000" s="4"/>
    </row>
    <row r="2001">
      <c r="A2001" s="2" t="s">
        <v>9137</v>
      </c>
      <c r="B2001" s="2" t="s">
        <v>333</v>
      </c>
      <c r="C2001" s="2" t="s">
        <v>701</v>
      </c>
      <c r="D2001" s="2" t="s">
        <v>335</v>
      </c>
      <c r="E2001" s="2" t="s">
        <v>336</v>
      </c>
      <c r="F2001" s="2" t="s">
        <v>9081</v>
      </c>
      <c r="G2001" s="2" t="s">
        <v>9081</v>
      </c>
      <c r="H2001" s="2" t="s">
        <v>9081</v>
      </c>
      <c r="I2001" s="2" t="s">
        <v>9082</v>
      </c>
      <c r="J2001" s="2" t="s">
        <v>328</v>
      </c>
      <c r="K2001" s="2" t="s">
        <v>9133</v>
      </c>
      <c r="L2001" s="3">
        <v>28.68</v>
      </c>
      <c r="M2001" s="3">
        <v>30.11</v>
      </c>
      <c r="N2001" s="3">
        <v>62.99</v>
      </c>
      <c r="O2001" s="2" t="s">
        <v>245</v>
      </c>
      <c r="P2001" s="2" t="s">
        <v>272</v>
      </c>
      <c r="Q2001" s="2" t="s">
        <v>239</v>
      </c>
      <c r="R2001" s="2" t="s">
        <v>233</v>
      </c>
      <c r="S2001" s="2" t="s">
        <v>9134</v>
      </c>
      <c r="T2001" s="2" t="s">
        <v>3950</v>
      </c>
      <c r="U2001" s="2" t="s">
        <v>342</v>
      </c>
      <c r="V2001" s="2" t="s">
        <v>241</v>
      </c>
      <c r="W2001" s="2" t="s">
        <v>275</v>
      </c>
      <c r="X2001" s="2" t="s">
        <v>397</v>
      </c>
      <c r="Y2001" s="2" t="s">
        <v>1383</v>
      </c>
      <c r="Z2001" s="4">
        <v>1</v>
      </c>
      <c r="AA2001" s="4">
        <f>=ROUNDDOWN(0.0909090909090909,0)</f>
      </c>
      <c r="AB2001" s="5">
        <v>11</v>
      </c>
      <c r="AC2001" s="2" t="s">
        <v>1341</v>
      </c>
      <c r="AD2001" s="4">
        <v>100</v>
      </c>
      <c r="AE2001" s="4">
        <v>100</v>
      </c>
      <c r="AF2001" s="6">
        <v>65</v>
      </c>
      <c r="AG2001" s="6"/>
      <c r="AH2001" s="7">
        <v>0</v>
      </c>
      <c r="AI2001" s="4"/>
      <c r="AJ2001" s="4">
        <f>=ROUNDDOWN({0},0)</f>
      </c>
      <c r="AK2001" s="5"/>
      <c r="AL2001" s="2" t="s">
        <v>233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233</v>
      </c>
      <c r="AW2001" s="8" t="s">
        <v>233</v>
      </c>
      <c r="AX2001" s="4" t="s">
        <v>233</v>
      </c>
      <c r="AY2001" s="8" t="s">
        <v>233</v>
      </c>
      <c r="AZ2001" s="7" t="s">
        <v>233</v>
      </c>
      <c r="BA2001" s="7" t="s">
        <v>233</v>
      </c>
      <c r="BB2001" s="7"/>
      <c r="BC2001" s="4" t="s">
        <v>233</v>
      </c>
      <c r="BD2001" s="8" t="s">
        <v>233</v>
      </c>
      <c r="BE2001" s="4" t="s">
        <v>233</v>
      </c>
      <c r="BF2001" s="8" t="s">
        <v>233</v>
      </c>
      <c r="BG2001" s="7" t="s">
        <v>233</v>
      </c>
      <c r="BH2001" s="7" t="s">
        <v>233</v>
      </c>
      <c r="BI2001" s="7"/>
      <c r="BJ2001" s="4"/>
      <c r="BK2001" s="8"/>
      <c r="BL2001" s="2" t="s">
        <v>744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9138</v>
      </c>
      <c r="BV2001" s="2" t="s">
        <v>233</v>
      </c>
      <c r="BW2001" s="2" t="s">
        <v>233</v>
      </c>
      <c r="BX2001" s="2" t="s">
        <v>233</v>
      </c>
      <c r="BY2001" s="2" t="s">
        <v>280</v>
      </c>
      <c r="BZ2001" s="2" t="s">
        <v>245</v>
      </c>
      <c r="CA2001" s="2" t="s">
        <v>1383</v>
      </c>
      <c r="CB2001" s="2" t="s">
        <v>9139</v>
      </c>
      <c r="CC2001" s="2" t="s">
        <v>246</v>
      </c>
      <c r="CD2001" s="2" t="s">
        <v>233</v>
      </c>
      <c r="CE2001" s="4">
        <v>1</v>
      </c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>
        <v>100</v>
      </c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/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4"/>
      <c r="HE2001" s="4"/>
      <c r="HF2001" s="4"/>
      <c r="HG2001" s="4"/>
      <c r="HH2001" s="4"/>
      <c r="HI2001" s="4"/>
      <c r="HJ2001" s="4"/>
      <c r="HK2001" s="4"/>
      <c r="HL2001" s="4"/>
      <c r="HM2001" s="4"/>
      <c r="HN2001" s="4"/>
      <c r="HO2001" s="4"/>
      <c r="HP2001" s="4"/>
      <c r="HQ2001" s="4"/>
      <c r="HR2001" s="4"/>
    </row>
    <row r="2002">
      <c r="A2002" s="2" t="s">
        <v>9140</v>
      </c>
      <c r="B2002" s="2" t="s">
        <v>333</v>
      </c>
      <c r="C2002" s="2" t="s">
        <v>701</v>
      </c>
      <c r="D2002" s="2" t="s">
        <v>335</v>
      </c>
      <c r="E2002" s="2" t="s">
        <v>336</v>
      </c>
      <c r="F2002" s="2" t="s">
        <v>9081</v>
      </c>
      <c r="G2002" s="2" t="s">
        <v>9081</v>
      </c>
      <c r="H2002" s="2" t="s">
        <v>9081</v>
      </c>
      <c r="I2002" s="2" t="s">
        <v>9082</v>
      </c>
      <c r="J2002" s="2" t="s">
        <v>546</v>
      </c>
      <c r="K2002" s="2" t="s">
        <v>9133</v>
      </c>
      <c r="L2002" s="3">
        <v>28.68</v>
      </c>
      <c r="M2002" s="3">
        <v>30.11</v>
      </c>
      <c r="N2002" s="3">
        <v>62.99</v>
      </c>
      <c r="O2002" s="2" t="s">
        <v>245</v>
      </c>
      <c r="P2002" s="2" t="s">
        <v>272</v>
      </c>
      <c r="Q2002" s="2" t="s">
        <v>239</v>
      </c>
      <c r="R2002" s="2" t="s">
        <v>233</v>
      </c>
      <c r="S2002" s="2" t="s">
        <v>9134</v>
      </c>
      <c r="T2002" s="2" t="s">
        <v>3950</v>
      </c>
      <c r="U2002" s="2" t="s">
        <v>342</v>
      </c>
      <c r="V2002" s="2" t="s">
        <v>241</v>
      </c>
      <c r="W2002" s="2" t="s">
        <v>275</v>
      </c>
      <c r="X2002" s="2" t="s">
        <v>397</v>
      </c>
      <c r="Y2002" s="2" t="s">
        <v>1383</v>
      </c>
      <c r="Z2002" s="4">
        <v>1</v>
      </c>
      <c r="AA2002" s="4">
        <f>=ROUNDDOWN(0.142857142857143,0)</f>
      </c>
      <c r="AB2002" s="5">
        <v>7</v>
      </c>
      <c r="AC2002" s="2" t="s">
        <v>1341</v>
      </c>
      <c r="AD2002" s="4">
        <v>39</v>
      </c>
      <c r="AE2002" s="4">
        <v>39</v>
      </c>
      <c r="AF2002" s="6">
        <v>65</v>
      </c>
      <c r="AG2002" s="6"/>
      <c r="AH2002" s="7">
        <v>0</v>
      </c>
      <c r="AI2002" s="4"/>
      <c r="AJ2002" s="4">
        <f>=ROUNDDOWN({0},0)</f>
      </c>
      <c r="AK2002" s="5"/>
      <c r="AL2002" s="2" t="s">
        <v>233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233</v>
      </c>
      <c r="AW2002" s="8" t="s">
        <v>233</v>
      </c>
      <c r="AX2002" s="4" t="s">
        <v>233</v>
      </c>
      <c r="AY2002" s="8" t="s">
        <v>233</v>
      </c>
      <c r="AZ2002" s="7" t="s">
        <v>233</v>
      </c>
      <c r="BA2002" s="7" t="s">
        <v>233</v>
      </c>
      <c r="BB2002" s="7"/>
      <c r="BC2002" s="4" t="s">
        <v>233</v>
      </c>
      <c r="BD2002" s="8" t="s">
        <v>233</v>
      </c>
      <c r="BE2002" s="4" t="s">
        <v>233</v>
      </c>
      <c r="BF2002" s="8" t="s">
        <v>233</v>
      </c>
      <c r="BG2002" s="7" t="s">
        <v>233</v>
      </c>
      <c r="BH2002" s="7" t="s">
        <v>233</v>
      </c>
      <c r="BI2002" s="7"/>
      <c r="BJ2002" s="4">
        <v>2</v>
      </c>
      <c r="BK2002" s="8">
        <v>93.1</v>
      </c>
      <c r="BL2002" s="2" t="s">
        <v>9123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9141</v>
      </c>
      <c r="BV2002" s="2" t="s">
        <v>233</v>
      </c>
      <c r="BW2002" s="2" t="s">
        <v>233</v>
      </c>
      <c r="BX2002" s="2" t="s">
        <v>233</v>
      </c>
      <c r="BY2002" s="2" t="s">
        <v>280</v>
      </c>
      <c r="BZ2002" s="2" t="s">
        <v>245</v>
      </c>
      <c r="CA2002" s="2" t="s">
        <v>1383</v>
      </c>
      <c r="CB2002" s="2" t="s">
        <v>9142</v>
      </c>
      <c r="CC2002" s="2" t="s">
        <v>246</v>
      </c>
      <c r="CD2002" s="2" t="s">
        <v>233</v>
      </c>
      <c r="CE2002" s="4">
        <v>1</v>
      </c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>
        <v>39</v>
      </c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  <c r="GQ2002" s="4"/>
      <c r="GR2002" s="4"/>
      <c r="GS2002" s="4"/>
      <c r="GT2002" s="4"/>
      <c r="GU2002" s="4"/>
      <c r="GV2002" s="4"/>
      <c r="GW2002" s="4"/>
      <c r="GX2002" s="4"/>
      <c r="GY2002" s="4"/>
      <c r="GZ2002" s="4"/>
      <c r="HA2002" s="4"/>
      <c r="HB2002" s="4"/>
      <c r="HC2002" s="4"/>
      <c r="HD2002" s="4"/>
      <c r="HE2002" s="4"/>
      <c r="HF2002" s="4"/>
      <c r="HG2002" s="4"/>
      <c r="HH2002" s="4"/>
      <c r="HI2002" s="4"/>
      <c r="HJ2002" s="4"/>
      <c r="HK2002" s="4"/>
      <c r="HL2002" s="4"/>
      <c r="HM2002" s="4"/>
      <c r="HN2002" s="4"/>
      <c r="HO2002" s="4"/>
      <c r="HP2002" s="4"/>
      <c r="HQ2002" s="4"/>
      <c r="HR2002" s="4"/>
    </row>
    <row r="2003">
      <c r="A2003" s="2" t="s">
        <v>9143</v>
      </c>
      <c r="B2003" s="2" t="s">
        <v>333</v>
      </c>
      <c r="C2003" s="2" t="s">
        <v>701</v>
      </c>
      <c r="D2003" s="2" t="s">
        <v>335</v>
      </c>
      <c r="E2003" s="2" t="s">
        <v>336</v>
      </c>
      <c r="F2003" s="2" t="s">
        <v>9081</v>
      </c>
      <c r="G2003" s="2" t="s">
        <v>9081</v>
      </c>
      <c r="H2003" s="2" t="s">
        <v>9081</v>
      </c>
      <c r="I2003" s="2" t="s">
        <v>9082</v>
      </c>
      <c r="J2003" s="2" t="s">
        <v>290</v>
      </c>
      <c r="K2003" s="2" t="s">
        <v>9144</v>
      </c>
      <c r="L2003" s="3">
        <v>22</v>
      </c>
      <c r="M2003" s="3">
        <v>23.1</v>
      </c>
      <c r="N2003" s="3">
        <v>47.99</v>
      </c>
      <c r="O2003" s="2" t="s">
        <v>245</v>
      </c>
      <c r="P2003" s="2" t="s">
        <v>272</v>
      </c>
      <c r="Q2003" s="2" t="s">
        <v>239</v>
      </c>
      <c r="R2003" s="2" t="s">
        <v>233</v>
      </c>
      <c r="S2003" s="2" t="s">
        <v>9145</v>
      </c>
      <c r="T2003" s="2" t="s">
        <v>3950</v>
      </c>
      <c r="U2003" s="2" t="s">
        <v>342</v>
      </c>
      <c r="V2003" s="2" t="s">
        <v>379</v>
      </c>
      <c r="W2003" s="2" t="s">
        <v>275</v>
      </c>
      <c r="X2003" s="2" t="s">
        <v>397</v>
      </c>
      <c r="Y2003" s="2" t="s">
        <v>4328</v>
      </c>
      <c r="Z2003" s="4">
        <v>3</v>
      </c>
      <c r="AA2003" s="4">
        <f>=ROUNDDOWN(1.5,0)</f>
      </c>
      <c r="AB2003" s="5">
        <v>2</v>
      </c>
      <c r="AC2003" s="2" t="s">
        <v>1341</v>
      </c>
      <c r="AD2003" s="4">
        <v>20</v>
      </c>
      <c r="AE2003" s="4">
        <v>20</v>
      </c>
      <c r="AF2003" s="6">
        <v>74</v>
      </c>
      <c r="AG2003" s="6"/>
      <c r="AH2003" s="7">
        <v>0</v>
      </c>
      <c r="AI2003" s="4"/>
      <c r="AJ2003" s="4">
        <f>=ROUNDDOWN({0},0)</f>
      </c>
      <c r="AK2003" s="5"/>
      <c r="AL2003" s="2" t="s">
        <v>233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233</v>
      </c>
      <c r="AW2003" s="8" t="s">
        <v>233</v>
      </c>
      <c r="AX2003" s="4" t="s">
        <v>233</v>
      </c>
      <c r="AY2003" s="8" t="s">
        <v>233</v>
      </c>
      <c r="AZ2003" s="7" t="s">
        <v>233</v>
      </c>
      <c r="BA2003" s="7" t="s">
        <v>233</v>
      </c>
      <c r="BB2003" s="7"/>
      <c r="BC2003" s="4" t="s">
        <v>233</v>
      </c>
      <c r="BD2003" s="8" t="s">
        <v>233</v>
      </c>
      <c r="BE2003" s="4" t="s">
        <v>233</v>
      </c>
      <c r="BF2003" s="8" t="s">
        <v>233</v>
      </c>
      <c r="BG2003" s="7" t="s">
        <v>233</v>
      </c>
      <c r="BH2003" s="7" t="s">
        <v>233</v>
      </c>
      <c r="BI2003" s="7"/>
      <c r="BJ2003" s="4"/>
      <c r="BK2003" s="8"/>
      <c r="BL2003" s="2" t="s">
        <v>233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9146</v>
      </c>
      <c r="BV2003" s="2" t="s">
        <v>233</v>
      </c>
      <c r="BW2003" s="2" t="s">
        <v>233</v>
      </c>
      <c r="BX2003" s="2" t="s">
        <v>233</v>
      </c>
      <c r="BY2003" s="2" t="s">
        <v>280</v>
      </c>
      <c r="BZ2003" s="2" t="s">
        <v>245</v>
      </c>
      <c r="CA2003" s="2" t="s">
        <v>2423</v>
      </c>
      <c r="CB2003" s="2" t="s">
        <v>1992</v>
      </c>
      <c r="CC2003" s="2" t="s">
        <v>246</v>
      </c>
      <c r="CD2003" s="2" t="s">
        <v>233</v>
      </c>
      <c r="CE2003" s="4">
        <v>3</v>
      </c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>
        <v>20</v>
      </c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  <c r="GQ2003" s="4"/>
      <c r="GR2003" s="4"/>
      <c r="GS2003" s="4"/>
      <c r="GT2003" s="4"/>
      <c r="GU2003" s="4"/>
      <c r="GV2003" s="4"/>
      <c r="GW2003" s="4"/>
      <c r="GX2003" s="4"/>
      <c r="GY2003" s="4"/>
      <c r="GZ2003" s="4"/>
      <c r="HA2003" s="4"/>
      <c r="HB2003" s="4"/>
      <c r="HC2003" s="4"/>
      <c r="HD2003" s="4"/>
      <c r="HE2003" s="4"/>
      <c r="HF2003" s="4"/>
      <c r="HG2003" s="4"/>
      <c r="HH2003" s="4"/>
      <c r="HI2003" s="4"/>
      <c r="HJ2003" s="4"/>
      <c r="HK2003" s="4"/>
      <c r="HL2003" s="4"/>
      <c r="HM2003" s="4"/>
      <c r="HN2003" s="4"/>
      <c r="HO2003" s="4"/>
      <c r="HP2003" s="4"/>
      <c r="HQ2003" s="4"/>
      <c r="HR2003" s="4"/>
    </row>
    <row r="2004">
      <c r="A2004" s="2" t="s">
        <v>9147</v>
      </c>
      <c r="B2004" s="2" t="s">
        <v>333</v>
      </c>
      <c r="C2004" s="2" t="s">
        <v>701</v>
      </c>
      <c r="D2004" s="2" t="s">
        <v>335</v>
      </c>
      <c r="E2004" s="2" t="s">
        <v>336</v>
      </c>
      <c r="F2004" s="2" t="s">
        <v>9081</v>
      </c>
      <c r="G2004" s="2" t="s">
        <v>9081</v>
      </c>
      <c r="H2004" s="2" t="s">
        <v>9081</v>
      </c>
      <c r="I2004" s="2" t="s">
        <v>9082</v>
      </c>
      <c r="J2004" s="2" t="s">
        <v>348</v>
      </c>
      <c r="K2004" s="2" t="s">
        <v>9144</v>
      </c>
      <c r="L2004" s="3">
        <v>25.85</v>
      </c>
      <c r="M2004" s="3">
        <v>27.14</v>
      </c>
      <c r="N2004" s="3">
        <v>55.99</v>
      </c>
      <c r="O2004" s="2" t="s">
        <v>245</v>
      </c>
      <c r="P2004" s="2" t="s">
        <v>272</v>
      </c>
      <c r="Q2004" s="2" t="s">
        <v>239</v>
      </c>
      <c r="R2004" s="2" t="s">
        <v>233</v>
      </c>
      <c r="S2004" s="2" t="s">
        <v>9145</v>
      </c>
      <c r="T2004" s="2" t="s">
        <v>3950</v>
      </c>
      <c r="U2004" s="2" t="s">
        <v>342</v>
      </c>
      <c r="V2004" s="2" t="s">
        <v>379</v>
      </c>
      <c r="W2004" s="2" t="s">
        <v>275</v>
      </c>
      <c r="X2004" s="2" t="s">
        <v>397</v>
      </c>
      <c r="Y2004" s="2" t="s">
        <v>4328</v>
      </c>
      <c r="Z2004" s="4">
        <v>3</v>
      </c>
      <c r="AA2004" s="4">
        <f>=ROUNDDOWN(0.333333333333333,0)</f>
      </c>
      <c r="AB2004" s="5">
        <v>9</v>
      </c>
      <c r="AC2004" s="2" t="s">
        <v>1341</v>
      </c>
      <c r="AD2004" s="4">
        <v>20</v>
      </c>
      <c r="AE2004" s="4">
        <v>20</v>
      </c>
      <c r="AF2004" s="6">
        <v>74</v>
      </c>
      <c r="AG2004" s="6"/>
      <c r="AH2004" s="7">
        <v>0.1935</v>
      </c>
      <c r="AI2004" s="4"/>
      <c r="AJ2004" s="4">
        <f>=ROUNDDOWN({0},0)</f>
      </c>
      <c r="AK2004" s="5"/>
      <c r="AL2004" s="2" t="s">
        <v>233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233</v>
      </c>
      <c r="AW2004" s="8" t="s">
        <v>233</v>
      </c>
      <c r="AX2004" s="4" t="s">
        <v>233</v>
      </c>
      <c r="AY2004" s="8" t="s">
        <v>233</v>
      </c>
      <c r="AZ2004" s="7" t="s">
        <v>233</v>
      </c>
      <c r="BA2004" s="7" t="s">
        <v>233</v>
      </c>
      <c r="BB2004" s="7"/>
      <c r="BC2004" s="4" t="s">
        <v>233</v>
      </c>
      <c r="BD2004" s="8" t="s">
        <v>233</v>
      </c>
      <c r="BE2004" s="4" t="s">
        <v>233</v>
      </c>
      <c r="BF2004" s="8" t="s">
        <v>233</v>
      </c>
      <c r="BG2004" s="7" t="s">
        <v>233</v>
      </c>
      <c r="BH2004" s="7" t="s">
        <v>233</v>
      </c>
      <c r="BI2004" s="7"/>
      <c r="BJ2004" s="4">
        <v>11</v>
      </c>
      <c r="BK2004" s="8">
        <v>326.16</v>
      </c>
      <c r="BL2004" s="2" t="s">
        <v>9148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9149</v>
      </c>
      <c r="BV2004" s="2" t="s">
        <v>233</v>
      </c>
      <c r="BW2004" s="2" t="s">
        <v>233</v>
      </c>
      <c r="BX2004" s="2" t="s">
        <v>233</v>
      </c>
      <c r="BY2004" s="2" t="s">
        <v>280</v>
      </c>
      <c r="BZ2004" s="2" t="s">
        <v>245</v>
      </c>
      <c r="CA2004" s="2" t="s">
        <v>2423</v>
      </c>
      <c r="CB2004" s="2" t="s">
        <v>4316</v>
      </c>
      <c r="CC2004" s="2" t="s">
        <v>246</v>
      </c>
      <c r="CD2004" s="2" t="s">
        <v>233</v>
      </c>
      <c r="CE2004" s="4">
        <v>3</v>
      </c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>
        <v>20</v>
      </c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4"/>
      <c r="HE2004" s="4"/>
      <c r="HF2004" s="4"/>
      <c r="HG2004" s="4"/>
      <c r="HH2004" s="4"/>
      <c r="HI2004" s="4"/>
      <c r="HJ2004" s="4"/>
      <c r="HK2004" s="4"/>
      <c r="HL2004" s="4"/>
      <c r="HM2004" s="4"/>
      <c r="HN2004" s="4"/>
      <c r="HO2004" s="4"/>
      <c r="HP2004" s="4"/>
      <c r="HQ2004" s="4"/>
      <c r="HR2004" s="4"/>
    </row>
    <row r="2005">
      <c r="A2005" s="2" t="s">
        <v>9150</v>
      </c>
      <c r="B2005" s="2" t="s">
        <v>910</v>
      </c>
      <c r="C2005" s="2" t="s">
        <v>911</v>
      </c>
      <c r="D2005" s="2" t="s">
        <v>1194</v>
      </c>
      <c r="E2005" s="2" t="s">
        <v>1195</v>
      </c>
      <c r="F2005" s="2" t="s">
        <v>9151</v>
      </c>
      <c r="G2005" s="2" t="s">
        <v>9151</v>
      </c>
      <c r="H2005" s="2" t="s">
        <v>9151</v>
      </c>
      <c r="I2005" s="2" t="s">
        <v>9152</v>
      </c>
      <c r="J2005" s="2" t="s">
        <v>892</v>
      </c>
      <c r="K2005" s="2" t="s">
        <v>255</v>
      </c>
      <c r="L2005" s="3">
        <v>32.5</v>
      </c>
      <c r="M2005" s="3">
        <v>34.12</v>
      </c>
      <c r="N2005" s="3">
        <v>64.99</v>
      </c>
      <c r="O2005" s="2" t="s">
        <v>245</v>
      </c>
      <c r="P2005" s="2" t="s">
        <v>1366</v>
      </c>
      <c r="Q2005" s="2" t="s">
        <v>239</v>
      </c>
      <c r="R2005" s="2" t="s">
        <v>233</v>
      </c>
      <c r="S2005" s="2" t="s">
        <v>233</v>
      </c>
      <c r="T2005" s="2" t="s">
        <v>341</v>
      </c>
      <c r="U2005" s="2" t="s">
        <v>396</v>
      </c>
      <c r="V2005" s="2" t="s">
        <v>241</v>
      </c>
      <c r="W2005" s="2" t="s">
        <v>275</v>
      </c>
      <c r="X2005" s="2" t="s">
        <v>705</v>
      </c>
      <c r="Y2005" s="2" t="s">
        <v>2442</v>
      </c>
      <c r="Z2005" s="4">
        <v>167</v>
      </c>
      <c r="AA2005" s="4">
        <f>=ROUNDDOWN(20.875,0)</f>
      </c>
      <c r="AB2005" s="5">
        <v>8</v>
      </c>
      <c r="AC2005" s="2" t="s">
        <v>1701</v>
      </c>
      <c r="AD2005" s="4">
        <v>450</v>
      </c>
      <c r="AE2005" s="4">
        <v>900</v>
      </c>
      <c r="AF2005" s="6">
        <v>64</v>
      </c>
      <c r="AG2005" s="6"/>
      <c r="AH2005" s="7">
        <v>1</v>
      </c>
      <c r="AI2005" s="4"/>
      <c r="AJ2005" s="4">
        <f>=ROUNDDOWN({0},0)</f>
      </c>
      <c r="AK2005" s="5"/>
      <c r="AL2005" s="2" t="s">
        <v>233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/>
      <c r="BD2005" s="8"/>
      <c r="BE2005" s="4"/>
      <c r="BF2005" s="8"/>
      <c r="BG2005" s="7"/>
      <c r="BH2005" s="7"/>
      <c r="BI2005" s="7"/>
      <c r="BJ2005" s="4">
        <v>99</v>
      </c>
      <c r="BK2005" s="8">
        <v>3262.81</v>
      </c>
      <c r="BL2005" s="2" t="s">
        <v>9153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9154</v>
      </c>
      <c r="BV2005" s="2" t="s">
        <v>233</v>
      </c>
      <c r="BW2005" s="2" t="s">
        <v>233</v>
      </c>
      <c r="BX2005" s="2" t="s">
        <v>233</v>
      </c>
      <c r="BY2005" s="2" t="s">
        <v>280</v>
      </c>
      <c r="BZ2005" s="2" t="s">
        <v>245</v>
      </c>
      <c r="CA2005" s="2" t="s">
        <v>9155</v>
      </c>
      <c r="CB2005" s="2" t="s">
        <v>9156</v>
      </c>
      <c r="CC2005" s="2" t="s">
        <v>246</v>
      </c>
      <c r="CD2005" s="2" t="s">
        <v>233</v>
      </c>
      <c r="CE2005" s="4">
        <v>167</v>
      </c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>
        <v>450</v>
      </c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>
        <v>450</v>
      </c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4"/>
      <c r="HE2005" s="4"/>
      <c r="HF2005" s="4"/>
      <c r="HG2005" s="4"/>
      <c r="HH2005" s="4"/>
      <c r="HI2005" s="4"/>
      <c r="HJ2005" s="4"/>
      <c r="HK2005" s="4"/>
      <c r="HL2005" s="4"/>
      <c r="HM2005" s="4"/>
      <c r="HN2005" s="4"/>
      <c r="HO2005" s="4"/>
      <c r="HP2005" s="4"/>
      <c r="HQ2005" s="4"/>
      <c r="HR2005" s="4"/>
    </row>
    <row r="2006">
      <c r="A2006" s="2" t="s">
        <v>9157</v>
      </c>
      <c r="B2006" s="2" t="s">
        <v>228</v>
      </c>
      <c r="C2006" s="2" t="s">
        <v>701</v>
      </c>
      <c r="D2006" s="2" t="s">
        <v>3847</v>
      </c>
      <c r="E2006" s="2" t="s">
        <v>6221</v>
      </c>
      <c r="F2006" s="2" t="s">
        <v>9158</v>
      </c>
      <c r="G2006" s="2" t="s">
        <v>9158</v>
      </c>
      <c r="H2006" s="2" t="s">
        <v>9158</v>
      </c>
      <c r="I2006" s="2" t="s">
        <v>9159</v>
      </c>
      <c r="J2006" s="2" t="s">
        <v>6223</v>
      </c>
      <c r="K2006" s="2" t="s">
        <v>4572</v>
      </c>
      <c r="L2006" s="3">
        <v>40</v>
      </c>
      <c r="M2006" s="3">
        <v>42</v>
      </c>
      <c r="N2006" s="3">
        <v>79.99</v>
      </c>
      <c r="O2006" s="2" t="s">
        <v>237</v>
      </c>
      <c r="P2006" s="2" t="s">
        <v>996</v>
      </c>
      <c r="Q2006" s="2" t="s">
        <v>239</v>
      </c>
      <c r="R2006" s="2" t="s">
        <v>233</v>
      </c>
      <c r="S2006" s="2" t="s">
        <v>9160</v>
      </c>
      <c r="T2006" s="2" t="s">
        <v>1622</v>
      </c>
      <c r="U2006" s="2" t="s">
        <v>396</v>
      </c>
      <c r="V2006" s="2" t="s">
        <v>3951</v>
      </c>
      <c r="W2006" s="2" t="s">
        <v>275</v>
      </c>
      <c r="X2006" s="2" t="s">
        <v>233</v>
      </c>
      <c r="Y2006" s="2" t="s">
        <v>4192</v>
      </c>
      <c r="Z2006" s="4">
        <v>563</v>
      </c>
      <c r="AA2006" s="4">
        <f>=ROUNDDOWN(62.5555555555556,0)</f>
      </c>
      <c r="AB2006" s="5">
        <v>9</v>
      </c>
      <c r="AC2006" s="2" t="s">
        <v>233</v>
      </c>
      <c r="AD2006" s="4"/>
      <c r="AE2006" s="4"/>
      <c r="AF2006" s="6">
        <v>61</v>
      </c>
      <c r="AG2006" s="6"/>
      <c r="AH2006" s="7">
        <v>1</v>
      </c>
      <c r="AI2006" s="4"/>
      <c r="AJ2006" s="4">
        <f>=ROUNDDOWN({0},0)</f>
      </c>
      <c r="AK2006" s="5"/>
      <c r="AL2006" s="2" t="s">
        <v>233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/>
      <c r="BD2006" s="8"/>
      <c r="BE2006" s="4"/>
      <c r="BF2006" s="8"/>
      <c r="BG2006" s="7"/>
      <c r="BH2006" s="7"/>
      <c r="BI2006" s="7"/>
      <c r="BJ2006" s="4">
        <v>19</v>
      </c>
      <c r="BK2006" s="8">
        <v>811.58</v>
      </c>
      <c r="BL2006" s="2" t="s">
        <v>9161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9162</v>
      </c>
      <c r="BV2006" s="2" t="s">
        <v>233</v>
      </c>
      <c r="BW2006" s="2" t="s">
        <v>233</v>
      </c>
      <c r="BX2006" s="2" t="s">
        <v>233</v>
      </c>
      <c r="BY2006" s="2" t="s">
        <v>280</v>
      </c>
      <c r="BZ2006" s="2" t="s">
        <v>245</v>
      </c>
      <c r="CA2006" s="2" t="s">
        <v>4299</v>
      </c>
      <c r="CB2006" s="2" t="s">
        <v>5436</v>
      </c>
      <c r="CC2006" s="2" t="s">
        <v>246</v>
      </c>
      <c r="CD2006" s="2" t="s">
        <v>233</v>
      </c>
      <c r="CE2006" s="4">
        <v>563</v>
      </c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  <c r="HF2006" s="4"/>
      <c r="HG2006" s="4"/>
      <c r="HH2006" s="4"/>
      <c r="HI2006" s="4"/>
      <c r="HJ2006" s="4"/>
      <c r="HK2006" s="4"/>
      <c r="HL2006" s="4"/>
      <c r="HM2006" s="4"/>
      <c r="HN2006" s="4"/>
      <c r="HO2006" s="4"/>
      <c r="HP2006" s="4"/>
      <c r="HQ2006" s="4"/>
      <c r="HR2006" s="4"/>
    </row>
    <row r="2007">
      <c r="A2007" s="2" t="s">
        <v>9163</v>
      </c>
      <c r="B2007" s="2" t="s">
        <v>1066</v>
      </c>
      <c r="C2007" s="2" t="s">
        <v>530</v>
      </c>
      <c r="D2007" s="2" t="s">
        <v>1067</v>
      </c>
      <c r="E2007" s="2" t="s">
        <v>1068</v>
      </c>
      <c r="F2007" s="2" t="s">
        <v>9164</v>
      </c>
      <c r="G2007" s="2" t="s">
        <v>2557</v>
      </c>
      <c r="H2007" s="2" t="s">
        <v>8729</v>
      </c>
      <c r="I2007" s="2" t="s">
        <v>9165</v>
      </c>
      <c r="J2007" s="2" t="s">
        <v>892</v>
      </c>
      <c r="K2007" s="2" t="s">
        <v>9166</v>
      </c>
      <c r="L2007" s="3">
        <v>199.5</v>
      </c>
      <c r="M2007" s="3">
        <v>209.48</v>
      </c>
      <c r="N2007" s="3">
        <v>419</v>
      </c>
      <c r="O2007" s="2" t="s">
        <v>245</v>
      </c>
      <c r="P2007" s="2" t="s">
        <v>272</v>
      </c>
      <c r="Q2007" s="2" t="s">
        <v>239</v>
      </c>
      <c r="R2007" s="2" t="s">
        <v>233</v>
      </c>
      <c r="S2007" s="2" t="s">
        <v>9167</v>
      </c>
      <c r="T2007" s="2" t="s">
        <v>233</v>
      </c>
      <c r="U2007" s="2" t="s">
        <v>233</v>
      </c>
      <c r="V2007" s="2" t="s">
        <v>241</v>
      </c>
      <c r="W2007" s="2" t="s">
        <v>894</v>
      </c>
      <c r="X2007" s="2" t="s">
        <v>233</v>
      </c>
      <c r="Y2007" s="2" t="s">
        <v>276</v>
      </c>
      <c r="Z2007" s="4">
        <v>166</v>
      </c>
      <c r="AA2007" s="4">
        <f>=ROUNDDOWN(20.75,0)</f>
      </c>
      <c r="AB2007" s="5">
        <v>8</v>
      </c>
      <c r="AC2007" s="2" t="s">
        <v>299</v>
      </c>
      <c r="AD2007" s="4">
        <v>164</v>
      </c>
      <c r="AE2007" s="4">
        <v>164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233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 t="s">
        <v>233</v>
      </c>
      <c r="BD2007" s="8" t="s">
        <v>233</v>
      </c>
      <c r="BE2007" s="4" t="s">
        <v>233</v>
      </c>
      <c r="BF2007" s="8" t="s">
        <v>233</v>
      </c>
      <c r="BG2007" s="7" t="s">
        <v>233</v>
      </c>
      <c r="BH2007" s="7" t="s">
        <v>233</v>
      </c>
      <c r="BI2007" s="7"/>
      <c r="BJ2007" s="4">
        <v>34</v>
      </c>
      <c r="BK2007" s="8">
        <v>6046.68</v>
      </c>
      <c r="BL2007" s="2" t="s">
        <v>8824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9168</v>
      </c>
      <c r="BV2007" s="2" t="s">
        <v>233</v>
      </c>
      <c r="BW2007" s="2" t="s">
        <v>233</v>
      </c>
      <c r="BX2007" s="2" t="s">
        <v>233</v>
      </c>
      <c r="BY2007" s="2" t="s">
        <v>280</v>
      </c>
      <c r="BZ2007" s="2" t="s">
        <v>245</v>
      </c>
      <c r="CA2007" s="2" t="s">
        <v>281</v>
      </c>
      <c r="CB2007" s="2" t="s">
        <v>9169</v>
      </c>
      <c r="CC2007" s="2" t="s">
        <v>246</v>
      </c>
      <c r="CD2007" s="2" t="s">
        <v>233</v>
      </c>
      <c r="CE2007" s="4"/>
      <c r="CF2007" s="4">
        <v>166</v>
      </c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>
        <v>164</v>
      </c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  <c r="HF2007" s="4"/>
      <c r="HG2007" s="4"/>
      <c r="HH2007" s="4"/>
      <c r="HI2007" s="4"/>
      <c r="HJ2007" s="4"/>
      <c r="HK2007" s="4"/>
      <c r="HL2007" s="4"/>
      <c r="HM2007" s="4"/>
      <c r="HN2007" s="4"/>
      <c r="HO2007" s="4"/>
      <c r="HP2007" s="4"/>
      <c r="HQ2007" s="4"/>
      <c r="HR2007" s="4"/>
    </row>
    <row r="2008">
      <c r="A2008" s="2" t="s">
        <v>9170</v>
      </c>
      <c r="B2008" s="2" t="s">
        <v>1066</v>
      </c>
      <c r="C2008" s="2" t="s">
        <v>530</v>
      </c>
      <c r="D2008" s="2" t="s">
        <v>1067</v>
      </c>
      <c r="E2008" s="2" t="s">
        <v>1068</v>
      </c>
      <c r="F2008" s="2" t="s">
        <v>9164</v>
      </c>
      <c r="G2008" s="2" t="s">
        <v>2557</v>
      </c>
      <c r="H2008" s="2" t="s">
        <v>8729</v>
      </c>
      <c r="I2008" s="2" t="s">
        <v>9165</v>
      </c>
      <c r="J2008" s="2" t="s">
        <v>892</v>
      </c>
      <c r="K2008" s="2" t="s">
        <v>449</v>
      </c>
      <c r="L2008" s="3">
        <v>199.5</v>
      </c>
      <c r="M2008" s="3">
        <v>209.48</v>
      </c>
      <c r="N2008" s="3">
        <v>419</v>
      </c>
      <c r="O2008" s="2" t="s">
        <v>245</v>
      </c>
      <c r="P2008" s="2" t="s">
        <v>393</v>
      </c>
      <c r="Q2008" s="2" t="s">
        <v>239</v>
      </c>
      <c r="R2008" s="2" t="s">
        <v>233</v>
      </c>
      <c r="S2008" s="2" t="s">
        <v>9171</v>
      </c>
      <c r="T2008" s="2" t="s">
        <v>233</v>
      </c>
      <c r="U2008" s="2" t="s">
        <v>233</v>
      </c>
      <c r="V2008" s="2" t="s">
        <v>241</v>
      </c>
      <c r="W2008" s="2" t="s">
        <v>894</v>
      </c>
      <c r="X2008" s="2" t="s">
        <v>233</v>
      </c>
      <c r="Y2008" s="2" t="s">
        <v>276</v>
      </c>
      <c r="Z2008" s="4">
        <v>147</v>
      </c>
      <c r="AA2008" s="4">
        <f>=ROUNDDOWN(91.875,0)</f>
      </c>
      <c r="AB2008" s="5">
        <v>1.6</v>
      </c>
      <c r="AC2008" s="2" t="s">
        <v>233</v>
      </c>
      <c r="AD2008" s="4"/>
      <c r="AE2008" s="4"/>
      <c r="AF2008" s="6">
        <v>65</v>
      </c>
      <c r="AG2008" s="6">
        <v>48</v>
      </c>
      <c r="AH2008" s="7">
        <v>1</v>
      </c>
      <c r="AI2008" s="4"/>
      <c r="AJ2008" s="4">
        <f>=ROUNDDOWN({0},0)</f>
      </c>
      <c r="AK2008" s="5"/>
      <c r="AL2008" s="2" t="s">
        <v>233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 t="s">
        <v>233</v>
      </c>
      <c r="BD2008" s="8" t="s">
        <v>233</v>
      </c>
      <c r="BE2008" s="4" t="s">
        <v>233</v>
      </c>
      <c r="BF2008" s="8" t="s">
        <v>233</v>
      </c>
      <c r="BG2008" s="7" t="s">
        <v>233</v>
      </c>
      <c r="BH2008" s="7" t="s">
        <v>233</v>
      </c>
      <c r="BI2008" s="7"/>
      <c r="BJ2008" s="4">
        <v>6</v>
      </c>
      <c r="BK2008" s="8">
        <v>1131.04</v>
      </c>
      <c r="BL2008" s="2" t="s">
        <v>9172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9173</v>
      </c>
      <c r="BV2008" s="2" t="s">
        <v>233</v>
      </c>
      <c r="BW2008" s="2" t="s">
        <v>233</v>
      </c>
      <c r="BX2008" s="2" t="s">
        <v>233</v>
      </c>
      <c r="BY2008" s="2" t="s">
        <v>280</v>
      </c>
      <c r="BZ2008" s="2" t="s">
        <v>245</v>
      </c>
      <c r="CA2008" s="2" t="s">
        <v>281</v>
      </c>
      <c r="CB2008" s="2" t="s">
        <v>8217</v>
      </c>
      <c r="CC2008" s="2" t="s">
        <v>246</v>
      </c>
      <c r="CD2008" s="2" t="s">
        <v>233</v>
      </c>
      <c r="CE2008" s="4"/>
      <c r="CF2008" s="4">
        <v>147</v>
      </c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  <c r="HF2008" s="4"/>
      <c r="HG2008" s="4"/>
      <c r="HH2008" s="4"/>
      <c r="HI2008" s="4"/>
      <c r="HJ2008" s="4"/>
      <c r="HK2008" s="4"/>
      <c r="HL2008" s="4"/>
      <c r="HM2008" s="4"/>
      <c r="HN2008" s="4"/>
      <c r="HO2008" s="4"/>
      <c r="HP2008" s="4"/>
      <c r="HQ2008" s="4"/>
      <c r="HR2008" s="4"/>
    </row>
    <row r="2009">
      <c r="A2009" s="2" t="s">
        <v>9174</v>
      </c>
      <c r="B2009" s="2" t="s">
        <v>886</v>
      </c>
      <c r="C2009" s="2" t="s">
        <v>901</v>
      </c>
      <c r="D2009" s="2" t="s">
        <v>1122</v>
      </c>
      <c r="E2009" s="2" t="s">
        <v>1123</v>
      </c>
      <c r="F2009" s="2" t="s">
        <v>9175</v>
      </c>
      <c r="G2009" s="2" t="s">
        <v>9175</v>
      </c>
      <c r="H2009" s="2" t="s">
        <v>9175</v>
      </c>
      <c r="I2009" s="2" t="s">
        <v>9176</v>
      </c>
      <c r="J2009" s="2" t="s">
        <v>892</v>
      </c>
      <c r="K2009" s="2" t="s">
        <v>9177</v>
      </c>
      <c r="L2009" s="3">
        <v>85.81</v>
      </c>
      <c r="M2009" s="3">
        <v>90.1</v>
      </c>
      <c r="N2009" s="3">
        <v>179.99</v>
      </c>
      <c r="O2009" s="2" t="s">
        <v>245</v>
      </c>
      <c r="P2009" s="2" t="s">
        <v>311</v>
      </c>
      <c r="Q2009" s="2" t="s">
        <v>239</v>
      </c>
      <c r="R2009" s="2" t="s">
        <v>233</v>
      </c>
      <c r="S2009" s="2" t="s">
        <v>233</v>
      </c>
      <c r="T2009" s="2" t="s">
        <v>233</v>
      </c>
      <c r="U2009" s="2" t="s">
        <v>396</v>
      </c>
      <c r="V2009" s="2" t="s">
        <v>893</v>
      </c>
      <c r="W2009" s="2" t="s">
        <v>397</v>
      </c>
      <c r="X2009" s="2" t="s">
        <v>233</v>
      </c>
      <c r="Y2009" s="2" t="s">
        <v>2778</v>
      </c>
      <c r="Z2009" s="4">
        <v>182</v>
      </c>
      <c r="AA2009" s="4">
        <f>=ROUNDDOWN(455,0)</f>
      </c>
      <c r="AB2009" s="5">
        <v>0.4</v>
      </c>
      <c r="AC2009" s="2" t="s">
        <v>233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233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/>
      <c r="BD2009" s="8"/>
      <c r="BE2009" s="4"/>
      <c r="BF2009" s="8"/>
      <c r="BG2009" s="7"/>
      <c r="BH2009" s="7"/>
      <c r="BI2009" s="7"/>
      <c r="BJ2009" s="4">
        <v>1</v>
      </c>
      <c r="BK2009" s="8">
        <v>38.71</v>
      </c>
      <c r="BL2009" s="2" t="s">
        <v>1028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9178</v>
      </c>
      <c r="BV2009" s="2" t="s">
        <v>233</v>
      </c>
      <c r="BW2009" s="2" t="s">
        <v>233</v>
      </c>
      <c r="BX2009" s="2" t="s">
        <v>233</v>
      </c>
      <c r="BY2009" s="2" t="s">
        <v>280</v>
      </c>
      <c r="BZ2009" s="2" t="s">
        <v>245</v>
      </c>
      <c r="CA2009" s="2" t="s">
        <v>2778</v>
      </c>
      <c r="CB2009" s="2" t="s">
        <v>2547</v>
      </c>
      <c r="CC2009" s="2" t="s">
        <v>246</v>
      </c>
      <c r="CD2009" s="2" t="s">
        <v>233</v>
      </c>
      <c r="CE2009" s="4"/>
      <c r="CF2009" s="4">
        <v>182</v>
      </c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  <c r="HF2009" s="4"/>
      <c r="HG2009" s="4"/>
      <c r="HH2009" s="4"/>
      <c r="HI2009" s="4"/>
      <c r="HJ2009" s="4"/>
      <c r="HK2009" s="4"/>
      <c r="HL2009" s="4"/>
      <c r="HM2009" s="4"/>
      <c r="HN2009" s="4"/>
      <c r="HO2009" s="4"/>
      <c r="HP2009" s="4"/>
      <c r="HQ2009" s="4"/>
      <c r="HR2009" s="4"/>
    </row>
    <row r="2010">
      <c r="A2010" s="2" t="s">
        <v>9179</v>
      </c>
      <c r="B2010" s="2" t="s">
        <v>1242</v>
      </c>
      <c r="C2010" s="2" t="s">
        <v>530</v>
      </c>
      <c r="D2010" s="2" t="s">
        <v>912</v>
      </c>
      <c r="E2010" s="2" t="s">
        <v>913</v>
      </c>
      <c r="F2010" s="2" t="s">
        <v>9180</v>
      </c>
      <c r="G2010" s="2" t="s">
        <v>9181</v>
      </c>
      <c r="H2010" s="2" t="s">
        <v>9182</v>
      </c>
      <c r="I2010" s="2" t="s">
        <v>9183</v>
      </c>
      <c r="J2010" s="2" t="s">
        <v>1142</v>
      </c>
      <c r="K2010" s="2" t="s">
        <v>645</v>
      </c>
      <c r="L2010" s="3">
        <v>53.9</v>
      </c>
      <c r="M2010" s="3">
        <v>56.6</v>
      </c>
      <c r="N2010" s="3">
        <v>109.99</v>
      </c>
      <c r="O2010" s="2" t="s">
        <v>237</v>
      </c>
      <c r="P2010" s="2" t="s">
        <v>311</v>
      </c>
      <c r="Q2010" s="2" t="s">
        <v>239</v>
      </c>
      <c r="R2010" s="2" t="s">
        <v>233</v>
      </c>
      <c r="S2010" s="2" t="s">
        <v>9184</v>
      </c>
      <c r="T2010" s="2" t="s">
        <v>9185</v>
      </c>
      <c r="U2010" s="2" t="s">
        <v>871</v>
      </c>
      <c r="V2010" s="2" t="s">
        <v>1483</v>
      </c>
      <c r="W2010" s="2" t="s">
        <v>451</v>
      </c>
      <c r="X2010" s="2" t="s">
        <v>9186</v>
      </c>
      <c r="Y2010" s="2" t="s">
        <v>9187</v>
      </c>
      <c r="Z2010" s="4">
        <v>44</v>
      </c>
      <c r="AA2010" s="4">
        <f>=ROUNDDOWN(11,0)</f>
      </c>
      <c r="AB2010" s="5">
        <v>4</v>
      </c>
      <c r="AC2010" s="2" t="s">
        <v>233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233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/>
      <c r="BD2010" s="8"/>
      <c r="BE2010" s="4"/>
      <c r="BF2010" s="8"/>
      <c r="BG2010" s="7"/>
      <c r="BH2010" s="7"/>
      <c r="BI2010" s="7"/>
      <c r="BJ2010" s="4">
        <v>3</v>
      </c>
      <c r="BK2010" s="8">
        <v>155.27</v>
      </c>
      <c r="BL2010" s="2" t="s">
        <v>4217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9188</v>
      </c>
      <c r="BV2010" s="2" t="s">
        <v>233</v>
      </c>
      <c r="BW2010" s="2" t="s">
        <v>233</v>
      </c>
      <c r="BX2010" s="2" t="s">
        <v>233</v>
      </c>
      <c r="BY2010" s="2" t="s">
        <v>280</v>
      </c>
      <c r="BZ2010" s="2" t="s">
        <v>245</v>
      </c>
      <c r="CA2010" s="2" t="s">
        <v>9187</v>
      </c>
      <c r="CB2010" s="2" t="s">
        <v>9189</v>
      </c>
      <c r="CC2010" s="2" t="s">
        <v>246</v>
      </c>
      <c r="CD2010" s="2" t="s">
        <v>233</v>
      </c>
      <c r="CE2010" s="4">
        <v>44</v>
      </c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/>
      <c r="HA2010" s="4"/>
      <c r="HB2010" s="4"/>
      <c r="HC2010" s="4"/>
      <c r="HD2010" s="4"/>
      <c r="HE2010" s="4"/>
      <c r="HF2010" s="4"/>
      <c r="HG2010" s="4"/>
      <c r="HH2010" s="4"/>
      <c r="HI2010" s="4"/>
      <c r="HJ2010" s="4"/>
      <c r="HK2010" s="4"/>
      <c r="HL2010" s="4"/>
      <c r="HM2010" s="4"/>
      <c r="HN2010" s="4"/>
      <c r="HO2010" s="4"/>
      <c r="HP2010" s="4"/>
      <c r="HQ2010" s="4"/>
      <c r="HR2010" s="4"/>
    </row>
    <row r="2011">
      <c r="A2011" s="2" t="s">
        <v>9190</v>
      </c>
      <c r="B2011" s="2" t="s">
        <v>1066</v>
      </c>
      <c r="C2011" s="2" t="s">
        <v>530</v>
      </c>
      <c r="D2011" s="2" t="s">
        <v>1067</v>
      </c>
      <c r="E2011" s="2" t="s">
        <v>1068</v>
      </c>
      <c r="F2011" s="2" t="s">
        <v>1726</v>
      </c>
      <c r="G2011" s="2" t="s">
        <v>9191</v>
      </c>
      <c r="H2011" s="2" t="s">
        <v>5517</v>
      </c>
      <c r="I2011" s="2" t="s">
        <v>2650</v>
      </c>
      <c r="J2011" s="2" t="s">
        <v>892</v>
      </c>
      <c r="K2011" s="2" t="s">
        <v>1191</v>
      </c>
      <c r="L2011" s="3">
        <v>171</v>
      </c>
      <c r="M2011" s="3">
        <v>179.55</v>
      </c>
      <c r="N2011" s="3">
        <v>359</v>
      </c>
      <c r="O2011" s="2" t="s">
        <v>245</v>
      </c>
      <c r="P2011" s="2" t="s">
        <v>272</v>
      </c>
      <c r="Q2011" s="2" t="s">
        <v>239</v>
      </c>
      <c r="R2011" s="2" t="s">
        <v>233</v>
      </c>
      <c r="S2011" s="2" t="s">
        <v>9192</v>
      </c>
      <c r="T2011" s="2" t="s">
        <v>233</v>
      </c>
      <c r="U2011" s="2" t="s">
        <v>233</v>
      </c>
      <c r="V2011" s="2" t="s">
        <v>241</v>
      </c>
      <c r="W2011" s="2" t="s">
        <v>451</v>
      </c>
      <c r="X2011" s="2" t="s">
        <v>233</v>
      </c>
      <c r="Y2011" s="2" t="s">
        <v>9193</v>
      </c>
      <c r="Z2011" s="4">
        <v>68</v>
      </c>
      <c r="AA2011" s="4">
        <f>=ROUNDDOWN(9.71428571428571,0)</f>
      </c>
      <c r="AB2011" s="5">
        <v>7</v>
      </c>
      <c r="AC2011" s="2" t="s">
        <v>2721</v>
      </c>
      <c r="AD2011" s="4">
        <v>100</v>
      </c>
      <c r="AE2011" s="4">
        <v>200</v>
      </c>
      <c r="AF2011" s="6">
        <v>74</v>
      </c>
      <c r="AG2011" s="6"/>
      <c r="AH2011" s="7">
        <v>1</v>
      </c>
      <c r="AI2011" s="4"/>
      <c r="AJ2011" s="4">
        <f>=ROUNDDOWN({0},0)</f>
      </c>
      <c r="AK2011" s="5"/>
      <c r="AL2011" s="2" t="s">
        <v>233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>
        <v>24</v>
      </c>
      <c r="BK2011" s="8">
        <v>3561.51</v>
      </c>
      <c r="BL2011" s="2" t="s">
        <v>9194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9195</v>
      </c>
      <c r="BV2011" s="2" t="s">
        <v>233</v>
      </c>
      <c r="BW2011" s="2" t="s">
        <v>233</v>
      </c>
      <c r="BX2011" s="2" t="s">
        <v>233</v>
      </c>
      <c r="BY2011" s="2" t="s">
        <v>280</v>
      </c>
      <c r="BZ2011" s="2" t="s">
        <v>245</v>
      </c>
      <c r="CA2011" s="2" t="s">
        <v>2047</v>
      </c>
      <c r="CB2011" s="2" t="s">
        <v>4120</v>
      </c>
      <c r="CC2011" s="2" t="s">
        <v>246</v>
      </c>
      <c r="CD2011" s="2" t="s">
        <v>233</v>
      </c>
      <c r="CE2011" s="4"/>
      <c r="CF2011" s="4">
        <v>68</v>
      </c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>
        <v>100</v>
      </c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>
        <v>100</v>
      </c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/>
      <c r="HA2011" s="4"/>
      <c r="HB2011" s="4"/>
      <c r="HC2011" s="4"/>
      <c r="HD2011" s="4"/>
      <c r="HE2011" s="4"/>
      <c r="HF2011" s="4"/>
      <c r="HG2011" s="4"/>
      <c r="HH2011" s="4"/>
      <c r="HI2011" s="4"/>
      <c r="HJ2011" s="4"/>
      <c r="HK2011" s="4"/>
      <c r="HL2011" s="4"/>
      <c r="HM2011" s="4"/>
      <c r="HN2011" s="4"/>
      <c r="HO2011" s="4"/>
      <c r="HP2011" s="4"/>
      <c r="HQ2011" s="4"/>
      <c r="HR2011" s="4"/>
    </row>
    <row r="2012">
      <c r="A2012" s="2" t="s">
        <v>9196</v>
      </c>
      <c r="B2012" s="2" t="s">
        <v>1242</v>
      </c>
      <c r="C2012" s="2" t="s">
        <v>530</v>
      </c>
      <c r="D2012" s="2" t="s">
        <v>912</v>
      </c>
      <c r="E2012" s="2" t="s">
        <v>1139</v>
      </c>
      <c r="F2012" s="2" t="s">
        <v>9197</v>
      </c>
      <c r="G2012" s="2" t="s">
        <v>3311</v>
      </c>
      <c r="H2012" s="2" t="s">
        <v>8430</v>
      </c>
      <c r="I2012" s="2" t="s">
        <v>9198</v>
      </c>
      <c r="J2012" s="2" t="s">
        <v>981</v>
      </c>
      <c r="K2012" s="2" t="s">
        <v>271</v>
      </c>
      <c r="L2012" s="3">
        <v>23.8</v>
      </c>
      <c r="M2012" s="3">
        <v>24.99</v>
      </c>
      <c r="N2012" s="3">
        <v>49.99</v>
      </c>
      <c r="O2012" s="2" t="s">
        <v>245</v>
      </c>
      <c r="P2012" s="2" t="s">
        <v>311</v>
      </c>
      <c r="Q2012" s="2" t="s">
        <v>239</v>
      </c>
      <c r="R2012" s="2" t="s">
        <v>233</v>
      </c>
      <c r="S2012" s="2" t="s">
        <v>9199</v>
      </c>
      <c r="T2012" s="2" t="s">
        <v>233</v>
      </c>
      <c r="U2012" s="2" t="s">
        <v>475</v>
      </c>
      <c r="V2012" s="2" t="s">
        <v>1508</v>
      </c>
      <c r="W2012" s="2" t="s">
        <v>451</v>
      </c>
      <c r="X2012" s="2" t="s">
        <v>705</v>
      </c>
      <c r="Y2012" s="2" t="s">
        <v>3498</v>
      </c>
      <c r="Z2012" s="4">
        <v>104</v>
      </c>
      <c r="AA2012" s="4">
        <f>=ROUNDDOWN(29.7142857142857,0)</f>
      </c>
      <c r="AB2012" s="5">
        <v>3.5</v>
      </c>
      <c r="AC2012" s="2" t="s">
        <v>233</v>
      </c>
      <c r="AD2012" s="4"/>
      <c r="AE2012" s="4"/>
      <c r="AF2012" s="6">
        <v>64</v>
      </c>
      <c r="AG2012" s="6"/>
      <c r="AH2012" s="7">
        <v>1</v>
      </c>
      <c r="AI2012" s="4"/>
      <c r="AJ2012" s="4">
        <f>=ROUNDDOWN({0},0)</f>
      </c>
      <c r="AK2012" s="5"/>
      <c r="AL2012" s="2" t="s">
        <v>233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 t="s">
        <v>233</v>
      </c>
      <c r="BD2012" s="8" t="s">
        <v>233</v>
      </c>
      <c r="BE2012" s="4" t="s">
        <v>233</v>
      </c>
      <c r="BF2012" s="8" t="s">
        <v>233</v>
      </c>
      <c r="BG2012" s="7" t="s">
        <v>233</v>
      </c>
      <c r="BH2012" s="7" t="s">
        <v>233</v>
      </c>
      <c r="BI2012" s="7"/>
      <c r="BJ2012" s="4">
        <v>11</v>
      </c>
      <c r="BK2012" s="8">
        <v>258.42</v>
      </c>
      <c r="BL2012" s="2" t="s">
        <v>778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9200</v>
      </c>
      <c r="BV2012" s="2" t="s">
        <v>233</v>
      </c>
      <c r="BW2012" s="2" t="s">
        <v>233</v>
      </c>
      <c r="BX2012" s="2" t="s">
        <v>233</v>
      </c>
      <c r="BY2012" s="2" t="s">
        <v>280</v>
      </c>
      <c r="BZ2012" s="2" t="s">
        <v>245</v>
      </c>
      <c r="CA2012" s="2" t="s">
        <v>7379</v>
      </c>
      <c r="CB2012" s="2" t="s">
        <v>2795</v>
      </c>
      <c r="CC2012" s="2" t="s">
        <v>246</v>
      </c>
      <c r="CD2012" s="2" t="s">
        <v>233</v>
      </c>
      <c r="CE2012" s="4">
        <v>104</v>
      </c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/>
      <c r="GQ2012" s="4"/>
      <c r="GR2012" s="4"/>
      <c r="GS2012" s="4"/>
      <c r="GT2012" s="4"/>
      <c r="GU2012" s="4"/>
      <c r="GV2012" s="4"/>
      <c r="GW2012" s="4"/>
      <c r="GX2012" s="4"/>
      <c r="GY2012" s="4"/>
      <c r="GZ2012" s="4"/>
      <c r="HA2012" s="4"/>
      <c r="HB2012" s="4"/>
      <c r="HC2012" s="4"/>
      <c r="HD2012" s="4"/>
      <c r="HE2012" s="4"/>
      <c r="HF2012" s="4"/>
      <c r="HG2012" s="4"/>
      <c r="HH2012" s="4"/>
      <c r="HI2012" s="4"/>
      <c r="HJ2012" s="4"/>
      <c r="HK2012" s="4"/>
      <c r="HL2012" s="4"/>
      <c r="HM2012" s="4"/>
      <c r="HN2012" s="4"/>
      <c r="HO2012" s="4"/>
      <c r="HP2012" s="4"/>
      <c r="HQ2012" s="4"/>
      <c r="HR2012" s="4"/>
    </row>
    <row r="2013">
      <c r="A2013" s="2" t="s">
        <v>9201</v>
      </c>
      <c r="B2013" s="2" t="s">
        <v>1242</v>
      </c>
      <c r="C2013" s="2" t="s">
        <v>530</v>
      </c>
      <c r="D2013" s="2" t="s">
        <v>912</v>
      </c>
      <c r="E2013" s="2" t="s">
        <v>1139</v>
      </c>
      <c r="F2013" s="2" t="s">
        <v>9197</v>
      </c>
      <c r="G2013" s="2" t="s">
        <v>3311</v>
      </c>
      <c r="H2013" s="2" t="s">
        <v>8430</v>
      </c>
      <c r="I2013" s="2" t="s">
        <v>9198</v>
      </c>
      <c r="J2013" s="2" t="s">
        <v>981</v>
      </c>
      <c r="K2013" s="2" t="s">
        <v>1201</v>
      </c>
      <c r="L2013" s="3">
        <v>23.8</v>
      </c>
      <c r="M2013" s="3">
        <v>24.99</v>
      </c>
      <c r="N2013" s="3">
        <v>49.99</v>
      </c>
      <c r="O2013" s="2" t="s">
        <v>245</v>
      </c>
      <c r="P2013" s="2" t="s">
        <v>311</v>
      </c>
      <c r="Q2013" s="2" t="s">
        <v>239</v>
      </c>
      <c r="R2013" s="2" t="s">
        <v>233</v>
      </c>
      <c r="S2013" s="2" t="s">
        <v>9202</v>
      </c>
      <c r="T2013" s="2" t="s">
        <v>233</v>
      </c>
      <c r="U2013" s="2" t="s">
        <v>475</v>
      </c>
      <c r="V2013" s="2" t="s">
        <v>1508</v>
      </c>
      <c r="W2013" s="2" t="s">
        <v>451</v>
      </c>
      <c r="X2013" s="2" t="s">
        <v>705</v>
      </c>
      <c r="Y2013" s="2" t="s">
        <v>3498</v>
      </c>
      <c r="Z2013" s="4">
        <v>74</v>
      </c>
      <c r="AA2013" s="4">
        <f>=ROUNDDOWN(24.6666666666667,0)</f>
      </c>
      <c r="AB2013" s="5">
        <v>3</v>
      </c>
      <c r="AC2013" s="2" t="s">
        <v>233</v>
      </c>
      <c r="AD2013" s="4"/>
      <c r="AE2013" s="4"/>
      <c r="AF2013" s="6">
        <v>64</v>
      </c>
      <c r="AG2013" s="6"/>
      <c r="AH2013" s="7">
        <v>1</v>
      </c>
      <c r="AI2013" s="4"/>
      <c r="AJ2013" s="4">
        <f>=ROUNDDOWN({0},0)</f>
      </c>
      <c r="AK2013" s="5"/>
      <c r="AL2013" s="2" t="s">
        <v>233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233</v>
      </c>
      <c r="AW2013" s="8" t="s">
        <v>233</v>
      </c>
      <c r="AX2013" s="4" t="s">
        <v>233</v>
      </c>
      <c r="AY2013" s="8" t="s">
        <v>233</v>
      </c>
      <c r="AZ2013" s="7" t="s">
        <v>233</v>
      </c>
      <c r="BA2013" s="7" t="s">
        <v>233</v>
      </c>
      <c r="BB2013" s="7"/>
      <c r="BC2013" s="4" t="s">
        <v>233</v>
      </c>
      <c r="BD2013" s="8" t="s">
        <v>233</v>
      </c>
      <c r="BE2013" s="4" t="s">
        <v>233</v>
      </c>
      <c r="BF2013" s="8" t="s">
        <v>233</v>
      </c>
      <c r="BG2013" s="7" t="s">
        <v>233</v>
      </c>
      <c r="BH2013" s="7" t="s">
        <v>233</v>
      </c>
      <c r="BI2013" s="7"/>
      <c r="BJ2013" s="4">
        <v>22</v>
      </c>
      <c r="BK2013" s="8">
        <v>530.58</v>
      </c>
      <c r="BL2013" s="2" t="s">
        <v>778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9203</v>
      </c>
      <c r="BV2013" s="2" t="s">
        <v>233</v>
      </c>
      <c r="BW2013" s="2" t="s">
        <v>233</v>
      </c>
      <c r="BX2013" s="2" t="s">
        <v>233</v>
      </c>
      <c r="BY2013" s="2" t="s">
        <v>280</v>
      </c>
      <c r="BZ2013" s="2" t="s">
        <v>245</v>
      </c>
      <c r="CA2013" s="2" t="s">
        <v>7379</v>
      </c>
      <c r="CB2013" s="2" t="s">
        <v>2865</v>
      </c>
      <c r="CC2013" s="2" t="s">
        <v>246</v>
      </c>
      <c r="CD2013" s="2" t="s">
        <v>233</v>
      </c>
      <c r="CE2013" s="4">
        <v>74</v>
      </c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/>
      <c r="GQ2013" s="4"/>
      <c r="GR2013" s="4"/>
      <c r="GS2013" s="4"/>
      <c r="GT2013" s="4"/>
      <c r="GU2013" s="4"/>
      <c r="GV2013" s="4"/>
      <c r="GW2013" s="4"/>
      <c r="GX2013" s="4"/>
      <c r="GY2013" s="4"/>
      <c r="GZ2013" s="4"/>
      <c r="HA2013" s="4"/>
      <c r="HB2013" s="4"/>
      <c r="HC2013" s="4"/>
      <c r="HD2013" s="4"/>
      <c r="HE2013" s="4"/>
      <c r="HF2013" s="4"/>
      <c r="HG2013" s="4"/>
      <c r="HH2013" s="4"/>
      <c r="HI2013" s="4"/>
      <c r="HJ2013" s="4"/>
      <c r="HK2013" s="4"/>
      <c r="HL2013" s="4"/>
      <c r="HM2013" s="4"/>
      <c r="HN2013" s="4"/>
      <c r="HO2013" s="4"/>
      <c r="HP2013" s="4"/>
      <c r="HQ2013" s="4"/>
      <c r="HR2013" s="4"/>
    </row>
    <row r="2014">
      <c r="A2014" s="2" t="s">
        <v>9204</v>
      </c>
      <c r="B2014" s="2" t="s">
        <v>1242</v>
      </c>
      <c r="C2014" s="2" t="s">
        <v>530</v>
      </c>
      <c r="D2014" s="2" t="s">
        <v>969</v>
      </c>
      <c r="E2014" s="2" t="s">
        <v>1078</v>
      </c>
      <c r="F2014" s="2" t="s">
        <v>9197</v>
      </c>
      <c r="G2014" s="2" t="s">
        <v>3311</v>
      </c>
      <c r="H2014" s="2" t="s">
        <v>8430</v>
      </c>
      <c r="I2014" s="2" t="s">
        <v>9205</v>
      </c>
      <c r="J2014" s="2" t="s">
        <v>546</v>
      </c>
      <c r="K2014" s="2" t="s">
        <v>1201</v>
      </c>
      <c r="L2014" s="3">
        <v>61.9</v>
      </c>
      <c r="M2014" s="3">
        <v>65</v>
      </c>
      <c r="N2014" s="3">
        <v>129.99</v>
      </c>
      <c r="O2014" s="2" t="s">
        <v>245</v>
      </c>
      <c r="P2014" s="2" t="s">
        <v>311</v>
      </c>
      <c r="Q2014" s="2" t="s">
        <v>239</v>
      </c>
      <c r="R2014" s="2" t="s">
        <v>233</v>
      </c>
      <c r="S2014" s="2" t="s">
        <v>9206</v>
      </c>
      <c r="T2014" s="2" t="s">
        <v>233</v>
      </c>
      <c r="U2014" s="2" t="s">
        <v>5309</v>
      </c>
      <c r="V2014" s="2" t="s">
        <v>1508</v>
      </c>
      <c r="W2014" s="2" t="s">
        <v>451</v>
      </c>
      <c r="X2014" s="2" t="s">
        <v>705</v>
      </c>
      <c r="Y2014" s="2" t="s">
        <v>3498</v>
      </c>
      <c r="Z2014" s="4">
        <v>67</v>
      </c>
      <c r="AA2014" s="4">
        <f>=ROUNDDOWN(16.75,0)</f>
      </c>
      <c r="AB2014" s="5">
        <v>4</v>
      </c>
      <c r="AC2014" s="2" t="s">
        <v>233</v>
      </c>
      <c r="AD2014" s="4"/>
      <c r="AE2014" s="4"/>
      <c r="AF2014" s="6">
        <v>64</v>
      </c>
      <c r="AG2014" s="6"/>
      <c r="AH2014" s="7">
        <v>1</v>
      </c>
      <c r="AI2014" s="4"/>
      <c r="AJ2014" s="4">
        <f>=ROUNDDOWN({0},0)</f>
      </c>
      <c r="AK2014" s="5"/>
      <c r="AL2014" s="2" t="s">
        <v>233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233</v>
      </c>
      <c r="AW2014" s="8" t="s">
        <v>233</v>
      </c>
      <c r="AX2014" s="4" t="s">
        <v>233</v>
      </c>
      <c r="AY2014" s="8" t="s">
        <v>233</v>
      </c>
      <c r="AZ2014" s="7" t="s">
        <v>233</v>
      </c>
      <c r="BA2014" s="7" t="s">
        <v>233</v>
      </c>
      <c r="BB2014" s="7"/>
      <c r="BC2014" s="4" t="s">
        <v>233</v>
      </c>
      <c r="BD2014" s="8" t="s">
        <v>233</v>
      </c>
      <c r="BE2014" s="4" t="s">
        <v>233</v>
      </c>
      <c r="BF2014" s="8" t="s">
        <v>233</v>
      </c>
      <c r="BG2014" s="7" t="s">
        <v>233</v>
      </c>
      <c r="BH2014" s="7" t="s">
        <v>233</v>
      </c>
      <c r="BI2014" s="7"/>
      <c r="BJ2014" s="4">
        <v>26</v>
      </c>
      <c r="BK2014" s="8">
        <v>1634.68</v>
      </c>
      <c r="BL2014" s="2" t="s">
        <v>9207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9208</v>
      </c>
      <c r="BV2014" s="2" t="s">
        <v>233</v>
      </c>
      <c r="BW2014" s="2" t="s">
        <v>233</v>
      </c>
      <c r="BX2014" s="2" t="s">
        <v>233</v>
      </c>
      <c r="BY2014" s="2" t="s">
        <v>280</v>
      </c>
      <c r="BZ2014" s="2" t="s">
        <v>245</v>
      </c>
      <c r="CA2014" s="2" t="s">
        <v>4732</v>
      </c>
      <c r="CB2014" s="2" t="s">
        <v>9209</v>
      </c>
      <c r="CC2014" s="2" t="s">
        <v>246</v>
      </c>
      <c r="CD2014" s="2" t="s">
        <v>233</v>
      </c>
      <c r="CE2014" s="4">
        <v>67</v>
      </c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4"/>
      <c r="HE2014" s="4"/>
      <c r="HF2014" s="4"/>
      <c r="HG2014" s="4"/>
      <c r="HH2014" s="4"/>
      <c r="HI2014" s="4"/>
      <c r="HJ2014" s="4"/>
      <c r="HK2014" s="4"/>
      <c r="HL2014" s="4"/>
      <c r="HM2014" s="4"/>
      <c r="HN2014" s="4"/>
      <c r="HO2014" s="4"/>
      <c r="HP2014" s="4"/>
      <c r="HQ2014" s="4"/>
      <c r="HR2014" s="4"/>
    </row>
    <row r="2015">
      <c r="A2015" s="2" t="s">
        <v>9210</v>
      </c>
      <c r="B2015" s="2" t="s">
        <v>228</v>
      </c>
      <c r="C2015" s="2" t="s">
        <v>530</v>
      </c>
      <c r="D2015" s="2" t="s">
        <v>969</v>
      </c>
      <c r="E2015" s="2" t="s">
        <v>970</v>
      </c>
      <c r="F2015" s="2" t="s">
        <v>9211</v>
      </c>
      <c r="G2015" s="2" t="s">
        <v>9212</v>
      </c>
      <c r="H2015" s="2" t="s">
        <v>9212</v>
      </c>
      <c r="I2015" s="2" t="s">
        <v>9213</v>
      </c>
      <c r="J2015" s="2" t="s">
        <v>981</v>
      </c>
      <c r="K2015" s="2" t="s">
        <v>984</v>
      </c>
      <c r="L2015" s="3">
        <v>50.6</v>
      </c>
      <c r="M2015" s="3">
        <v>53.13</v>
      </c>
      <c r="N2015" s="3">
        <v>109.99</v>
      </c>
      <c r="O2015" s="2" t="s">
        <v>245</v>
      </c>
      <c r="P2015" s="2" t="s">
        <v>272</v>
      </c>
      <c r="Q2015" s="2" t="s">
        <v>239</v>
      </c>
      <c r="R2015" s="2" t="s">
        <v>233</v>
      </c>
      <c r="S2015" s="2" t="s">
        <v>9214</v>
      </c>
      <c r="T2015" s="2" t="s">
        <v>1622</v>
      </c>
      <c r="U2015" s="2" t="s">
        <v>233</v>
      </c>
      <c r="V2015" s="2" t="s">
        <v>241</v>
      </c>
      <c r="W2015" s="2" t="s">
        <v>275</v>
      </c>
      <c r="X2015" s="2" t="s">
        <v>7228</v>
      </c>
      <c r="Y2015" s="2" t="s">
        <v>276</v>
      </c>
      <c r="Z2015" s="4"/>
      <c r="AA2015" s="4">
        <f>=ROUNDDOWN({0},0)</f>
      </c>
      <c r="AB2015" s="5">
        <v>11</v>
      </c>
      <c r="AC2015" s="2" t="s">
        <v>1341</v>
      </c>
      <c r="AD2015" s="4">
        <v>130</v>
      </c>
      <c r="AE2015" s="4">
        <v>130</v>
      </c>
      <c r="AF2015" s="6">
        <v>65</v>
      </c>
      <c r="AG2015" s="6"/>
      <c r="AH2015" s="7">
        <v>0</v>
      </c>
      <c r="AI2015" s="4"/>
      <c r="AJ2015" s="4">
        <f>=ROUNDDOWN({0},0)</f>
      </c>
      <c r="AK2015" s="5"/>
      <c r="AL2015" s="2" t="s">
        <v>233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 t="s">
        <v>233</v>
      </c>
      <c r="BD2015" s="8" t="s">
        <v>233</v>
      </c>
      <c r="BE2015" s="4" t="s">
        <v>233</v>
      </c>
      <c r="BF2015" s="8" t="s">
        <v>233</v>
      </c>
      <c r="BG2015" s="7" t="s">
        <v>233</v>
      </c>
      <c r="BH2015" s="7" t="s">
        <v>233</v>
      </c>
      <c r="BI2015" s="7"/>
      <c r="BJ2015" s="4">
        <v>2</v>
      </c>
      <c r="BK2015" s="8">
        <v>106.24</v>
      </c>
      <c r="BL2015" s="2" t="s">
        <v>744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9215</v>
      </c>
      <c r="BV2015" s="2" t="s">
        <v>233</v>
      </c>
      <c r="BW2015" s="2" t="s">
        <v>233</v>
      </c>
      <c r="BX2015" s="2" t="s">
        <v>233</v>
      </c>
      <c r="BY2015" s="2" t="s">
        <v>280</v>
      </c>
      <c r="BZ2015" s="2" t="s">
        <v>245</v>
      </c>
      <c r="CA2015" s="2" t="s">
        <v>287</v>
      </c>
      <c r="CB2015" s="2" t="s">
        <v>6191</v>
      </c>
      <c r="CC2015" s="2" t="s">
        <v>246</v>
      </c>
      <c r="CD2015" s="2" t="s">
        <v>233</v>
      </c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>
        <v>130</v>
      </c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  <c r="GL2015" s="4"/>
      <c r="GM2015" s="4"/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4"/>
      <c r="HE2015" s="4"/>
      <c r="HF2015" s="4"/>
      <c r="HG2015" s="4"/>
      <c r="HH2015" s="4"/>
      <c r="HI2015" s="4"/>
      <c r="HJ2015" s="4"/>
      <c r="HK2015" s="4"/>
      <c r="HL2015" s="4"/>
      <c r="HM2015" s="4"/>
      <c r="HN2015" s="4"/>
      <c r="HO2015" s="4"/>
      <c r="HP2015" s="4"/>
      <c r="HQ2015" s="4"/>
      <c r="HR2015" s="4"/>
    </row>
    <row r="2016">
      <c r="A2016" s="2" t="s">
        <v>9216</v>
      </c>
      <c r="B2016" s="2" t="s">
        <v>228</v>
      </c>
      <c r="C2016" s="2" t="s">
        <v>530</v>
      </c>
      <c r="D2016" s="2" t="s">
        <v>969</v>
      </c>
      <c r="E2016" s="2" t="s">
        <v>970</v>
      </c>
      <c r="F2016" s="2" t="s">
        <v>9211</v>
      </c>
      <c r="G2016" s="2" t="s">
        <v>9212</v>
      </c>
      <c r="H2016" s="2" t="s">
        <v>9212</v>
      </c>
      <c r="I2016" s="2" t="s">
        <v>9213</v>
      </c>
      <c r="J2016" s="2" t="s">
        <v>270</v>
      </c>
      <c r="K2016" s="2" t="s">
        <v>255</v>
      </c>
      <c r="L2016" s="3">
        <v>36.8</v>
      </c>
      <c r="M2016" s="3">
        <v>38.64</v>
      </c>
      <c r="N2016" s="3">
        <v>79.99</v>
      </c>
      <c r="O2016" s="2" t="s">
        <v>245</v>
      </c>
      <c r="P2016" s="2" t="s">
        <v>311</v>
      </c>
      <c r="Q2016" s="2" t="s">
        <v>239</v>
      </c>
      <c r="R2016" s="2" t="s">
        <v>233</v>
      </c>
      <c r="S2016" s="2" t="s">
        <v>9217</v>
      </c>
      <c r="T2016" s="2" t="s">
        <v>1622</v>
      </c>
      <c r="U2016" s="2" t="s">
        <v>233</v>
      </c>
      <c r="V2016" s="2" t="s">
        <v>241</v>
      </c>
      <c r="W2016" s="2" t="s">
        <v>275</v>
      </c>
      <c r="X2016" s="2" t="s">
        <v>7228</v>
      </c>
      <c r="Y2016" s="2" t="s">
        <v>276</v>
      </c>
      <c r="Z2016" s="4">
        <v>36</v>
      </c>
      <c r="AA2016" s="4">
        <f>=ROUNDDOWN(9,0)</f>
      </c>
      <c r="AB2016" s="5">
        <v>4</v>
      </c>
      <c r="AC2016" s="2" t="s">
        <v>233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233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233</v>
      </c>
      <c r="AW2016" s="8" t="s">
        <v>233</v>
      </c>
      <c r="AX2016" s="4" t="s">
        <v>233</v>
      </c>
      <c r="AY2016" s="8" t="s">
        <v>233</v>
      </c>
      <c r="AZ2016" s="7" t="s">
        <v>233</v>
      </c>
      <c r="BA2016" s="7" t="s">
        <v>233</v>
      </c>
      <c r="BB2016" s="7"/>
      <c r="BC2016" s="4" t="s">
        <v>233</v>
      </c>
      <c r="BD2016" s="8" t="s">
        <v>233</v>
      </c>
      <c r="BE2016" s="4" t="s">
        <v>233</v>
      </c>
      <c r="BF2016" s="8" t="s">
        <v>233</v>
      </c>
      <c r="BG2016" s="7" t="s">
        <v>233</v>
      </c>
      <c r="BH2016" s="7" t="s">
        <v>233</v>
      </c>
      <c r="BI2016" s="7"/>
      <c r="BJ2016" s="4">
        <v>8</v>
      </c>
      <c r="BK2016" s="8">
        <v>293.17</v>
      </c>
      <c r="BL2016" s="2" t="s">
        <v>8504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9218</v>
      </c>
      <c r="BV2016" s="2" t="s">
        <v>233</v>
      </c>
      <c r="BW2016" s="2" t="s">
        <v>233</v>
      </c>
      <c r="BX2016" s="2" t="s">
        <v>595</v>
      </c>
      <c r="BY2016" s="2" t="s">
        <v>280</v>
      </c>
      <c r="BZ2016" s="2" t="s">
        <v>245</v>
      </c>
      <c r="CA2016" s="2" t="s">
        <v>287</v>
      </c>
      <c r="CB2016" s="2" t="s">
        <v>9219</v>
      </c>
      <c r="CC2016" s="2" t="s">
        <v>246</v>
      </c>
      <c r="CD2016" s="2" t="s">
        <v>233</v>
      </c>
      <c r="CE2016" s="4">
        <v>36</v>
      </c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/>
      <c r="GW2016" s="4"/>
      <c r="GX2016" s="4"/>
      <c r="GY2016" s="4"/>
      <c r="GZ2016" s="4"/>
      <c r="HA2016" s="4"/>
      <c r="HB2016" s="4"/>
      <c r="HC2016" s="4"/>
      <c r="HD2016" s="4"/>
      <c r="HE2016" s="4"/>
      <c r="HF2016" s="4"/>
      <c r="HG2016" s="4"/>
      <c r="HH2016" s="4"/>
      <c r="HI2016" s="4"/>
      <c r="HJ2016" s="4"/>
      <c r="HK2016" s="4"/>
      <c r="HL2016" s="4"/>
      <c r="HM2016" s="4"/>
      <c r="HN2016" s="4"/>
      <c r="HO2016" s="4"/>
      <c r="HP2016" s="4"/>
      <c r="HQ2016" s="4"/>
      <c r="HR2016" s="4"/>
    </row>
    <row r="2017">
      <c r="A2017" s="2" t="s">
        <v>9220</v>
      </c>
      <c r="B2017" s="2" t="s">
        <v>228</v>
      </c>
      <c r="C2017" s="2" t="s">
        <v>530</v>
      </c>
      <c r="D2017" s="2" t="s">
        <v>969</v>
      </c>
      <c r="E2017" s="2" t="s">
        <v>970</v>
      </c>
      <c r="F2017" s="2" t="s">
        <v>9211</v>
      </c>
      <c r="G2017" s="2" t="s">
        <v>9212</v>
      </c>
      <c r="H2017" s="2" t="s">
        <v>9212</v>
      </c>
      <c r="I2017" s="2" t="s">
        <v>9213</v>
      </c>
      <c r="J2017" s="2" t="s">
        <v>981</v>
      </c>
      <c r="K2017" s="2" t="s">
        <v>255</v>
      </c>
      <c r="L2017" s="3">
        <v>50.6</v>
      </c>
      <c r="M2017" s="3">
        <v>53.13</v>
      </c>
      <c r="N2017" s="3">
        <v>109.99</v>
      </c>
      <c r="O2017" s="2" t="s">
        <v>245</v>
      </c>
      <c r="P2017" s="2" t="s">
        <v>272</v>
      </c>
      <c r="Q2017" s="2" t="s">
        <v>239</v>
      </c>
      <c r="R2017" s="2" t="s">
        <v>233</v>
      </c>
      <c r="S2017" s="2" t="s">
        <v>9217</v>
      </c>
      <c r="T2017" s="2" t="s">
        <v>1622</v>
      </c>
      <c r="U2017" s="2" t="s">
        <v>233</v>
      </c>
      <c r="V2017" s="2" t="s">
        <v>241</v>
      </c>
      <c r="W2017" s="2" t="s">
        <v>275</v>
      </c>
      <c r="X2017" s="2" t="s">
        <v>7228</v>
      </c>
      <c r="Y2017" s="2" t="s">
        <v>276</v>
      </c>
      <c r="Z2017" s="4">
        <v>3</v>
      </c>
      <c r="AA2017" s="4">
        <f>=ROUNDDOWN(0.1875,0)</f>
      </c>
      <c r="AB2017" s="5">
        <v>16</v>
      </c>
      <c r="AC2017" s="2" t="s">
        <v>1341</v>
      </c>
      <c r="AD2017" s="4">
        <v>210</v>
      </c>
      <c r="AE2017" s="4">
        <v>210</v>
      </c>
      <c r="AF2017" s="6">
        <v>65</v>
      </c>
      <c r="AG2017" s="6"/>
      <c r="AH2017" s="7">
        <v>0</v>
      </c>
      <c r="AI2017" s="4"/>
      <c r="AJ2017" s="4">
        <f>=ROUNDDOWN({0},0)</f>
      </c>
      <c r="AK2017" s="5"/>
      <c r="AL2017" s="2" t="s">
        <v>233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233</v>
      </c>
      <c r="AW2017" s="8" t="s">
        <v>233</v>
      </c>
      <c r="AX2017" s="4" t="s">
        <v>233</v>
      </c>
      <c r="AY2017" s="8" t="s">
        <v>233</v>
      </c>
      <c r="AZ2017" s="7" t="s">
        <v>233</v>
      </c>
      <c r="BA2017" s="7" t="s">
        <v>233</v>
      </c>
      <c r="BB2017" s="7"/>
      <c r="BC2017" s="4" t="s">
        <v>233</v>
      </c>
      <c r="BD2017" s="8" t="s">
        <v>233</v>
      </c>
      <c r="BE2017" s="4" t="s">
        <v>233</v>
      </c>
      <c r="BF2017" s="8" t="s">
        <v>233</v>
      </c>
      <c r="BG2017" s="7" t="s">
        <v>233</v>
      </c>
      <c r="BH2017" s="7" t="s">
        <v>233</v>
      </c>
      <c r="BI2017" s="7"/>
      <c r="BJ2017" s="4"/>
      <c r="BK2017" s="8"/>
      <c r="BL2017" s="2" t="s">
        <v>744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9221</v>
      </c>
      <c r="BV2017" s="2" t="s">
        <v>233</v>
      </c>
      <c r="BW2017" s="2" t="s">
        <v>233</v>
      </c>
      <c r="BX2017" s="2" t="s">
        <v>233</v>
      </c>
      <c r="BY2017" s="2" t="s">
        <v>280</v>
      </c>
      <c r="BZ2017" s="2" t="s">
        <v>245</v>
      </c>
      <c r="CA2017" s="2" t="s">
        <v>287</v>
      </c>
      <c r="CB2017" s="2" t="s">
        <v>6191</v>
      </c>
      <c r="CC2017" s="2" t="s">
        <v>246</v>
      </c>
      <c r="CD2017" s="2" t="s">
        <v>233</v>
      </c>
      <c r="CE2017" s="4">
        <v>3</v>
      </c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>
        <v>210</v>
      </c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  <c r="HF2017" s="4"/>
      <c r="HG2017" s="4"/>
      <c r="HH2017" s="4"/>
      <c r="HI2017" s="4"/>
      <c r="HJ2017" s="4"/>
      <c r="HK2017" s="4"/>
      <c r="HL2017" s="4"/>
      <c r="HM2017" s="4"/>
      <c r="HN2017" s="4"/>
      <c r="HO2017" s="4"/>
      <c r="HP2017" s="4"/>
      <c r="HQ2017" s="4"/>
      <c r="HR2017" s="4"/>
    </row>
    <row r="2018">
      <c r="A2018" s="2" t="s">
        <v>9222</v>
      </c>
      <c r="B2018" s="2" t="s">
        <v>228</v>
      </c>
      <c r="C2018" s="2" t="s">
        <v>530</v>
      </c>
      <c r="D2018" s="2" t="s">
        <v>969</v>
      </c>
      <c r="E2018" s="2" t="s">
        <v>970</v>
      </c>
      <c r="F2018" s="2" t="s">
        <v>9211</v>
      </c>
      <c r="G2018" s="2" t="s">
        <v>9212</v>
      </c>
      <c r="H2018" s="2" t="s">
        <v>9212</v>
      </c>
      <c r="I2018" s="2" t="s">
        <v>9213</v>
      </c>
      <c r="J2018" s="2" t="s">
        <v>1142</v>
      </c>
      <c r="K2018" s="2" t="s">
        <v>255</v>
      </c>
      <c r="L2018" s="3">
        <v>55.2</v>
      </c>
      <c r="M2018" s="3">
        <v>57.96</v>
      </c>
      <c r="N2018" s="3">
        <v>119.99</v>
      </c>
      <c r="O2018" s="2" t="s">
        <v>245</v>
      </c>
      <c r="P2018" s="2" t="s">
        <v>272</v>
      </c>
      <c r="Q2018" s="2" t="s">
        <v>239</v>
      </c>
      <c r="R2018" s="2" t="s">
        <v>233</v>
      </c>
      <c r="S2018" s="2" t="s">
        <v>9217</v>
      </c>
      <c r="T2018" s="2" t="s">
        <v>1622</v>
      </c>
      <c r="U2018" s="2" t="s">
        <v>233</v>
      </c>
      <c r="V2018" s="2" t="s">
        <v>241</v>
      </c>
      <c r="W2018" s="2" t="s">
        <v>275</v>
      </c>
      <c r="X2018" s="2" t="s">
        <v>7228</v>
      </c>
      <c r="Y2018" s="2" t="s">
        <v>276</v>
      </c>
      <c r="Z2018" s="4"/>
      <c r="AA2018" s="4">
        <f>=ROUNDDOWN({0},0)</f>
      </c>
      <c r="AB2018" s="5">
        <v>22</v>
      </c>
      <c r="AC2018" s="2" t="s">
        <v>1341</v>
      </c>
      <c r="AD2018" s="4">
        <v>270</v>
      </c>
      <c r="AE2018" s="4">
        <v>270</v>
      </c>
      <c r="AF2018" s="6">
        <v>65</v>
      </c>
      <c r="AG2018" s="6"/>
      <c r="AH2018" s="7">
        <v>0</v>
      </c>
      <c r="AI2018" s="4"/>
      <c r="AJ2018" s="4">
        <f>=ROUNDDOWN({0},0)</f>
      </c>
      <c r="AK2018" s="5"/>
      <c r="AL2018" s="2" t="s">
        <v>233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233</v>
      </c>
      <c r="AW2018" s="8" t="s">
        <v>233</v>
      </c>
      <c r="AX2018" s="4" t="s">
        <v>233</v>
      </c>
      <c r="AY2018" s="8" t="s">
        <v>233</v>
      </c>
      <c r="AZ2018" s="7" t="s">
        <v>233</v>
      </c>
      <c r="BA2018" s="7" t="s">
        <v>233</v>
      </c>
      <c r="BB2018" s="7"/>
      <c r="BC2018" s="4" t="s">
        <v>233</v>
      </c>
      <c r="BD2018" s="8" t="s">
        <v>233</v>
      </c>
      <c r="BE2018" s="4" t="s">
        <v>233</v>
      </c>
      <c r="BF2018" s="8" t="s">
        <v>233</v>
      </c>
      <c r="BG2018" s="7" t="s">
        <v>233</v>
      </c>
      <c r="BH2018" s="7" t="s">
        <v>233</v>
      </c>
      <c r="BI2018" s="7"/>
      <c r="BJ2018" s="4">
        <v>1</v>
      </c>
      <c r="BK2018" s="8">
        <v>57.95</v>
      </c>
      <c r="BL2018" s="2" t="s">
        <v>9223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9224</v>
      </c>
      <c r="BV2018" s="2" t="s">
        <v>233</v>
      </c>
      <c r="BW2018" s="2" t="s">
        <v>233</v>
      </c>
      <c r="BX2018" s="2" t="s">
        <v>233</v>
      </c>
      <c r="BY2018" s="2" t="s">
        <v>280</v>
      </c>
      <c r="BZ2018" s="2" t="s">
        <v>245</v>
      </c>
      <c r="CA2018" s="2" t="s">
        <v>287</v>
      </c>
      <c r="CB2018" s="2" t="s">
        <v>6191</v>
      </c>
      <c r="CC2018" s="2" t="s">
        <v>246</v>
      </c>
      <c r="CD2018" s="2" t="s">
        <v>233</v>
      </c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>
        <v>270</v>
      </c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  <c r="HF2018" s="4"/>
      <c r="HG2018" s="4"/>
      <c r="HH2018" s="4"/>
      <c r="HI2018" s="4"/>
      <c r="HJ2018" s="4"/>
      <c r="HK2018" s="4"/>
      <c r="HL2018" s="4"/>
      <c r="HM2018" s="4"/>
      <c r="HN2018" s="4"/>
      <c r="HO2018" s="4"/>
      <c r="HP2018" s="4"/>
      <c r="HQ2018" s="4"/>
      <c r="HR2018" s="4"/>
    </row>
    <row r="2019">
      <c r="A2019" s="2" t="s">
        <v>9225</v>
      </c>
      <c r="B2019" s="2" t="s">
        <v>228</v>
      </c>
      <c r="C2019" s="2" t="s">
        <v>530</v>
      </c>
      <c r="D2019" s="2" t="s">
        <v>1616</v>
      </c>
      <c r="E2019" s="2" t="s">
        <v>1617</v>
      </c>
      <c r="F2019" s="2" t="s">
        <v>9211</v>
      </c>
      <c r="G2019" s="2" t="s">
        <v>9212</v>
      </c>
      <c r="H2019" s="2" t="s">
        <v>9212</v>
      </c>
      <c r="I2019" s="2" t="s">
        <v>9226</v>
      </c>
      <c r="J2019" s="2" t="s">
        <v>6223</v>
      </c>
      <c r="K2019" s="2" t="s">
        <v>255</v>
      </c>
      <c r="L2019" s="3">
        <v>15.18</v>
      </c>
      <c r="M2019" s="3">
        <v>15.94</v>
      </c>
      <c r="N2019" s="3">
        <v>32.99</v>
      </c>
      <c r="O2019" s="2" t="s">
        <v>245</v>
      </c>
      <c r="P2019" s="2" t="s">
        <v>272</v>
      </c>
      <c r="Q2019" s="2" t="s">
        <v>239</v>
      </c>
      <c r="R2019" s="2" t="s">
        <v>233</v>
      </c>
      <c r="S2019" s="2" t="s">
        <v>9217</v>
      </c>
      <c r="T2019" s="2" t="s">
        <v>1622</v>
      </c>
      <c r="U2019" s="2" t="s">
        <v>233</v>
      </c>
      <c r="V2019" s="2" t="s">
        <v>241</v>
      </c>
      <c r="W2019" s="2" t="s">
        <v>275</v>
      </c>
      <c r="X2019" s="2" t="s">
        <v>233</v>
      </c>
      <c r="Y2019" s="2" t="s">
        <v>276</v>
      </c>
      <c r="Z2019" s="4">
        <v>1</v>
      </c>
      <c r="AA2019" s="4">
        <f>=ROUNDDOWN(0.0113636363636364,0)</f>
      </c>
      <c r="AB2019" s="5">
        <v>88</v>
      </c>
      <c r="AC2019" s="2" t="s">
        <v>1341</v>
      </c>
      <c r="AD2019" s="4">
        <v>1090</v>
      </c>
      <c r="AE2019" s="4">
        <v>1090</v>
      </c>
      <c r="AF2019" s="6">
        <v>65</v>
      </c>
      <c r="AG2019" s="6"/>
      <c r="AH2019" s="7">
        <v>0</v>
      </c>
      <c r="AI2019" s="4"/>
      <c r="AJ2019" s="4">
        <f>=ROUNDDOWN({0},0)</f>
      </c>
      <c r="AK2019" s="5"/>
      <c r="AL2019" s="2" t="s">
        <v>233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233</v>
      </c>
      <c r="AW2019" s="8" t="s">
        <v>233</v>
      </c>
      <c r="AX2019" s="4" t="s">
        <v>233</v>
      </c>
      <c r="AY2019" s="8" t="s">
        <v>233</v>
      </c>
      <c r="AZ2019" s="7" t="s">
        <v>233</v>
      </c>
      <c r="BA2019" s="7" t="s">
        <v>233</v>
      </c>
      <c r="BB2019" s="7"/>
      <c r="BC2019" s="4" t="s">
        <v>233</v>
      </c>
      <c r="BD2019" s="8" t="s">
        <v>233</v>
      </c>
      <c r="BE2019" s="4" t="s">
        <v>233</v>
      </c>
      <c r="BF2019" s="8" t="s">
        <v>233</v>
      </c>
      <c r="BG2019" s="7" t="s">
        <v>233</v>
      </c>
      <c r="BH2019" s="7" t="s">
        <v>233</v>
      </c>
      <c r="BI2019" s="7"/>
      <c r="BJ2019" s="4">
        <v>2</v>
      </c>
      <c r="BK2019" s="8">
        <v>31.88</v>
      </c>
      <c r="BL2019" s="2" t="s">
        <v>7297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9227</v>
      </c>
      <c r="BV2019" s="2" t="s">
        <v>233</v>
      </c>
      <c r="BW2019" s="2" t="s">
        <v>233</v>
      </c>
      <c r="BX2019" s="2" t="s">
        <v>243</v>
      </c>
      <c r="BY2019" s="2" t="s">
        <v>280</v>
      </c>
      <c r="BZ2019" s="2" t="s">
        <v>245</v>
      </c>
      <c r="CA2019" s="2" t="s">
        <v>9228</v>
      </c>
      <c r="CB2019" s="2" t="s">
        <v>4486</v>
      </c>
      <c r="CC2019" s="2" t="s">
        <v>246</v>
      </c>
      <c r="CD2019" s="2" t="s">
        <v>233</v>
      </c>
      <c r="CE2019" s="4">
        <v>1</v>
      </c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>
        <v>1090</v>
      </c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  <c r="HG2019" s="4"/>
      <c r="HH2019" s="4"/>
      <c r="HI2019" s="4"/>
      <c r="HJ2019" s="4"/>
      <c r="HK2019" s="4"/>
      <c r="HL2019" s="4"/>
      <c r="HM2019" s="4"/>
      <c r="HN2019" s="4"/>
      <c r="HO2019" s="4"/>
      <c r="HP2019" s="4"/>
      <c r="HQ2019" s="4"/>
      <c r="HR2019" s="4"/>
    </row>
    <row r="2020">
      <c r="A2020" s="2" t="s">
        <v>9229</v>
      </c>
      <c r="B2020" s="2" t="s">
        <v>228</v>
      </c>
      <c r="C2020" s="2" t="s">
        <v>530</v>
      </c>
      <c r="D2020" s="2" t="s">
        <v>1616</v>
      </c>
      <c r="E2020" s="2" t="s">
        <v>1617</v>
      </c>
      <c r="F2020" s="2" t="s">
        <v>9211</v>
      </c>
      <c r="G2020" s="2" t="s">
        <v>9212</v>
      </c>
      <c r="H2020" s="2" t="s">
        <v>9212</v>
      </c>
      <c r="I2020" s="2" t="s">
        <v>9226</v>
      </c>
      <c r="J2020" s="2" t="s">
        <v>6223</v>
      </c>
      <c r="K2020" s="2" t="s">
        <v>569</v>
      </c>
      <c r="L2020" s="3">
        <v>15.18</v>
      </c>
      <c r="M2020" s="3">
        <v>15.94</v>
      </c>
      <c r="N2020" s="3">
        <v>32.99</v>
      </c>
      <c r="O2020" s="2" t="s">
        <v>245</v>
      </c>
      <c r="P2020" s="2" t="s">
        <v>272</v>
      </c>
      <c r="Q2020" s="2" t="s">
        <v>239</v>
      </c>
      <c r="R2020" s="2" t="s">
        <v>233</v>
      </c>
      <c r="S2020" s="2" t="s">
        <v>9230</v>
      </c>
      <c r="T2020" s="2" t="s">
        <v>1622</v>
      </c>
      <c r="U2020" s="2" t="s">
        <v>233</v>
      </c>
      <c r="V2020" s="2" t="s">
        <v>241</v>
      </c>
      <c r="W2020" s="2" t="s">
        <v>275</v>
      </c>
      <c r="X2020" s="2" t="s">
        <v>233</v>
      </c>
      <c r="Y2020" s="2" t="s">
        <v>276</v>
      </c>
      <c r="Z2020" s="4">
        <v>2</v>
      </c>
      <c r="AA2020" s="4">
        <f>=ROUNDDOWN(0.037037037037037,0)</f>
      </c>
      <c r="AB2020" s="5">
        <v>54</v>
      </c>
      <c r="AC2020" s="2" t="s">
        <v>1341</v>
      </c>
      <c r="AD2020" s="4">
        <v>680</v>
      </c>
      <c r="AE2020" s="4">
        <v>680</v>
      </c>
      <c r="AF2020" s="6">
        <v>65</v>
      </c>
      <c r="AG2020" s="6"/>
      <c r="AH2020" s="7">
        <v>0</v>
      </c>
      <c r="AI2020" s="4"/>
      <c r="AJ2020" s="4">
        <f>=ROUNDDOWN({0},0)</f>
      </c>
      <c r="AK2020" s="5"/>
      <c r="AL2020" s="2" t="s">
        <v>233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233</v>
      </c>
      <c r="BD2020" s="8" t="s">
        <v>233</v>
      </c>
      <c r="BE2020" s="4" t="s">
        <v>233</v>
      </c>
      <c r="BF2020" s="8" t="s">
        <v>233</v>
      </c>
      <c r="BG2020" s="7" t="s">
        <v>233</v>
      </c>
      <c r="BH2020" s="7" t="s">
        <v>233</v>
      </c>
      <c r="BI2020" s="7"/>
      <c r="BJ2020" s="4">
        <v>1</v>
      </c>
      <c r="BK2020" s="8">
        <v>15.94</v>
      </c>
      <c r="BL2020" s="2" t="s">
        <v>744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9231</v>
      </c>
      <c r="BV2020" s="2" t="s">
        <v>233</v>
      </c>
      <c r="BW2020" s="2" t="s">
        <v>233</v>
      </c>
      <c r="BX2020" s="2" t="s">
        <v>243</v>
      </c>
      <c r="BY2020" s="2" t="s">
        <v>280</v>
      </c>
      <c r="BZ2020" s="2" t="s">
        <v>245</v>
      </c>
      <c r="CA2020" s="2" t="s">
        <v>9228</v>
      </c>
      <c r="CB2020" s="2" t="s">
        <v>9232</v>
      </c>
      <c r="CC2020" s="2" t="s">
        <v>246</v>
      </c>
      <c r="CD2020" s="2" t="s">
        <v>233</v>
      </c>
      <c r="CE2020" s="4">
        <v>2</v>
      </c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>
        <v>680</v>
      </c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4"/>
      <c r="HG2020" s="4"/>
      <c r="HH2020" s="4"/>
      <c r="HI2020" s="4"/>
      <c r="HJ2020" s="4"/>
      <c r="HK2020" s="4"/>
      <c r="HL2020" s="4"/>
      <c r="HM2020" s="4"/>
      <c r="HN2020" s="4"/>
      <c r="HO2020" s="4"/>
      <c r="HP2020" s="4"/>
      <c r="HQ2020" s="4"/>
      <c r="HR2020" s="4"/>
    </row>
    <row r="2021">
      <c r="A2021" s="2" t="s">
        <v>9233</v>
      </c>
      <c r="B2021" s="2" t="s">
        <v>228</v>
      </c>
      <c r="C2021" s="2" t="s">
        <v>530</v>
      </c>
      <c r="D2021" s="2" t="s">
        <v>969</v>
      </c>
      <c r="E2021" s="2" t="s">
        <v>970</v>
      </c>
      <c r="F2021" s="2" t="s">
        <v>9211</v>
      </c>
      <c r="G2021" s="2" t="s">
        <v>9212</v>
      </c>
      <c r="H2021" s="2" t="s">
        <v>9212</v>
      </c>
      <c r="I2021" s="2" t="s">
        <v>9213</v>
      </c>
      <c r="J2021" s="2" t="s">
        <v>270</v>
      </c>
      <c r="K2021" s="2" t="s">
        <v>257</v>
      </c>
      <c r="L2021" s="3">
        <v>36.8</v>
      </c>
      <c r="M2021" s="3">
        <v>38.64</v>
      </c>
      <c r="N2021" s="3">
        <v>79.99</v>
      </c>
      <c r="O2021" s="2" t="s">
        <v>245</v>
      </c>
      <c r="P2021" s="2" t="s">
        <v>311</v>
      </c>
      <c r="Q2021" s="2" t="s">
        <v>239</v>
      </c>
      <c r="R2021" s="2" t="s">
        <v>233</v>
      </c>
      <c r="S2021" s="2" t="s">
        <v>9234</v>
      </c>
      <c r="T2021" s="2" t="s">
        <v>1622</v>
      </c>
      <c r="U2021" s="2" t="s">
        <v>233</v>
      </c>
      <c r="V2021" s="2" t="s">
        <v>241</v>
      </c>
      <c r="W2021" s="2" t="s">
        <v>275</v>
      </c>
      <c r="X2021" s="2" t="s">
        <v>7228</v>
      </c>
      <c r="Y2021" s="2" t="s">
        <v>276</v>
      </c>
      <c r="Z2021" s="4">
        <v>26</v>
      </c>
      <c r="AA2021" s="4">
        <f>=ROUNDDOWN(6.5,0)</f>
      </c>
      <c r="AB2021" s="5">
        <v>4</v>
      </c>
      <c r="AC2021" s="2" t="s">
        <v>233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233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 t="s">
        <v>233</v>
      </c>
      <c r="AW2021" s="8" t="s">
        <v>233</v>
      </c>
      <c r="AX2021" s="4" t="s">
        <v>233</v>
      </c>
      <c r="AY2021" s="8" t="s">
        <v>233</v>
      </c>
      <c r="AZ2021" s="7" t="s">
        <v>233</v>
      </c>
      <c r="BA2021" s="7" t="s">
        <v>233</v>
      </c>
      <c r="BB2021" s="7"/>
      <c r="BC2021" s="4" t="s">
        <v>233</v>
      </c>
      <c r="BD2021" s="8" t="s">
        <v>233</v>
      </c>
      <c r="BE2021" s="4" t="s">
        <v>233</v>
      </c>
      <c r="BF2021" s="8" t="s">
        <v>233</v>
      </c>
      <c r="BG2021" s="7" t="s">
        <v>233</v>
      </c>
      <c r="BH2021" s="7" t="s">
        <v>233</v>
      </c>
      <c r="BI2021" s="7"/>
      <c r="BJ2021" s="4">
        <v>4</v>
      </c>
      <c r="BK2021" s="8">
        <v>130.02</v>
      </c>
      <c r="BL2021" s="2" t="s">
        <v>9235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9236</v>
      </c>
      <c r="BV2021" s="2" t="s">
        <v>233</v>
      </c>
      <c r="BW2021" s="2" t="s">
        <v>233</v>
      </c>
      <c r="BX2021" s="2" t="s">
        <v>595</v>
      </c>
      <c r="BY2021" s="2" t="s">
        <v>280</v>
      </c>
      <c r="BZ2021" s="2" t="s">
        <v>245</v>
      </c>
      <c r="CA2021" s="2" t="s">
        <v>287</v>
      </c>
      <c r="CB2021" s="2" t="s">
        <v>4486</v>
      </c>
      <c r="CC2021" s="2" t="s">
        <v>246</v>
      </c>
      <c r="CD2021" s="2" t="s">
        <v>233</v>
      </c>
      <c r="CE2021" s="4">
        <v>26</v>
      </c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4"/>
      <c r="HE2021" s="4"/>
      <c r="HF2021" s="4"/>
      <c r="HG2021" s="4"/>
      <c r="HH2021" s="4"/>
      <c r="HI2021" s="4"/>
      <c r="HJ2021" s="4"/>
      <c r="HK2021" s="4"/>
      <c r="HL2021" s="4"/>
      <c r="HM2021" s="4"/>
      <c r="HN2021" s="4"/>
      <c r="HO2021" s="4"/>
      <c r="HP2021" s="4"/>
      <c r="HQ2021" s="4"/>
      <c r="HR2021" s="4"/>
    </row>
    <row r="2022">
      <c r="A2022" s="2" t="s">
        <v>9237</v>
      </c>
      <c r="B2022" s="2" t="s">
        <v>228</v>
      </c>
      <c r="C2022" s="2" t="s">
        <v>530</v>
      </c>
      <c r="D2022" s="2" t="s">
        <v>969</v>
      </c>
      <c r="E2022" s="2" t="s">
        <v>970</v>
      </c>
      <c r="F2022" s="2" t="s">
        <v>9211</v>
      </c>
      <c r="G2022" s="2" t="s">
        <v>9212</v>
      </c>
      <c r="H2022" s="2" t="s">
        <v>9212</v>
      </c>
      <c r="I2022" s="2" t="s">
        <v>9213</v>
      </c>
      <c r="J2022" s="2" t="s">
        <v>981</v>
      </c>
      <c r="K2022" s="2" t="s">
        <v>257</v>
      </c>
      <c r="L2022" s="3">
        <v>50.6</v>
      </c>
      <c r="M2022" s="3">
        <v>53.13</v>
      </c>
      <c r="N2022" s="3">
        <v>109.99</v>
      </c>
      <c r="O2022" s="2" t="s">
        <v>245</v>
      </c>
      <c r="P2022" s="2" t="s">
        <v>272</v>
      </c>
      <c r="Q2022" s="2" t="s">
        <v>239</v>
      </c>
      <c r="R2022" s="2" t="s">
        <v>233</v>
      </c>
      <c r="S2022" s="2" t="s">
        <v>9234</v>
      </c>
      <c r="T2022" s="2" t="s">
        <v>1622</v>
      </c>
      <c r="U2022" s="2" t="s">
        <v>233</v>
      </c>
      <c r="V2022" s="2" t="s">
        <v>241</v>
      </c>
      <c r="W2022" s="2" t="s">
        <v>275</v>
      </c>
      <c r="X2022" s="2" t="s">
        <v>7228</v>
      </c>
      <c r="Y2022" s="2" t="s">
        <v>276</v>
      </c>
      <c r="Z2022" s="4"/>
      <c r="AA2022" s="4">
        <f>=ROUNDDOWN({0},0)</f>
      </c>
      <c r="AB2022" s="5">
        <v>12</v>
      </c>
      <c r="AC2022" s="2" t="s">
        <v>1341</v>
      </c>
      <c r="AD2022" s="4">
        <v>160</v>
      </c>
      <c r="AE2022" s="4">
        <v>160</v>
      </c>
      <c r="AF2022" s="6">
        <v>65</v>
      </c>
      <c r="AG2022" s="6"/>
      <c r="AH2022" s="7">
        <v>0</v>
      </c>
      <c r="AI2022" s="4"/>
      <c r="AJ2022" s="4">
        <f>=ROUNDDOWN({0},0)</f>
      </c>
      <c r="AK2022" s="5"/>
      <c r="AL2022" s="2" t="s">
        <v>233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 t="s">
        <v>233</v>
      </c>
      <c r="AW2022" s="8" t="s">
        <v>233</v>
      </c>
      <c r="AX2022" s="4" t="s">
        <v>233</v>
      </c>
      <c r="AY2022" s="8" t="s">
        <v>233</v>
      </c>
      <c r="AZ2022" s="7" t="s">
        <v>233</v>
      </c>
      <c r="BA2022" s="7" t="s">
        <v>233</v>
      </c>
      <c r="BB2022" s="7"/>
      <c r="BC2022" s="4" t="s">
        <v>233</v>
      </c>
      <c r="BD2022" s="8" t="s">
        <v>233</v>
      </c>
      <c r="BE2022" s="4" t="s">
        <v>233</v>
      </c>
      <c r="BF2022" s="8" t="s">
        <v>233</v>
      </c>
      <c r="BG2022" s="7" t="s">
        <v>233</v>
      </c>
      <c r="BH2022" s="7" t="s">
        <v>233</v>
      </c>
      <c r="BI2022" s="7"/>
      <c r="BJ2022" s="4">
        <v>2</v>
      </c>
      <c r="BK2022" s="8">
        <v>106.24</v>
      </c>
      <c r="BL2022" s="2" t="s">
        <v>744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9238</v>
      </c>
      <c r="BV2022" s="2" t="s">
        <v>233</v>
      </c>
      <c r="BW2022" s="2" t="s">
        <v>233</v>
      </c>
      <c r="BX2022" s="2" t="s">
        <v>233</v>
      </c>
      <c r="BY2022" s="2" t="s">
        <v>280</v>
      </c>
      <c r="BZ2022" s="2" t="s">
        <v>245</v>
      </c>
      <c r="CA2022" s="2" t="s">
        <v>287</v>
      </c>
      <c r="CB2022" s="2" t="s">
        <v>4728</v>
      </c>
      <c r="CC2022" s="2" t="s">
        <v>246</v>
      </c>
      <c r="CD2022" s="2" t="s">
        <v>233</v>
      </c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>
        <v>160</v>
      </c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  <c r="GQ2022" s="4"/>
      <c r="GR2022" s="4"/>
      <c r="GS2022" s="4"/>
      <c r="GT2022" s="4"/>
      <c r="GU2022" s="4"/>
      <c r="GV2022" s="4"/>
      <c r="GW2022" s="4"/>
      <c r="GX2022" s="4"/>
      <c r="GY2022" s="4"/>
      <c r="GZ2022" s="4"/>
      <c r="HA2022" s="4"/>
      <c r="HB2022" s="4"/>
      <c r="HC2022" s="4"/>
      <c r="HD2022" s="4"/>
      <c r="HE2022" s="4"/>
      <c r="HF2022" s="4"/>
      <c r="HG2022" s="4"/>
      <c r="HH2022" s="4"/>
      <c r="HI2022" s="4"/>
      <c r="HJ2022" s="4"/>
      <c r="HK2022" s="4"/>
      <c r="HL2022" s="4"/>
      <c r="HM2022" s="4"/>
      <c r="HN2022" s="4"/>
      <c r="HO2022" s="4"/>
      <c r="HP2022" s="4"/>
      <c r="HQ2022" s="4"/>
      <c r="HR2022" s="4"/>
    </row>
    <row r="2023">
      <c r="A2023" s="2" t="s">
        <v>9239</v>
      </c>
      <c r="B2023" s="2" t="s">
        <v>228</v>
      </c>
      <c r="C2023" s="2" t="s">
        <v>530</v>
      </c>
      <c r="D2023" s="2" t="s">
        <v>969</v>
      </c>
      <c r="E2023" s="2" t="s">
        <v>970</v>
      </c>
      <c r="F2023" s="2" t="s">
        <v>9211</v>
      </c>
      <c r="G2023" s="2" t="s">
        <v>9212</v>
      </c>
      <c r="H2023" s="2" t="s">
        <v>9212</v>
      </c>
      <c r="I2023" s="2" t="s">
        <v>9213</v>
      </c>
      <c r="J2023" s="2" t="s">
        <v>1142</v>
      </c>
      <c r="K2023" s="2" t="s">
        <v>257</v>
      </c>
      <c r="L2023" s="3">
        <v>55.2</v>
      </c>
      <c r="M2023" s="3">
        <v>57.96</v>
      </c>
      <c r="N2023" s="3">
        <v>119.99</v>
      </c>
      <c r="O2023" s="2" t="s">
        <v>245</v>
      </c>
      <c r="P2023" s="2" t="s">
        <v>272</v>
      </c>
      <c r="Q2023" s="2" t="s">
        <v>239</v>
      </c>
      <c r="R2023" s="2" t="s">
        <v>233</v>
      </c>
      <c r="S2023" s="2" t="s">
        <v>9234</v>
      </c>
      <c r="T2023" s="2" t="s">
        <v>1622</v>
      </c>
      <c r="U2023" s="2" t="s">
        <v>233</v>
      </c>
      <c r="V2023" s="2" t="s">
        <v>241</v>
      </c>
      <c r="W2023" s="2" t="s">
        <v>275</v>
      </c>
      <c r="X2023" s="2" t="s">
        <v>7228</v>
      </c>
      <c r="Y2023" s="2" t="s">
        <v>276</v>
      </c>
      <c r="Z2023" s="4">
        <v>2</v>
      </c>
      <c r="AA2023" s="4">
        <f>=ROUNDDOWN(0.166666666666667,0)</f>
      </c>
      <c r="AB2023" s="5">
        <v>12</v>
      </c>
      <c r="AC2023" s="2" t="s">
        <v>1341</v>
      </c>
      <c r="AD2023" s="4">
        <v>160</v>
      </c>
      <c r="AE2023" s="4">
        <v>160</v>
      </c>
      <c r="AF2023" s="6">
        <v>65</v>
      </c>
      <c r="AG2023" s="6"/>
      <c r="AH2023" s="7">
        <v>0</v>
      </c>
      <c r="AI2023" s="4"/>
      <c r="AJ2023" s="4">
        <f>=ROUNDDOWN({0},0)</f>
      </c>
      <c r="AK2023" s="5"/>
      <c r="AL2023" s="2" t="s">
        <v>233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233</v>
      </c>
      <c r="AW2023" s="8" t="s">
        <v>233</v>
      </c>
      <c r="AX2023" s="4" t="s">
        <v>233</v>
      </c>
      <c r="AY2023" s="8" t="s">
        <v>233</v>
      </c>
      <c r="AZ2023" s="7" t="s">
        <v>233</v>
      </c>
      <c r="BA2023" s="7" t="s">
        <v>233</v>
      </c>
      <c r="BB2023" s="7"/>
      <c r="BC2023" s="4" t="s">
        <v>233</v>
      </c>
      <c r="BD2023" s="8" t="s">
        <v>233</v>
      </c>
      <c r="BE2023" s="4" t="s">
        <v>233</v>
      </c>
      <c r="BF2023" s="8" t="s">
        <v>233</v>
      </c>
      <c r="BG2023" s="7" t="s">
        <v>233</v>
      </c>
      <c r="BH2023" s="7" t="s">
        <v>233</v>
      </c>
      <c r="BI2023" s="7"/>
      <c r="BJ2023" s="4"/>
      <c r="BK2023" s="8"/>
      <c r="BL2023" s="2" t="s">
        <v>233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9240</v>
      </c>
      <c r="BV2023" s="2" t="s">
        <v>233</v>
      </c>
      <c r="BW2023" s="2" t="s">
        <v>233</v>
      </c>
      <c r="BX2023" s="2" t="s">
        <v>233</v>
      </c>
      <c r="BY2023" s="2" t="s">
        <v>280</v>
      </c>
      <c r="BZ2023" s="2" t="s">
        <v>245</v>
      </c>
      <c r="CA2023" s="2" t="s">
        <v>287</v>
      </c>
      <c r="CB2023" s="2" t="s">
        <v>6191</v>
      </c>
      <c r="CC2023" s="2" t="s">
        <v>246</v>
      </c>
      <c r="CD2023" s="2" t="s">
        <v>233</v>
      </c>
      <c r="CE2023" s="4">
        <v>2</v>
      </c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>
        <v>160</v>
      </c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  <c r="GL2023" s="4"/>
      <c r="GM2023" s="4"/>
      <c r="GN2023" s="4"/>
      <c r="GO2023" s="4"/>
      <c r="GP2023" s="4"/>
      <c r="GQ2023" s="4"/>
      <c r="GR2023" s="4"/>
      <c r="GS2023" s="4"/>
      <c r="GT2023" s="4"/>
      <c r="GU2023" s="4"/>
      <c r="GV2023" s="4"/>
      <c r="GW2023" s="4"/>
      <c r="GX2023" s="4"/>
      <c r="GY2023" s="4"/>
      <c r="GZ2023" s="4"/>
      <c r="HA2023" s="4"/>
      <c r="HB2023" s="4"/>
      <c r="HC2023" s="4"/>
      <c r="HD2023" s="4"/>
      <c r="HE2023" s="4"/>
      <c r="HF2023" s="4"/>
      <c r="HG2023" s="4"/>
      <c r="HH2023" s="4"/>
      <c r="HI2023" s="4"/>
      <c r="HJ2023" s="4"/>
      <c r="HK2023" s="4"/>
      <c r="HL2023" s="4"/>
      <c r="HM2023" s="4"/>
      <c r="HN2023" s="4"/>
      <c r="HO2023" s="4"/>
      <c r="HP2023" s="4"/>
      <c r="HQ2023" s="4"/>
      <c r="HR2023" s="4"/>
    </row>
    <row r="2024">
      <c r="A2024" s="2" t="s">
        <v>9241</v>
      </c>
      <c r="B2024" s="2" t="s">
        <v>228</v>
      </c>
      <c r="C2024" s="2" t="s">
        <v>530</v>
      </c>
      <c r="D2024" s="2" t="s">
        <v>1616</v>
      </c>
      <c r="E2024" s="2" t="s">
        <v>1617</v>
      </c>
      <c r="F2024" s="2" t="s">
        <v>9211</v>
      </c>
      <c r="G2024" s="2" t="s">
        <v>9212</v>
      </c>
      <c r="H2024" s="2" t="s">
        <v>9212</v>
      </c>
      <c r="I2024" s="2" t="s">
        <v>9226</v>
      </c>
      <c r="J2024" s="2" t="s">
        <v>6223</v>
      </c>
      <c r="K2024" s="2" t="s">
        <v>257</v>
      </c>
      <c r="L2024" s="3">
        <v>15.18</v>
      </c>
      <c r="M2024" s="3">
        <v>15.94</v>
      </c>
      <c r="N2024" s="3">
        <v>32.99</v>
      </c>
      <c r="O2024" s="2" t="s">
        <v>245</v>
      </c>
      <c r="P2024" s="2" t="s">
        <v>272</v>
      </c>
      <c r="Q2024" s="2" t="s">
        <v>239</v>
      </c>
      <c r="R2024" s="2" t="s">
        <v>233</v>
      </c>
      <c r="S2024" s="2" t="s">
        <v>9234</v>
      </c>
      <c r="T2024" s="2" t="s">
        <v>1622</v>
      </c>
      <c r="U2024" s="2" t="s">
        <v>233</v>
      </c>
      <c r="V2024" s="2" t="s">
        <v>241</v>
      </c>
      <c r="W2024" s="2" t="s">
        <v>275</v>
      </c>
      <c r="X2024" s="2" t="s">
        <v>233</v>
      </c>
      <c r="Y2024" s="2" t="s">
        <v>276</v>
      </c>
      <c r="Z2024" s="4"/>
      <c r="AA2024" s="4">
        <f>=ROUNDDOWN({0},0)</f>
      </c>
      <c r="AB2024" s="5">
        <v>49</v>
      </c>
      <c r="AC2024" s="2" t="s">
        <v>1341</v>
      </c>
      <c r="AD2024" s="4">
        <v>610</v>
      </c>
      <c r="AE2024" s="4">
        <v>610</v>
      </c>
      <c r="AF2024" s="6">
        <v>65</v>
      </c>
      <c r="AG2024" s="6"/>
      <c r="AH2024" s="7">
        <v>0</v>
      </c>
      <c r="AI2024" s="4"/>
      <c r="AJ2024" s="4">
        <f>=ROUNDDOWN({0},0)</f>
      </c>
      <c r="AK2024" s="5"/>
      <c r="AL2024" s="2" t="s">
        <v>233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 t="s">
        <v>233</v>
      </c>
      <c r="AW2024" s="8" t="s">
        <v>233</v>
      </c>
      <c r="AX2024" s="4" t="s">
        <v>233</v>
      </c>
      <c r="AY2024" s="8" t="s">
        <v>233</v>
      </c>
      <c r="AZ2024" s="7" t="s">
        <v>233</v>
      </c>
      <c r="BA2024" s="7" t="s">
        <v>233</v>
      </c>
      <c r="BB2024" s="7"/>
      <c r="BC2024" s="4" t="s">
        <v>233</v>
      </c>
      <c r="BD2024" s="8" t="s">
        <v>233</v>
      </c>
      <c r="BE2024" s="4" t="s">
        <v>233</v>
      </c>
      <c r="BF2024" s="8" t="s">
        <v>233</v>
      </c>
      <c r="BG2024" s="7" t="s">
        <v>233</v>
      </c>
      <c r="BH2024" s="7" t="s">
        <v>233</v>
      </c>
      <c r="BI2024" s="7"/>
      <c r="BJ2024" s="4">
        <v>4</v>
      </c>
      <c r="BK2024" s="8">
        <v>57.78</v>
      </c>
      <c r="BL2024" s="2" t="s">
        <v>9242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9243</v>
      </c>
      <c r="BV2024" s="2" t="s">
        <v>233</v>
      </c>
      <c r="BW2024" s="2" t="s">
        <v>233</v>
      </c>
      <c r="BX2024" s="2" t="s">
        <v>243</v>
      </c>
      <c r="BY2024" s="2" t="s">
        <v>280</v>
      </c>
      <c r="BZ2024" s="2" t="s">
        <v>245</v>
      </c>
      <c r="CA2024" s="2" t="s">
        <v>9228</v>
      </c>
      <c r="CB2024" s="2" t="s">
        <v>8005</v>
      </c>
      <c r="CC2024" s="2" t="s">
        <v>246</v>
      </c>
      <c r="CD2024" s="2" t="s">
        <v>233</v>
      </c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>
        <v>610</v>
      </c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/>
      <c r="GU2024" s="4"/>
      <c r="GV2024" s="4"/>
      <c r="GW2024" s="4"/>
      <c r="GX2024" s="4"/>
      <c r="GY2024" s="4"/>
      <c r="GZ2024" s="4"/>
      <c r="HA2024" s="4"/>
      <c r="HB2024" s="4"/>
      <c r="HC2024" s="4"/>
      <c r="HD2024" s="4"/>
      <c r="HE2024" s="4"/>
      <c r="HF2024" s="4"/>
      <c r="HG2024" s="4"/>
      <c r="HH2024" s="4"/>
      <c r="HI2024" s="4"/>
      <c r="HJ2024" s="4"/>
      <c r="HK2024" s="4"/>
      <c r="HL2024" s="4"/>
      <c r="HM2024" s="4"/>
      <c r="HN2024" s="4"/>
      <c r="HO2024" s="4"/>
      <c r="HP2024" s="4"/>
      <c r="HQ2024" s="4"/>
      <c r="HR2024" s="4"/>
    </row>
    <row r="2025">
      <c r="A2025" s="2" t="s">
        <v>9244</v>
      </c>
      <c r="B2025" s="2" t="s">
        <v>1066</v>
      </c>
      <c r="C2025" s="2" t="s">
        <v>530</v>
      </c>
      <c r="D2025" s="2" t="s">
        <v>1782</v>
      </c>
      <c r="E2025" s="2" t="s">
        <v>2131</v>
      </c>
      <c r="F2025" s="2" t="s">
        <v>9211</v>
      </c>
      <c r="G2025" s="2" t="s">
        <v>2039</v>
      </c>
      <c r="H2025" s="2" t="s">
        <v>9245</v>
      </c>
      <c r="I2025" s="2" t="s">
        <v>2131</v>
      </c>
      <c r="J2025" s="2" t="s">
        <v>892</v>
      </c>
      <c r="K2025" s="2" t="s">
        <v>9246</v>
      </c>
      <c r="L2025" s="3">
        <v>133</v>
      </c>
      <c r="M2025" s="3">
        <v>139.65</v>
      </c>
      <c r="N2025" s="3">
        <v>279</v>
      </c>
      <c r="O2025" s="2" t="s">
        <v>245</v>
      </c>
      <c r="P2025" s="2" t="s">
        <v>272</v>
      </c>
      <c r="Q2025" s="2" t="s">
        <v>239</v>
      </c>
      <c r="R2025" s="2" t="s">
        <v>233</v>
      </c>
      <c r="S2025" s="2" t="s">
        <v>233</v>
      </c>
      <c r="T2025" s="2" t="s">
        <v>233</v>
      </c>
      <c r="U2025" s="2" t="s">
        <v>396</v>
      </c>
      <c r="V2025" s="2" t="s">
        <v>241</v>
      </c>
      <c r="W2025" s="2" t="s">
        <v>397</v>
      </c>
      <c r="X2025" s="2" t="s">
        <v>894</v>
      </c>
      <c r="Y2025" s="2" t="s">
        <v>9247</v>
      </c>
      <c r="Z2025" s="4">
        <v>176</v>
      </c>
      <c r="AA2025" s="4">
        <f>=ROUNDDOWN(83.8095238095238,0)</f>
      </c>
      <c r="AB2025" s="5">
        <v>2.1</v>
      </c>
      <c r="AC2025" s="2" t="s">
        <v>233</v>
      </c>
      <c r="AD2025" s="4"/>
      <c r="AE2025" s="4"/>
      <c r="AF2025" s="6">
        <v>74</v>
      </c>
      <c r="AG2025" s="6"/>
      <c r="AH2025" s="7">
        <v>1</v>
      </c>
      <c r="AI2025" s="4"/>
      <c r="AJ2025" s="4">
        <f>=ROUNDDOWN({0},0)</f>
      </c>
      <c r="AK2025" s="5"/>
      <c r="AL2025" s="2" t="s">
        <v>233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 t="s">
        <v>233</v>
      </c>
      <c r="BD2025" s="8" t="s">
        <v>233</v>
      </c>
      <c r="BE2025" s="4" t="s">
        <v>233</v>
      </c>
      <c r="BF2025" s="8" t="s">
        <v>233</v>
      </c>
      <c r="BG2025" s="7" t="s">
        <v>233</v>
      </c>
      <c r="BH2025" s="7" t="s">
        <v>233</v>
      </c>
      <c r="BI2025" s="7"/>
      <c r="BJ2025" s="4">
        <v>12</v>
      </c>
      <c r="BK2025" s="8">
        <v>1583.84</v>
      </c>
      <c r="BL2025" s="2" t="s">
        <v>9248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9249</v>
      </c>
      <c r="BV2025" s="2" t="s">
        <v>233</v>
      </c>
      <c r="BW2025" s="2" t="s">
        <v>233</v>
      </c>
      <c r="BX2025" s="2" t="s">
        <v>798</v>
      </c>
      <c r="BY2025" s="2" t="s">
        <v>280</v>
      </c>
      <c r="BZ2025" s="2" t="s">
        <v>245</v>
      </c>
      <c r="CA2025" s="2" t="s">
        <v>1128</v>
      </c>
      <c r="CB2025" s="2" t="s">
        <v>1872</v>
      </c>
      <c r="CC2025" s="2" t="s">
        <v>246</v>
      </c>
      <c r="CD2025" s="2" t="s">
        <v>233</v>
      </c>
      <c r="CE2025" s="4"/>
      <c r="CF2025" s="4">
        <v>176</v>
      </c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4"/>
      <c r="HE2025" s="4"/>
      <c r="HF2025" s="4"/>
      <c r="HG2025" s="4"/>
      <c r="HH2025" s="4"/>
      <c r="HI2025" s="4"/>
      <c r="HJ2025" s="4"/>
      <c r="HK2025" s="4"/>
      <c r="HL2025" s="4"/>
      <c r="HM2025" s="4"/>
      <c r="HN2025" s="4"/>
      <c r="HO2025" s="4"/>
      <c r="HP2025" s="4"/>
      <c r="HQ2025" s="4"/>
      <c r="HR2025" s="4"/>
    </row>
    <row r="2026">
      <c r="A2026" s="2" t="s">
        <v>9250</v>
      </c>
      <c r="B2026" s="2" t="s">
        <v>228</v>
      </c>
      <c r="C2026" s="2" t="s">
        <v>334</v>
      </c>
      <c r="D2026" s="2" t="s">
        <v>969</v>
      </c>
      <c r="E2026" s="2" t="s">
        <v>970</v>
      </c>
      <c r="F2026" s="2" t="s">
        <v>9251</v>
      </c>
      <c r="G2026" s="2" t="s">
        <v>9252</v>
      </c>
      <c r="H2026" s="2" t="s">
        <v>9252</v>
      </c>
      <c r="I2026" s="2" t="s">
        <v>9253</v>
      </c>
      <c r="J2026" s="2" t="s">
        <v>918</v>
      </c>
      <c r="K2026" s="2" t="s">
        <v>255</v>
      </c>
      <c r="L2026" s="3">
        <v>19.6</v>
      </c>
      <c r="M2026" s="3">
        <v>20.58</v>
      </c>
      <c r="N2026" s="3">
        <v>39.99</v>
      </c>
      <c r="O2026" s="2" t="s">
        <v>245</v>
      </c>
      <c r="P2026" s="2" t="s">
        <v>741</v>
      </c>
      <c r="Q2026" s="2" t="s">
        <v>239</v>
      </c>
      <c r="R2026" s="2" t="s">
        <v>233</v>
      </c>
      <c r="S2026" s="2" t="s">
        <v>9254</v>
      </c>
      <c r="T2026" s="2" t="s">
        <v>395</v>
      </c>
      <c r="U2026" s="2" t="s">
        <v>491</v>
      </c>
      <c r="V2026" s="2" t="s">
        <v>1340</v>
      </c>
      <c r="W2026" s="2" t="s">
        <v>978</v>
      </c>
      <c r="X2026" s="2" t="s">
        <v>233</v>
      </c>
      <c r="Y2026" s="2" t="s">
        <v>9255</v>
      </c>
      <c r="Z2026" s="4">
        <v>739</v>
      </c>
      <c r="AA2026" s="4">
        <f>=ROUNDDOWN(19.972972972973,0)</f>
      </c>
      <c r="AB2026" s="5">
        <v>37</v>
      </c>
      <c r="AC2026" s="2" t="s">
        <v>813</v>
      </c>
      <c r="AD2026" s="4">
        <v>310</v>
      </c>
      <c r="AE2026" s="4">
        <v>740</v>
      </c>
      <c r="AF2026" s="6">
        <v>65</v>
      </c>
      <c r="AG2026" s="6">
        <v>48</v>
      </c>
      <c r="AH2026" s="7">
        <v>1</v>
      </c>
      <c r="AI2026" s="4"/>
      <c r="AJ2026" s="4">
        <f>=ROUNDDOWN({0},0)</f>
      </c>
      <c r="AK2026" s="5"/>
      <c r="AL2026" s="2" t="s">
        <v>233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 t="s">
        <v>233</v>
      </c>
      <c r="BD2026" s="8" t="s">
        <v>233</v>
      </c>
      <c r="BE2026" s="4" t="s">
        <v>233</v>
      </c>
      <c r="BF2026" s="8" t="s">
        <v>233</v>
      </c>
      <c r="BG2026" s="7" t="s">
        <v>233</v>
      </c>
      <c r="BH2026" s="7" t="s">
        <v>233</v>
      </c>
      <c r="BI2026" s="7"/>
      <c r="BJ2026" s="4">
        <v>49</v>
      </c>
      <c r="BK2026" s="8">
        <v>949.04</v>
      </c>
      <c r="BL2026" s="2" t="s">
        <v>9256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9257</v>
      </c>
      <c r="BV2026" s="2" t="s">
        <v>233</v>
      </c>
      <c r="BW2026" s="2" t="s">
        <v>233</v>
      </c>
      <c r="BX2026" s="2" t="s">
        <v>233</v>
      </c>
      <c r="BY2026" s="2" t="s">
        <v>280</v>
      </c>
      <c r="BZ2026" s="2" t="s">
        <v>245</v>
      </c>
      <c r="CA2026" s="2" t="s">
        <v>3130</v>
      </c>
      <c r="CB2026" s="2" t="s">
        <v>7761</v>
      </c>
      <c r="CC2026" s="2" t="s">
        <v>246</v>
      </c>
      <c r="CD2026" s="2" t="s">
        <v>233</v>
      </c>
      <c r="CE2026" s="4">
        <v>565</v>
      </c>
      <c r="CF2026" s="4"/>
      <c r="CG2026" s="4"/>
      <c r="CH2026" s="4"/>
      <c r="CI2026" s="4">
        <v>174</v>
      </c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>
        <v>310</v>
      </c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>
        <v>230</v>
      </c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>
        <v>50</v>
      </c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>
        <v>100</v>
      </c>
      <c r="GF2026" s="4"/>
      <c r="GG2026" s="4"/>
      <c r="GH2026" s="4"/>
      <c r="GI2026" s="4"/>
      <c r="GJ2026" s="4"/>
      <c r="GK2026" s="4"/>
      <c r="GL2026" s="4"/>
      <c r="GM2026" s="4"/>
      <c r="GN2026" s="4"/>
      <c r="GO2026" s="4"/>
      <c r="GP2026" s="4"/>
      <c r="GQ2026" s="4"/>
      <c r="GR2026" s="4"/>
      <c r="GS2026" s="4"/>
      <c r="GT2026" s="4"/>
      <c r="GU2026" s="4"/>
      <c r="GV2026" s="4"/>
      <c r="GW2026" s="4"/>
      <c r="GX2026" s="4"/>
      <c r="GY2026" s="4"/>
      <c r="GZ2026" s="4"/>
      <c r="HA2026" s="4"/>
      <c r="HB2026" s="4"/>
      <c r="HC2026" s="4"/>
      <c r="HD2026" s="4"/>
      <c r="HE2026" s="4">
        <v>50</v>
      </c>
      <c r="HF2026" s="4"/>
      <c r="HG2026" s="4"/>
      <c r="HH2026" s="4"/>
      <c r="HI2026" s="4"/>
      <c r="HJ2026" s="4"/>
      <c r="HK2026" s="4"/>
      <c r="HL2026" s="4"/>
      <c r="HM2026" s="4"/>
      <c r="HN2026" s="4"/>
      <c r="HO2026" s="4"/>
      <c r="HP2026" s="4"/>
      <c r="HQ2026" s="4"/>
      <c r="HR2026" s="4"/>
    </row>
    <row r="2027">
      <c r="A2027" s="2" t="s">
        <v>9258</v>
      </c>
      <c r="B2027" s="2" t="s">
        <v>228</v>
      </c>
      <c r="C2027" s="2" t="s">
        <v>334</v>
      </c>
      <c r="D2027" s="2" t="s">
        <v>969</v>
      </c>
      <c r="E2027" s="2" t="s">
        <v>970</v>
      </c>
      <c r="F2027" s="2" t="s">
        <v>9251</v>
      </c>
      <c r="G2027" s="2" t="s">
        <v>9252</v>
      </c>
      <c r="H2027" s="2" t="s">
        <v>9252</v>
      </c>
      <c r="I2027" s="2" t="s">
        <v>9253</v>
      </c>
      <c r="J2027" s="2" t="s">
        <v>1142</v>
      </c>
      <c r="K2027" s="2" t="s">
        <v>257</v>
      </c>
      <c r="L2027" s="3">
        <v>30</v>
      </c>
      <c r="M2027" s="3">
        <v>31.5</v>
      </c>
      <c r="N2027" s="3">
        <v>59.99</v>
      </c>
      <c r="O2027" s="2" t="s">
        <v>245</v>
      </c>
      <c r="P2027" s="2" t="s">
        <v>1366</v>
      </c>
      <c r="Q2027" s="2" t="s">
        <v>239</v>
      </c>
      <c r="R2027" s="2" t="s">
        <v>233</v>
      </c>
      <c r="S2027" s="2" t="s">
        <v>9259</v>
      </c>
      <c r="T2027" s="2" t="s">
        <v>395</v>
      </c>
      <c r="U2027" s="2" t="s">
        <v>475</v>
      </c>
      <c r="V2027" s="2" t="s">
        <v>1340</v>
      </c>
      <c r="W2027" s="2" t="s">
        <v>978</v>
      </c>
      <c r="X2027" s="2" t="s">
        <v>233</v>
      </c>
      <c r="Y2027" s="2" t="s">
        <v>276</v>
      </c>
      <c r="Z2027" s="4">
        <v>246</v>
      </c>
      <c r="AA2027" s="4">
        <f>=ROUNDDOWN(12.3,0)</f>
      </c>
      <c r="AB2027" s="5">
        <v>20</v>
      </c>
      <c r="AC2027" s="2" t="s">
        <v>1947</v>
      </c>
      <c r="AD2027" s="4">
        <v>150</v>
      </c>
      <c r="AE2027" s="4">
        <v>390</v>
      </c>
      <c r="AF2027" s="6">
        <v>65</v>
      </c>
      <c r="AG2027" s="6">
        <v>48</v>
      </c>
      <c r="AH2027" s="7">
        <v>1</v>
      </c>
      <c r="AI2027" s="4"/>
      <c r="AJ2027" s="4">
        <f>=ROUNDDOWN({0},0)</f>
      </c>
      <c r="AK2027" s="5"/>
      <c r="AL2027" s="2" t="s">
        <v>233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 t="s">
        <v>233</v>
      </c>
      <c r="BD2027" s="8" t="s">
        <v>233</v>
      </c>
      <c r="BE2027" s="4" t="s">
        <v>233</v>
      </c>
      <c r="BF2027" s="8" t="s">
        <v>233</v>
      </c>
      <c r="BG2027" s="7" t="s">
        <v>233</v>
      </c>
      <c r="BH2027" s="7" t="s">
        <v>233</v>
      </c>
      <c r="BI2027" s="7"/>
      <c r="BJ2027" s="4">
        <v>40</v>
      </c>
      <c r="BK2027" s="8">
        <v>1307.75</v>
      </c>
      <c r="BL2027" s="2" t="s">
        <v>9260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9261</v>
      </c>
      <c r="BV2027" s="2" t="s">
        <v>233</v>
      </c>
      <c r="BW2027" s="2" t="s">
        <v>233</v>
      </c>
      <c r="BX2027" s="2" t="s">
        <v>233</v>
      </c>
      <c r="BY2027" s="2" t="s">
        <v>280</v>
      </c>
      <c r="BZ2027" s="2" t="s">
        <v>245</v>
      </c>
      <c r="CA2027" s="2" t="s">
        <v>281</v>
      </c>
      <c r="CB2027" s="2" t="s">
        <v>528</v>
      </c>
      <c r="CC2027" s="2" t="s">
        <v>246</v>
      </c>
      <c r="CD2027" s="2" t="s">
        <v>233</v>
      </c>
      <c r="CE2027" s="4">
        <v>158</v>
      </c>
      <c r="CF2027" s="4"/>
      <c r="CG2027" s="4"/>
      <c r="CH2027" s="4"/>
      <c r="CI2027" s="4">
        <v>88</v>
      </c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>
        <v>150</v>
      </c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>
        <v>30</v>
      </c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>
        <v>110</v>
      </c>
      <c r="GF2027" s="4"/>
      <c r="GG2027" s="4"/>
      <c r="GH2027" s="4"/>
      <c r="GI2027" s="4"/>
      <c r="GJ2027" s="4"/>
      <c r="GK2027" s="4"/>
      <c r="GL2027" s="4"/>
      <c r="GM2027" s="4"/>
      <c r="GN2027" s="4"/>
      <c r="GO2027" s="4"/>
      <c r="GP2027" s="4"/>
      <c r="GQ2027" s="4"/>
      <c r="GR2027" s="4"/>
      <c r="GS2027" s="4"/>
      <c r="GT2027" s="4"/>
      <c r="GU2027" s="4"/>
      <c r="GV2027" s="4"/>
      <c r="GW2027" s="4"/>
      <c r="GX2027" s="4"/>
      <c r="GY2027" s="4"/>
      <c r="GZ2027" s="4"/>
      <c r="HA2027" s="4"/>
      <c r="HB2027" s="4"/>
      <c r="HC2027" s="4"/>
      <c r="HD2027" s="4"/>
      <c r="HE2027" s="4">
        <v>100</v>
      </c>
      <c r="HF2027" s="4"/>
      <c r="HG2027" s="4"/>
      <c r="HH2027" s="4"/>
      <c r="HI2027" s="4"/>
      <c r="HJ2027" s="4"/>
      <c r="HK2027" s="4"/>
      <c r="HL2027" s="4"/>
      <c r="HM2027" s="4"/>
      <c r="HN2027" s="4"/>
      <c r="HO2027" s="4"/>
      <c r="HP2027" s="4"/>
      <c r="HQ2027" s="4"/>
      <c r="HR2027" s="4"/>
    </row>
    <row r="2028">
      <c r="A2028" s="2" t="s">
        <v>9262</v>
      </c>
      <c r="B2028" s="2" t="s">
        <v>228</v>
      </c>
      <c r="C2028" s="2" t="s">
        <v>334</v>
      </c>
      <c r="D2028" s="2" t="s">
        <v>969</v>
      </c>
      <c r="E2028" s="2" t="s">
        <v>970</v>
      </c>
      <c r="F2028" s="2" t="s">
        <v>9251</v>
      </c>
      <c r="G2028" s="2" t="s">
        <v>9252</v>
      </c>
      <c r="H2028" s="2" t="s">
        <v>9252</v>
      </c>
      <c r="I2028" s="2" t="s">
        <v>9253</v>
      </c>
      <c r="J2028" s="2" t="s">
        <v>1142</v>
      </c>
      <c r="K2028" s="2" t="s">
        <v>1561</v>
      </c>
      <c r="L2028" s="3">
        <v>30</v>
      </c>
      <c r="M2028" s="3">
        <v>31.5</v>
      </c>
      <c r="N2028" s="3">
        <v>59.99</v>
      </c>
      <c r="O2028" s="2" t="s">
        <v>245</v>
      </c>
      <c r="P2028" s="2" t="s">
        <v>272</v>
      </c>
      <c r="Q2028" s="2" t="s">
        <v>239</v>
      </c>
      <c r="R2028" s="2" t="s">
        <v>233</v>
      </c>
      <c r="S2028" s="2" t="s">
        <v>9263</v>
      </c>
      <c r="T2028" s="2" t="s">
        <v>395</v>
      </c>
      <c r="U2028" s="2" t="s">
        <v>475</v>
      </c>
      <c r="V2028" s="2" t="s">
        <v>1340</v>
      </c>
      <c r="W2028" s="2" t="s">
        <v>978</v>
      </c>
      <c r="X2028" s="2" t="s">
        <v>233</v>
      </c>
      <c r="Y2028" s="2" t="s">
        <v>1420</v>
      </c>
      <c r="Z2028" s="4">
        <v>167</v>
      </c>
      <c r="AA2028" s="4">
        <f>=ROUNDDOWN(27.8333333333333,0)</f>
      </c>
      <c r="AB2028" s="5">
        <v>6</v>
      </c>
      <c r="AC2028" s="2" t="s">
        <v>233</v>
      </c>
      <c r="AD2028" s="4"/>
      <c r="AE2028" s="4"/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233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 t="s">
        <v>233</v>
      </c>
      <c r="BD2028" s="8" t="s">
        <v>233</v>
      </c>
      <c r="BE2028" s="4" t="s">
        <v>233</v>
      </c>
      <c r="BF2028" s="8" t="s">
        <v>233</v>
      </c>
      <c r="BG2028" s="7" t="s">
        <v>233</v>
      </c>
      <c r="BH2028" s="7" t="s">
        <v>233</v>
      </c>
      <c r="BI2028" s="7"/>
      <c r="BJ2028" s="4">
        <v>11</v>
      </c>
      <c r="BK2028" s="8">
        <v>344.74</v>
      </c>
      <c r="BL2028" s="2" t="s">
        <v>9264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9265</v>
      </c>
      <c r="BV2028" s="2" t="s">
        <v>233</v>
      </c>
      <c r="BW2028" s="2" t="s">
        <v>233</v>
      </c>
      <c r="BX2028" s="2" t="s">
        <v>233</v>
      </c>
      <c r="BY2028" s="2" t="s">
        <v>280</v>
      </c>
      <c r="BZ2028" s="2" t="s">
        <v>245</v>
      </c>
      <c r="CA2028" s="2" t="s">
        <v>1778</v>
      </c>
      <c r="CB2028" s="2" t="s">
        <v>9266</v>
      </c>
      <c r="CC2028" s="2" t="s">
        <v>246</v>
      </c>
      <c r="CD2028" s="2" t="s">
        <v>233</v>
      </c>
      <c r="CE2028" s="4">
        <v>167</v>
      </c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/>
      <c r="GU2028" s="4"/>
      <c r="GV2028" s="4"/>
      <c r="GW2028" s="4"/>
      <c r="GX2028" s="4"/>
      <c r="GY2028" s="4"/>
      <c r="GZ2028" s="4"/>
      <c r="HA2028" s="4"/>
      <c r="HB2028" s="4"/>
      <c r="HC2028" s="4"/>
      <c r="HD2028" s="4"/>
      <c r="HE2028" s="4"/>
      <c r="HF2028" s="4"/>
      <c r="HG2028" s="4"/>
      <c r="HH2028" s="4"/>
      <c r="HI2028" s="4"/>
      <c r="HJ2028" s="4"/>
      <c r="HK2028" s="4"/>
      <c r="HL2028" s="4"/>
      <c r="HM2028" s="4"/>
      <c r="HN2028" s="4"/>
      <c r="HO2028" s="4"/>
      <c r="HP2028" s="4"/>
      <c r="HQ2028" s="4"/>
      <c r="HR2028" s="4"/>
    </row>
    <row r="2029">
      <c r="A2029" s="2" t="s">
        <v>9267</v>
      </c>
      <c r="B2029" s="2" t="s">
        <v>928</v>
      </c>
      <c r="C2029" s="2" t="s">
        <v>901</v>
      </c>
      <c r="D2029" s="2" t="s">
        <v>1757</v>
      </c>
      <c r="E2029" s="2" t="s">
        <v>930</v>
      </c>
      <c r="F2029" s="2" t="s">
        <v>9268</v>
      </c>
      <c r="G2029" s="2" t="s">
        <v>9268</v>
      </c>
      <c r="H2029" s="2" t="s">
        <v>9268</v>
      </c>
      <c r="I2029" s="2" t="s">
        <v>9269</v>
      </c>
      <c r="J2029" s="2" t="s">
        <v>892</v>
      </c>
      <c r="K2029" s="2" t="s">
        <v>2344</v>
      </c>
      <c r="L2029" s="3">
        <v>52.38</v>
      </c>
      <c r="M2029" s="3">
        <v>55</v>
      </c>
      <c r="N2029" s="3">
        <v>109.99</v>
      </c>
      <c r="O2029" s="2" t="s">
        <v>245</v>
      </c>
      <c r="P2029" s="2" t="s">
        <v>238</v>
      </c>
      <c r="Q2029" s="2" t="s">
        <v>239</v>
      </c>
      <c r="R2029" s="2" t="s">
        <v>233</v>
      </c>
      <c r="S2029" s="2" t="s">
        <v>233</v>
      </c>
      <c r="T2029" s="2" t="s">
        <v>233</v>
      </c>
      <c r="U2029" s="2" t="s">
        <v>396</v>
      </c>
      <c r="V2029" s="2" t="s">
        <v>921</v>
      </c>
      <c r="W2029" s="2" t="s">
        <v>397</v>
      </c>
      <c r="X2029" s="2" t="s">
        <v>894</v>
      </c>
      <c r="Y2029" s="2" t="s">
        <v>5534</v>
      </c>
      <c r="Z2029" s="4">
        <v>58</v>
      </c>
      <c r="AA2029" s="4">
        <f>=ROUNDDOWN(8.92307692307692,0)</f>
      </c>
      <c r="AB2029" s="5">
        <v>6.5</v>
      </c>
      <c r="AC2029" s="2" t="s">
        <v>233</v>
      </c>
      <c r="AD2029" s="4"/>
      <c r="AE2029" s="4"/>
      <c r="AF2029" s="6">
        <v>63</v>
      </c>
      <c r="AG2029" s="6"/>
      <c r="AH2029" s="7">
        <v>1</v>
      </c>
      <c r="AI2029" s="4"/>
      <c r="AJ2029" s="4">
        <f>=ROUNDDOWN({0},0)</f>
      </c>
      <c r="AK2029" s="5"/>
      <c r="AL2029" s="2" t="s">
        <v>233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/>
      <c r="BD2029" s="8"/>
      <c r="BE2029" s="4"/>
      <c r="BF2029" s="8"/>
      <c r="BG2029" s="7"/>
      <c r="BH2029" s="7"/>
      <c r="BI2029" s="7"/>
      <c r="BJ2029" s="4">
        <v>9</v>
      </c>
      <c r="BK2029" s="8">
        <v>531.74</v>
      </c>
      <c r="BL2029" s="2" t="s">
        <v>744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9270</v>
      </c>
      <c r="BV2029" s="2" t="s">
        <v>233</v>
      </c>
      <c r="BW2029" s="2" t="s">
        <v>233</v>
      </c>
      <c r="BX2029" s="2" t="s">
        <v>243</v>
      </c>
      <c r="BY2029" s="2" t="s">
        <v>280</v>
      </c>
      <c r="BZ2029" s="2" t="s">
        <v>245</v>
      </c>
      <c r="CA2029" s="2" t="s">
        <v>1721</v>
      </c>
      <c r="CB2029" s="2" t="s">
        <v>233</v>
      </c>
      <c r="CC2029" s="2" t="s">
        <v>246</v>
      </c>
      <c r="CD2029" s="2" t="s">
        <v>233</v>
      </c>
      <c r="CE2029" s="4"/>
      <c r="CF2029" s="4">
        <v>58</v>
      </c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  <c r="GL2029" s="4"/>
      <c r="GM2029" s="4"/>
      <c r="GN2029" s="4"/>
      <c r="GO2029" s="4"/>
      <c r="GP2029" s="4"/>
      <c r="GQ2029" s="4"/>
      <c r="GR2029" s="4"/>
      <c r="GS2029" s="4"/>
      <c r="GT2029" s="4"/>
      <c r="GU2029" s="4"/>
      <c r="GV2029" s="4"/>
      <c r="GW2029" s="4"/>
      <c r="GX2029" s="4"/>
      <c r="GY2029" s="4"/>
      <c r="GZ2029" s="4"/>
      <c r="HA2029" s="4"/>
      <c r="HB2029" s="4"/>
      <c r="HC2029" s="4"/>
      <c r="HD2029" s="4"/>
      <c r="HE2029" s="4"/>
      <c r="HF2029" s="4"/>
      <c r="HG2029" s="4"/>
      <c r="HH2029" s="4"/>
      <c r="HI2029" s="4"/>
      <c r="HJ2029" s="4"/>
      <c r="HK2029" s="4"/>
      <c r="HL2029" s="4"/>
      <c r="HM2029" s="4"/>
      <c r="HN2029" s="4"/>
      <c r="HO2029" s="4"/>
      <c r="HP2029" s="4"/>
      <c r="HQ2029" s="4"/>
      <c r="HR2029" s="4"/>
    </row>
    <row r="2030">
      <c r="A2030" s="2" t="s">
        <v>9271</v>
      </c>
      <c r="B2030" s="2" t="s">
        <v>910</v>
      </c>
      <c r="C2030" s="2" t="s">
        <v>911</v>
      </c>
      <c r="D2030" s="2" t="s">
        <v>1862</v>
      </c>
      <c r="E2030" s="2" t="s">
        <v>3734</v>
      </c>
      <c r="F2030" s="2" t="s">
        <v>9272</v>
      </c>
      <c r="G2030" s="2" t="s">
        <v>9273</v>
      </c>
      <c r="H2030" s="2" t="s">
        <v>9274</v>
      </c>
      <c r="I2030" s="2" t="s">
        <v>9275</v>
      </c>
      <c r="J2030" s="2" t="s">
        <v>981</v>
      </c>
      <c r="K2030" s="2" t="s">
        <v>620</v>
      </c>
      <c r="L2030" s="3">
        <v>39.6</v>
      </c>
      <c r="M2030" s="3">
        <v>41.58</v>
      </c>
      <c r="N2030" s="3">
        <v>89.99</v>
      </c>
      <c r="O2030" s="2" t="s">
        <v>245</v>
      </c>
      <c r="P2030" s="2" t="s">
        <v>272</v>
      </c>
      <c r="Q2030" s="2" t="s">
        <v>239</v>
      </c>
      <c r="R2030" s="2" t="s">
        <v>233</v>
      </c>
      <c r="S2030" s="2" t="s">
        <v>9276</v>
      </c>
      <c r="T2030" s="2" t="s">
        <v>395</v>
      </c>
      <c r="U2030" s="2" t="s">
        <v>1482</v>
      </c>
      <c r="V2030" s="2" t="s">
        <v>359</v>
      </c>
      <c r="W2030" s="2" t="s">
        <v>275</v>
      </c>
      <c r="X2030" s="2" t="s">
        <v>233</v>
      </c>
      <c r="Y2030" s="2" t="s">
        <v>276</v>
      </c>
      <c r="Z2030" s="4">
        <v>239</v>
      </c>
      <c r="AA2030" s="4">
        <f>=ROUNDDOWN(47.8,0)</f>
      </c>
      <c r="AB2030" s="5">
        <v>5</v>
      </c>
      <c r="AC2030" s="2" t="s">
        <v>1492</v>
      </c>
      <c r="AD2030" s="4">
        <v>180</v>
      </c>
      <c r="AE2030" s="4">
        <v>260</v>
      </c>
      <c r="AF2030" s="6">
        <v>64</v>
      </c>
      <c r="AG2030" s="6"/>
      <c r="AH2030" s="7">
        <v>1</v>
      </c>
      <c r="AI2030" s="4"/>
      <c r="AJ2030" s="4">
        <f>=ROUNDDOWN({0},0)</f>
      </c>
      <c r="AK2030" s="5"/>
      <c r="AL2030" s="2" t="s">
        <v>233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/>
      <c r="BD2030" s="8"/>
      <c r="BE2030" s="4"/>
      <c r="BF2030" s="8"/>
      <c r="BG2030" s="7"/>
      <c r="BH2030" s="7"/>
      <c r="BI2030" s="7"/>
      <c r="BJ2030" s="4">
        <v>11</v>
      </c>
      <c r="BK2030" s="8">
        <v>465.74</v>
      </c>
      <c r="BL2030" s="2" t="s">
        <v>9277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9278</v>
      </c>
      <c r="BV2030" s="2" t="s">
        <v>233</v>
      </c>
      <c r="BW2030" s="2" t="s">
        <v>233</v>
      </c>
      <c r="BX2030" s="2" t="s">
        <v>233</v>
      </c>
      <c r="BY2030" s="2" t="s">
        <v>280</v>
      </c>
      <c r="BZ2030" s="2" t="s">
        <v>245</v>
      </c>
      <c r="CA2030" s="2" t="s">
        <v>281</v>
      </c>
      <c r="CB2030" s="2" t="s">
        <v>9279</v>
      </c>
      <c r="CC2030" s="2" t="s">
        <v>246</v>
      </c>
      <c r="CD2030" s="2" t="s">
        <v>233</v>
      </c>
      <c r="CE2030" s="4">
        <v>239</v>
      </c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>
        <v>180</v>
      </c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>
        <v>80</v>
      </c>
      <c r="GL2030" s="4"/>
      <c r="GM2030" s="4"/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  <c r="HF2030" s="4"/>
      <c r="HG2030" s="4"/>
      <c r="HH2030" s="4"/>
      <c r="HI2030" s="4"/>
      <c r="HJ2030" s="4"/>
      <c r="HK2030" s="4"/>
      <c r="HL2030" s="4"/>
      <c r="HM2030" s="4"/>
      <c r="HN2030" s="4"/>
      <c r="HO2030" s="4"/>
      <c r="HP2030" s="4"/>
      <c r="HQ2030" s="4"/>
      <c r="HR2030" s="4"/>
    </row>
    <row r="2031">
      <c r="A2031" s="2" t="s">
        <v>9280</v>
      </c>
      <c r="B2031" s="2" t="s">
        <v>1066</v>
      </c>
      <c r="C2031" s="2" t="s">
        <v>1157</v>
      </c>
      <c r="D2031" s="2" t="s">
        <v>1067</v>
      </c>
      <c r="E2031" s="2" t="s">
        <v>2543</v>
      </c>
      <c r="F2031" s="2" t="s">
        <v>9281</v>
      </c>
      <c r="G2031" s="2" t="s">
        <v>9281</v>
      </c>
      <c r="H2031" s="2" t="s">
        <v>9281</v>
      </c>
      <c r="I2031" s="2" t="s">
        <v>9282</v>
      </c>
      <c r="J2031" s="2" t="s">
        <v>892</v>
      </c>
      <c r="K2031" s="2" t="s">
        <v>1938</v>
      </c>
      <c r="L2031" s="3">
        <v>118.75</v>
      </c>
      <c r="M2031" s="3">
        <v>124.69</v>
      </c>
      <c r="N2031" s="3">
        <v>249</v>
      </c>
      <c r="O2031" s="2" t="s">
        <v>245</v>
      </c>
      <c r="P2031" s="2" t="s">
        <v>238</v>
      </c>
      <c r="Q2031" s="2" t="s">
        <v>239</v>
      </c>
      <c r="R2031" s="2" t="s">
        <v>233</v>
      </c>
      <c r="S2031" s="2" t="s">
        <v>233</v>
      </c>
      <c r="T2031" s="2" t="s">
        <v>233</v>
      </c>
      <c r="U2031" s="2" t="s">
        <v>396</v>
      </c>
      <c r="V2031" s="2" t="s">
        <v>893</v>
      </c>
      <c r="W2031" s="2" t="s">
        <v>451</v>
      </c>
      <c r="X2031" s="2" t="s">
        <v>275</v>
      </c>
      <c r="Y2031" s="2" t="s">
        <v>6388</v>
      </c>
      <c r="Z2031" s="4">
        <v>153</v>
      </c>
      <c r="AA2031" s="4">
        <f>=ROUNDDOWN(85,0)</f>
      </c>
      <c r="AB2031" s="5">
        <v>1.8</v>
      </c>
      <c r="AC2031" s="2" t="s">
        <v>233</v>
      </c>
      <c r="AD2031" s="4"/>
      <c r="AE2031" s="4"/>
      <c r="AF2031" s="6">
        <v>74</v>
      </c>
      <c r="AG2031" s="6"/>
      <c r="AH2031" s="7">
        <v>1</v>
      </c>
      <c r="AI2031" s="4"/>
      <c r="AJ2031" s="4">
        <f>=ROUNDDOWN({0},0)</f>
      </c>
      <c r="AK2031" s="5"/>
      <c r="AL2031" s="2" t="s">
        <v>233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 t="s">
        <v>233</v>
      </c>
      <c r="BD2031" s="8" t="s">
        <v>233</v>
      </c>
      <c r="BE2031" s="4" t="s">
        <v>233</v>
      </c>
      <c r="BF2031" s="8" t="s">
        <v>233</v>
      </c>
      <c r="BG2031" s="7" t="s">
        <v>233</v>
      </c>
      <c r="BH2031" s="7" t="s">
        <v>233</v>
      </c>
      <c r="BI2031" s="7"/>
      <c r="BJ2031" s="4"/>
      <c r="BK2031" s="8"/>
      <c r="BL2031" s="2" t="s">
        <v>233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243</v>
      </c>
      <c r="BV2031" s="2" t="s">
        <v>233</v>
      </c>
      <c r="BW2031" s="2" t="s">
        <v>233</v>
      </c>
      <c r="BX2031" s="2" t="s">
        <v>243</v>
      </c>
      <c r="BY2031" s="2" t="s">
        <v>2514</v>
      </c>
      <c r="BZ2031" s="2" t="s">
        <v>245</v>
      </c>
      <c r="CA2031" s="2" t="s">
        <v>233</v>
      </c>
      <c r="CB2031" s="2" t="s">
        <v>233</v>
      </c>
      <c r="CC2031" s="2" t="s">
        <v>246</v>
      </c>
      <c r="CD2031" s="2" t="s">
        <v>233</v>
      </c>
      <c r="CE2031" s="4"/>
      <c r="CF2031" s="4">
        <v>153</v>
      </c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  <c r="GL2031" s="4"/>
      <c r="GM2031" s="4"/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/>
      <c r="HD2031" s="4"/>
      <c r="HE2031" s="4"/>
      <c r="HF2031" s="4"/>
      <c r="HG2031" s="4"/>
      <c r="HH2031" s="4"/>
      <c r="HI2031" s="4"/>
      <c r="HJ2031" s="4"/>
      <c r="HK2031" s="4"/>
      <c r="HL2031" s="4"/>
      <c r="HM2031" s="4"/>
      <c r="HN2031" s="4"/>
      <c r="HO2031" s="4"/>
      <c r="HP2031" s="4"/>
      <c r="HQ2031" s="4"/>
      <c r="HR2031" s="4"/>
    </row>
    <row r="2032">
      <c r="A2032" s="2" t="s">
        <v>9283</v>
      </c>
      <c r="B2032" s="2" t="s">
        <v>1066</v>
      </c>
      <c r="C2032" s="2" t="s">
        <v>1157</v>
      </c>
      <c r="D2032" s="2" t="s">
        <v>1067</v>
      </c>
      <c r="E2032" s="2" t="s">
        <v>2543</v>
      </c>
      <c r="F2032" s="2" t="s">
        <v>9281</v>
      </c>
      <c r="G2032" s="2" t="s">
        <v>9281</v>
      </c>
      <c r="H2032" s="2" t="s">
        <v>9281</v>
      </c>
      <c r="I2032" s="2" t="s">
        <v>9282</v>
      </c>
      <c r="J2032" s="2" t="s">
        <v>892</v>
      </c>
      <c r="K2032" s="2" t="s">
        <v>853</v>
      </c>
      <c r="L2032" s="3">
        <v>118.75</v>
      </c>
      <c r="M2032" s="3">
        <v>124.69</v>
      </c>
      <c r="N2032" s="3">
        <v>249</v>
      </c>
      <c r="O2032" s="2" t="s">
        <v>245</v>
      </c>
      <c r="P2032" s="2" t="s">
        <v>311</v>
      </c>
      <c r="Q2032" s="2" t="s">
        <v>239</v>
      </c>
      <c r="R2032" s="2" t="s">
        <v>233</v>
      </c>
      <c r="S2032" s="2" t="s">
        <v>233</v>
      </c>
      <c r="T2032" s="2" t="s">
        <v>233</v>
      </c>
      <c r="U2032" s="2" t="s">
        <v>396</v>
      </c>
      <c r="V2032" s="2" t="s">
        <v>893</v>
      </c>
      <c r="W2032" s="2" t="s">
        <v>451</v>
      </c>
      <c r="X2032" s="2" t="s">
        <v>275</v>
      </c>
      <c r="Y2032" s="2" t="s">
        <v>5595</v>
      </c>
      <c r="Z2032" s="4">
        <v>18</v>
      </c>
      <c r="AA2032" s="4">
        <f>=ROUNDDOWN(9,0)</f>
      </c>
      <c r="AB2032" s="5">
        <v>2</v>
      </c>
      <c r="AC2032" s="2" t="s">
        <v>233</v>
      </c>
      <c r="AD2032" s="4"/>
      <c r="AE2032" s="4"/>
      <c r="AF2032" s="6">
        <v>74</v>
      </c>
      <c r="AG2032" s="6"/>
      <c r="AH2032" s="7">
        <v>1</v>
      </c>
      <c r="AI2032" s="4"/>
      <c r="AJ2032" s="4">
        <f>=ROUNDDOWN({0},0)</f>
      </c>
      <c r="AK2032" s="5"/>
      <c r="AL2032" s="2" t="s">
        <v>233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 t="s">
        <v>233</v>
      </c>
      <c r="BD2032" s="8" t="s">
        <v>233</v>
      </c>
      <c r="BE2032" s="4" t="s">
        <v>233</v>
      </c>
      <c r="BF2032" s="8" t="s">
        <v>233</v>
      </c>
      <c r="BG2032" s="7" t="s">
        <v>233</v>
      </c>
      <c r="BH2032" s="7" t="s">
        <v>233</v>
      </c>
      <c r="BI2032" s="7"/>
      <c r="BJ2032" s="4">
        <v>10</v>
      </c>
      <c r="BK2032" s="8">
        <v>1406.99</v>
      </c>
      <c r="BL2032" s="2" t="s">
        <v>9284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243</v>
      </c>
      <c r="BV2032" s="2" t="s">
        <v>233</v>
      </c>
      <c r="BW2032" s="2" t="s">
        <v>233</v>
      </c>
      <c r="BX2032" s="2" t="s">
        <v>243</v>
      </c>
      <c r="BY2032" s="2" t="s">
        <v>2514</v>
      </c>
      <c r="BZ2032" s="2" t="s">
        <v>245</v>
      </c>
      <c r="CA2032" s="2" t="s">
        <v>233</v>
      </c>
      <c r="CB2032" s="2" t="s">
        <v>233</v>
      </c>
      <c r="CC2032" s="2" t="s">
        <v>246</v>
      </c>
      <c r="CD2032" s="2" t="s">
        <v>233</v>
      </c>
      <c r="CE2032" s="4"/>
      <c r="CF2032" s="4">
        <v>18</v>
      </c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/>
      <c r="GN2032" s="4"/>
      <c r="GO2032" s="4"/>
      <c r="GP2032" s="4"/>
      <c r="GQ2032" s="4"/>
      <c r="GR2032" s="4"/>
      <c r="GS2032" s="4"/>
      <c r="GT2032" s="4"/>
      <c r="GU2032" s="4"/>
      <c r="GV2032" s="4"/>
      <c r="GW2032" s="4"/>
      <c r="GX2032" s="4"/>
      <c r="GY2032" s="4"/>
      <c r="GZ2032" s="4"/>
      <c r="HA2032" s="4"/>
      <c r="HB2032" s="4"/>
      <c r="HC2032" s="4"/>
      <c r="HD2032" s="4"/>
      <c r="HE2032" s="4"/>
      <c r="HF2032" s="4"/>
      <c r="HG2032" s="4"/>
      <c r="HH2032" s="4"/>
      <c r="HI2032" s="4"/>
      <c r="HJ2032" s="4"/>
      <c r="HK2032" s="4"/>
      <c r="HL2032" s="4"/>
      <c r="HM2032" s="4"/>
      <c r="HN2032" s="4"/>
      <c r="HO2032" s="4"/>
      <c r="HP2032" s="4"/>
      <c r="HQ2032" s="4"/>
      <c r="HR2032" s="4"/>
    </row>
    <row r="2033">
      <c r="A2033" s="2" t="s">
        <v>9285</v>
      </c>
      <c r="B2033" s="2" t="s">
        <v>1066</v>
      </c>
      <c r="C2033" s="2" t="s">
        <v>1157</v>
      </c>
      <c r="D2033" s="2" t="s">
        <v>1067</v>
      </c>
      <c r="E2033" s="2" t="s">
        <v>2543</v>
      </c>
      <c r="F2033" s="2" t="s">
        <v>9281</v>
      </c>
      <c r="G2033" s="2" t="s">
        <v>9281</v>
      </c>
      <c r="H2033" s="2" t="s">
        <v>9281</v>
      </c>
      <c r="I2033" s="2" t="s">
        <v>9282</v>
      </c>
      <c r="J2033" s="2" t="s">
        <v>892</v>
      </c>
      <c r="K2033" s="2" t="s">
        <v>2518</v>
      </c>
      <c r="L2033" s="3">
        <v>118.75</v>
      </c>
      <c r="M2033" s="3">
        <v>124.69</v>
      </c>
      <c r="N2033" s="3">
        <v>249</v>
      </c>
      <c r="O2033" s="2" t="s">
        <v>245</v>
      </c>
      <c r="P2033" s="2" t="s">
        <v>1916</v>
      </c>
      <c r="Q2033" s="2" t="s">
        <v>239</v>
      </c>
      <c r="R2033" s="2" t="s">
        <v>233</v>
      </c>
      <c r="S2033" s="2" t="s">
        <v>233</v>
      </c>
      <c r="T2033" s="2" t="s">
        <v>233</v>
      </c>
      <c r="U2033" s="2" t="s">
        <v>396</v>
      </c>
      <c r="V2033" s="2" t="s">
        <v>893</v>
      </c>
      <c r="W2033" s="2" t="s">
        <v>451</v>
      </c>
      <c r="X2033" s="2" t="s">
        <v>275</v>
      </c>
      <c r="Y2033" s="2" t="s">
        <v>233</v>
      </c>
      <c r="Z2033" s="4"/>
      <c r="AA2033" s="4">
        <f>=ROUNDDOWN({0},0)</f>
      </c>
      <c r="AB2033" s="5"/>
      <c r="AC2033" s="2" t="s">
        <v>2519</v>
      </c>
      <c r="AD2033" s="4">
        <v>100</v>
      </c>
      <c r="AE2033" s="4">
        <v>100</v>
      </c>
      <c r="AF2033" s="6">
        <v>74</v>
      </c>
      <c r="AG2033" s="6"/>
      <c r="AH2033" s="7">
        <v>0</v>
      </c>
      <c r="AI2033" s="4"/>
      <c r="AJ2033" s="4">
        <f>=ROUNDDOWN({0},0)</f>
      </c>
      <c r="AK2033" s="5"/>
      <c r="AL2033" s="2" t="s">
        <v>233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 t="s">
        <v>233</v>
      </c>
      <c r="BD2033" s="8" t="s">
        <v>233</v>
      </c>
      <c r="BE2033" s="4" t="s">
        <v>233</v>
      </c>
      <c r="BF2033" s="8" t="s">
        <v>233</v>
      </c>
      <c r="BG2033" s="7" t="s">
        <v>233</v>
      </c>
      <c r="BH2033" s="7" t="s">
        <v>233</v>
      </c>
      <c r="BI2033" s="7"/>
      <c r="BJ2033" s="4"/>
      <c r="BK2033" s="8"/>
      <c r="BL2033" s="2" t="s">
        <v>233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243</v>
      </c>
      <c r="BV2033" s="2" t="s">
        <v>233</v>
      </c>
      <c r="BW2033" s="2" t="s">
        <v>233</v>
      </c>
      <c r="BX2033" s="2" t="s">
        <v>243</v>
      </c>
      <c r="BY2033" s="2" t="s">
        <v>244</v>
      </c>
      <c r="BZ2033" s="2" t="s">
        <v>245</v>
      </c>
      <c r="CA2033" s="2" t="s">
        <v>233</v>
      </c>
      <c r="CB2033" s="2" t="s">
        <v>233</v>
      </c>
      <c r="CC2033" s="2" t="s">
        <v>246</v>
      </c>
      <c r="CD2033" s="2" t="s">
        <v>233</v>
      </c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>
        <v>100</v>
      </c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  <c r="GQ2033" s="4"/>
      <c r="GR2033" s="4"/>
      <c r="GS2033" s="4"/>
      <c r="GT2033" s="4"/>
      <c r="GU2033" s="4"/>
      <c r="GV2033" s="4"/>
      <c r="GW2033" s="4"/>
      <c r="GX2033" s="4"/>
      <c r="GY2033" s="4"/>
      <c r="GZ2033" s="4"/>
      <c r="HA2033" s="4"/>
      <c r="HB2033" s="4"/>
      <c r="HC2033" s="4"/>
      <c r="HD2033" s="4"/>
      <c r="HE2033" s="4"/>
      <c r="HF2033" s="4"/>
      <c r="HG2033" s="4"/>
      <c r="HH2033" s="4"/>
      <c r="HI2033" s="4"/>
      <c r="HJ2033" s="4"/>
      <c r="HK2033" s="4"/>
      <c r="HL2033" s="4"/>
      <c r="HM2033" s="4"/>
      <c r="HN2033" s="4"/>
      <c r="HO2033" s="4"/>
      <c r="HP2033" s="4"/>
      <c r="HQ2033" s="4"/>
      <c r="HR2033" s="4"/>
    </row>
    <row r="2034">
      <c r="A2034" s="2" t="s">
        <v>9286</v>
      </c>
      <c r="B2034" s="2" t="s">
        <v>333</v>
      </c>
      <c r="C2034" s="2" t="s">
        <v>530</v>
      </c>
      <c r="D2034" s="2" t="s">
        <v>335</v>
      </c>
      <c r="E2034" s="2" t="s">
        <v>336</v>
      </c>
      <c r="F2034" s="2" t="s">
        <v>9287</v>
      </c>
      <c r="G2034" s="2" t="s">
        <v>9287</v>
      </c>
      <c r="H2034" s="2" t="s">
        <v>9287</v>
      </c>
      <c r="I2034" s="2" t="s">
        <v>9288</v>
      </c>
      <c r="J2034" s="2" t="s">
        <v>546</v>
      </c>
      <c r="K2034" s="2" t="s">
        <v>569</v>
      </c>
      <c r="L2034" s="3">
        <v>32.2</v>
      </c>
      <c r="M2034" s="3">
        <v>33.81</v>
      </c>
      <c r="N2034" s="3">
        <v>69.99</v>
      </c>
      <c r="O2034" s="2" t="s">
        <v>245</v>
      </c>
      <c r="P2034" s="2" t="s">
        <v>272</v>
      </c>
      <c r="Q2034" s="2" t="s">
        <v>239</v>
      </c>
      <c r="R2034" s="2" t="s">
        <v>233</v>
      </c>
      <c r="S2034" s="2" t="s">
        <v>9289</v>
      </c>
      <c r="T2034" s="2" t="s">
        <v>341</v>
      </c>
      <c r="U2034" s="2" t="s">
        <v>342</v>
      </c>
      <c r="V2034" s="2" t="s">
        <v>241</v>
      </c>
      <c r="W2034" s="2" t="s">
        <v>275</v>
      </c>
      <c r="X2034" s="2" t="s">
        <v>233</v>
      </c>
      <c r="Y2034" s="2" t="s">
        <v>1731</v>
      </c>
      <c r="Z2034" s="4">
        <v>70</v>
      </c>
      <c r="AA2034" s="4">
        <f>=ROUNDDOWN(17.5,0)</f>
      </c>
      <c r="AB2034" s="5">
        <v>4</v>
      </c>
      <c r="AC2034" s="2" t="s">
        <v>955</v>
      </c>
      <c r="AD2034" s="4">
        <v>60</v>
      </c>
      <c r="AE2034" s="4">
        <v>60</v>
      </c>
      <c r="AF2034" s="6">
        <v>70</v>
      </c>
      <c r="AG2034" s="6"/>
      <c r="AH2034" s="7">
        <v>0.2258</v>
      </c>
      <c r="AI2034" s="4"/>
      <c r="AJ2034" s="4">
        <f>=ROUNDDOWN({0},0)</f>
      </c>
      <c r="AK2034" s="5"/>
      <c r="AL2034" s="2" t="s">
        <v>233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 t="s">
        <v>233</v>
      </c>
      <c r="BD2034" s="8" t="s">
        <v>233</v>
      </c>
      <c r="BE2034" s="4" t="s">
        <v>233</v>
      </c>
      <c r="BF2034" s="8" t="s">
        <v>233</v>
      </c>
      <c r="BG2034" s="7" t="s">
        <v>233</v>
      </c>
      <c r="BH2034" s="7" t="s">
        <v>233</v>
      </c>
      <c r="BI2034" s="7"/>
      <c r="BJ2034" s="4">
        <v>4</v>
      </c>
      <c r="BK2034" s="8">
        <v>145.56</v>
      </c>
      <c r="BL2034" s="2" t="s">
        <v>9290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9291</v>
      </c>
      <c r="BV2034" s="2" t="s">
        <v>233</v>
      </c>
      <c r="BW2034" s="2" t="s">
        <v>233</v>
      </c>
      <c r="BX2034" s="2" t="s">
        <v>233</v>
      </c>
      <c r="BY2034" s="2" t="s">
        <v>280</v>
      </c>
      <c r="BZ2034" s="2" t="s">
        <v>245</v>
      </c>
      <c r="CA2034" s="2" t="s">
        <v>9292</v>
      </c>
      <c r="CB2034" s="2" t="s">
        <v>9293</v>
      </c>
      <c r="CC2034" s="2" t="s">
        <v>246</v>
      </c>
      <c r="CD2034" s="2" t="s">
        <v>233</v>
      </c>
      <c r="CE2034" s="4">
        <v>70</v>
      </c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>
        <v>60</v>
      </c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/>
      <c r="GO2034" s="4"/>
      <c r="GP2034" s="4"/>
      <c r="GQ2034" s="4"/>
      <c r="GR2034" s="4"/>
      <c r="GS2034" s="4"/>
      <c r="GT2034" s="4"/>
      <c r="GU2034" s="4"/>
      <c r="GV2034" s="4"/>
      <c r="GW2034" s="4"/>
      <c r="GX2034" s="4"/>
      <c r="GY2034" s="4"/>
      <c r="GZ2034" s="4"/>
      <c r="HA2034" s="4"/>
      <c r="HB2034" s="4"/>
      <c r="HC2034" s="4"/>
      <c r="HD2034" s="4"/>
      <c r="HE2034" s="4"/>
      <c r="HF2034" s="4"/>
      <c r="HG2034" s="4"/>
      <c r="HH2034" s="4"/>
      <c r="HI2034" s="4"/>
      <c r="HJ2034" s="4"/>
      <c r="HK2034" s="4"/>
      <c r="HL2034" s="4"/>
      <c r="HM2034" s="4"/>
      <c r="HN2034" s="4"/>
      <c r="HO2034" s="4"/>
      <c r="HP2034" s="4"/>
      <c r="HQ2034" s="4"/>
      <c r="HR2034" s="4"/>
    </row>
    <row r="2035">
      <c r="A2035" s="2" t="s">
        <v>9294</v>
      </c>
      <c r="B2035" s="2" t="s">
        <v>333</v>
      </c>
      <c r="C2035" s="2" t="s">
        <v>530</v>
      </c>
      <c r="D2035" s="2" t="s">
        <v>335</v>
      </c>
      <c r="E2035" s="2" t="s">
        <v>336</v>
      </c>
      <c r="F2035" s="2" t="s">
        <v>9287</v>
      </c>
      <c r="G2035" s="2" t="s">
        <v>9287</v>
      </c>
      <c r="H2035" s="2" t="s">
        <v>9287</v>
      </c>
      <c r="I2035" s="2" t="s">
        <v>9288</v>
      </c>
      <c r="J2035" s="2" t="s">
        <v>290</v>
      </c>
      <c r="K2035" s="2" t="s">
        <v>257</v>
      </c>
      <c r="L2035" s="3">
        <v>27</v>
      </c>
      <c r="M2035" s="3">
        <v>28.35</v>
      </c>
      <c r="N2035" s="3">
        <v>59.99</v>
      </c>
      <c r="O2035" s="2" t="s">
        <v>245</v>
      </c>
      <c r="P2035" s="2" t="s">
        <v>311</v>
      </c>
      <c r="Q2035" s="2" t="s">
        <v>239</v>
      </c>
      <c r="R2035" s="2" t="s">
        <v>233</v>
      </c>
      <c r="S2035" s="2" t="s">
        <v>9295</v>
      </c>
      <c r="T2035" s="2" t="s">
        <v>341</v>
      </c>
      <c r="U2035" s="2" t="s">
        <v>342</v>
      </c>
      <c r="V2035" s="2" t="s">
        <v>241</v>
      </c>
      <c r="W2035" s="2" t="s">
        <v>275</v>
      </c>
      <c r="X2035" s="2" t="s">
        <v>1056</v>
      </c>
      <c r="Y2035" s="2" t="s">
        <v>5178</v>
      </c>
      <c r="Z2035" s="4">
        <v>106</v>
      </c>
      <c r="AA2035" s="4">
        <f>=ROUNDDOWN(35.3333333333333,0)</f>
      </c>
      <c r="AB2035" s="5">
        <v>3</v>
      </c>
      <c r="AC2035" s="2" t="s">
        <v>1341</v>
      </c>
      <c r="AD2035" s="4">
        <v>50</v>
      </c>
      <c r="AE2035" s="4">
        <v>50</v>
      </c>
      <c r="AF2035" s="6">
        <v>70</v>
      </c>
      <c r="AG2035" s="6"/>
      <c r="AH2035" s="7">
        <v>1</v>
      </c>
      <c r="AI2035" s="4"/>
      <c r="AJ2035" s="4">
        <f>=ROUNDDOWN({0},0)</f>
      </c>
      <c r="AK2035" s="5"/>
      <c r="AL2035" s="2" t="s">
        <v>233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233</v>
      </c>
      <c r="AW2035" s="8" t="s">
        <v>233</v>
      </c>
      <c r="AX2035" s="4" t="s">
        <v>233</v>
      </c>
      <c r="AY2035" s="8" t="s">
        <v>233</v>
      </c>
      <c r="AZ2035" s="7" t="s">
        <v>233</v>
      </c>
      <c r="BA2035" s="7" t="s">
        <v>233</v>
      </c>
      <c r="BB2035" s="7"/>
      <c r="BC2035" s="4" t="s">
        <v>233</v>
      </c>
      <c r="BD2035" s="8" t="s">
        <v>233</v>
      </c>
      <c r="BE2035" s="4" t="s">
        <v>233</v>
      </c>
      <c r="BF2035" s="8" t="s">
        <v>233</v>
      </c>
      <c r="BG2035" s="7" t="s">
        <v>233</v>
      </c>
      <c r="BH2035" s="7" t="s">
        <v>233</v>
      </c>
      <c r="BI2035" s="7"/>
      <c r="BJ2035" s="4"/>
      <c r="BK2035" s="8"/>
      <c r="BL2035" s="2" t="s">
        <v>635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9296</v>
      </c>
      <c r="BV2035" s="2" t="s">
        <v>233</v>
      </c>
      <c r="BW2035" s="2" t="s">
        <v>233</v>
      </c>
      <c r="BX2035" s="2" t="s">
        <v>233</v>
      </c>
      <c r="BY2035" s="2" t="s">
        <v>280</v>
      </c>
      <c r="BZ2035" s="2" t="s">
        <v>245</v>
      </c>
      <c r="CA2035" s="2" t="s">
        <v>9297</v>
      </c>
      <c r="CB2035" s="2" t="s">
        <v>9298</v>
      </c>
      <c r="CC2035" s="2" t="s">
        <v>246</v>
      </c>
      <c r="CD2035" s="2" t="s">
        <v>233</v>
      </c>
      <c r="CE2035" s="4">
        <v>106</v>
      </c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>
        <v>50</v>
      </c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  <c r="GQ2035" s="4"/>
      <c r="GR2035" s="4"/>
      <c r="GS2035" s="4"/>
      <c r="GT2035" s="4"/>
      <c r="GU2035" s="4"/>
      <c r="GV2035" s="4"/>
      <c r="GW2035" s="4"/>
      <c r="GX2035" s="4"/>
      <c r="GY2035" s="4"/>
      <c r="GZ2035" s="4"/>
      <c r="HA2035" s="4"/>
      <c r="HB2035" s="4"/>
      <c r="HC2035" s="4"/>
      <c r="HD2035" s="4"/>
      <c r="HE2035" s="4"/>
      <c r="HF2035" s="4"/>
      <c r="HG2035" s="4"/>
      <c r="HH2035" s="4"/>
      <c r="HI2035" s="4"/>
      <c r="HJ2035" s="4"/>
      <c r="HK2035" s="4"/>
      <c r="HL2035" s="4"/>
      <c r="HM2035" s="4"/>
      <c r="HN2035" s="4"/>
      <c r="HO2035" s="4"/>
      <c r="HP2035" s="4"/>
      <c r="HQ2035" s="4"/>
      <c r="HR2035" s="4"/>
    </row>
    <row r="2036">
      <c r="A2036" s="2" t="s">
        <v>9299</v>
      </c>
      <c r="B2036" s="2" t="s">
        <v>333</v>
      </c>
      <c r="C2036" s="2" t="s">
        <v>530</v>
      </c>
      <c r="D2036" s="2" t="s">
        <v>335</v>
      </c>
      <c r="E2036" s="2" t="s">
        <v>336</v>
      </c>
      <c r="F2036" s="2" t="s">
        <v>9287</v>
      </c>
      <c r="G2036" s="2" t="s">
        <v>9287</v>
      </c>
      <c r="H2036" s="2" t="s">
        <v>9287</v>
      </c>
      <c r="I2036" s="2" t="s">
        <v>9288</v>
      </c>
      <c r="J2036" s="2" t="s">
        <v>328</v>
      </c>
      <c r="K2036" s="2" t="s">
        <v>257</v>
      </c>
      <c r="L2036" s="3">
        <v>32.2</v>
      </c>
      <c r="M2036" s="3">
        <v>33.81</v>
      </c>
      <c r="N2036" s="3">
        <v>69.99</v>
      </c>
      <c r="O2036" s="2" t="s">
        <v>245</v>
      </c>
      <c r="P2036" s="2" t="s">
        <v>311</v>
      </c>
      <c r="Q2036" s="2" t="s">
        <v>239</v>
      </c>
      <c r="R2036" s="2" t="s">
        <v>233</v>
      </c>
      <c r="S2036" s="2" t="s">
        <v>9295</v>
      </c>
      <c r="T2036" s="2" t="s">
        <v>341</v>
      </c>
      <c r="U2036" s="2" t="s">
        <v>342</v>
      </c>
      <c r="V2036" s="2" t="s">
        <v>241</v>
      </c>
      <c r="W2036" s="2" t="s">
        <v>275</v>
      </c>
      <c r="X2036" s="2" t="s">
        <v>1056</v>
      </c>
      <c r="Y2036" s="2" t="s">
        <v>5178</v>
      </c>
      <c r="Z2036" s="4">
        <v>72</v>
      </c>
      <c r="AA2036" s="4">
        <f>=ROUNDDOWN(14.4,0)</f>
      </c>
      <c r="AB2036" s="5">
        <v>5</v>
      </c>
      <c r="AC2036" s="2" t="s">
        <v>1341</v>
      </c>
      <c r="AD2036" s="4">
        <v>60</v>
      </c>
      <c r="AE2036" s="4">
        <v>60</v>
      </c>
      <c r="AF2036" s="6">
        <v>70</v>
      </c>
      <c r="AG2036" s="6"/>
      <c r="AH2036" s="7">
        <v>1</v>
      </c>
      <c r="AI2036" s="4"/>
      <c r="AJ2036" s="4">
        <f>=ROUNDDOWN({0},0)</f>
      </c>
      <c r="AK2036" s="5"/>
      <c r="AL2036" s="2" t="s">
        <v>233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233</v>
      </c>
      <c r="AW2036" s="8" t="s">
        <v>233</v>
      </c>
      <c r="AX2036" s="4" t="s">
        <v>233</v>
      </c>
      <c r="AY2036" s="8" t="s">
        <v>233</v>
      </c>
      <c r="AZ2036" s="7" t="s">
        <v>233</v>
      </c>
      <c r="BA2036" s="7" t="s">
        <v>233</v>
      </c>
      <c r="BB2036" s="7"/>
      <c r="BC2036" s="4" t="s">
        <v>233</v>
      </c>
      <c r="BD2036" s="8" t="s">
        <v>233</v>
      </c>
      <c r="BE2036" s="4" t="s">
        <v>233</v>
      </c>
      <c r="BF2036" s="8" t="s">
        <v>233</v>
      </c>
      <c r="BG2036" s="7" t="s">
        <v>233</v>
      </c>
      <c r="BH2036" s="7" t="s">
        <v>233</v>
      </c>
      <c r="BI2036" s="7"/>
      <c r="BJ2036" s="4">
        <v>8</v>
      </c>
      <c r="BK2036" s="8">
        <v>303.98</v>
      </c>
      <c r="BL2036" s="2" t="s">
        <v>5070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9300</v>
      </c>
      <c r="BV2036" s="2" t="s">
        <v>233</v>
      </c>
      <c r="BW2036" s="2" t="s">
        <v>233</v>
      </c>
      <c r="BX2036" s="2" t="s">
        <v>233</v>
      </c>
      <c r="BY2036" s="2" t="s">
        <v>280</v>
      </c>
      <c r="BZ2036" s="2" t="s">
        <v>245</v>
      </c>
      <c r="CA2036" s="2" t="s">
        <v>9297</v>
      </c>
      <c r="CB2036" s="2" t="s">
        <v>1351</v>
      </c>
      <c r="CC2036" s="2" t="s">
        <v>246</v>
      </c>
      <c r="CD2036" s="2" t="s">
        <v>233</v>
      </c>
      <c r="CE2036" s="4">
        <v>72</v>
      </c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>
        <v>60</v>
      </c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  <c r="GQ2036" s="4"/>
      <c r="GR2036" s="4"/>
      <c r="GS2036" s="4"/>
      <c r="GT2036" s="4"/>
      <c r="GU2036" s="4"/>
      <c r="GV2036" s="4"/>
      <c r="GW2036" s="4"/>
      <c r="GX2036" s="4"/>
      <c r="GY2036" s="4"/>
      <c r="GZ2036" s="4"/>
      <c r="HA2036" s="4"/>
      <c r="HB2036" s="4"/>
      <c r="HC2036" s="4"/>
      <c r="HD2036" s="4"/>
      <c r="HE2036" s="4"/>
      <c r="HF2036" s="4"/>
      <c r="HG2036" s="4"/>
      <c r="HH2036" s="4"/>
      <c r="HI2036" s="4"/>
      <c r="HJ2036" s="4"/>
      <c r="HK2036" s="4"/>
      <c r="HL2036" s="4"/>
      <c r="HM2036" s="4"/>
      <c r="HN2036" s="4"/>
      <c r="HO2036" s="4"/>
      <c r="HP2036" s="4"/>
      <c r="HQ2036" s="4"/>
      <c r="HR2036" s="4"/>
    </row>
    <row r="2037">
      <c r="A2037" s="2" t="s">
        <v>9301</v>
      </c>
      <c r="B2037" s="2" t="s">
        <v>333</v>
      </c>
      <c r="C2037" s="2" t="s">
        <v>530</v>
      </c>
      <c r="D2037" s="2" t="s">
        <v>335</v>
      </c>
      <c r="E2037" s="2" t="s">
        <v>336</v>
      </c>
      <c r="F2037" s="2" t="s">
        <v>9287</v>
      </c>
      <c r="G2037" s="2" t="s">
        <v>9287</v>
      </c>
      <c r="H2037" s="2" t="s">
        <v>9287</v>
      </c>
      <c r="I2037" s="2" t="s">
        <v>9288</v>
      </c>
      <c r="J2037" s="2" t="s">
        <v>546</v>
      </c>
      <c r="K2037" s="2" t="s">
        <v>257</v>
      </c>
      <c r="L2037" s="3">
        <v>32.2</v>
      </c>
      <c r="M2037" s="3">
        <v>33.81</v>
      </c>
      <c r="N2037" s="3">
        <v>69.99</v>
      </c>
      <c r="O2037" s="2" t="s">
        <v>245</v>
      </c>
      <c r="P2037" s="2" t="s">
        <v>311</v>
      </c>
      <c r="Q2037" s="2" t="s">
        <v>239</v>
      </c>
      <c r="R2037" s="2" t="s">
        <v>233</v>
      </c>
      <c r="S2037" s="2" t="s">
        <v>9295</v>
      </c>
      <c r="T2037" s="2" t="s">
        <v>341</v>
      </c>
      <c r="U2037" s="2" t="s">
        <v>342</v>
      </c>
      <c r="V2037" s="2" t="s">
        <v>241</v>
      </c>
      <c r="W2037" s="2" t="s">
        <v>275</v>
      </c>
      <c r="X2037" s="2" t="s">
        <v>1056</v>
      </c>
      <c r="Y2037" s="2" t="s">
        <v>5178</v>
      </c>
      <c r="Z2037" s="4">
        <v>43</v>
      </c>
      <c r="AA2037" s="4">
        <f>=ROUNDDOWN(21.5,0)</f>
      </c>
      <c r="AB2037" s="5">
        <v>2</v>
      </c>
      <c r="AC2037" s="2" t="s">
        <v>1341</v>
      </c>
      <c r="AD2037" s="4">
        <v>50</v>
      </c>
      <c r="AE2037" s="4">
        <v>50</v>
      </c>
      <c r="AF2037" s="6">
        <v>70</v>
      </c>
      <c r="AG2037" s="6"/>
      <c r="AH2037" s="7">
        <v>1</v>
      </c>
      <c r="AI2037" s="4"/>
      <c r="AJ2037" s="4">
        <f>=ROUNDDOWN({0},0)</f>
      </c>
      <c r="AK2037" s="5"/>
      <c r="AL2037" s="2" t="s">
        <v>233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233</v>
      </c>
      <c r="AW2037" s="8" t="s">
        <v>233</v>
      </c>
      <c r="AX2037" s="4" t="s">
        <v>233</v>
      </c>
      <c r="AY2037" s="8" t="s">
        <v>233</v>
      </c>
      <c r="AZ2037" s="7" t="s">
        <v>233</v>
      </c>
      <c r="BA2037" s="7" t="s">
        <v>233</v>
      </c>
      <c r="BB2037" s="7"/>
      <c r="BC2037" s="4" t="s">
        <v>233</v>
      </c>
      <c r="BD2037" s="8" t="s">
        <v>233</v>
      </c>
      <c r="BE2037" s="4" t="s">
        <v>233</v>
      </c>
      <c r="BF2037" s="8" t="s">
        <v>233</v>
      </c>
      <c r="BG2037" s="7" t="s">
        <v>233</v>
      </c>
      <c r="BH2037" s="7" t="s">
        <v>233</v>
      </c>
      <c r="BI2037" s="7"/>
      <c r="BJ2037" s="4">
        <v>6</v>
      </c>
      <c r="BK2037" s="8">
        <v>213.89</v>
      </c>
      <c r="BL2037" s="2" t="s">
        <v>9302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9303</v>
      </c>
      <c r="BV2037" s="2" t="s">
        <v>233</v>
      </c>
      <c r="BW2037" s="2" t="s">
        <v>233</v>
      </c>
      <c r="BX2037" s="2" t="s">
        <v>233</v>
      </c>
      <c r="BY2037" s="2" t="s">
        <v>280</v>
      </c>
      <c r="BZ2037" s="2" t="s">
        <v>245</v>
      </c>
      <c r="CA2037" s="2" t="s">
        <v>9297</v>
      </c>
      <c r="CB2037" s="2" t="s">
        <v>2830</v>
      </c>
      <c r="CC2037" s="2" t="s">
        <v>246</v>
      </c>
      <c r="CD2037" s="2" t="s">
        <v>233</v>
      </c>
      <c r="CE2037" s="4">
        <v>43</v>
      </c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>
        <v>50</v>
      </c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/>
      <c r="GO2037" s="4"/>
      <c r="GP2037" s="4"/>
      <c r="GQ2037" s="4"/>
      <c r="GR2037" s="4"/>
      <c r="GS2037" s="4"/>
      <c r="GT2037" s="4"/>
      <c r="GU2037" s="4"/>
      <c r="GV2037" s="4"/>
      <c r="GW2037" s="4"/>
      <c r="GX2037" s="4"/>
      <c r="GY2037" s="4"/>
      <c r="GZ2037" s="4"/>
      <c r="HA2037" s="4"/>
      <c r="HB2037" s="4"/>
      <c r="HC2037" s="4"/>
      <c r="HD2037" s="4"/>
      <c r="HE2037" s="4"/>
      <c r="HF2037" s="4"/>
      <c r="HG2037" s="4"/>
      <c r="HH2037" s="4"/>
      <c r="HI2037" s="4"/>
      <c r="HJ2037" s="4"/>
      <c r="HK2037" s="4"/>
      <c r="HL2037" s="4"/>
      <c r="HM2037" s="4"/>
      <c r="HN2037" s="4"/>
      <c r="HO2037" s="4"/>
      <c r="HP2037" s="4"/>
      <c r="HQ2037" s="4"/>
      <c r="HR2037" s="4"/>
    </row>
    <row r="2038">
      <c r="A2038" s="2" t="s">
        <v>9304</v>
      </c>
      <c r="B2038" s="2" t="s">
        <v>333</v>
      </c>
      <c r="C2038" s="2" t="s">
        <v>530</v>
      </c>
      <c r="D2038" s="2" t="s">
        <v>335</v>
      </c>
      <c r="E2038" s="2" t="s">
        <v>336</v>
      </c>
      <c r="F2038" s="2" t="s">
        <v>9287</v>
      </c>
      <c r="G2038" s="2" t="s">
        <v>9287</v>
      </c>
      <c r="H2038" s="2" t="s">
        <v>9287</v>
      </c>
      <c r="I2038" s="2" t="s">
        <v>9288</v>
      </c>
      <c r="J2038" s="2" t="s">
        <v>290</v>
      </c>
      <c r="K2038" s="2" t="s">
        <v>590</v>
      </c>
      <c r="L2038" s="3">
        <v>27</v>
      </c>
      <c r="M2038" s="3">
        <v>28.35</v>
      </c>
      <c r="N2038" s="3">
        <v>59.99</v>
      </c>
      <c r="O2038" s="2" t="s">
        <v>245</v>
      </c>
      <c r="P2038" s="2" t="s">
        <v>272</v>
      </c>
      <c r="Q2038" s="2" t="s">
        <v>239</v>
      </c>
      <c r="R2038" s="2" t="s">
        <v>233</v>
      </c>
      <c r="S2038" s="2" t="s">
        <v>9305</v>
      </c>
      <c r="T2038" s="2" t="s">
        <v>341</v>
      </c>
      <c r="U2038" s="2" t="s">
        <v>342</v>
      </c>
      <c r="V2038" s="2" t="s">
        <v>241</v>
      </c>
      <c r="W2038" s="2" t="s">
        <v>275</v>
      </c>
      <c r="X2038" s="2" t="s">
        <v>233</v>
      </c>
      <c r="Y2038" s="2" t="s">
        <v>1731</v>
      </c>
      <c r="Z2038" s="4">
        <v>130</v>
      </c>
      <c r="AA2038" s="4">
        <f>=ROUNDDOWN(35.1351351351351,0)</f>
      </c>
      <c r="AB2038" s="5">
        <v>3.7</v>
      </c>
      <c r="AC2038" s="2" t="s">
        <v>955</v>
      </c>
      <c r="AD2038" s="4">
        <v>40</v>
      </c>
      <c r="AE2038" s="4">
        <v>40</v>
      </c>
      <c r="AF2038" s="6">
        <v>70</v>
      </c>
      <c r="AG2038" s="6"/>
      <c r="AH2038" s="7">
        <v>1</v>
      </c>
      <c r="AI2038" s="4"/>
      <c r="AJ2038" s="4">
        <f>=ROUNDDOWN({0},0)</f>
      </c>
      <c r="AK2038" s="5"/>
      <c r="AL2038" s="2" t="s">
        <v>233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233</v>
      </c>
      <c r="AW2038" s="8" t="s">
        <v>233</v>
      </c>
      <c r="AX2038" s="4" t="s">
        <v>233</v>
      </c>
      <c r="AY2038" s="8" t="s">
        <v>233</v>
      </c>
      <c r="AZ2038" s="7" t="s">
        <v>233</v>
      </c>
      <c r="BA2038" s="7" t="s">
        <v>233</v>
      </c>
      <c r="BB2038" s="7"/>
      <c r="BC2038" s="4" t="s">
        <v>233</v>
      </c>
      <c r="BD2038" s="8" t="s">
        <v>233</v>
      </c>
      <c r="BE2038" s="4" t="s">
        <v>233</v>
      </c>
      <c r="BF2038" s="8" t="s">
        <v>233</v>
      </c>
      <c r="BG2038" s="7" t="s">
        <v>233</v>
      </c>
      <c r="BH2038" s="7" t="s">
        <v>233</v>
      </c>
      <c r="BI2038" s="7"/>
      <c r="BJ2038" s="4">
        <v>13</v>
      </c>
      <c r="BK2038" s="8">
        <v>385.25</v>
      </c>
      <c r="BL2038" s="2" t="s">
        <v>9306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9307</v>
      </c>
      <c r="BV2038" s="2" t="s">
        <v>233</v>
      </c>
      <c r="BW2038" s="2" t="s">
        <v>233</v>
      </c>
      <c r="BX2038" s="2" t="s">
        <v>233</v>
      </c>
      <c r="BY2038" s="2" t="s">
        <v>280</v>
      </c>
      <c r="BZ2038" s="2" t="s">
        <v>245</v>
      </c>
      <c r="CA2038" s="2" t="s">
        <v>9292</v>
      </c>
      <c r="CB2038" s="2" t="s">
        <v>9308</v>
      </c>
      <c r="CC2038" s="2" t="s">
        <v>246</v>
      </c>
      <c r="CD2038" s="2" t="s">
        <v>233</v>
      </c>
      <c r="CE2038" s="4">
        <v>130</v>
      </c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>
        <v>40</v>
      </c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  <c r="HF2038" s="4"/>
      <c r="HG2038" s="4"/>
      <c r="HH2038" s="4"/>
      <c r="HI2038" s="4"/>
      <c r="HJ2038" s="4"/>
      <c r="HK2038" s="4"/>
      <c r="HL2038" s="4"/>
      <c r="HM2038" s="4"/>
      <c r="HN2038" s="4"/>
      <c r="HO2038" s="4"/>
      <c r="HP2038" s="4"/>
      <c r="HQ2038" s="4"/>
      <c r="HR2038" s="4"/>
    </row>
    <row r="2039">
      <c r="A2039" s="2" t="s">
        <v>9309</v>
      </c>
      <c r="B2039" s="2" t="s">
        <v>333</v>
      </c>
      <c r="C2039" s="2" t="s">
        <v>530</v>
      </c>
      <c r="D2039" s="2" t="s">
        <v>335</v>
      </c>
      <c r="E2039" s="2" t="s">
        <v>336</v>
      </c>
      <c r="F2039" s="2" t="s">
        <v>9287</v>
      </c>
      <c r="G2039" s="2" t="s">
        <v>9287</v>
      </c>
      <c r="H2039" s="2" t="s">
        <v>9287</v>
      </c>
      <c r="I2039" s="2" t="s">
        <v>9288</v>
      </c>
      <c r="J2039" s="2" t="s">
        <v>546</v>
      </c>
      <c r="K2039" s="2" t="s">
        <v>590</v>
      </c>
      <c r="L2039" s="3">
        <v>32.2</v>
      </c>
      <c r="M2039" s="3">
        <v>33.81</v>
      </c>
      <c r="N2039" s="3">
        <v>69.99</v>
      </c>
      <c r="O2039" s="2" t="s">
        <v>245</v>
      </c>
      <c r="P2039" s="2" t="s">
        <v>272</v>
      </c>
      <c r="Q2039" s="2" t="s">
        <v>239</v>
      </c>
      <c r="R2039" s="2" t="s">
        <v>233</v>
      </c>
      <c r="S2039" s="2" t="s">
        <v>9305</v>
      </c>
      <c r="T2039" s="2" t="s">
        <v>341</v>
      </c>
      <c r="U2039" s="2" t="s">
        <v>342</v>
      </c>
      <c r="V2039" s="2" t="s">
        <v>241</v>
      </c>
      <c r="W2039" s="2" t="s">
        <v>275</v>
      </c>
      <c r="X2039" s="2" t="s">
        <v>233</v>
      </c>
      <c r="Y2039" s="2" t="s">
        <v>1731</v>
      </c>
      <c r="Z2039" s="4">
        <v>44</v>
      </c>
      <c r="AA2039" s="4">
        <f>=ROUNDDOWN(11,0)</f>
      </c>
      <c r="AB2039" s="5">
        <v>4</v>
      </c>
      <c r="AC2039" s="2" t="s">
        <v>955</v>
      </c>
      <c r="AD2039" s="4">
        <v>40</v>
      </c>
      <c r="AE2039" s="4">
        <v>40</v>
      </c>
      <c r="AF2039" s="6">
        <v>70</v>
      </c>
      <c r="AG2039" s="6"/>
      <c r="AH2039" s="7">
        <v>1</v>
      </c>
      <c r="AI2039" s="4"/>
      <c r="AJ2039" s="4">
        <f>=ROUNDDOWN({0},0)</f>
      </c>
      <c r="AK2039" s="5"/>
      <c r="AL2039" s="2" t="s">
        <v>233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 t="s">
        <v>233</v>
      </c>
      <c r="AW2039" s="8" t="s">
        <v>233</v>
      </c>
      <c r="AX2039" s="4" t="s">
        <v>233</v>
      </c>
      <c r="AY2039" s="8" t="s">
        <v>233</v>
      </c>
      <c r="AZ2039" s="7" t="s">
        <v>233</v>
      </c>
      <c r="BA2039" s="7" t="s">
        <v>233</v>
      </c>
      <c r="BB2039" s="7"/>
      <c r="BC2039" s="4" t="s">
        <v>233</v>
      </c>
      <c r="BD2039" s="8" t="s">
        <v>233</v>
      </c>
      <c r="BE2039" s="4" t="s">
        <v>233</v>
      </c>
      <c r="BF2039" s="8" t="s">
        <v>233</v>
      </c>
      <c r="BG2039" s="7" t="s">
        <v>233</v>
      </c>
      <c r="BH2039" s="7" t="s">
        <v>233</v>
      </c>
      <c r="BI2039" s="7"/>
      <c r="BJ2039" s="4">
        <v>13</v>
      </c>
      <c r="BK2039" s="8">
        <v>465.07</v>
      </c>
      <c r="BL2039" s="2" t="s">
        <v>9310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9311</v>
      </c>
      <c r="BV2039" s="2" t="s">
        <v>233</v>
      </c>
      <c r="BW2039" s="2" t="s">
        <v>233</v>
      </c>
      <c r="BX2039" s="2" t="s">
        <v>233</v>
      </c>
      <c r="BY2039" s="2" t="s">
        <v>280</v>
      </c>
      <c r="BZ2039" s="2" t="s">
        <v>245</v>
      </c>
      <c r="CA2039" s="2" t="s">
        <v>9292</v>
      </c>
      <c r="CB2039" s="2" t="s">
        <v>8916</v>
      </c>
      <c r="CC2039" s="2" t="s">
        <v>246</v>
      </c>
      <c r="CD2039" s="2" t="s">
        <v>233</v>
      </c>
      <c r="CE2039" s="4">
        <v>44</v>
      </c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>
        <v>40</v>
      </c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4"/>
      <c r="HE2039" s="4"/>
      <c r="HF2039" s="4"/>
      <c r="HG2039" s="4"/>
      <c r="HH2039" s="4"/>
      <c r="HI2039" s="4"/>
      <c r="HJ2039" s="4"/>
      <c r="HK2039" s="4"/>
      <c r="HL2039" s="4"/>
      <c r="HM2039" s="4"/>
      <c r="HN2039" s="4"/>
      <c r="HO2039" s="4"/>
      <c r="HP2039" s="4"/>
      <c r="HQ2039" s="4"/>
      <c r="HR2039" s="4"/>
    </row>
    <row r="2040">
      <c r="A2040" s="2" t="s">
        <v>9312</v>
      </c>
      <c r="B2040" s="2" t="s">
        <v>333</v>
      </c>
      <c r="C2040" s="2" t="s">
        <v>530</v>
      </c>
      <c r="D2040" s="2" t="s">
        <v>335</v>
      </c>
      <c r="E2040" s="2" t="s">
        <v>336</v>
      </c>
      <c r="F2040" s="2" t="s">
        <v>9287</v>
      </c>
      <c r="G2040" s="2" t="s">
        <v>9287</v>
      </c>
      <c r="H2040" s="2" t="s">
        <v>9287</v>
      </c>
      <c r="I2040" s="2" t="s">
        <v>9288</v>
      </c>
      <c r="J2040" s="2" t="s">
        <v>290</v>
      </c>
      <c r="K2040" s="2" t="s">
        <v>620</v>
      </c>
      <c r="L2040" s="3">
        <v>27</v>
      </c>
      <c r="M2040" s="3">
        <v>28.35</v>
      </c>
      <c r="N2040" s="3">
        <v>59.99</v>
      </c>
      <c r="O2040" s="2" t="s">
        <v>245</v>
      </c>
      <c r="P2040" s="2" t="s">
        <v>272</v>
      </c>
      <c r="Q2040" s="2" t="s">
        <v>239</v>
      </c>
      <c r="R2040" s="2" t="s">
        <v>233</v>
      </c>
      <c r="S2040" s="2" t="s">
        <v>9313</v>
      </c>
      <c r="T2040" s="2" t="s">
        <v>341</v>
      </c>
      <c r="U2040" s="2" t="s">
        <v>342</v>
      </c>
      <c r="V2040" s="2" t="s">
        <v>241</v>
      </c>
      <c r="W2040" s="2" t="s">
        <v>275</v>
      </c>
      <c r="X2040" s="2" t="s">
        <v>233</v>
      </c>
      <c r="Y2040" s="2" t="s">
        <v>1731</v>
      </c>
      <c r="Z2040" s="4">
        <v>109</v>
      </c>
      <c r="AA2040" s="4">
        <f>=ROUNDDOWN(27.25,0)</f>
      </c>
      <c r="AB2040" s="5">
        <v>4</v>
      </c>
      <c r="AC2040" s="2" t="s">
        <v>955</v>
      </c>
      <c r="AD2040" s="4">
        <v>60</v>
      </c>
      <c r="AE2040" s="4">
        <v>60</v>
      </c>
      <c r="AF2040" s="6">
        <v>70</v>
      </c>
      <c r="AG2040" s="6"/>
      <c r="AH2040" s="7">
        <v>1</v>
      </c>
      <c r="AI2040" s="4"/>
      <c r="AJ2040" s="4">
        <f>=ROUNDDOWN({0},0)</f>
      </c>
      <c r="AK2040" s="5"/>
      <c r="AL2040" s="2" t="s">
        <v>233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 t="s">
        <v>233</v>
      </c>
      <c r="AW2040" s="8" t="s">
        <v>233</v>
      </c>
      <c r="AX2040" s="4" t="s">
        <v>233</v>
      </c>
      <c r="AY2040" s="8" t="s">
        <v>233</v>
      </c>
      <c r="AZ2040" s="7" t="s">
        <v>233</v>
      </c>
      <c r="BA2040" s="7" t="s">
        <v>233</v>
      </c>
      <c r="BB2040" s="7"/>
      <c r="BC2040" s="4" t="s">
        <v>233</v>
      </c>
      <c r="BD2040" s="8" t="s">
        <v>233</v>
      </c>
      <c r="BE2040" s="4" t="s">
        <v>233</v>
      </c>
      <c r="BF2040" s="8" t="s">
        <v>233</v>
      </c>
      <c r="BG2040" s="7" t="s">
        <v>233</v>
      </c>
      <c r="BH2040" s="7" t="s">
        <v>233</v>
      </c>
      <c r="BI2040" s="7"/>
      <c r="BJ2040" s="4">
        <v>6</v>
      </c>
      <c r="BK2040" s="8">
        <v>171.56</v>
      </c>
      <c r="BL2040" s="2" t="s">
        <v>9314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9315</v>
      </c>
      <c r="BV2040" s="2" t="s">
        <v>233</v>
      </c>
      <c r="BW2040" s="2" t="s">
        <v>233</v>
      </c>
      <c r="BX2040" s="2" t="s">
        <v>233</v>
      </c>
      <c r="BY2040" s="2" t="s">
        <v>280</v>
      </c>
      <c r="BZ2040" s="2" t="s">
        <v>245</v>
      </c>
      <c r="CA2040" s="2" t="s">
        <v>9292</v>
      </c>
      <c r="CB2040" s="2" t="s">
        <v>9316</v>
      </c>
      <c r="CC2040" s="2" t="s">
        <v>246</v>
      </c>
      <c r="CD2040" s="2" t="s">
        <v>233</v>
      </c>
      <c r="CE2040" s="4">
        <v>109</v>
      </c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>
        <v>60</v>
      </c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/>
      <c r="HD2040" s="4"/>
      <c r="HE2040" s="4"/>
      <c r="HF2040" s="4"/>
      <c r="HG2040" s="4"/>
      <c r="HH2040" s="4"/>
      <c r="HI2040" s="4"/>
      <c r="HJ2040" s="4"/>
      <c r="HK2040" s="4"/>
      <c r="HL2040" s="4"/>
      <c r="HM2040" s="4"/>
      <c r="HN2040" s="4"/>
      <c r="HO2040" s="4"/>
      <c r="HP2040" s="4"/>
      <c r="HQ2040" s="4"/>
      <c r="HR2040" s="4"/>
    </row>
    <row r="2041">
      <c r="A2041" s="2" t="s">
        <v>9317</v>
      </c>
      <c r="B2041" s="2" t="s">
        <v>333</v>
      </c>
      <c r="C2041" s="2" t="s">
        <v>530</v>
      </c>
      <c r="D2041" s="2" t="s">
        <v>335</v>
      </c>
      <c r="E2041" s="2" t="s">
        <v>336</v>
      </c>
      <c r="F2041" s="2" t="s">
        <v>9287</v>
      </c>
      <c r="G2041" s="2" t="s">
        <v>9287</v>
      </c>
      <c r="H2041" s="2" t="s">
        <v>9287</v>
      </c>
      <c r="I2041" s="2" t="s">
        <v>9288</v>
      </c>
      <c r="J2041" s="2" t="s">
        <v>328</v>
      </c>
      <c r="K2041" s="2" t="s">
        <v>620</v>
      </c>
      <c r="L2041" s="3">
        <v>32.2</v>
      </c>
      <c r="M2041" s="3">
        <v>33.81</v>
      </c>
      <c r="N2041" s="3">
        <v>69.99</v>
      </c>
      <c r="O2041" s="2" t="s">
        <v>245</v>
      </c>
      <c r="P2041" s="2" t="s">
        <v>272</v>
      </c>
      <c r="Q2041" s="2" t="s">
        <v>239</v>
      </c>
      <c r="R2041" s="2" t="s">
        <v>233</v>
      </c>
      <c r="S2041" s="2" t="s">
        <v>9313</v>
      </c>
      <c r="T2041" s="2" t="s">
        <v>341</v>
      </c>
      <c r="U2041" s="2" t="s">
        <v>342</v>
      </c>
      <c r="V2041" s="2" t="s">
        <v>241</v>
      </c>
      <c r="W2041" s="2" t="s">
        <v>275</v>
      </c>
      <c r="X2041" s="2" t="s">
        <v>233</v>
      </c>
      <c r="Y2041" s="2" t="s">
        <v>1731</v>
      </c>
      <c r="Z2041" s="4">
        <v>130</v>
      </c>
      <c r="AA2041" s="4">
        <f>=ROUNDDOWN(21.6666666666667,0)</f>
      </c>
      <c r="AB2041" s="5">
        <v>6</v>
      </c>
      <c r="AC2041" s="2" t="s">
        <v>955</v>
      </c>
      <c r="AD2041" s="4">
        <v>110</v>
      </c>
      <c r="AE2041" s="4">
        <v>110</v>
      </c>
      <c r="AF2041" s="6">
        <v>70</v>
      </c>
      <c r="AG2041" s="6"/>
      <c r="AH2041" s="7">
        <v>1</v>
      </c>
      <c r="AI2041" s="4"/>
      <c r="AJ2041" s="4">
        <f>=ROUNDDOWN({0},0)</f>
      </c>
      <c r="AK2041" s="5"/>
      <c r="AL2041" s="2" t="s">
        <v>233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 t="s">
        <v>233</v>
      </c>
      <c r="AW2041" s="8" t="s">
        <v>233</v>
      </c>
      <c r="AX2041" s="4" t="s">
        <v>233</v>
      </c>
      <c r="AY2041" s="8" t="s">
        <v>233</v>
      </c>
      <c r="AZ2041" s="7" t="s">
        <v>233</v>
      </c>
      <c r="BA2041" s="7" t="s">
        <v>233</v>
      </c>
      <c r="BB2041" s="7"/>
      <c r="BC2041" s="4" t="s">
        <v>233</v>
      </c>
      <c r="BD2041" s="8" t="s">
        <v>233</v>
      </c>
      <c r="BE2041" s="4" t="s">
        <v>233</v>
      </c>
      <c r="BF2041" s="8" t="s">
        <v>233</v>
      </c>
      <c r="BG2041" s="7" t="s">
        <v>233</v>
      </c>
      <c r="BH2041" s="7" t="s">
        <v>233</v>
      </c>
      <c r="BI2041" s="7"/>
      <c r="BJ2041" s="4">
        <v>21</v>
      </c>
      <c r="BK2041" s="8">
        <v>752.62</v>
      </c>
      <c r="BL2041" s="2" t="s">
        <v>9318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9319</v>
      </c>
      <c r="BV2041" s="2" t="s">
        <v>233</v>
      </c>
      <c r="BW2041" s="2" t="s">
        <v>233</v>
      </c>
      <c r="BX2041" s="2" t="s">
        <v>233</v>
      </c>
      <c r="BY2041" s="2" t="s">
        <v>280</v>
      </c>
      <c r="BZ2041" s="2" t="s">
        <v>245</v>
      </c>
      <c r="CA2041" s="2" t="s">
        <v>9292</v>
      </c>
      <c r="CB2041" s="2" t="s">
        <v>9320</v>
      </c>
      <c r="CC2041" s="2" t="s">
        <v>246</v>
      </c>
      <c r="CD2041" s="2" t="s">
        <v>233</v>
      </c>
      <c r="CE2041" s="4">
        <v>130</v>
      </c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>
        <v>110</v>
      </c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/>
      <c r="GS2041" s="4"/>
      <c r="GT2041" s="4"/>
      <c r="GU2041" s="4"/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  <c r="HF2041" s="4"/>
      <c r="HG2041" s="4"/>
      <c r="HH2041" s="4"/>
      <c r="HI2041" s="4"/>
      <c r="HJ2041" s="4"/>
      <c r="HK2041" s="4"/>
      <c r="HL2041" s="4"/>
      <c r="HM2041" s="4"/>
      <c r="HN2041" s="4"/>
      <c r="HO2041" s="4"/>
      <c r="HP2041" s="4"/>
      <c r="HQ2041" s="4"/>
      <c r="HR2041" s="4"/>
    </row>
    <row r="2042">
      <c r="A2042" s="2" t="s">
        <v>9321</v>
      </c>
      <c r="B2042" s="2" t="s">
        <v>1066</v>
      </c>
      <c r="C2042" s="2" t="s">
        <v>530</v>
      </c>
      <c r="D2042" s="2" t="s">
        <v>1919</v>
      </c>
      <c r="E2042" s="2" t="s">
        <v>1920</v>
      </c>
      <c r="F2042" s="2" t="s">
        <v>9322</v>
      </c>
      <c r="G2042" s="2" t="s">
        <v>9323</v>
      </c>
      <c r="H2042" s="2" t="s">
        <v>9324</v>
      </c>
      <c r="I2042" s="2" t="s">
        <v>3180</v>
      </c>
      <c r="J2042" s="2" t="s">
        <v>892</v>
      </c>
      <c r="K2042" s="2" t="s">
        <v>271</v>
      </c>
      <c r="L2042" s="3">
        <v>317.52</v>
      </c>
      <c r="M2042" s="3">
        <v>333.4</v>
      </c>
      <c r="N2042" s="3">
        <v>669</v>
      </c>
      <c r="O2042" s="2" t="s">
        <v>245</v>
      </c>
      <c r="P2042" s="2" t="s">
        <v>1118</v>
      </c>
      <c r="Q2042" s="2" t="s">
        <v>233</v>
      </c>
      <c r="R2042" s="2" t="s">
        <v>233</v>
      </c>
      <c r="S2042" s="2" t="s">
        <v>233</v>
      </c>
      <c r="T2042" s="2" t="s">
        <v>233</v>
      </c>
      <c r="U2042" s="2" t="s">
        <v>491</v>
      </c>
      <c r="V2042" s="2" t="s">
        <v>893</v>
      </c>
      <c r="W2042" s="2" t="s">
        <v>451</v>
      </c>
      <c r="X2042" s="2" t="s">
        <v>233</v>
      </c>
      <c r="Y2042" s="2" t="s">
        <v>1404</v>
      </c>
      <c r="Z2042" s="4">
        <v>220</v>
      </c>
      <c r="AA2042" s="4">
        <f>=ROUNDDOWN({0},0)</f>
      </c>
      <c r="AB2042" s="5"/>
      <c r="AC2042" s="2" t="s">
        <v>2721</v>
      </c>
      <c r="AD2042" s="4">
        <v>85</v>
      </c>
      <c r="AE2042" s="4">
        <v>180</v>
      </c>
      <c r="AF2042" s="6"/>
      <c r="AG2042" s="6"/>
      <c r="AH2042" s="7">
        <v>0.1935</v>
      </c>
      <c r="AI2042" s="4"/>
      <c r="AJ2042" s="4">
        <f>=ROUNDDOWN({0},0)</f>
      </c>
      <c r="AK2042" s="5"/>
      <c r="AL2042" s="2" t="s">
        <v>233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233</v>
      </c>
      <c r="BD2042" s="8" t="s">
        <v>233</v>
      </c>
      <c r="BE2042" s="4" t="s">
        <v>233</v>
      </c>
      <c r="BF2042" s="8" t="s">
        <v>233</v>
      </c>
      <c r="BG2042" s="7" t="s">
        <v>233</v>
      </c>
      <c r="BH2042" s="7" t="s">
        <v>233</v>
      </c>
      <c r="BI2042" s="7"/>
      <c r="BJ2042" s="4"/>
      <c r="BK2042" s="8"/>
      <c r="BL2042" s="2" t="s">
        <v>233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243</v>
      </c>
      <c r="BV2042" s="2" t="s">
        <v>233</v>
      </c>
      <c r="BW2042" s="2" t="s">
        <v>233</v>
      </c>
      <c r="BX2042" s="2" t="s">
        <v>243</v>
      </c>
      <c r="BY2042" s="2" t="s">
        <v>244</v>
      </c>
      <c r="BZ2042" s="2" t="s">
        <v>245</v>
      </c>
      <c r="CA2042" s="2" t="s">
        <v>233</v>
      </c>
      <c r="CB2042" s="2" t="s">
        <v>233</v>
      </c>
      <c r="CC2042" s="2" t="s">
        <v>246</v>
      </c>
      <c r="CD2042" s="2" t="s">
        <v>233</v>
      </c>
      <c r="CE2042" s="4"/>
      <c r="CF2042" s="4">
        <v>220</v>
      </c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>
        <v>85</v>
      </c>
      <c r="EL2042" s="4"/>
      <c r="EM2042" s="4"/>
      <c r="EN2042" s="4"/>
      <c r="EO2042" s="4"/>
      <c r="EP2042" s="4"/>
      <c r="EQ2042" s="4"/>
      <c r="ER2042" s="4">
        <v>64</v>
      </c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>
        <v>31</v>
      </c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  <c r="GI2042" s="4"/>
      <c r="GJ2042" s="4"/>
      <c r="GK2042" s="4"/>
      <c r="GL2042" s="4"/>
      <c r="GM2042" s="4"/>
      <c r="GN2042" s="4"/>
      <c r="GO2042" s="4"/>
      <c r="GP2042" s="4"/>
      <c r="GQ2042" s="4"/>
      <c r="GR2042" s="4"/>
      <c r="GS2042" s="4"/>
      <c r="GT2042" s="4"/>
      <c r="GU2042" s="4"/>
      <c r="GV2042" s="4"/>
      <c r="GW2042" s="4"/>
      <c r="GX2042" s="4"/>
      <c r="GY2042" s="4"/>
      <c r="GZ2042" s="4"/>
      <c r="HA2042" s="4"/>
      <c r="HB2042" s="4"/>
      <c r="HC2042" s="4"/>
      <c r="HD2042" s="4"/>
      <c r="HE2042" s="4"/>
      <c r="HF2042" s="4"/>
      <c r="HG2042" s="4"/>
      <c r="HH2042" s="4"/>
      <c r="HI2042" s="4"/>
      <c r="HJ2042" s="4"/>
      <c r="HK2042" s="4"/>
      <c r="HL2042" s="4"/>
      <c r="HM2042" s="4"/>
      <c r="HN2042" s="4"/>
      <c r="HO2042" s="4"/>
      <c r="HP2042" s="4"/>
      <c r="HQ2042" s="4"/>
      <c r="HR2042" s="4"/>
    </row>
    <row r="2043">
      <c r="A2043" s="2" t="s">
        <v>9325</v>
      </c>
      <c r="B2043" s="2" t="s">
        <v>1066</v>
      </c>
      <c r="C2043" s="2" t="s">
        <v>530</v>
      </c>
      <c r="D2043" s="2" t="s">
        <v>1919</v>
      </c>
      <c r="E2043" s="2" t="s">
        <v>3467</v>
      </c>
      <c r="F2043" s="2" t="s">
        <v>9322</v>
      </c>
      <c r="G2043" s="2" t="s">
        <v>9323</v>
      </c>
      <c r="H2043" s="2" t="s">
        <v>9324</v>
      </c>
      <c r="I2043" s="2" t="s">
        <v>9326</v>
      </c>
      <c r="J2043" s="2" t="s">
        <v>892</v>
      </c>
      <c r="K2043" s="2" t="s">
        <v>255</v>
      </c>
      <c r="L2043" s="3">
        <v>335.16</v>
      </c>
      <c r="M2043" s="3">
        <v>351.92</v>
      </c>
      <c r="N2043" s="3">
        <v>709</v>
      </c>
      <c r="O2043" s="2" t="s">
        <v>245</v>
      </c>
      <c r="P2043" s="2" t="s">
        <v>1118</v>
      </c>
      <c r="Q2043" s="2" t="s">
        <v>233</v>
      </c>
      <c r="R2043" s="2" t="s">
        <v>233</v>
      </c>
      <c r="S2043" s="2" t="s">
        <v>233</v>
      </c>
      <c r="T2043" s="2" t="s">
        <v>233</v>
      </c>
      <c r="U2043" s="2" t="s">
        <v>491</v>
      </c>
      <c r="V2043" s="2" t="s">
        <v>241</v>
      </c>
      <c r="W2043" s="2" t="s">
        <v>451</v>
      </c>
      <c r="X2043" s="2" t="s">
        <v>397</v>
      </c>
      <c r="Y2043" s="2" t="s">
        <v>967</v>
      </c>
      <c r="Z2043" s="4">
        <v>79</v>
      </c>
      <c r="AA2043" s="4">
        <f>=ROUNDDOWN({0},0)</f>
      </c>
      <c r="AB2043" s="5"/>
      <c r="AC2043" s="2" t="s">
        <v>2819</v>
      </c>
      <c r="AD2043" s="4">
        <v>50</v>
      </c>
      <c r="AE2043" s="4">
        <v>175</v>
      </c>
      <c r="AF2043" s="6"/>
      <c r="AG2043" s="6"/>
      <c r="AH2043" s="7">
        <v>0.1935</v>
      </c>
      <c r="AI2043" s="4"/>
      <c r="AJ2043" s="4">
        <f>=ROUNDDOWN({0},0)</f>
      </c>
      <c r="AK2043" s="5"/>
      <c r="AL2043" s="2" t="s">
        <v>233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233</v>
      </c>
      <c r="AW2043" s="8" t="s">
        <v>233</v>
      </c>
      <c r="AX2043" s="4" t="s">
        <v>233</v>
      </c>
      <c r="AY2043" s="8" t="s">
        <v>233</v>
      </c>
      <c r="AZ2043" s="7" t="s">
        <v>233</v>
      </c>
      <c r="BA2043" s="7" t="s">
        <v>233</v>
      </c>
      <c r="BB2043" s="7" t="s">
        <v>233</v>
      </c>
      <c r="BC2043" s="4" t="s">
        <v>233</v>
      </c>
      <c r="BD2043" s="8" t="s">
        <v>233</v>
      </c>
      <c r="BE2043" s="4" t="s">
        <v>233</v>
      </c>
      <c r="BF2043" s="8" t="s">
        <v>233</v>
      </c>
      <c r="BG2043" s="7" t="s">
        <v>233</v>
      </c>
      <c r="BH2043" s="7" t="s">
        <v>233</v>
      </c>
      <c r="BI2043" s="7"/>
      <c r="BJ2043" s="4"/>
      <c r="BK2043" s="8"/>
      <c r="BL2043" s="2" t="s">
        <v>233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243</v>
      </c>
      <c r="BV2043" s="2" t="s">
        <v>233</v>
      </c>
      <c r="BW2043" s="2" t="s">
        <v>233</v>
      </c>
      <c r="BX2043" s="2" t="s">
        <v>243</v>
      </c>
      <c r="BY2043" s="2" t="s">
        <v>244</v>
      </c>
      <c r="BZ2043" s="2" t="s">
        <v>245</v>
      </c>
      <c r="CA2043" s="2" t="s">
        <v>233</v>
      </c>
      <c r="CB2043" s="2" t="s">
        <v>233</v>
      </c>
      <c r="CC2043" s="2" t="s">
        <v>246</v>
      </c>
      <c r="CD2043" s="2" t="s">
        <v>233</v>
      </c>
      <c r="CE2043" s="4"/>
      <c r="CF2043" s="4">
        <v>79</v>
      </c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>
        <v>50</v>
      </c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>
        <v>75</v>
      </c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/>
      <c r="GV2043" s="4"/>
      <c r="GW2043" s="4"/>
      <c r="GX2043" s="4"/>
      <c r="GY2043" s="4">
        <v>50</v>
      </c>
      <c r="GZ2043" s="4"/>
      <c r="HA2043" s="4"/>
      <c r="HB2043" s="4"/>
      <c r="HC2043" s="4"/>
      <c r="HD2043" s="4"/>
      <c r="HE2043" s="4"/>
      <c r="HF2043" s="4"/>
      <c r="HG2043" s="4"/>
      <c r="HH2043" s="4"/>
      <c r="HI2043" s="4"/>
      <c r="HJ2043" s="4"/>
      <c r="HK2043" s="4"/>
      <c r="HL2043" s="4"/>
      <c r="HM2043" s="4"/>
      <c r="HN2043" s="4"/>
      <c r="HO2043" s="4"/>
      <c r="HP2043" s="4"/>
      <c r="HQ2043" s="4"/>
      <c r="HR2043" s="4"/>
    </row>
    <row r="2044">
      <c r="A2044" s="2" t="s">
        <v>9327</v>
      </c>
      <c r="B2044" s="2" t="s">
        <v>1066</v>
      </c>
      <c r="C2044" s="2" t="s">
        <v>530</v>
      </c>
      <c r="D2044" s="2" t="s">
        <v>1919</v>
      </c>
      <c r="E2044" s="2" t="s">
        <v>1920</v>
      </c>
      <c r="F2044" s="2" t="s">
        <v>9322</v>
      </c>
      <c r="G2044" s="2" t="s">
        <v>9323</v>
      </c>
      <c r="H2044" s="2" t="s">
        <v>9324</v>
      </c>
      <c r="I2044" s="2" t="s">
        <v>3180</v>
      </c>
      <c r="J2044" s="2" t="s">
        <v>892</v>
      </c>
      <c r="K2044" s="2" t="s">
        <v>255</v>
      </c>
      <c r="L2044" s="3">
        <v>317.52</v>
      </c>
      <c r="M2044" s="3">
        <v>333.4</v>
      </c>
      <c r="N2044" s="3">
        <v>669</v>
      </c>
      <c r="O2044" s="2" t="s">
        <v>245</v>
      </c>
      <c r="P2044" s="2" t="s">
        <v>1118</v>
      </c>
      <c r="Q2044" s="2" t="s">
        <v>239</v>
      </c>
      <c r="R2044" s="2" t="s">
        <v>233</v>
      </c>
      <c r="S2044" s="2" t="s">
        <v>9328</v>
      </c>
      <c r="T2044" s="2" t="s">
        <v>233</v>
      </c>
      <c r="U2044" s="2" t="s">
        <v>491</v>
      </c>
      <c r="V2044" s="2" t="s">
        <v>241</v>
      </c>
      <c r="W2044" s="2" t="s">
        <v>451</v>
      </c>
      <c r="X2044" s="2" t="s">
        <v>233</v>
      </c>
      <c r="Y2044" s="2" t="s">
        <v>9329</v>
      </c>
      <c r="Z2044" s="4">
        <v>62</v>
      </c>
      <c r="AA2044" s="4">
        <f>=ROUNDDOWN({0},0)</f>
      </c>
      <c r="AB2044" s="5"/>
      <c r="AC2044" s="2" t="s">
        <v>3189</v>
      </c>
      <c r="AD2044" s="4">
        <v>11</v>
      </c>
      <c r="AE2044" s="4">
        <v>152</v>
      </c>
      <c r="AF2044" s="6"/>
      <c r="AG2044" s="6"/>
      <c r="AH2044" s="7">
        <v>0.1935</v>
      </c>
      <c r="AI2044" s="4"/>
      <c r="AJ2044" s="4">
        <f>=ROUNDDOWN({0},0)</f>
      </c>
      <c r="AK2044" s="5"/>
      <c r="AL2044" s="2" t="s">
        <v>8769</v>
      </c>
      <c r="AM2044" s="4">
        <v>102</v>
      </c>
      <c r="AN2044" s="4">
        <v>177</v>
      </c>
      <c r="AO2044" s="7">
        <v>0</v>
      </c>
      <c r="AP2044" s="4"/>
      <c r="AQ2044" s="8"/>
      <c r="AR2044" s="4"/>
      <c r="AS2044" s="8"/>
      <c r="AT2044" s="7"/>
      <c r="AU2044" s="7"/>
      <c r="AV2044" s="4" t="s">
        <v>233</v>
      </c>
      <c r="AW2044" s="8" t="s">
        <v>233</v>
      </c>
      <c r="AX2044" s="4" t="s">
        <v>233</v>
      </c>
      <c r="AY2044" s="8" t="s">
        <v>233</v>
      </c>
      <c r="AZ2044" s="7" t="s">
        <v>233</v>
      </c>
      <c r="BA2044" s="7" t="s">
        <v>233</v>
      </c>
      <c r="BB2044" s="7" t="s">
        <v>233</v>
      </c>
      <c r="BC2044" s="4" t="s">
        <v>233</v>
      </c>
      <c r="BD2044" s="8" t="s">
        <v>233</v>
      </c>
      <c r="BE2044" s="4" t="s">
        <v>233</v>
      </c>
      <c r="BF2044" s="8" t="s">
        <v>233</v>
      </c>
      <c r="BG2044" s="7" t="s">
        <v>233</v>
      </c>
      <c r="BH2044" s="7" t="s">
        <v>233</v>
      </c>
      <c r="BI2044" s="7"/>
      <c r="BJ2044" s="4"/>
      <c r="BK2044" s="8"/>
      <c r="BL2044" s="2" t="s">
        <v>233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243</v>
      </c>
      <c r="BV2044" s="2" t="s">
        <v>233</v>
      </c>
      <c r="BW2044" s="2" t="s">
        <v>233</v>
      </c>
      <c r="BX2044" s="2" t="s">
        <v>243</v>
      </c>
      <c r="BY2044" s="2" t="s">
        <v>244</v>
      </c>
      <c r="BZ2044" s="2" t="s">
        <v>245</v>
      </c>
      <c r="CA2044" s="2" t="s">
        <v>233</v>
      </c>
      <c r="CB2044" s="2" t="s">
        <v>233</v>
      </c>
      <c r="CC2044" s="2" t="s">
        <v>246</v>
      </c>
      <c r="CD2044" s="2" t="s">
        <v>233</v>
      </c>
      <c r="CE2044" s="4"/>
      <c r="CF2044" s="4">
        <v>40</v>
      </c>
      <c r="CG2044" s="4"/>
      <c r="CH2044" s="4"/>
      <c r="CI2044" s="4">
        <v>22</v>
      </c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>
        <v>11</v>
      </c>
      <c r="EF2044" s="4"/>
      <c r="EG2044" s="4"/>
      <c r="EH2044" s="4"/>
      <c r="EI2044" s="4"/>
      <c r="EJ2044" s="4"/>
      <c r="EK2044" s="4">
        <v>5</v>
      </c>
      <c r="EL2044" s="4"/>
      <c r="EM2044" s="4"/>
      <c r="EN2044" s="4"/>
      <c r="EO2044" s="4"/>
      <c r="EP2044" s="4"/>
      <c r="EQ2044" s="4"/>
      <c r="ER2044" s="4">
        <v>86</v>
      </c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>
        <v>50</v>
      </c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  <c r="HF2044" s="4"/>
      <c r="HG2044" s="4"/>
      <c r="HH2044" s="4"/>
      <c r="HI2044" s="4"/>
      <c r="HJ2044" s="4"/>
      <c r="HK2044" s="4">
        <v>102</v>
      </c>
      <c r="HL2044" s="4"/>
      <c r="HM2044" s="4"/>
      <c r="HN2044" s="4"/>
      <c r="HO2044" s="4">
        <v>31</v>
      </c>
      <c r="HP2044" s="4"/>
      <c r="HQ2044" s="4">
        <v>44</v>
      </c>
      <c r="HR2044" s="4"/>
    </row>
    <row r="2045">
      <c r="A2045" s="2" t="s">
        <v>9330</v>
      </c>
      <c r="B2045" s="2" t="s">
        <v>1066</v>
      </c>
      <c r="C2045" s="2" t="s">
        <v>530</v>
      </c>
      <c r="D2045" s="2" t="s">
        <v>1919</v>
      </c>
      <c r="E2045" s="2" t="s">
        <v>3467</v>
      </c>
      <c r="F2045" s="2" t="s">
        <v>9322</v>
      </c>
      <c r="G2045" s="2" t="s">
        <v>9323</v>
      </c>
      <c r="H2045" s="2" t="s">
        <v>9324</v>
      </c>
      <c r="I2045" s="2" t="s">
        <v>9331</v>
      </c>
      <c r="J2045" s="2" t="s">
        <v>892</v>
      </c>
      <c r="K2045" s="2" t="s">
        <v>2942</v>
      </c>
      <c r="L2045" s="3">
        <v>171</v>
      </c>
      <c r="M2045" s="3">
        <v>179.55</v>
      </c>
      <c r="N2045" s="3">
        <v>369</v>
      </c>
      <c r="O2045" s="2" t="s">
        <v>237</v>
      </c>
      <c r="P2045" s="2" t="s">
        <v>311</v>
      </c>
      <c r="Q2045" s="2" t="s">
        <v>239</v>
      </c>
      <c r="R2045" s="2" t="s">
        <v>233</v>
      </c>
      <c r="S2045" s="2" t="s">
        <v>233</v>
      </c>
      <c r="T2045" s="2" t="s">
        <v>233</v>
      </c>
      <c r="U2045" s="2" t="s">
        <v>396</v>
      </c>
      <c r="V2045" s="2" t="s">
        <v>893</v>
      </c>
      <c r="W2045" s="2" t="s">
        <v>451</v>
      </c>
      <c r="X2045" s="2" t="s">
        <v>233</v>
      </c>
      <c r="Y2045" s="2" t="s">
        <v>3017</v>
      </c>
      <c r="Z2045" s="4">
        <v>30</v>
      </c>
      <c r="AA2045" s="4">
        <f>=ROUNDDOWN(10,0)</f>
      </c>
      <c r="AB2045" s="5">
        <v>3</v>
      </c>
      <c r="AC2045" s="2" t="s">
        <v>233</v>
      </c>
      <c r="AD2045" s="4"/>
      <c r="AE2045" s="4"/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233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233</v>
      </c>
      <c r="AW2045" s="8" t="s">
        <v>233</v>
      </c>
      <c r="AX2045" s="4" t="s">
        <v>233</v>
      </c>
      <c r="AY2045" s="8" t="s">
        <v>233</v>
      </c>
      <c r="AZ2045" s="7" t="s">
        <v>233</v>
      </c>
      <c r="BA2045" s="7" t="s">
        <v>233</v>
      </c>
      <c r="BB2045" s="7" t="s">
        <v>233</v>
      </c>
      <c r="BC2045" s="4" t="s">
        <v>233</v>
      </c>
      <c r="BD2045" s="8" t="s">
        <v>233</v>
      </c>
      <c r="BE2045" s="4" t="s">
        <v>233</v>
      </c>
      <c r="BF2045" s="8" t="s">
        <v>233</v>
      </c>
      <c r="BG2045" s="7" t="s">
        <v>233</v>
      </c>
      <c r="BH2045" s="7" t="s">
        <v>233</v>
      </c>
      <c r="BI2045" s="7"/>
      <c r="BJ2045" s="4">
        <v>4</v>
      </c>
      <c r="BK2045" s="8">
        <v>753.5</v>
      </c>
      <c r="BL2045" s="2" t="s">
        <v>1023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9332</v>
      </c>
      <c r="BV2045" s="2" t="s">
        <v>233</v>
      </c>
      <c r="BW2045" s="2" t="s">
        <v>233</v>
      </c>
      <c r="BX2045" s="2" t="s">
        <v>233</v>
      </c>
      <c r="BY2045" s="2" t="s">
        <v>280</v>
      </c>
      <c r="BZ2045" s="2" t="s">
        <v>245</v>
      </c>
      <c r="CA2045" s="2" t="s">
        <v>9333</v>
      </c>
      <c r="CB2045" s="2" t="s">
        <v>455</v>
      </c>
      <c r="CC2045" s="2" t="s">
        <v>246</v>
      </c>
      <c r="CD2045" s="2" t="s">
        <v>233</v>
      </c>
      <c r="CE2045" s="4"/>
      <c r="CF2045" s="4">
        <v>30</v>
      </c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  <c r="GQ2045" s="4"/>
      <c r="GR2045" s="4"/>
      <c r="GS2045" s="4"/>
      <c r="GT2045" s="4"/>
      <c r="GU2045" s="4"/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  <c r="HF2045" s="4"/>
      <c r="HG2045" s="4"/>
      <c r="HH2045" s="4"/>
      <c r="HI2045" s="4"/>
      <c r="HJ2045" s="4"/>
      <c r="HK2045" s="4"/>
      <c r="HL2045" s="4"/>
      <c r="HM2045" s="4"/>
      <c r="HN2045" s="4"/>
      <c r="HO2045" s="4"/>
      <c r="HP2045" s="4"/>
      <c r="HQ2045" s="4"/>
      <c r="HR2045" s="4"/>
    </row>
    <row r="2046">
      <c r="A2046" s="2" t="s">
        <v>9334</v>
      </c>
      <c r="B2046" s="2" t="s">
        <v>1066</v>
      </c>
      <c r="C2046" s="2" t="s">
        <v>530</v>
      </c>
      <c r="D2046" s="2" t="s">
        <v>1919</v>
      </c>
      <c r="E2046" s="2" t="s">
        <v>1920</v>
      </c>
      <c r="F2046" s="2" t="s">
        <v>9322</v>
      </c>
      <c r="G2046" s="2" t="s">
        <v>9323</v>
      </c>
      <c r="H2046" s="2" t="s">
        <v>9324</v>
      </c>
      <c r="I2046" s="2" t="s">
        <v>3180</v>
      </c>
      <c r="J2046" s="2" t="s">
        <v>892</v>
      </c>
      <c r="K2046" s="2" t="s">
        <v>2942</v>
      </c>
      <c r="L2046" s="3">
        <v>317.52</v>
      </c>
      <c r="M2046" s="3">
        <v>333.4</v>
      </c>
      <c r="N2046" s="3">
        <v>669</v>
      </c>
      <c r="O2046" s="2" t="s">
        <v>245</v>
      </c>
      <c r="P2046" s="2" t="s">
        <v>1118</v>
      </c>
      <c r="Q2046" s="2" t="s">
        <v>239</v>
      </c>
      <c r="R2046" s="2" t="s">
        <v>233</v>
      </c>
      <c r="S2046" s="2" t="s">
        <v>233</v>
      </c>
      <c r="T2046" s="2" t="s">
        <v>233</v>
      </c>
      <c r="U2046" s="2" t="s">
        <v>491</v>
      </c>
      <c r="V2046" s="2" t="s">
        <v>893</v>
      </c>
      <c r="W2046" s="2" t="s">
        <v>451</v>
      </c>
      <c r="X2046" s="2" t="s">
        <v>233</v>
      </c>
      <c r="Y2046" s="2" t="s">
        <v>1404</v>
      </c>
      <c r="Z2046" s="4">
        <v>91</v>
      </c>
      <c r="AA2046" s="4">
        <f>=ROUNDDOWN({0},0)</f>
      </c>
      <c r="AB2046" s="5"/>
      <c r="AC2046" s="2" t="s">
        <v>2819</v>
      </c>
      <c r="AD2046" s="4">
        <v>50</v>
      </c>
      <c r="AE2046" s="4">
        <v>50</v>
      </c>
      <c r="AF2046" s="6"/>
      <c r="AG2046" s="6"/>
      <c r="AH2046" s="7">
        <v>0.1935</v>
      </c>
      <c r="AI2046" s="4"/>
      <c r="AJ2046" s="4">
        <f>=ROUNDDOWN({0},0)</f>
      </c>
      <c r="AK2046" s="5"/>
      <c r="AL2046" s="2" t="s">
        <v>233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233</v>
      </c>
      <c r="AW2046" s="8" t="s">
        <v>233</v>
      </c>
      <c r="AX2046" s="4" t="s">
        <v>233</v>
      </c>
      <c r="AY2046" s="8" t="s">
        <v>233</v>
      </c>
      <c r="AZ2046" s="7" t="s">
        <v>233</v>
      </c>
      <c r="BA2046" s="7" t="s">
        <v>233</v>
      </c>
      <c r="BB2046" s="7" t="s">
        <v>233</v>
      </c>
      <c r="BC2046" s="4" t="s">
        <v>233</v>
      </c>
      <c r="BD2046" s="8" t="s">
        <v>233</v>
      </c>
      <c r="BE2046" s="4" t="s">
        <v>233</v>
      </c>
      <c r="BF2046" s="8" t="s">
        <v>233</v>
      </c>
      <c r="BG2046" s="7" t="s">
        <v>233</v>
      </c>
      <c r="BH2046" s="7" t="s">
        <v>233</v>
      </c>
      <c r="BI2046" s="7"/>
      <c r="BJ2046" s="4"/>
      <c r="BK2046" s="8"/>
      <c r="BL2046" s="2" t="s">
        <v>233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243</v>
      </c>
      <c r="BV2046" s="2" t="s">
        <v>233</v>
      </c>
      <c r="BW2046" s="2" t="s">
        <v>233</v>
      </c>
      <c r="BX2046" s="2" t="s">
        <v>243</v>
      </c>
      <c r="BY2046" s="2" t="s">
        <v>244</v>
      </c>
      <c r="BZ2046" s="2" t="s">
        <v>245</v>
      </c>
      <c r="CA2046" s="2" t="s">
        <v>233</v>
      </c>
      <c r="CB2046" s="2" t="s">
        <v>233</v>
      </c>
      <c r="CC2046" s="2" t="s">
        <v>246</v>
      </c>
      <c r="CD2046" s="2" t="s">
        <v>233</v>
      </c>
      <c r="CE2046" s="4"/>
      <c r="CF2046" s="4">
        <v>91</v>
      </c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>
        <v>50</v>
      </c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/>
      <c r="GK2046" s="4"/>
      <c r="GL2046" s="4"/>
      <c r="GM2046" s="4"/>
      <c r="GN2046" s="4"/>
      <c r="GO2046" s="4"/>
      <c r="GP2046" s="4"/>
      <c r="GQ2046" s="4"/>
      <c r="GR2046" s="4"/>
      <c r="GS2046" s="4"/>
      <c r="GT2046" s="4"/>
      <c r="GU2046" s="4"/>
      <c r="GV2046" s="4"/>
      <c r="GW2046" s="4"/>
      <c r="GX2046" s="4"/>
      <c r="GY2046" s="4"/>
      <c r="GZ2046" s="4"/>
      <c r="HA2046" s="4"/>
      <c r="HB2046" s="4"/>
      <c r="HC2046" s="4"/>
      <c r="HD2046" s="4"/>
      <c r="HE2046" s="4"/>
      <c r="HF2046" s="4"/>
      <c r="HG2046" s="4"/>
      <c r="HH2046" s="4"/>
      <c r="HI2046" s="4"/>
      <c r="HJ2046" s="4"/>
      <c r="HK2046" s="4"/>
      <c r="HL2046" s="4"/>
      <c r="HM2046" s="4"/>
      <c r="HN2046" s="4"/>
      <c r="HO2046" s="4"/>
      <c r="HP2046" s="4"/>
      <c r="HQ2046" s="4"/>
      <c r="HR2046" s="4"/>
    </row>
    <row r="2047">
      <c r="A2047" s="2" t="s">
        <v>9335</v>
      </c>
      <c r="B2047" s="2" t="s">
        <v>1066</v>
      </c>
      <c r="C2047" s="2" t="s">
        <v>530</v>
      </c>
      <c r="D2047" s="2" t="s">
        <v>1919</v>
      </c>
      <c r="E2047" s="2" t="s">
        <v>3467</v>
      </c>
      <c r="F2047" s="2" t="s">
        <v>9322</v>
      </c>
      <c r="G2047" s="2" t="s">
        <v>9323</v>
      </c>
      <c r="H2047" s="2" t="s">
        <v>9324</v>
      </c>
      <c r="I2047" s="2" t="s">
        <v>9326</v>
      </c>
      <c r="J2047" s="2" t="s">
        <v>892</v>
      </c>
      <c r="K2047" s="2" t="s">
        <v>823</v>
      </c>
      <c r="L2047" s="3">
        <v>335.16</v>
      </c>
      <c r="M2047" s="3">
        <v>351.92</v>
      </c>
      <c r="N2047" s="3">
        <v>709</v>
      </c>
      <c r="O2047" s="2" t="s">
        <v>245</v>
      </c>
      <c r="P2047" s="2" t="s">
        <v>1118</v>
      </c>
      <c r="Q2047" s="2" t="s">
        <v>233</v>
      </c>
      <c r="R2047" s="2" t="s">
        <v>233</v>
      </c>
      <c r="S2047" s="2" t="s">
        <v>233</v>
      </c>
      <c r="T2047" s="2" t="s">
        <v>233</v>
      </c>
      <c r="U2047" s="2" t="s">
        <v>491</v>
      </c>
      <c r="V2047" s="2" t="s">
        <v>241</v>
      </c>
      <c r="W2047" s="2" t="s">
        <v>451</v>
      </c>
      <c r="X2047" s="2" t="s">
        <v>397</v>
      </c>
      <c r="Y2047" s="2" t="s">
        <v>967</v>
      </c>
      <c r="Z2047" s="4">
        <v>110</v>
      </c>
      <c r="AA2047" s="4">
        <f>=ROUNDDOWN({0},0)</f>
      </c>
      <c r="AB2047" s="5"/>
      <c r="AC2047" s="2" t="s">
        <v>345</v>
      </c>
      <c r="AD2047" s="4">
        <v>75</v>
      </c>
      <c r="AE2047" s="4">
        <v>200</v>
      </c>
      <c r="AF2047" s="6"/>
      <c r="AG2047" s="6"/>
      <c r="AH2047" s="7">
        <v>0.1935</v>
      </c>
      <c r="AI2047" s="4"/>
      <c r="AJ2047" s="4">
        <f>=ROUNDDOWN({0},0)</f>
      </c>
      <c r="AK2047" s="5"/>
      <c r="AL2047" s="2" t="s">
        <v>233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 t="s">
        <v>233</v>
      </c>
      <c r="AW2047" s="8" t="s">
        <v>233</v>
      </c>
      <c r="AX2047" s="4" t="s">
        <v>233</v>
      </c>
      <c r="AY2047" s="8" t="s">
        <v>233</v>
      </c>
      <c r="AZ2047" s="7" t="s">
        <v>233</v>
      </c>
      <c r="BA2047" s="7" t="s">
        <v>233</v>
      </c>
      <c r="BB2047" s="7" t="s">
        <v>233</v>
      </c>
      <c r="BC2047" s="4" t="s">
        <v>233</v>
      </c>
      <c r="BD2047" s="8" t="s">
        <v>233</v>
      </c>
      <c r="BE2047" s="4" t="s">
        <v>233</v>
      </c>
      <c r="BF2047" s="8" t="s">
        <v>233</v>
      </c>
      <c r="BG2047" s="7" t="s">
        <v>233</v>
      </c>
      <c r="BH2047" s="7" t="s">
        <v>233</v>
      </c>
      <c r="BI2047" s="7"/>
      <c r="BJ2047" s="4"/>
      <c r="BK2047" s="8"/>
      <c r="BL2047" s="2" t="s">
        <v>233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243</v>
      </c>
      <c r="BV2047" s="2" t="s">
        <v>233</v>
      </c>
      <c r="BW2047" s="2" t="s">
        <v>233</v>
      </c>
      <c r="BX2047" s="2" t="s">
        <v>243</v>
      </c>
      <c r="BY2047" s="2" t="s">
        <v>244</v>
      </c>
      <c r="BZ2047" s="2" t="s">
        <v>245</v>
      </c>
      <c r="CA2047" s="2" t="s">
        <v>233</v>
      </c>
      <c r="CB2047" s="2" t="s">
        <v>233</v>
      </c>
      <c r="CC2047" s="2" t="s">
        <v>246</v>
      </c>
      <c r="CD2047" s="2" t="s">
        <v>233</v>
      </c>
      <c r="CE2047" s="4"/>
      <c r="CF2047" s="4">
        <v>110</v>
      </c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>
        <v>75</v>
      </c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>
        <v>125</v>
      </c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/>
      <c r="GU2047" s="4"/>
      <c r="GV2047" s="4"/>
      <c r="GW2047" s="4"/>
      <c r="GX2047" s="4"/>
      <c r="GY2047" s="4"/>
      <c r="GZ2047" s="4"/>
      <c r="HA2047" s="4"/>
      <c r="HB2047" s="4"/>
      <c r="HC2047" s="4"/>
      <c r="HD2047" s="4"/>
      <c r="HE2047" s="4"/>
      <c r="HF2047" s="4"/>
      <c r="HG2047" s="4"/>
      <c r="HH2047" s="4"/>
      <c r="HI2047" s="4"/>
      <c r="HJ2047" s="4"/>
      <c r="HK2047" s="4"/>
      <c r="HL2047" s="4"/>
      <c r="HM2047" s="4"/>
      <c r="HN2047" s="4"/>
      <c r="HO2047" s="4"/>
      <c r="HP2047" s="4"/>
      <c r="HQ2047" s="4"/>
      <c r="HR2047" s="4"/>
    </row>
    <row r="2048">
      <c r="A2048" s="2" t="s">
        <v>9336</v>
      </c>
      <c r="B2048" s="2" t="s">
        <v>1066</v>
      </c>
      <c r="C2048" s="2" t="s">
        <v>530</v>
      </c>
      <c r="D2048" s="2" t="s">
        <v>1919</v>
      </c>
      <c r="E2048" s="2" t="s">
        <v>1920</v>
      </c>
      <c r="F2048" s="2" t="s">
        <v>9322</v>
      </c>
      <c r="G2048" s="2" t="s">
        <v>9323</v>
      </c>
      <c r="H2048" s="2" t="s">
        <v>9324</v>
      </c>
      <c r="I2048" s="2" t="s">
        <v>3180</v>
      </c>
      <c r="J2048" s="2" t="s">
        <v>892</v>
      </c>
      <c r="K2048" s="2" t="s">
        <v>823</v>
      </c>
      <c r="L2048" s="3">
        <v>317.52</v>
      </c>
      <c r="M2048" s="3">
        <v>333.4</v>
      </c>
      <c r="N2048" s="3">
        <v>669</v>
      </c>
      <c r="O2048" s="2" t="s">
        <v>245</v>
      </c>
      <c r="P2048" s="2" t="s">
        <v>1118</v>
      </c>
      <c r="Q2048" s="2" t="s">
        <v>233</v>
      </c>
      <c r="R2048" s="2" t="s">
        <v>233</v>
      </c>
      <c r="S2048" s="2" t="s">
        <v>233</v>
      </c>
      <c r="T2048" s="2" t="s">
        <v>233</v>
      </c>
      <c r="U2048" s="2" t="s">
        <v>491</v>
      </c>
      <c r="V2048" s="2" t="s">
        <v>241</v>
      </c>
      <c r="W2048" s="2" t="s">
        <v>451</v>
      </c>
      <c r="X2048" s="2" t="s">
        <v>233</v>
      </c>
      <c r="Y2048" s="2" t="s">
        <v>3187</v>
      </c>
      <c r="Z2048" s="4">
        <v>99</v>
      </c>
      <c r="AA2048" s="4">
        <f>=ROUNDDOWN({0},0)</f>
      </c>
      <c r="AB2048" s="5"/>
      <c r="AC2048" s="2" t="s">
        <v>3189</v>
      </c>
      <c r="AD2048" s="4">
        <v>40</v>
      </c>
      <c r="AE2048" s="4">
        <v>210</v>
      </c>
      <c r="AF2048" s="6"/>
      <c r="AG2048" s="6"/>
      <c r="AH2048" s="7">
        <v>0.1935</v>
      </c>
      <c r="AI2048" s="4"/>
      <c r="AJ2048" s="4">
        <f>=ROUNDDOWN({0},0)</f>
      </c>
      <c r="AK2048" s="5"/>
      <c r="AL2048" s="2" t="s">
        <v>8769</v>
      </c>
      <c r="AM2048" s="4">
        <v>102</v>
      </c>
      <c r="AN2048" s="4">
        <v>177</v>
      </c>
      <c r="AO2048" s="7">
        <v>0</v>
      </c>
      <c r="AP2048" s="4"/>
      <c r="AQ2048" s="8"/>
      <c r="AR2048" s="4"/>
      <c r="AS2048" s="8"/>
      <c r="AT2048" s="7"/>
      <c r="AU2048" s="7"/>
      <c r="AV2048" s="4" t="s">
        <v>233</v>
      </c>
      <c r="AW2048" s="8" t="s">
        <v>233</v>
      </c>
      <c r="AX2048" s="4" t="s">
        <v>233</v>
      </c>
      <c r="AY2048" s="8" t="s">
        <v>233</v>
      </c>
      <c r="AZ2048" s="7" t="s">
        <v>233</v>
      </c>
      <c r="BA2048" s="7" t="s">
        <v>233</v>
      </c>
      <c r="BB2048" s="7" t="s">
        <v>233</v>
      </c>
      <c r="BC2048" s="4" t="s">
        <v>233</v>
      </c>
      <c r="BD2048" s="8" t="s">
        <v>233</v>
      </c>
      <c r="BE2048" s="4" t="s">
        <v>233</v>
      </c>
      <c r="BF2048" s="8" t="s">
        <v>233</v>
      </c>
      <c r="BG2048" s="7" t="s">
        <v>233</v>
      </c>
      <c r="BH2048" s="7" t="s">
        <v>233</v>
      </c>
      <c r="BI2048" s="7"/>
      <c r="BJ2048" s="4"/>
      <c r="BK2048" s="8"/>
      <c r="BL2048" s="2" t="s">
        <v>233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243</v>
      </c>
      <c r="BV2048" s="2" t="s">
        <v>233</v>
      </c>
      <c r="BW2048" s="2" t="s">
        <v>233</v>
      </c>
      <c r="BX2048" s="2" t="s">
        <v>243</v>
      </c>
      <c r="BY2048" s="2" t="s">
        <v>244</v>
      </c>
      <c r="BZ2048" s="2" t="s">
        <v>245</v>
      </c>
      <c r="CA2048" s="2" t="s">
        <v>233</v>
      </c>
      <c r="CB2048" s="2" t="s">
        <v>233</v>
      </c>
      <c r="CC2048" s="2" t="s">
        <v>246</v>
      </c>
      <c r="CD2048" s="2" t="s">
        <v>233</v>
      </c>
      <c r="CE2048" s="4"/>
      <c r="CF2048" s="4">
        <v>78</v>
      </c>
      <c r="CG2048" s="4"/>
      <c r="CH2048" s="4"/>
      <c r="CI2048" s="4">
        <v>21</v>
      </c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>
        <v>40</v>
      </c>
      <c r="EF2048" s="4"/>
      <c r="EG2048" s="4"/>
      <c r="EH2048" s="4"/>
      <c r="EI2048" s="4"/>
      <c r="EJ2048" s="4"/>
      <c r="EK2048" s="4">
        <v>10</v>
      </c>
      <c r="EL2048" s="4"/>
      <c r="EM2048" s="4"/>
      <c r="EN2048" s="4"/>
      <c r="EO2048" s="4"/>
      <c r="EP2048" s="4"/>
      <c r="EQ2048" s="4"/>
      <c r="ER2048" s="4">
        <v>110</v>
      </c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>
        <v>50</v>
      </c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  <c r="GQ2048" s="4"/>
      <c r="GR2048" s="4"/>
      <c r="GS2048" s="4"/>
      <c r="GT2048" s="4"/>
      <c r="GU2048" s="4"/>
      <c r="GV2048" s="4"/>
      <c r="GW2048" s="4"/>
      <c r="GX2048" s="4"/>
      <c r="GY2048" s="4"/>
      <c r="GZ2048" s="4"/>
      <c r="HA2048" s="4"/>
      <c r="HB2048" s="4"/>
      <c r="HC2048" s="4"/>
      <c r="HD2048" s="4"/>
      <c r="HE2048" s="4"/>
      <c r="HF2048" s="4"/>
      <c r="HG2048" s="4"/>
      <c r="HH2048" s="4"/>
      <c r="HI2048" s="4"/>
      <c r="HJ2048" s="4"/>
      <c r="HK2048" s="4">
        <v>102</v>
      </c>
      <c r="HL2048" s="4"/>
      <c r="HM2048" s="4"/>
      <c r="HN2048" s="4"/>
      <c r="HO2048" s="4"/>
      <c r="HP2048" s="4"/>
      <c r="HQ2048" s="4">
        <v>75</v>
      </c>
      <c r="HR2048" s="4"/>
    </row>
    <row r="2049">
      <c r="A2049" s="2" t="s">
        <v>9337</v>
      </c>
      <c r="B2049" s="2" t="s">
        <v>1242</v>
      </c>
      <c r="C2049" s="2" t="s">
        <v>3135</v>
      </c>
      <c r="D2049" s="2" t="s">
        <v>3474</v>
      </c>
      <c r="E2049" s="2" t="s">
        <v>3475</v>
      </c>
      <c r="F2049" s="2" t="s">
        <v>9338</v>
      </c>
      <c r="G2049" s="2" t="s">
        <v>9338</v>
      </c>
      <c r="H2049" s="2" t="s">
        <v>9338</v>
      </c>
      <c r="I2049" s="2" t="s">
        <v>3477</v>
      </c>
      <c r="J2049" s="2" t="s">
        <v>2757</v>
      </c>
      <c r="K2049" s="2" t="s">
        <v>1201</v>
      </c>
      <c r="L2049" s="3">
        <v>21.66</v>
      </c>
      <c r="M2049" s="3">
        <v>22.74</v>
      </c>
      <c r="N2049" s="3">
        <v>69.99</v>
      </c>
      <c r="O2049" s="2" t="s">
        <v>245</v>
      </c>
      <c r="P2049" s="2" t="s">
        <v>311</v>
      </c>
      <c r="Q2049" s="2" t="s">
        <v>239</v>
      </c>
      <c r="R2049" s="2" t="s">
        <v>233</v>
      </c>
      <c r="S2049" s="2" t="s">
        <v>233</v>
      </c>
      <c r="T2049" s="2" t="s">
        <v>2188</v>
      </c>
      <c r="U2049" s="2" t="s">
        <v>233</v>
      </c>
      <c r="V2049" s="2" t="s">
        <v>1483</v>
      </c>
      <c r="W2049" s="2" t="s">
        <v>397</v>
      </c>
      <c r="X2049" s="2" t="s">
        <v>233</v>
      </c>
      <c r="Y2049" s="2" t="s">
        <v>3037</v>
      </c>
      <c r="Z2049" s="4">
        <v>61</v>
      </c>
      <c r="AA2049" s="4">
        <f>=ROUNDDOWN(20.3333333333333,0)</f>
      </c>
      <c r="AB2049" s="5">
        <v>3</v>
      </c>
      <c r="AC2049" s="2" t="s">
        <v>233</v>
      </c>
      <c r="AD2049" s="4"/>
      <c r="AE2049" s="4"/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233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/>
      <c r="BD2049" s="8"/>
      <c r="BE2049" s="4"/>
      <c r="BF2049" s="8"/>
      <c r="BG2049" s="7"/>
      <c r="BH2049" s="7"/>
      <c r="BI2049" s="7"/>
      <c r="BJ2049" s="4">
        <v>7</v>
      </c>
      <c r="BK2049" s="8">
        <v>179.01</v>
      </c>
      <c r="BL2049" s="2" t="s">
        <v>935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9339</v>
      </c>
      <c r="BV2049" s="2" t="s">
        <v>233</v>
      </c>
      <c r="BW2049" s="2" t="s">
        <v>233</v>
      </c>
      <c r="BX2049" s="2" t="s">
        <v>233</v>
      </c>
      <c r="BY2049" s="2" t="s">
        <v>280</v>
      </c>
      <c r="BZ2049" s="2" t="s">
        <v>245</v>
      </c>
      <c r="CA2049" s="2" t="s">
        <v>1613</v>
      </c>
      <c r="CB2049" s="2" t="s">
        <v>478</v>
      </c>
      <c r="CC2049" s="2" t="s">
        <v>246</v>
      </c>
      <c r="CD2049" s="2" t="s">
        <v>233</v>
      </c>
      <c r="CE2049" s="4">
        <v>61</v>
      </c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  <c r="GQ2049" s="4"/>
      <c r="GR2049" s="4"/>
      <c r="GS2049" s="4"/>
      <c r="GT2049" s="4"/>
      <c r="GU2049" s="4"/>
      <c r="GV2049" s="4"/>
      <c r="GW2049" s="4"/>
      <c r="GX2049" s="4"/>
      <c r="GY2049" s="4"/>
      <c r="GZ2049" s="4"/>
      <c r="HA2049" s="4"/>
      <c r="HB2049" s="4"/>
      <c r="HC2049" s="4"/>
      <c r="HD2049" s="4"/>
      <c r="HE2049" s="4"/>
      <c r="HF2049" s="4"/>
      <c r="HG2049" s="4"/>
      <c r="HH2049" s="4"/>
      <c r="HI2049" s="4"/>
      <c r="HJ2049" s="4"/>
      <c r="HK2049" s="4"/>
      <c r="HL2049" s="4"/>
      <c r="HM2049" s="4"/>
      <c r="HN2049" s="4"/>
      <c r="HO2049" s="4"/>
      <c r="HP2049" s="4"/>
      <c r="HQ2049" s="4"/>
      <c r="HR2049" s="4"/>
    </row>
    <row r="2050">
      <c r="A2050" s="2" t="s">
        <v>9340</v>
      </c>
      <c r="B2050" s="2" t="s">
        <v>1242</v>
      </c>
      <c r="C2050" s="2" t="s">
        <v>1321</v>
      </c>
      <c r="D2050" s="2" t="s">
        <v>969</v>
      </c>
      <c r="E2050" s="2" t="s">
        <v>1078</v>
      </c>
      <c r="F2050" s="2" t="s">
        <v>9341</v>
      </c>
      <c r="G2050" s="2" t="s">
        <v>9341</v>
      </c>
      <c r="H2050" s="2" t="s">
        <v>9341</v>
      </c>
      <c r="I2050" s="2" t="s">
        <v>9342</v>
      </c>
      <c r="J2050" s="2" t="s">
        <v>981</v>
      </c>
      <c r="K2050" s="2" t="s">
        <v>2358</v>
      </c>
      <c r="L2050" s="3">
        <v>150</v>
      </c>
      <c r="M2050" s="3">
        <v>157.5</v>
      </c>
      <c r="N2050" s="3">
        <v>299.99</v>
      </c>
      <c r="O2050" s="2" t="s">
        <v>245</v>
      </c>
      <c r="P2050" s="2" t="s">
        <v>238</v>
      </c>
      <c r="Q2050" s="2" t="s">
        <v>239</v>
      </c>
      <c r="R2050" s="2" t="s">
        <v>233</v>
      </c>
      <c r="S2050" s="2" t="s">
        <v>9343</v>
      </c>
      <c r="T2050" s="2" t="s">
        <v>1481</v>
      </c>
      <c r="U2050" s="2" t="s">
        <v>5309</v>
      </c>
      <c r="V2050" s="2" t="s">
        <v>921</v>
      </c>
      <c r="W2050" s="2" t="s">
        <v>451</v>
      </c>
      <c r="X2050" s="2" t="s">
        <v>705</v>
      </c>
      <c r="Y2050" s="2" t="s">
        <v>233</v>
      </c>
      <c r="Z2050" s="4"/>
      <c r="AA2050" s="4">
        <f>=ROUNDDOWN({0},0)</f>
      </c>
      <c r="AB2050" s="5"/>
      <c r="AC2050" s="2" t="s">
        <v>1821</v>
      </c>
      <c r="AD2050" s="4">
        <v>70</v>
      </c>
      <c r="AE2050" s="4">
        <v>140</v>
      </c>
      <c r="AF2050" s="6">
        <v>67</v>
      </c>
      <c r="AG2050" s="6"/>
      <c r="AH2050" s="7">
        <v>0</v>
      </c>
      <c r="AI2050" s="4"/>
      <c r="AJ2050" s="4">
        <f>=ROUNDDOWN({0},0)</f>
      </c>
      <c r="AK2050" s="5"/>
      <c r="AL2050" s="2" t="s">
        <v>233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 t="s">
        <v>233</v>
      </c>
      <c r="AW2050" s="8" t="s">
        <v>233</v>
      </c>
      <c r="AX2050" s="4" t="s">
        <v>233</v>
      </c>
      <c r="AY2050" s="8" t="s">
        <v>233</v>
      </c>
      <c r="AZ2050" s="7" t="s">
        <v>233</v>
      </c>
      <c r="BA2050" s="7" t="s">
        <v>233</v>
      </c>
      <c r="BB2050" s="7"/>
      <c r="BC2050" s="4" t="s">
        <v>233</v>
      </c>
      <c r="BD2050" s="8" t="s">
        <v>233</v>
      </c>
      <c r="BE2050" s="4" t="s">
        <v>233</v>
      </c>
      <c r="BF2050" s="8" t="s">
        <v>233</v>
      </c>
      <c r="BG2050" s="7" t="s">
        <v>233</v>
      </c>
      <c r="BH2050" s="7" t="s">
        <v>233</v>
      </c>
      <c r="BI2050" s="7"/>
      <c r="BJ2050" s="4"/>
      <c r="BK2050" s="8"/>
      <c r="BL2050" s="2" t="s">
        <v>233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243</v>
      </c>
      <c r="BV2050" s="2" t="s">
        <v>233</v>
      </c>
      <c r="BW2050" s="2" t="s">
        <v>233</v>
      </c>
      <c r="BX2050" s="2" t="s">
        <v>243</v>
      </c>
      <c r="BY2050" s="2" t="s">
        <v>8632</v>
      </c>
      <c r="BZ2050" s="2" t="s">
        <v>245</v>
      </c>
      <c r="CA2050" s="2" t="s">
        <v>233</v>
      </c>
      <c r="CB2050" s="2" t="s">
        <v>233</v>
      </c>
      <c r="CC2050" s="2" t="s">
        <v>246</v>
      </c>
      <c r="CD2050" s="2" t="s">
        <v>233</v>
      </c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>
        <v>70</v>
      </c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/>
      <c r="GP2050" s="4"/>
      <c r="GQ2050" s="4"/>
      <c r="GR2050" s="4"/>
      <c r="GS2050" s="4"/>
      <c r="GT2050" s="4"/>
      <c r="GU2050" s="4"/>
      <c r="GV2050" s="4"/>
      <c r="GW2050" s="4"/>
      <c r="GX2050" s="4"/>
      <c r="GY2050" s="4"/>
      <c r="GZ2050" s="4">
        <v>70</v>
      </c>
      <c r="HA2050" s="4"/>
      <c r="HB2050" s="4"/>
      <c r="HC2050" s="4"/>
      <c r="HD2050" s="4"/>
      <c r="HE2050" s="4"/>
      <c r="HF2050" s="4"/>
      <c r="HG2050" s="4"/>
      <c r="HH2050" s="4"/>
      <c r="HI2050" s="4"/>
      <c r="HJ2050" s="4"/>
      <c r="HK2050" s="4"/>
      <c r="HL2050" s="4"/>
      <c r="HM2050" s="4"/>
      <c r="HN2050" s="4"/>
      <c r="HO2050" s="4"/>
      <c r="HP2050" s="4"/>
      <c r="HQ2050" s="4"/>
      <c r="HR2050" s="4"/>
    </row>
    <row r="2051">
      <c r="A2051" s="2" t="s">
        <v>9344</v>
      </c>
      <c r="B2051" s="2" t="s">
        <v>1242</v>
      </c>
      <c r="C2051" s="2" t="s">
        <v>1321</v>
      </c>
      <c r="D2051" s="2" t="s">
        <v>969</v>
      </c>
      <c r="E2051" s="2" t="s">
        <v>1078</v>
      </c>
      <c r="F2051" s="2" t="s">
        <v>9341</v>
      </c>
      <c r="G2051" s="2" t="s">
        <v>9341</v>
      </c>
      <c r="H2051" s="2" t="s">
        <v>9341</v>
      </c>
      <c r="I2051" s="2" t="s">
        <v>9342</v>
      </c>
      <c r="J2051" s="2" t="s">
        <v>1142</v>
      </c>
      <c r="K2051" s="2" t="s">
        <v>2358</v>
      </c>
      <c r="L2051" s="3">
        <v>175</v>
      </c>
      <c r="M2051" s="3">
        <v>183.75</v>
      </c>
      <c r="N2051" s="3">
        <v>349.99</v>
      </c>
      <c r="O2051" s="2" t="s">
        <v>245</v>
      </c>
      <c r="P2051" s="2" t="s">
        <v>238</v>
      </c>
      <c r="Q2051" s="2" t="s">
        <v>239</v>
      </c>
      <c r="R2051" s="2" t="s">
        <v>233</v>
      </c>
      <c r="S2051" s="2" t="s">
        <v>9343</v>
      </c>
      <c r="T2051" s="2" t="s">
        <v>1481</v>
      </c>
      <c r="U2051" s="2" t="s">
        <v>3165</v>
      </c>
      <c r="V2051" s="2" t="s">
        <v>921</v>
      </c>
      <c r="W2051" s="2" t="s">
        <v>451</v>
      </c>
      <c r="X2051" s="2" t="s">
        <v>705</v>
      </c>
      <c r="Y2051" s="2" t="s">
        <v>233</v>
      </c>
      <c r="Z2051" s="4"/>
      <c r="AA2051" s="4">
        <f>=ROUNDDOWN({0},0)</f>
      </c>
      <c r="AB2051" s="5"/>
      <c r="AC2051" s="2" t="s">
        <v>1821</v>
      </c>
      <c r="AD2051" s="4">
        <v>130</v>
      </c>
      <c r="AE2051" s="4">
        <v>260</v>
      </c>
      <c r="AF2051" s="6">
        <v>67</v>
      </c>
      <c r="AG2051" s="6"/>
      <c r="AH2051" s="7">
        <v>0</v>
      </c>
      <c r="AI2051" s="4"/>
      <c r="AJ2051" s="4">
        <f>=ROUNDDOWN({0},0)</f>
      </c>
      <c r="AK2051" s="5"/>
      <c r="AL2051" s="2" t="s">
        <v>233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 t="s">
        <v>233</v>
      </c>
      <c r="AW2051" s="8" t="s">
        <v>233</v>
      </c>
      <c r="AX2051" s="4" t="s">
        <v>233</v>
      </c>
      <c r="AY2051" s="8" t="s">
        <v>233</v>
      </c>
      <c r="AZ2051" s="7" t="s">
        <v>233</v>
      </c>
      <c r="BA2051" s="7" t="s">
        <v>233</v>
      </c>
      <c r="BB2051" s="7"/>
      <c r="BC2051" s="4" t="s">
        <v>233</v>
      </c>
      <c r="BD2051" s="8" t="s">
        <v>233</v>
      </c>
      <c r="BE2051" s="4" t="s">
        <v>233</v>
      </c>
      <c r="BF2051" s="8" t="s">
        <v>233</v>
      </c>
      <c r="BG2051" s="7" t="s">
        <v>233</v>
      </c>
      <c r="BH2051" s="7" t="s">
        <v>233</v>
      </c>
      <c r="BI2051" s="7"/>
      <c r="BJ2051" s="4"/>
      <c r="BK2051" s="8"/>
      <c r="BL2051" s="2" t="s">
        <v>233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243</v>
      </c>
      <c r="BV2051" s="2" t="s">
        <v>233</v>
      </c>
      <c r="BW2051" s="2" t="s">
        <v>233</v>
      </c>
      <c r="BX2051" s="2" t="s">
        <v>243</v>
      </c>
      <c r="BY2051" s="2" t="s">
        <v>8632</v>
      </c>
      <c r="BZ2051" s="2" t="s">
        <v>245</v>
      </c>
      <c r="CA2051" s="2" t="s">
        <v>233</v>
      </c>
      <c r="CB2051" s="2" t="s">
        <v>233</v>
      </c>
      <c r="CC2051" s="2" t="s">
        <v>246</v>
      </c>
      <c r="CD2051" s="2" t="s">
        <v>233</v>
      </c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>
        <v>130</v>
      </c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  <c r="GQ2051" s="4"/>
      <c r="GR2051" s="4"/>
      <c r="GS2051" s="4"/>
      <c r="GT2051" s="4"/>
      <c r="GU2051" s="4"/>
      <c r="GV2051" s="4"/>
      <c r="GW2051" s="4"/>
      <c r="GX2051" s="4"/>
      <c r="GY2051" s="4"/>
      <c r="GZ2051" s="4">
        <v>130</v>
      </c>
      <c r="HA2051" s="4"/>
      <c r="HB2051" s="4"/>
      <c r="HC2051" s="4"/>
      <c r="HD2051" s="4"/>
      <c r="HE2051" s="4"/>
      <c r="HF2051" s="4"/>
      <c r="HG2051" s="4"/>
      <c r="HH2051" s="4"/>
      <c r="HI2051" s="4"/>
      <c r="HJ2051" s="4"/>
      <c r="HK2051" s="4"/>
      <c r="HL2051" s="4"/>
      <c r="HM2051" s="4"/>
      <c r="HN2051" s="4"/>
      <c r="HO2051" s="4"/>
      <c r="HP2051" s="4"/>
      <c r="HQ2051" s="4"/>
      <c r="HR2051" s="4"/>
    </row>
    <row r="2052">
      <c r="A2052" s="2" t="s">
        <v>9345</v>
      </c>
      <c r="B2052" s="2" t="s">
        <v>928</v>
      </c>
      <c r="C2052" s="2" t="s">
        <v>530</v>
      </c>
      <c r="D2052" s="2" t="s">
        <v>961</v>
      </c>
      <c r="E2052" s="2" t="s">
        <v>939</v>
      </c>
      <c r="F2052" s="2" t="s">
        <v>9346</v>
      </c>
      <c r="G2052" s="2" t="s">
        <v>9346</v>
      </c>
      <c r="H2052" s="2" t="s">
        <v>9346</v>
      </c>
      <c r="I2052" s="2" t="s">
        <v>9347</v>
      </c>
      <c r="J2052" s="2" t="s">
        <v>892</v>
      </c>
      <c r="K2052" s="2" t="s">
        <v>9348</v>
      </c>
      <c r="L2052" s="3">
        <v>14</v>
      </c>
      <c r="M2052" s="3">
        <v>14.7</v>
      </c>
      <c r="N2052" s="3">
        <v>34.99</v>
      </c>
      <c r="O2052" s="2" t="s">
        <v>245</v>
      </c>
      <c r="P2052" s="2" t="s">
        <v>238</v>
      </c>
      <c r="Q2052" s="2" t="s">
        <v>239</v>
      </c>
      <c r="R2052" s="2" t="s">
        <v>233</v>
      </c>
      <c r="S2052" s="2" t="s">
        <v>233</v>
      </c>
      <c r="T2052" s="2" t="s">
        <v>233</v>
      </c>
      <c r="U2052" s="2" t="s">
        <v>396</v>
      </c>
      <c r="V2052" s="2" t="s">
        <v>2225</v>
      </c>
      <c r="W2052" s="2" t="s">
        <v>9349</v>
      </c>
      <c r="X2052" s="2" t="s">
        <v>1056</v>
      </c>
      <c r="Y2052" s="2" t="s">
        <v>2231</v>
      </c>
      <c r="Z2052" s="4">
        <v>236</v>
      </c>
      <c r="AA2052" s="4">
        <f>=ROUNDDOWN(786.666666666667,0)</f>
      </c>
      <c r="AB2052" s="5">
        <v>0.3</v>
      </c>
      <c r="AC2052" s="2" t="s">
        <v>233</v>
      </c>
      <c r="AD2052" s="4"/>
      <c r="AE2052" s="4"/>
      <c r="AF2052" s="6">
        <v>63</v>
      </c>
      <c r="AG2052" s="6"/>
      <c r="AH2052" s="7">
        <v>1</v>
      </c>
      <c r="AI2052" s="4"/>
      <c r="AJ2052" s="4">
        <f>=ROUNDDOWN({0},0)</f>
      </c>
      <c r="AK2052" s="5"/>
      <c r="AL2052" s="2" t="s">
        <v>233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233</v>
      </c>
      <c r="BD2052" s="8" t="s">
        <v>233</v>
      </c>
      <c r="BE2052" s="4" t="s">
        <v>233</v>
      </c>
      <c r="BF2052" s="8" t="s">
        <v>233</v>
      </c>
      <c r="BG2052" s="7" t="s">
        <v>233</v>
      </c>
      <c r="BH2052" s="7" t="s">
        <v>233</v>
      </c>
      <c r="BI2052" s="7"/>
      <c r="BJ2052" s="4">
        <v>2</v>
      </c>
      <c r="BK2052" s="8">
        <v>30.14</v>
      </c>
      <c r="BL2052" s="2" t="s">
        <v>2246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9350</v>
      </c>
      <c r="BV2052" s="2" t="s">
        <v>233</v>
      </c>
      <c r="BW2052" s="2" t="s">
        <v>233</v>
      </c>
      <c r="BX2052" s="2" t="s">
        <v>233</v>
      </c>
      <c r="BY2052" s="2" t="s">
        <v>280</v>
      </c>
      <c r="BZ2052" s="2" t="s">
        <v>245</v>
      </c>
      <c r="CA2052" s="2" t="s">
        <v>2227</v>
      </c>
      <c r="CB2052" s="2" t="s">
        <v>233</v>
      </c>
      <c r="CC2052" s="2" t="s">
        <v>246</v>
      </c>
      <c r="CD2052" s="2" t="s">
        <v>233</v>
      </c>
      <c r="CE2052" s="4"/>
      <c r="CF2052" s="4">
        <v>236</v>
      </c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/>
      <c r="GP2052" s="4"/>
      <c r="GQ2052" s="4"/>
      <c r="GR2052" s="4"/>
      <c r="GS2052" s="4"/>
      <c r="GT2052" s="4"/>
      <c r="GU2052" s="4"/>
      <c r="GV2052" s="4"/>
      <c r="GW2052" s="4"/>
      <c r="GX2052" s="4"/>
      <c r="GY2052" s="4"/>
      <c r="GZ2052" s="4"/>
      <c r="HA2052" s="4"/>
      <c r="HB2052" s="4"/>
      <c r="HC2052" s="4"/>
      <c r="HD2052" s="4"/>
      <c r="HE2052" s="4"/>
      <c r="HF2052" s="4"/>
      <c r="HG2052" s="4"/>
      <c r="HH2052" s="4"/>
      <c r="HI2052" s="4"/>
      <c r="HJ2052" s="4"/>
      <c r="HK2052" s="4"/>
      <c r="HL2052" s="4"/>
      <c r="HM2052" s="4"/>
      <c r="HN2052" s="4"/>
      <c r="HO2052" s="4"/>
      <c r="HP2052" s="4"/>
      <c r="HQ2052" s="4"/>
      <c r="HR2052" s="4"/>
    </row>
    <row r="2053">
      <c r="A2053" s="2" t="s">
        <v>9351</v>
      </c>
      <c r="B2053" s="2" t="s">
        <v>928</v>
      </c>
      <c r="C2053" s="2" t="s">
        <v>530</v>
      </c>
      <c r="D2053" s="2" t="s">
        <v>961</v>
      </c>
      <c r="E2053" s="2" t="s">
        <v>939</v>
      </c>
      <c r="F2053" s="2" t="s">
        <v>9346</v>
      </c>
      <c r="G2053" s="2" t="s">
        <v>9346</v>
      </c>
      <c r="H2053" s="2" t="s">
        <v>9346</v>
      </c>
      <c r="I2053" s="2" t="s">
        <v>9352</v>
      </c>
      <c r="J2053" s="2" t="s">
        <v>892</v>
      </c>
      <c r="K2053" s="2" t="s">
        <v>9353</v>
      </c>
      <c r="L2053" s="3">
        <v>14</v>
      </c>
      <c r="M2053" s="3">
        <v>14.7</v>
      </c>
      <c r="N2053" s="3">
        <v>34.99</v>
      </c>
      <c r="O2053" s="2" t="s">
        <v>245</v>
      </c>
      <c r="P2053" s="2" t="s">
        <v>238</v>
      </c>
      <c r="Q2053" s="2" t="s">
        <v>239</v>
      </c>
      <c r="R2053" s="2" t="s">
        <v>233</v>
      </c>
      <c r="S2053" s="2" t="s">
        <v>233</v>
      </c>
      <c r="T2053" s="2" t="s">
        <v>233</v>
      </c>
      <c r="U2053" s="2" t="s">
        <v>396</v>
      </c>
      <c r="V2053" s="2" t="s">
        <v>2225</v>
      </c>
      <c r="W2053" s="2" t="s">
        <v>9354</v>
      </c>
      <c r="X2053" s="2" t="s">
        <v>397</v>
      </c>
      <c r="Y2053" s="2" t="s">
        <v>2231</v>
      </c>
      <c r="Z2053" s="4">
        <v>145</v>
      </c>
      <c r="AA2053" s="4">
        <f>=ROUNDDOWN(48.3333333333333,0)</f>
      </c>
      <c r="AB2053" s="5">
        <v>3</v>
      </c>
      <c r="AC2053" s="2" t="s">
        <v>233</v>
      </c>
      <c r="AD2053" s="4"/>
      <c r="AE2053" s="4"/>
      <c r="AF2053" s="6">
        <v>63</v>
      </c>
      <c r="AG2053" s="6"/>
      <c r="AH2053" s="7">
        <v>1</v>
      </c>
      <c r="AI2053" s="4"/>
      <c r="AJ2053" s="4">
        <f>=ROUNDDOWN({0},0)</f>
      </c>
      <c r="AK2053" s="5"/>
      <c r="AL2053" s="2" t="s">
        <v>233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 t="s">
        <v>233</v>
      </c>
      <c r="BD2053" s="8" t="s">
        <v>233</v>
      </c>
      <c r="BE2053" s="4" t="s">
        <v>233</v>
      </c>
      <c r="BF2053" s="8" t="s">
        <v>233</v>
      </c>
      <c r="BG2053" s="7" t="s">
        <v>233</v>
      </c>
      <c r="BH2053" s="7" t="s">
        <v>233</v>
      </c>
      <c r="BI2053" s="7"/>
      <c r="BJ2053" s="4"/>
      <c r="BK2053" s="8"/>
      <c r="BL2053" s="2" t="s">
        <v>233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9355</v>
      </c>
      <c r="BV2053" s="2" t="s">
        <v>233</v>
      </c>
      <c r="BW2053" s="2" t="s">
        <v>233</v>
      </c>
      <c r="BX2053" s="2" t="s">
        <v>233</v>
      </c>
      <c r="BY2053" s="2" t="s">
        <v>280</v>
      </c>
      <c r="BZ2053" s="2" t="s">
        <v>245</v>
      </c>
      <c r="CA2053" s="2" t="s">
        <v>2227</v>
      </c>
      <c r="CB2053" s="2" t="s">
        <v>233</v>
      </c>
      <c r="CC2053" s="2" t="s">
        <v>246</v>
      </c>
      <c r="CD2053" s="2" t="s">
        <v>233</v>
      </c>
      <c r="CE2053" s="4"/>
      <c r="CF2053" s="4">
        <v>145</v>
      </c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/>
      <c r="GP2053" s="4"/>
      <c r="GQ2053" s="4"/>
      <c r="GR2053" s="4"/>
      <c r="GS2053" s="4"/>
      <c r="GT2053" s="4"/>
      <c r="GU2053" s="4"/>
      <c r="GV2053" s="4"/>
      <c r="GW2053" s="4"/>
      <c r="GX2053" s="4"/>
      <c r="GY2053" s="4"/>
      <c r="GZ2053" s="4"/>
      <c r="HA2053" s="4"/>
      <c r="HB2053" s="4"/>
      <c r="HC2053" s="4"/>
      <c r="HD2053" s="4"/>
      <c r="HE2053" s="4"/>
      <c r="HF2053" s="4"/>
      <c r="HG2053" s="4"/>
      <c r="HH2053" s="4"/>
      <c r="HI2053" s="4"/>
      <c r="HJ2053" s="4"/>
      <c r="HK2053" s="4"/>
      <c r="HL2053" s="4"/>
      <c r="HM2053" s="4"/>
      <c r="HN2053" s="4"/>
      <c r="HO2053" s="4"/>
      <c r="HP2053" s="4"/>
      <c r="HQ2053" s="4"/>
      <c r="HR2053" s="4"/>
    </row>
    <row r="2054">
      <c r="A2054" s="2" t="s">
        <v>9356</v>
      </c>
      <c r="B2054" s="2" t="s">
        <v>928</v>
      </c>
      <c r="C2054" s="2" t="s">
        <v>530</v>
      </c>
      <c r="D2054" s="2" t="s">
        <v>961</v>
      </c>
      <c r="E2054" s="2" t="s">
        <v>939</v>
      </c>
      <c r="F2054" s="2" t="s">
        <v>9346</v>
      </c>
      <c r="G2054" s="2" t="s">
        <v>9346</v>
      </c>
      <c r="H2054" s="2" t="s">
        <v>9346</v>
      </c>
      <c r="I2054" s="2" t="s">
        <v>9357</v>
      </c>
      <c r="J2054" s="2" t="s">
        <v>892</v>
      </c>
      <c r="K2054" s="2" t="s">
        <v>9358</v>
      </c>
      <c r="L2054" s="3">
        <v>14</v>
      </c>
      <c r="M2054" s="3">
        <v>14.7</v>
      </c>
      <c r="N2054" s="3">
        <v>34.99</v>
      </c>
      <c r="O2054" s="2" t="s">
        <v>245</v>
      </c>
      <c r="P2054" s="2" t="s">
        <v>238</v>
      </c>
      <c r="Q2054" s="2" t="s">
        <v>239</v>
      </c>
      <c r="R2054" s="2" t="s">
        <v>233</v>
      </c>
      <c r="S2054" s="2" t="s">
        <v>233</v>
      </c>
      <c r="T2054" s="2" t="s">
        <v>233</v>
      </c>
      <c r="U2054" s="2" t="s">
        <v>396</v>
      </c>
      <c r="V2054" s="2" t="s">
        <v>2225</v>
      </c>
      <c r="W2054" s="2" t="s">
        <v>9186</v>
      </c>
      <c r="X2054" s="2" t="s">
        <v>451</v>
      </c>
      <c r="Y2054" s="2" t="s">
        <v>2231</v>
      </c>
      <c r="Z2054" s="4">
        <v>126</v>
      </c>
      <c r="AA2054" s="4">
        <f>=ROUNDDOWN(126,0)</f>
      </c>
      <c r="AB2054" s="5">
        <v>1</v>
      </c>
      <c r="AC2054" s="2" t="s">
        <v>233</v>
      </c>
      <c r="AD2054" s="4"/>
      <c r="AE2054" s="4"/>
      <c r="AF2054" s="6">
        <v>63</v>
      </c>
      <c r="AG2054" s="6"/>
      <c r="AH2054" s="7">
        <v>1</v>
      </c>
      <c r="AI2054" s="4"/>
      <c r="AJ2054" s="4">
        <f>=ROUNDDOWN({0},0)</f>
      </c>
      <c r="AK2054" s="5"/>
      <c r="AL2054" s="2" t="s">
        <v>233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/>
      <c r="AW2054" s="8"/>
      <c r="AX2054" s="4"/>
      <c r="AY2054" s="8"/>
      <c r="AZ2054" s="7"/>
      <c r="BA2054" s="7"/>
      <c r="BB2054" s="7"/>
      <c r="BC2054" s="4" t="s">
        <v>233</v>
      </c>
      <c r="BD2054" s="8" t="s">
        <v>233</v>
      </c>
      <c r="BE2054" s="4" t="s">
        <v>233</v>
      </c>
      <c r="BF2054" s="8" t="s">
        <v>233</v>
      </c>
      <c r="BG2054" s="7" t="s">
        <v>233</v>
      </c>
      <c r="BH2054" s="7" t="s">
        <v>233</v>
      </c>
      <c r="BI2054" s="7"/>
      <c r="BJ2054" s="4">
        <v>1</v>
      </c>
      <c r="BK2054" s="8">
        <v>34.99</v>
      </c>
      <c r="BL2054" s="2" t="s">
        <v>7368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9359</v>
      </c>
      <c r="BV2054" s="2" t="s">
        <v>233</v>
      </c>
      <c r="BW2054" s="2" t="s">
        <v>233</v>
      </c>
      <c r="BX2054" s="2" t="s">
        <v>233</v>
      </c>
      <c r="BY2054" s="2" t="s">
        <v>280</v>
      </c>
      <c r="BZ2054" s="2" t="s">
        <v>245</v>
      </c>
      <c r="CA2054" s="2" t="s">
        <v>2227</v>
      </c>
      <c r="CB2054" s="2" t="s">
        <v>233</v>
      </c>
      <c r="CC2054" s="2" t="s">
        <v>246</v>
      </c>
      <c r="CD2054" s="2" t="s">
        <v>233</v>
      </c>
      <c r="CE2054" s="4"/>
      <c r="CF2054" s="4">
        <v>126</v>
      </c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/>
      <c r="HD2054" s="4"/>
      <c r="HE2054" s="4"/>
      <c r="HF2054" s="4"/>
      <c r="HG2054" s="4"/>
      <c r="HH2054" s="4"/>
      <c r="HI2054" s="4"/>
      <c r="HJ2054" s="4"/>
      <c r="HK2054" s="4"/>
      <c r="HL2054" s="4"/>
      <c r="HM2054" s="4"/>
      <c r="HN2054" s="4"/>
      <c r="HO2054" s="4"/>
      <c r="HP2054" s="4"/>
      <c r="HQ2054" s="4"/>
      <c r="HR2054" s="4"/>
    </row>
    <row r="2055">
      <c r="A2055" s="2" t="s">
        <v>9360</v>
      </c>
      <c r="B2055" s="2" t="s">
        <v>928</v>
      </c>
      <c r="C2055" s="2" t="s">
        <v>530</v>
      </c>
      <c r="D2055" s="2" t="s">
        <v>961</v>
      </c>
      <c r="E2055" s="2" t="s">
        <v>939</v>
      </c>
      <c r="F2055" s="2" t="s">
        <v>9346</v>
      </c>
      <c r="G2055" s="2" t="s">
        <v>9346</v>
      </c>
      <c r="H2055" s="2" t="s">
        <v>9346</v>
      </c>
      <c r="I2055" s="2" t="s">
        <v>9361</v>
      </c>
      <c r="J2055" s="2" t="s">
        <v>892</v>
      </c>
      <c r="K2055" s="2" t="s">
        <v>9362</v>
      </c>
      <c r="L2055" s="3">
        <v>14</v>
      </c>
      <c r="M2055" s="3">
        <v>14.7</v>
      </c>
      <c r="N2055" s="3">
        <v>34.99</v>
      </c>
      <c r="O2055" s="2" t="s">
        <v>245</v>
      </c>
      <c r="P2055" s="2" t="s">
        <v>238</v>
      </c>
      <c r="Q2055" s="2" t="s">
        <v>239</v>
      </c>
      <c r="R2055" s="2" t="s">
        <v>233</v>
      </c>
      <c r="S2055" s="2" t="s">
        <v>233</v>
      </c>
      <c r="T2055" s="2" t="s">
        <v>233</v>
      </c>
      <c r="U2055" s="2" t="s">
        <v>396</v>
      </c>
      <c r="V2055" s="2" t="s">
        <v>2225</v>
      </c>
      <c r="W2055" s="2" t="s">
        <v>9186</v>
      </c>
      <c r="X2055" s="2" t="s">
        <v>451</v>
      </c>
      <c r="Y2055" s="2" t="s">
        <v>2231</v>
      </c>
      <c r="Z2055" s="4">
        <v>125</v>
      </c>
      <c r="AA2055" s="4">
        <f>=ROUNDDOWN(62.5,0)</f>
      </c>
      <c r="AB2055" s="5">
        <v>2</v>
      </c>
      <c r="AC2055" s="2" t="s">
        <v>233</v>
      </c>
      <c r="AD2055" s="4"/>
      <c r="AE2055" s="4"/>
      <c r="AF2055" s="6">
        <v>63</v>
      </c>
      <c r="AG2055" s="6"/>
      <c r="AH2055" s="7">
        <v>1</v>
      </c>
      <c r="AI2055" s="4"/>
      <c r="AJ2055" s="4">
        <f>=ROUNDDOWN({0},0)</f>
      </c>
      <c r="AK2055" s="5"/>
      <c r="AL2055" s="2" t="s">
        <v>233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 t="s">
        <v>233</v>
      </c>
      <c r="BD2055" s="8" t="s">
        <v>233</v>
      </c>
      <c r="BE2055" s="4" t="s">
        <v>233</v>
      </c>
      <c r="BF2055" s="8" t="s">
        <v>233</v>
      </c>
      <c r="BG2055" s="7" t="s">
        <v>233</v>
      </c>
      <c r="BH2055" s="7" t="s">
        <v>233</v>
      </c>
      <c r="BI2055" s="7"/>
      <c r="BJ2055" s="4"/>
      <c r="BK2055" s="8"/>
      <c r="BL2055" s="2" t="s">
        <v>233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9363</v>
      </c>
      <c r="BV2055" s="2" t="s">
        <v>233</v>
      </c>
      <c r="BW2055" s="2" t="s">
        <v>233</v>
      </c>
      <c r="BX2055" s="2" t="s">
        <v>233</v>
      </c>
      <c r="BY2055" s="2" t="s">
        <v>280</v>
      </c>
      <c r="BZ2055" s="2" t="s">
        <v>245</v>
      </c>
      <c r="CA2055" s="2" t="s">
        <v>2227</v>
      </c>
      <c r="CB2055" s="2" t="s">
        <v>233</v>
      </c>
      <c r="CC2055" s="2" t="s">
        <v>246</v>
      </c>
      <c r="CD2055" s="2" t="s">
        <v>233</v>
      </c>
      <c r="CE2055" s="4"/>
      <c r="CF2055" s="4">
        <v>125</v>
      </c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/>
      <c r="GV2055" s="4"/>
      <c r="GW2055" s="4"/>
      <c r="GX2055" s="4"/>
      <c r="GY2055" s="4"/>
      <c r="GZ2055" s="4"/>
      <c r="HA2055" s="4"/>
      <c r="HB2055" s="4"/>
      <c r="HC2055" s="4"/>
      <c r="HD2055" s="4"/>
      <c r="HE2055" s="4"/>
      <c r="HF2055" s="4"/>
      <c r="HG2055" s="4"/>
      <c r="HH2055" s="4"/>
      <c r="HI2055" s="4"/>
      <c r="HJ2055" s="4"/>
      <c r="HK2055" s="4"/>
      <c r="HL2055" s="4"/>
      <c r="HM2055" s="4"/>
      <c r="HN2055" s="4"/>
      <c r="HO2055" s="4"/>
      <c r="HP2055" s="4"/>
      <c r="HQ2055" s="4"/>
      <c r="HR2055" s="4"/>
    </row>
    <row r="2056">
      <c r="A2056" s="2" t="s">
        <v>9364</v>
      </c>
      <c r="B2056" s="2" t="s">
        <v>928</v>
      </c>
      <c r="C2056" s="2" t="s">
        <v>530</v>
      </c>
      <c r="D2056" s="2" t="s">
        <v>961</v>
      </c>
      <c r="E2056" s="2" t="s">
        <v>939</v>
      </c>
      <c r="F2056" s="2" t="s">
        <v>9346</v>
      </c>
      <c r="G2056" s="2" t="s">
        <v>9346</v>
      </c>
      <c r="H2056" s="2" t="s">
        <v>9346</v>
      </c>
      <c r="I2056" s="2" t="s">
        <v>9365</v>
      </c>
      <c r="J2056" s="2" t="s">
        <v>892</v>
      </c>
      <c r="K2056" s="2" t="s">
        <v>9366</v>
      </c>
      <c r="L2056" s="3">
        <v>14</v>
      </c>
      <c r="M2056" s="3">
        <v>14.7</v>
      </c>
      <c r="N2056" s="3">
        <v>34.99</v>
      </c>
      <c r="O2056" s="2" t="s">
        <v>245</v>
      </c>
      <c r="P2056" s="2" t="s">
        <v>238</v>
      </c>
      <c r="Q2056" s="2" t="s">
        <v>239</v>
      </c>
      <c r="R2056" s="2" t="s">
        <v>233</v>
      </c>
      <c r="S2056" s="2" t="s">
        <v>233</v>
      </c>
      <c r="T2056" s="2" t="s">
        <v>233</v>
      </c>
      <c r="U2056" s="2" t="s">
        <v>396</v>
      </c>
      <c r="V2056" s="2" t="s">
        <v>2225</v>
      </c>
      <c r="W2056" s="2" t="s">
        <v>9186</v>
      </c>
      <c r="X2056" s="2" t="s">
        <v>451</v>
      </c>
      <c r="Y2056" s="2" t="s">
        <v>2231</v>
      </c>
      <c r="Z2056" s="4">
        <v>110</v>
      </c>
      <c r="AA2056" s="4">
        <f>=ROUNDDOWN(110,0)</f>
      </c>
      <c r="AB2056" s="5">
        <v>1</v>
      </c>
      <c r="AC2056" s="2" t="s">
        <v>233</v>
      </c>
      <c r="AD2056" s="4"/>
      <c r="AE2056" s="4"/>
      <c r="AF2056" s="6">
        <v>63</v>
      </c>
      <c r="AG2056" s="6"/>
      <c r="AH2056" s="7">
        <v>1</v>
      </c>
      <c r="AI2056" s="4"/>
      <c r="AJ2056" s="4">
        <f>=ROUNDDOWN({0},0)</f>
      </c>
      <c r="AK2056" s="5"/>
      <c r="AL2056" s="2" t="s">
        <v>233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 t="s">
        <v>233</v>
      </c>
      <c r="BD2056" s="8" t="s">
        <v>233</v>
      </c>
      <c r="BE2056" s="4" t="s">
        <v>233</v>
      </c>
      <c r="BF2056" s="8" t="s">
        <v>233</v>
      </c>
      <c r="BG2056" s="7" t="s">
        <v>233</v>
      </c>
      <c r="BH2056" s="7" t="s">
        <v>233</v>
      </c>
      <c r="BI2056" s="7"/>
      <c r="BJ2056" s="4"/>
      <c r="BK2056" s="8"/>
      <c r="BL2056" s="2" t="s">
        <v>233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9367</v>
      </c>
      <c r="BV2056" s="2" t="s">
        <v>233</v>
      </c>
      <c r="BW2056" s="2" t="s">
        <v>233</v>
      </c>
      <c r="BX2056" s="2" t="s">
        <v>233</v>
      </c>
      <c r="BY2056" s="2" t="s">
        <v>280</v>
      </c>
      <c r="BZ2056" s="2" t="s">
        <v>245</v>
      </c>
      <c r="CA2056" s="2" t="s">
        <v>2227</v>
      </c>
      <c r="CB2056" s="2" t="s">
        <v>233</v>
      </c>
      <c r="CC2056" s="2" t="s">
        <v>246</v>
      </c>
      <c r="CD2056" s="2" t="s">
        <v>233</v>
      </c>
      <c r="CE2056" s="4"/>
      <c r="CF2056" s="4">
        <v>110</v>
      </c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  <c r="GL2056" s="4"/>
      <c r="GM2056" s="4"/>
      <c r="GN2056" s="4"/>
      <c r="GO2056" s="4"/>
      <c r="GP2056" s="4"/>
      <c r="GQ2056" s="4"/>
      <c r="GR2056" s="4"/>
      <c r="GS2056" s="4"/>
      <c r="GT2056" s="4"/>
      <c r="GU2056" s="4"/>
      <c r="GV2056" s="4"/>
      <c r="GW2056" s="4"/>
      <c r="GX2056" s="4"/>
      <c r="GY2056" s="4"/>
      <c r="GZ2056" s="4"/>
      <c r="HA2056" s="4"/>
      <c r="HB2056" s="4"/>
      <c r="HC2056" s="4"/>
      <c r="HD2056" s="4"/>
      <c r="HE2056" s="4"/>
      <c r="HF2056" s="4"/>
      <c r="HG2056" s="4"/>
      <c r="HH2056" s="4"/>
      <c r="HI2056" s="4"/>
      <c r="HJ2056" s="4"/>
      <c r="HK2056" s="4"/>
      <c r="HL2056" s="4"/>
      <c r="HM2056" s="4"/>
      <c r="HN2056" s="4"/>
      <c r="HO2056" s="4"/>
      <c r="HP2056" s="4"/>
      <c r="HQ2056" s="4"/>
      <c r="HR2056" s="4"/>
    </row>
    <row r="2057">
      <c r="A2057" s="2" t="s">
        <v>9368</v>
      </c>
      <c r="B2057" s="2" t="s">
        <v>928</v>
      </c>
      <c r="C2057" s="2" t="s">
        <v>530</v>
      </c>
      <c r="D2057" s="2" t="s">
        <v>961</v>
      </c>
      <c r="E2057" s="2" t="s">
        <v>939</v>
      </c>
      <c r="F2057" s="2" t="s">
        <v>9346</v>
      </c>
      <c r="G2057" s="2" t="s">
        <v>9346</v>
      </c>
      <c r="H2057" s="2" t="s">
        <v>9346</v>
      </c>
      <c r="I2057" s="2" t="s">
        <v>9369</v>
      </c>
      <c r="J2057" s="2" t="s">
        <v>892</v>
      </c>
      <c r="K2057" s="2" t="s">
        <v>9370</v>
      </c>
      <c r="L2057" s="3">
        <v>14</v>
      </c>
      <c r="M2057" s="3">
        <v>14.7</v>
      </c>
      <c r="N2057" s="3">
        <v>34.99</v>
      </c>
      <c r="O2057" s="2" t="s">
        <v>245</v>
      </c>
      <c r="P2057" s="2" t="s">
        <v>238</v>
      </c>
      <c r="Q2057" s="2" t="s">
        <v>239</v>
      </c>
      <c r="R2057" s="2" t="s">
        <v>233</v>
      </c>
      <c r="S2057" s="2" t="s">
        <v>233</v>
      </c>
      <c r="T2057" s="2" t="s">
        <v>233</v>
      </c>
      <c r="U2057" s="2" t="s">
        <v>396</v>
      </c>
      <c r="V2057" s="2" t="s">
        <v>2225</v>
      </c>
      <c r="W2057" s="2" t="s">
        <v>9186</v>
      </c>
      <c r="X2057" s="2" t="s">
        <v>451</v>
      </c>
      <c r="Y2057" s="2" t="s">
        <v>2231</v>
      </c>
      <c r="Z2057" s="4">
        <v>135</v>
      </c>
      <c r="AA2057" s="4">
        <f>=ROUNDDOWN(67.5,0)</f>
      </c>
      <c r="AB2057" s="5">
        <v>2</v>
      </c>
      <c r="AC2057" s="2" t="s">
        <v>233</v>
      </c>
      <c r="AD2057" s="4"/>
      <c r="AE2057" s="4"/>
      <c r="AF2057" s="6">
        <v>63</v>
      </c>
      <c r="AG2057" s="6"/>
      <c r="AH2057" s="7">
        <v>1</v>
      </c>
      <c r="AI2057" s="4"/>
      <c r="AJ2057" s="4">
        <f>=ROUNDDOWN({0},0)</f>
      </c>
      <c r="AK2057" s="5"/>
      <c r="AL2057" s="2" t="s">
        <v>233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/>
      <c r="AW2057" s="8"/>
      <c r="AX2057" s="4"/>
      <c r="AY2057" s="8"/>
      <c r="AZ2057" s="7"/>
      <c r="BA2057" s="7"/>
      <c r="BB2057" s="7"/>
      <c r="BC2057" s="4" t="s">
        <v>233</v>
      </c>
      <c r="BD2057" s="8" t="s">
        <v>233</v>
      </c>
      <c r="BE2057" s="4" t="s">
        <v>233</v>
      </c>
      <c r="BF2057" s="8" t="s">
        <v>233</v>
      </c>
      <c r="BG2057" s="7" t="s">
        <v>233</v>
      </c>
      <c r="BH2057" s="7" t="s">
        <v>233</v>
      </c>
      <c r="BI2057" s="7"/>
      <c r="BJ2057" s="4">
        <v>1</v>
      </c>
      <c r="BK2057" s="8">
        <v>15.44</v>
      </c>
      <c r="BL2057" s="2" t="s">
        <v>2554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9371</v>
      </c>
      <c r="BV2057" s="2" t="s">
        <v>233</v>
      </c>
      <c r="BW2057" s="2" t="s">
        <v>233</v>
      </c>
      <c r="BX2057" s="2" t="s">
        <v>233</v>
      </c>
      <c r="BY2057" s="2" t="s">
        <v>280</v>
      </c>
      <c r="BZ2057" s="2" t="s">
        <v>245</v>
      </c>
      <c r="CA2057" s="2" t="s">
        <v>2227</v>
      </c>
      <c r="CB2057" s="2" t="s">
        <v>233</v>
      </c>
      <c r="CC2057" s="2" t="s">
        <v>246</v>
      </c>
      <c r="CD2057" s="2" t="s">
        <v>233</v>
      </c>
      <c r="CE2057" s="4"/>
      <c r="CF2057" s="4">
        <v>135</v>
      </c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/>
      <c r="GK2057" s="4"/>
      <c r="GL2057" s="4"/>
      <c r="GM2057" s="4"/>
      <c r="GN2057" s="4"/>
      <c r="GO2057" s="4"/>
      <c r="GP2057" s="4"/>
      <c r="GQ2057" s="4"/>
      <c r="GR2057" s="4"/>
      <c r="GS2057" s="4"/>
      <c r="GT2057" s="4"/>
      <c r="GU2057" s="4"/>
      <c r="GV2057" s="4"/>
      <c r="GW2057" s="4"/>
      <c r="GX2057" s="4"/>
      <c r="GY2057" s="4"/>
      <c r="GZ2057" s="4"/>
      <c r="HA2057" s="4"/>
      <c r="HB2057" s="4"/>
      <c r="HC2057" s="4"/>
      <c r="HD2057" s="4"/>
      <c r="HE2057" s="4"/>
      <c r="HF2057" s="4"/>
      <c r="HG2057" s="4"/>
      <c r="HH2057" s="4"/>
      <c r="HI2057" s="4"/>
      <c r="HJ2057" s="4"/>
      <c r="HK2057" s="4"/>
      <c r="HL2057" s="4"/>
      <c r="HM2057" s="4"/>
      <c r="HN2057" s="4"/>
      <c r="HO2057" s="4"/>
      <c r="HP2057" s="4"/>
      <c r="HQ2057" s="4"/>
      <c r="HR2057" s="4"/>
    </row>
    <row r="2058">
      <c r="A2058" s="2" t="s">
        <v>9372</v>
      </c>
      <c r="B2058" s="2" t="s">
        <v>928</v>
      </c>
      <c r="C2058" s="2" t="s">
        <v>530</v>
      </c>
      <c r="D2058" s="2" t="s">
        <v>961</v>
      </c>
      <c r="E2058" s="2" t="s">
        <v>939</v>
      </c>
      <c r="F2058" s="2" t="s">
        <v>9346</v>
      </c>
      <c r="G2058" s="2" t="s">
        <v>9346</v>
      </c>
      <c r="H2058" s="2" t="s">
        <v>9346</v>
      </c>
      <c r="I2058" s="2" t="s">
        <v>9373</v>
      </c>
      <c r="J2058" s="2" t="s">
        <v>892</v>
      </c>
      <c r="K2058" s="2" t="s">
        <v>9374</v>
      </c>
      <c r="L2058" s="3">
        <v>14</v>
      </c>
      <c r="M2058" s="3">
        <v>14.7</v>
      </c>
      <c r="N2058" s="3">
        <v>34.99</v>
      </c>
      <c r="O2058" s="2" t="s">
        <v>245</v>
      </c>
      <c r="P2058" s="2" t="s">
        <v>272</v>
      </c>
      <c r="Q2058" s="2" t="s">
        <v>239</v>
      </c>
      <c r="R2058" s="2" t="s">
        <v>233</v>
      </c>
      <c r="S2058" s="2" t="s">
        <v>233</v>
      </c>
      <c r="T2058" s="2" t="s">
        <v>233</v>
      </c>
      <c r="U2058" s="2" t="s">
        <v>396</v>
      </c>
      <c r="V2058" s="2" t="s">
        <v>2225</v>
      </c>
      <c r="W2058" s="2" t="s">
        <v>1303</v>
      </c>
      <c r="X2058" s="2" t="s">
        <v>977</v>
      </c>
      <c r="Y2058" s="2" t="s">
        <v>2231</v>
      </c>
      <c r="Z2058" s="4">
        <v>248</v>
      </c>
      <c r="AA2058" s="4">
        <f>=ROUNDDOWN(62,0)</f>
      </c>
      <c r="AB2058" s="5">
        <v>4</v>
      </c>
      <c r="AC2058" s="2" t="s">
        <v>233</v>
      </c>
      <c r="AD2058" s="4"/>
      <c r="AE2058" s="4"/>
      <c r="AF2058" s="6">
        <v>63</v>
      </c>
      <c r="AG2058" s="6"/>
      <c r="AH2058" s="7">
        <v>1</v>
      </c>
      <c r="AI2058" s="4"/>
      <c r="AJ2058" s="4">
        <f>=ROUNDDOWN({0},0)</f>
      </c>
      <c r="AK2058" s="5"/>
      <c r="AL2058" s="2" t="s">
        <v>233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233</v>
      </c>
      <c r="BD2058" s="8" t="s">
        <v>233</v>
      </c>
      <c r="BE2058" s="4" t="s">
        <v>233</v>
      </c>
      <c r="BF2058" s="8" t="s">
        <v>233</v>
      </c>
      <c r="BG2058" s="7" t="s">
        <v>233</v>
      </c>
      <c r="BH2058" s="7" t="s">
        <v>233</v>
      </c>
      <c r="BI2058" s="7"/>
      <c r="BJ2058" s="4">
        <v>1</v>
      </c>
      <c r="BK2058" s="8">
        <v>37.69</v>
      </c>
      <c r="BL2058" s="2" t="s">
        <v>4620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9375</v>
      </c>
      <c r="BV2058" s="2" t="s">
        <v>233</v>
      </c>
      <c r="BW2058" s="2" t="s">
        <v>233</v>
      </c>
      <c r="BX2058" s="2" t="s">
        <v>233</v>
      </c>
      <c r="BY2058" s="2" t="s">
        <v>280</v>
      </c>
      <c r="BZ2058" s="2" t="s">
        <v>245</v>
      </c>
      <c r="CA2058" s="2" t="s">
        <v>2227</v>
      </c>
      <c r="CB2058" s="2" t="s">
        <v>350</v>
      </c>
      <c r="CC2058" s="2" t="s">
        <v>246</v>
      </c>
      <c r="CD2058" s="2" t="s">
        <v>233</v>
      </c>
      <c r="CE2058" s="4"/>
      <c r="CF2058" s="4">
        <v>248</v>
      </c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/>
      <c r="GN2058" s="4"/>
      <c r="GO2058" s="4"/>
      <c r="GP2058" s="4"/>
      <c r="GQ2058" s="4"/>
      <c r="GR2058" s="4"/>
      <c r="GS2058" s="4"/>
      <c r="GT2058" s="4"/>
      <c r="GU2058" s="4"/>
      <c r="GV2058" s="4"/>
      <c r="GW2058" s="4"/>
      <c r="GX2058" s="4"/>
      <c r="GY2058" s="4"/>
      <c r="GZ2058" s="4"/>
      <c r="HA2058" s="4"/>
      <c r="HB2058" s="4"/>
      <c r="HC2058" s="4"/>
      <c r="HD2058" s="4"/>
      <c r="HE2058" s="4"/>
      <c r="HF2058" s="4"/>
      <c r="HG2058" s="4"/>
      <c r="HH2058" s="4"/>
      <c r="HI2058" s="4"/>
      <c r="HJ2058" s="4"/>
      <c r="HK2058" s="4"/>
      <c r="HL2058" s="4"/>
      <c r="HM2058" s="4"/>
      <c r="HN2058" s="4"/>
      <c r="HO2058" s="4"/>
      <c r="HP2058" s="4"/>
      <c r="HQ2058" s="4"/>
      <c r="HR2058" s="4"/>
    </row>
    <row r="2059">
      <c r="A2059" s="2" t="s">
        <v>9376</v>
      </c>
      <c r="B2059" s="2" t="s">
        <v>1066</v>
      </c>
      <c r="C2059" s="2" t="s">
        <v>947</v>
      </c>
      <c r="D2059" s="2" t="s">
        <v>1782</v>
      </c>
      <c r="E2059" s="2" t="s">
        <v>2131</v>
      </c>
      <c r="F2059" s="2" t="s">
        <v>9377</v>
      </c>
      <c r="G2059" s="2" t="s">
        <v>9377</v>
      </c>
      <c r="H2059" s="2" t="s">
        <v>9377</v>
      </c>
      <c r="I2059" s="2" t="s">
        <v>9378</v>
      </c>
      <c r="J2059" s="2" t="s">
        <v>892</v>
      </c>
      <c r="K2059" s="2" t="s">
        <v>984</v>
      </c>
      <c r="L2059" s="3">
        <v>212</v>
      </c>
      <c r="M2059" s="3">
        <v>222.6</v>
      </c>
      <c r="N2059" s="3">
        <v>449</v>
      </c>
      <c r="O2059" s="2" t="s">
        <v>245</v>
      </c>
      <c r="P2059" s="2" t="s">
        <v>238</v>
      </c>
      <c r="Q2059" s="2" t="s">
        <v>239</v>
      </c>
      <c r="R2059" s="2" t="s">
        <v>233</v>
      </c>
      <c r="S2059" s="2" t="s">
        <v>233</v>
      </c>
      <c r="T2059" s="2" t="s">
        <v>233</v>
      </c>
      <c r="U2059" s="2" t="s">
        <v>396</v>
      </c>
      <c r="V2059" s="2" t="s">
        <v>893</v>
      </c>
      <c r="W2059" s="2" t="s">
        <v>9379</v>
      </c>
      <c r="X2059" s="2" t="s">
        <v>5825</v>
      </c>
      <c r="Y2059" s="2" t="s">
        <v>2564</v>
      </c>
      <c r="Z2059" s="4">
        <v>99</v>
      </c>
      <c r="AA2059" s="4">
        <f>=ROUNDDOWN(165,0)</f>
      </c>
      <c r="AB2059" s="5">
        <v>0.6</v>
      </c>
      <c r="AC2059" s="2" t="s">
        <v>233</v>
      </c>
      <c r="AD2059" s="4"/>
      <c r="AE2059" s="4"/>
      <c r="AF2059" s="6">
        <v>76</v>
      </c>
      <c r="AG2059" s="6"/>
      <c r="AH2059" s="7">
        <v>1</v>
      </c>
      <c r="AI2059" s="4"/>
      <c r="AJ2059" s="4">
        <f>=ROUNDDOWN({0},0)</f>
      </c>
      <c r="AK2059" s="5"/>
      <c r="AL2059" s="2" t="s">
        <v>233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233</v>
      </c>
      <c r="BD2059" s="8" t="s">
        <v>233</v>
      </c>
      <c r="BE2059" s="4" t="s">
        <v>233</v>
      </c>
      <c r="BF2059" s="8" t="s">
        <v>233</v>
      </c>
      <c r="BG2059" s="7" t="s">
        <v>233</v>
      </c>
      <c r="BH2059" s="7" t="s">
        <v>233</v>
      </c>
      <c r="BI2059" s="7"/>
      <c r="BJ2059" s="4"/>
      <c r="BK2059" s="8"/>
      <c r="BL2059" s="2" t="s">
        <v>233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9380</v>
      </c>
      <c r="BV2059" s="2" t="s">
        <v>233</v>
      </c>
      <c r="BW2059" s="2" t="s">
        <v>233</v>
      </c>
      <c r="BX2059" s="2" t="s">
        <v>243</v>
      </c>
      <c r="BY2059" s="2" t="s">
        <v>280</v>
      </c>
      <c r="BZ2059" s="2" t="s">
        <v>245</v>
      </c>
      <c r="CA2059" s="2" t="s">
        <v>1580</v>
      </c>
      <c r="CB2059" s="2" t="s">
        <v>233</v>
      </c>
      <c r="CC2059" s="2" t="s">
        <v>246</v>
      </c>
      <c r="CD2059" s="2" t="s">
        <v>233</v>
      </c>
      <c r="CE2059" s="4"/>
      <c r="CF2059" s="4">
        <v>99</v>
      </c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/>
      <c r="GN2059" s="4"/>
      <c r="GO2059" s="4"/>
      <c r="GP2059" s="4"/>
      <c r="GQ2059" s="4"/>
      <c r="GR2059" s="4"/>
      <c r="GS2059" s="4"/>
      <c r="GT2059" s="4"/>
      <c r="GU2059" s="4"/>
      <c r="GV2059" s="4"/>
      <c r="GW2059" s="4"/>
      <c r="GX2059" s="4"/>
      <c r="GY2059" s="4"/>
      <c r="GZ2059" s="4"/>
      <c r="HA2059" s="4"/>
      <c r="HB2059" s="4"/>
      <c r="HC2059" s="4"/>
      <c r="HD2059" s="4"/>
      <c r="HE2059" s="4"/>
      <c r="HF2059" s="4"/>
      <c r="HG2059" s="4"/>
      <c r="HH2059" s="4"/>
      <c r="HI2059" s="4"/>
      <c r="HJ2059" s="4"/>
      <c r="HK2059" s="4"/>
      <c r="HL2059" s="4"/>
      <c r="HM2059" s="4"/>
      <c r="HN2059" s="4"/>
      <c r="HO2059" s="4"/>
      <c r="HP2059" s="4"/>
      <c r="HQ2059" s="4"/>
      <c r="HR2059" s="4"/>
    </row>
    <row r="2060">
      <c r="A2060" s="2" t="s">
        <v>9381</v>
      </c>
      <c r="B2060" s="2" t="s">
        <v>1066</v>
      </c>
      <c r="C2060" s="2" t="s">
        <v>947</v>
      </c>
      <c r="D2060" s="2" t="s">
        <v>1067</v>
      </c>
      <c r="E2060" s="2" t="s">
        <v>2543</v>
      </c>
      <c r="F2060" s="2" t="s">
        <v>9377</v>
      </c>
      <c r="G2060" s="2" t="s">
        <v>9377</v>
      </c>
      <c r="H2060" s="2" t="s">
        <v>9377</v>
      </c>
      <c r="I2060" s="2" t="s">
        <v>4858</v>
      </c>
      <c r="J2060" s="2" t="s">
        <v>892</v>
      </c>
      <c r="K2060" s="2" t="s">
        <v>9382</v>
      </c>
      <c r="L2060" s="3">
        <v>215</v>
      </c>
      <c r="M2060" s="3">
        <v>225.75</v>
      </c>
      <c r="N2060" s="3">
        <v>449</v>
      </c>
      <c r="O2060" s="2" t="s">
        <v>245</v>
      </c>
      <c r="P2060" s="2" t="s">
        <v>238</v>
      </c>
      <c r="Q2060" s="2" t="s">
        <v>239</v>
      </c>
      <c r="R2060" s="2" t="s">
        <v>233</v>
      </c>
      <c r="S2060" s="2" t="s">
        <v>233</v>
      </c>
      <c r="T2060" s="2" t="s">
        <v>233</v>
      </c>
      <c r="U2060" s="2" t="s">
        <v>396</v>
      </c>
      <c r="V2060" s="2" t="s">
        <v>893</v>
      </c>
      <c r="W2060" s="2" t="s">
        <v>776</v>
      </c>
      <c r="X2060" s="2" t="s">
        <v>5825</v>
      </c>
      <c r="Y2060" s="2" t="s">
        <v>1838</v>
      </c>
      <c r="Z2060" s="4">
        <v>107</v>
      </c>
      <c r="AA2060" s="4">
        <f>=ROUNDDOWN(178.333333333333,0)</f>
      </c>
      <c r="AB2060" s="5">
        <v>0.6</v>
      </c>
      <c r="AC2060" s="2" t="s">
        <v>233</v>
      </c>
      <c r="AD2060" s="4"/>
      <c r="AE2060" s="4"/>
      <c r="AF2060" s="6">
        <v>74</v>
      </c>
      <c r="AG2060" s="6"/>
      <c r="AH2060" s="7">
        <v>0.5789</v>
      </c>
      <c r="AI2060" s="4"/>
      <c r="AJ2060" s="4">
        <f>=ROUNDDOWN({0},0)</f>
      </c>
      <c r="AK2060" s="5"/>
      <c r="AL2060" s="2" t="s">
        <v>233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233</v>
      </c>
      <c r="AW2060" s="8" t="s">
        <v>233</v>
      </c>
      <c r="AX2060" s="4" t="s">
        <v>233</v>
      </c>
      <c r="AY2060" s="8" t="s">
        <v>233</v>
      </c>
      <c r="AZ2060" s="7" t="s">
        <v>233</v>
      </c>
      <c r="BA2060" s="7" t="s">
        <v>233</v>
      </c>
      <c r="BB2060" s="7" t="s">
        <v>233</v>
      </c>
      <c r="BC2060" s="4" t="s">
        <v>233</v>
      </c>
      <c r="BD2060" s="8" t="s">
        <v>233</v>
      </c>
      <c r="BE2060" s="4" t="s">
        <v>233</v>
      </c>
      <c r="BF2060" s="8" t="s">
        <v>233</v>
      </c>
      <c r="BG2060" s="7" t="s">
        <v>233</v>
      </c>
      <c r="BH2060" s="7" t="s">
        <v>233</v>
      </c>
      <c r="BI2060" s="7"/>
      <c r="BJ2060" s="4"/>
      <c r="BK2060" s="8"/>
      <c r="BL2060" s="2" t="s">
        <v>233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243</v>
      </c>
      <c r="BV2060" s="2" t="s">
        <v>233</v>
      </c>
      <c r="BW2060" s="2" t="s">
        <v>233</v>
      </c>
      <c r="BX2060" s="2" t="s">
        <v>243</v>
      </c>
      <c r="BY2060" s="2" t="s">
        <v>244</v>
      </c>
      <c r="BZ2060" s="2" t="s">
        <v>245</v>
      </c>
      <c r="CA2060" s="2" t="s">
        <v>233</v>
      </c>
      <c r="CB2060" s="2" t="s">
        <v>233</v>
      </c>
      <c r="CC2060" s="2" t="s">
        <v>246</v>
      </c>
      <c r="CD2060" s="2" t="s">
        <v>233</v>
      </c>
      <c r="CE2060" s="4"/>
      <c r="CF2060" s="4">
        <v>107</v>
      </c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/>
      <c r="GX2060" s="4"/>
      <c r="GY2060" s="4"/>
      <c r="GZ2060" s="4"/>
      <c r="HA2060" s="4"/>
      <c r="HB2060" s="4"/>
      <c r="HC2060" s="4"/>
      <c r="HD2060" s="4"/>
      <c r="HE2060" s="4"/>
      <c r="HF2060" s="4"/>
      <c r="HG2060" s="4"/>
      <c r="HH2060" s="4"/>
      <c r="HI2060" s="4"/>
      <c r="HJ2060" s="4"/>
      <c r="HK2060" s="4"/>
      <c r="HL2060" s="4"/>
      <c r="HM2060" s="4"/>
      <c r="HN2060" s="4"/>
      <c r="HO2060" s="4"/>
      <c r="HP2060" s="4"/>
      <c r="HQ2060" s="4"/>
      <c r="HR2060" s="4"/>
    </row>
    <row r="2061">
      <c r="A2061" s="2" t="s">
        <v>9383</v>
      </c>
      <c r="B2061" s="2" t="s">
        <v>1066</v>
      </c>
      <c r="C2061" s="2" t="s">
        <v>947</v>
      </c>
      <c r="D2061" s="2" t="s">
        <v>2037</v>
      </c>
      <c r="E2061" s="2" t="s">
        <v>2038</v>
      </c>
      <c r="F2061" s="2" t="s">
        <v>9377</v>
      </c>
      <c r="G2061" s="2" t="s">
        <v>9377</v>
      </c>
      <c r="H2061" s="2" t="s">
        <v>9377</v>
      </c>
      <c r="I2061" s="2" t="s">
        <v>9384</v>
      </c>
      <c r="J2061" s="2" t="s">
        <v>892</v>
      </c>
      <c r="K2061" s="2" t="s">
        <v>9382</v>
      </c>
      <c r="L2061" s="3">
        <v>278</v>
      </c>
      <c r="M2061" s="3">
        <v>291.9</v>
      </c>
      <c r="N2061" s="3">
        <v>599</v>
      </c>
      <c r="O2061" s="2" t="s">
        <v>245</v>
      </c>
      <c r="P2061" s="2" t="s">
        <v>238</v>
      </c>
      <c r="Q2061" s="2" t="s">
        <v>239</v>
      </c>
      <c r="R2061" s="2" t="s">
        <v>233</v>
      </c>
      <c r="S2061" s="2" t="s">
        <v>233</v>
      </c>
      <c r="T2061" s="2" t="s">
        <v>233</v>
      </c>
      <c r="U2061" s="2" t="s">
        <v>396</v>
      </c>
      <c r="V2061" s="2" t="s">
        <v>893</v>
      </c>
      <c r="W2061" s="2" t="s">
        <v>776</v>
      </c>
      <c r="X2061" s="2" t="s">
        <v>5825</v>
      </c>
      <c r="Y2061" s="2" t="s">
        <v>1838</v>
      </c>
      <c r="Z2061" s="4">
        <v>95</v>
      </c>
      <c r="AA2061" s="4">
        <f>=ROUNDDOWN(158.333333333333,0)</f>
      </c>
      <c r="AB2061" s="5">
        <v>0.6</v>
      </c>
      <c r="AC2061" s="2" t="s">
        <v>4787</v>
      </c>
      <c r="AD2061" s="4">
        <v>4</v>
      </c>
      <c r="AE2061" s="4">
        <v>4</v>
      </c>
      <c r="AF2061" s="6">
        <v>74</v>
      </c>
      <c r="AG2061" s="6"/>
      <c r="AH2061" s="7">
        <v>0.5789</v>
      </c>
      <c r="AI2061" s="4"/>
      <c r="AJ2061" s="4">
        <f>=ROUNDDOWN({0},0)</f>
      </c>
      <c r="AK2061" s="5"/>
      <c r="AL2061" s="2" t="s">
        <v>233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233</v>
      </c>
      <c r="AW2061" s="8" t="s">
        <v>233</v>
      </c>
      <c r="AX2061" s="4" t="s">
        <v>233</v>
      </c>
      <c r="AY2061" s="8" t="s">
        <v>233</v>
      </c>
      <c r="AZ2061" s="7" t="s">
        <v>233</v>
      </c>
      <c r="BA2061" s="7" t="s">
        <v>233</v>
      </c>
      <c r="BB2061" s="7" t="s">
        <v>233</v>
      </c>
      <c r="BC2061" s="4" t="s">
        <v>233</v>
      </c>
      <c r="BD2061" s="8" t="s">
        <v>233</v>
      </c>
      <c r="BE2061" s="4" t="s">
        <v>233</v>
      </c>
      <c r="BF2061" s="8" t="s">
        <v>233</v>
      </c>
      <c r="BG2061" s="7" t="s">
        <v>233</v>
      </c>
      <c r="BH2061" s="7" t="s">
        <v>233</v>
      </c>
      <c r="BI2061" s="7"/>
      <c r="BJ2061" s="4"/>
      <c r="BK2061" s="8"/>
      <c r="BL2061" s="2" t="s">
        <v>233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243</v>
      </c>
      <c r="BV2061" s="2" t="s">
        <v>233</v>
      </c>
      <c r="BW2061" s="2" t="s">
        <v>233</v>
      </c>
      <c r="BX2061" s="2" t="s">
        <v>243</v>
      </c>
      <c r="BY2061" s="2" t="s">
        <v>244</v>
      </c>
      <c r="BZ2061" s="2" t="s">
        <v>245</v>
      </c>
      <c r="CA2061" s="2" t="s">
        <v>233</v>
      </c>
      <c r="CB2061" s="2" t="s">
        <v>233</v>
      </c>
      <c r="CC2061" s="2" t="s">
        <v>246</v>
      </c>
      <c r="CD2061" s="2" t="s">
        <v>233</v>
      </c>
      <c r="CE2061" s="4"/>
      <c r="CF2061" s="4">
        <v>95</v>
      </c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>
        <v>4</v>
      </c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  <c r="HF2061" s="4"/>
      <c r="HG2061" s="4"/>
      <c r="HH2061" s="4"/>
      <c r="HI2061" s="4"/>
      <c r="HJ2061" s="4"/>
      <c r="HK2061" s="4"/>
      <c r="HL2061" s="4"/>
      <c r="HM2061" s="4"/>
      <c r="HN2061" s="4"/>
      <c r="HO2061" s="4"/>
      <c r="HP2061" s="4"/>
      <c r="HQ2061" s="4"/>
      <c r="HR2061" s="4"/>
    </row>
    <row r="2062">
      <c r="A2062" s="2" t="s">
        <v>9385</v>
      </c>
      <c r="B2062" s="2" t="s">
        <v>1242</v>
      </c>
      <c r="C2062" s="2" t="s">
        <v>243</v>
      </c>
      <c r="D2062" s="2" t="s">
        <v>969</v>
      </c>
      <c r="E2062" s="2" t="s">
        <v>970</v>
      </c>
      <c r="F2062" s="2" t="s">
        <v>9386</v>
      </c>
      <c r="G2062" s="2" t="s">
        <v>9387</v>
      </c>
      <c r="H2062" s="2" t="s">
        <v>1828</v>
      </c>
      <c r="I2062" s="2" t="s">
        <v>9388</v>
      </c>
      <c r="J2062" s="2" t="s">
        <v>918</v>
      </c>
      <c r="K2062" s="2" t="s">
        <v>552</v>
      </c>
      <c r="L2062" s="3">
        <v>22.85</v>
      </c>
      <c r="M2062" s="3">
        <v>23.99</v>
      </c>
      <c r="N2062" s="3">
        <v>47.99</v>
      </c>
      <c r="O2062" s="2" t="s">
        <v>245</v>
      </c>
      <c r="P2062" s="2" t="s">
        <v>974</v>
      </c>
      <c r="Q2062" s="2" t="s">
        <v>239</v>
      </c>
      <c r="R2062" s="2" t="s">
        <v>233</v>
      </c>
      <c r="S2062" s="2" t="s">
        <v>9389</v>
      </c>
      <c r="T2062" s="2" t="s">
        <v>395</v>
      </c>
      <c r="U2062" s="2" t="s">
        <v>491</v>
      </c>
      <c r="V2062" s="2" t="s">
        <v>1085</v>
      </c>
      <c r="W2062" s="2" t="s">
        <v>2882</v>
      </c>
      <c r="X2062" s="2" t="s">
        <v>275</v>
      </c>
      <c r="Y2062" s="2" t="s">
        <v>233</v>
      </c>
      <c r="Z2062" s="4"/>
      <c r="AA2062" s="4">
        <f>=ROUNDDOWN({0},0)</f>
      </c>
      <c r="AB2062" s="5"/>
      <c r="AC2062" s="2" t="s">
        <v>3189</v>
      </c>
      <c r="AD2062" s="4">
        <v>522</v>
      </c>
      <c r="AE2062" s="4">
        <v>700</v>
      </c>
      <c r="AF2062" s="6"/>
      <c r="AG2062" s="6"/>
      <c r="AH2062" s="7">
        <v>0</v>
      </c>
      <c r="AI2062" s="4"/>
      <c r="AJ2062" s="4">
        <f>=ROUNDDOWN({0},0)</f>
      </c>
      <c r="AK2062" s="5"/>
      <c r="AL2062" s="2" t="s">
        <v>233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233</v>
      </c>
      <c r="AW2062" s="8" t="s">
        <v>233</v>
      </c>
      <c r="AX2062" s="4" t="s">
        <v>233</v>
      </c>
      <c r="AY2062" s="8" t="s">
        <v>233</v>
      </c>
      <c r="AZ2062" s="7" t="s">
        <v>233</v>
      </c>
      <c r="BA2062" s="7" t="s">
        <v>233</v>
      </c>
      <c r="BB2062" s="7"/>
      <c r="BC2062" s="4" t="s">
        <v>233</v>
      </c>
      <c r="BD2062" s="8" t="s">
        <v>233</v>
      </c>
      <c r="BE2062" s="4" t="s">
        <v>233</v>
      </c>
      <c r="BF2062" s="8" t="s">
        <v>233</v>
      </c>
      <c r="BG2062" s="7" t="s">
        <v>233</v>
      </c>
      <c r="BH2062" s="7" t="s">
        <v>233</v>
      </c>
      <c r="BI2062" s="7"/>
      <c r="BJ2062" s="4"/>
      <c r="BK2062" s="8"/>
      <c r="BL2062" s="2" t="s">
        <v>233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243</v>
      </c>
      <c r="BV2062" s="2" t="s">
        <v>233</v>
      </c>
      <c r="BW2062" s="2" t="s">
        <v>233</v>
      </c>
      <c r="BX2062" s="2" t="s">
        <v>243</v>
      </c>
      <c r="BY2062" s="2" t="s">
        <v>244</v>
      </c>
      <c r="BZ2062" s="2" t="s">
        <v>245</v>
      </c>
      <c r="CA2062" s="2" t="s">
        <v>233</v>
      </c>
      <c r="CB2062" s="2" t="s">
        <v>233</v>
      </c>
      <c r="CC2062" s="2" t="s">
        <v>246</v>
      </c>
      <c r="CD2062" s="2" t="s">
        <v>233</v>
      </c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>
        <v>522</v>
      </c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>
        <v>96</v>
      </c>
      <c r="FA2062" s="4"/>
      <c r="FB2062" s="4">
        <v>82</v>
      </c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/>
      <c r="HB2062" s="4"/>
      <c r="HC2062" s="4"/>
      <c r="HD2062" s="4"/>
      <c r="HE2062" s="4"/>
      <c r="HF2062" s="4"/>
      <c r="HG2062" s="4"/>
      <c r="HH2062" s="4"/>
      <c r="HI2062" s="4"/>
      <c r="HJ2062" s="4"/>
      <c r="HK2062" s="4"/>
      <c r="HL2062" s="4"/>
      <c r="HM2062" s="4"/>
      <c r="HN2062" s="4"/>
      <c r="HO2062" s="4"/>
      <c r="HP2062" s="4"/>
      <c r="HQ2062" s="4"/>
      <c r="HR2062" s="4"/>
    </row>
    <row r="2063">
      <c r="A2063" s="2" t="s">
        <v>9390</v>
      </c>
      <c r="B2063" s="2" t="s">
        <v>1242</v>
      </c>
      <c r="C2063" s="2" t="s">
        <v>243</v>
      </c>
      <c r="D2063" s="2" t="s">
        <v>969</v>
      </c>
      <c r="E2063" s="2" t="s">
        <v>970</v>
      </c>
      <c r="F2063" s="2" t="s">
        <v>9386</v>
      </c>
      <c r="G2063" s="2" t="s">
        <v>9387</v>
      </c>
      <c r="H2063" s="2" t="s">
        <v>1828</v>
      </c>
      <c r="I2063" s="2" t="s">
        <v>9388</v>
      </c>
      <c r="J2063" s="2" t="s">
        <v>981</v>
      </c>
      <c r="K2063" s="2" t="s">
        <v>552</v>
      </c>
      <c r="L2063" s="3">
        <v>27.61</v>
      </c>
      <c r="M2063" s="3">
        <v>28.99</v>
      </c>
      <c r="N2063" s="3">
        <v>57.99</v>
      </c>
      <c r="O2063" s="2" t="s">
        <v>245</v>
      </c>
      <c r="P2063" s="2" t="s">
        <v>974</v>
      </c>
      <c r="Q2063" s="2" t="s">
        <v>239</v>
      </c>
      <c r="R2063" s="2" t="s">
        <v>233</v>
      </c>
      <c r="S2063" s="2" t="s">
        <v>9389</v>
      </c>
      <c r="T2063" s="2" t="s">
        <v>395</v>
      </c>
      <c r="U2063" s="2" t="s">
        <v>475</v>
      </c>
      <c r="V2063" s="2" t="s">
        <v>1085</v>
      </c>
      <c r="W2063" s="2" t="s">
        <v>2882</v>
      </c>
      <c r="X2063" s="2" t="s">
        <v>275</v>
      </c>
      <c r="Y2063" s="2" t="s">
        <v>233</v>
      </c>
      <c r="Z2063" s="4"/>
      <c r="AA2063" s="4">
        <f>=ROUNDDOWN({0},0)</f>
      </c>
      <c r="AB2063" s="5"/>
      <c r="AC2063" s="2" t="s">
        <v>3189</v>
      </c>
      <c r="AD2063" s="4">
        <v>1248</v>
      </c>
      <c r="AE2063" s="4">
        <v>1843</v>
      </c>
      <c r="AF2063" s="6"/>
      <c r="AG2063" s="6"/>
      <c r="AH2063" s="7">
        <v>0</v>
      </c>
      <c r="AI2063" s="4"/>
      <c r="AJ2063" s="4">
        <f>=ROUNDDOWN({0},0)</f>
      </c>
      <c r="AK2063" s="5"/>
      <c r="AL2063" s="2" t="s">
        <v>233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233</v>
      </c>
      <c r="AW2063" s="8" t="s">
        <v>233</v>
      </c>
      <c r="AX2063" s="4" t="s">
        <v>233</v>
      </c>
      <c r="AY2063" s="8" t="s">
        <v>233</v>
      </c>
      <c r="AZ2063" s="7" t="s">
        <v>233</v>
      </c>
      <c r="BA2063" s="7" t="s">
        <v>233</v>
      </c>
      <c r="BB2063" s="7"/>
      <c r="BC2063" s="4" t="s">
        <v>233</v>
      </c>
      <c r="BD2063" s="8" t="s">
        <v>233</v>
      </c>
      <c r="BE2063" s="4" t="s">
        <v>233</v>
      </c>
      <c r="BF2063" s="8" t="s">
        <v>233</v>
      </c>
      <c r="BG2063" s="7" t="s">
        <v>233</v>
      </c>
      <c r="BH2063" s="7" t="s">
        <v>233</v>
      </c>
      <c r="BI2063" s="7"/>
      <c r="BJ2063" s="4"/>
      <c r="BK2063" s="8"/>
      <c r="BL2063" s="2" t="s">
        <v>233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243</v>
      </c>
      <c r="BV2063" s="2" t="s">
        <v>233</v>
      </c>
      <c r="BW2063" s="2" t="s">
        <v>233</v>
      </c>
      <c r="BX2063" s="2" t="s">
        <v>243</v>
      </c>
      <c r="BY2063" s="2" t="s">
        <v>244</v>
      </c>
      <c r="BZ2063" s="2" t="s">
        <v>245</v>
      </c>
      <c r="CA2063" s="2" t="s">
        <v>233</v>
      </c>
      <c r="CB2063" s="2" t="s">
        <v>233</v>
      </c>
      <c r="CC2063" s="2" t="s">
        <v>246</v>
      </c>
      <c r="CD2063" s="2" t="s">
        <v>233</v>
      </c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>
        <v>1248</v>
      </c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>
        <v>242</v>
      </c>
      <c r="FA2063" s="4"/>
      <c r="FB2063" s="4">
        <v>353</v>
      </c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  <c r="GL2063" s="4"/>
      <c r="GM2063" s="4"/>
      <c r="GN2063" s="4"/>
      <c r="GO2063" s="4"/>
      <c r="GP2063" s="4"/>
      <c r="GQ2063" s="4"/>
      <c r="GR2063" s="4"/>
      <c r="GS2063" s="4"/>
      <c r="GT2063" s="4"/>
      <c r="GU2063" s="4"/>
      <c r="GV2063" s="4"/>
      <c r="GW2063" s="4"/>
      <c r="GX2063" s="4"/>
      <c r="GY2063" s="4"/>
      <c r="GZ2063" s="4"/>
      <c r="HA2063" s="4"/>
      <c r="HB2063" s="4"/>
      <c r="HC2063" s="4"/>
      <c r="HD2063" s="4"/>
      <c r="HE2063" s="4"/>
      <c r="HF2063" s="4"/>
      <c r="HG2063" s="4"/>
      <c r="HH2063" s="4"/>
      <c r="HI2063" s="4"/>
      <c r="HJ2063" s="4"/>
      <c r="HK2063" s="4"/>
      <c r="HL2063" s="4"/>
      <c r="HM2063" s="4"/>
      <c r="HN2063" s="4"/>
      <c r="HO2063" s="4"/>
      <c r="HP2063" s="4"/>
      <c r="HQ2063" s="4"/>
      <c r="HR2063" s="4"/>
    </row>
    <row r="2064">
      <c r="A2064" s="2" t="s">
        <v>9391</v>
      </c>
      <c r="B2064" s="2" t="s">
        <v>1242</v>
      </c>
      <c r="C2064" s="2" t="s">
        <v>243</v>
      </c>
      <c r="D2064" s="2" t="s">
        <v>969</v>
      </c>
      <c r="E2064" s="2" t="s">
        <v>970</v>
      </c>
      <c r="F2064" s="2" t="s">
        <v>9386</v>
      </c>
      <c r="G2064" s="2" t="s">
        <v>9387</v>
      </c>
      <c r="H2064" s="2" t="s">
        <v>1828</v>
      </c>
      <c r="I2064" s="2" t="s">
        <v>9388</v>
      </c>
      <c r="J2064" s="2" t="s">
        <v>1142</v>
      </c>
      <c r="K2064" s="2" t="s">
        <v>552</v>
      </c>
      <c r="L2064" s="3">
        <v>30.95</v>
      </c>
      <c r="M2064" s="3">
        <v>32.5</v>
      </c>
      <c r="N2064" s="3">
        <v>64.99</v>
      </c>
      <c r="O2064" s="2" t="s">
        <v>245</v>
      </c>
      <c r="P2064" s="2" t="s">
        <v>974</v>
      </c>
      <c r="Q2064" s="2" t="s">
        <v>239</v>
      </c>
      <c r="R2064" s="2" t="s">
        <v>233</v>
      </c>
      <c r="S2064" s="2" t="s">
        <v>9389</v>
      </c>
      <c r="T2064" s="2" t="s">
        <v>395</v>
      </c>
      <c r="U2064" s="2" t="s">
        <v>475</v>
      </c>
      <c r="V2064" s="2" t="s">
        <v>1085</v>
      </c>
      <c r="W2064" s="2" t="s">
        <v>2882</v>
      </c>
      <c r="X2064" s="2" t="s">
        <v>275</v>
      </c>
      <c r="Y2064" s="2" t="s">
        <v>233</v>
      </c>
      <c r="Z2064" s="4"/>
      <c r="AA2064" s="4">
        <f>=ROUNDDOWN({0},0)</f>
      </c>
      <c r="AB2064" s="5"/>
      <c r="AC2064" s="2" t="s">
        <v>3189</v>
      </c>
      <c r="AD2064" s="4">
        <v>1004</v>
      </c>
      <c r="AE2064" s="4">
        <v>1503</v>
      </c>
      <c r="AF2064" s="6"/>
      <c r="AG2064" s="6"/>
      <c r="AH2064" s="7">
        <v>0</v>
      </c>
      <c r="AI2064" s="4"/>
      <c r="AJ2064" s="4">
        <f>=ROUNDDOWN({0},0)</f>
      </c>
      <c r="AK2064" s="5"/>
      <c r="AL2064" s="2" t="s">
        <v>233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233</v>
      </c>
      <c r="AW2064" s="8" t="s">
        <v>233</v>
      </c>
      <c r="AX2064" s="4" t="s">
        <v>233</v>
      </c>
      <c r="AY2064" s="8" t="s">
        <v>233</v>
      </c>
      <c r="AZ2064" s="7" t="s">
        <v>233</v>
      </c>
      <c r="BA2064" s="7" t="s">
        <v>233</v>
      </c>
      <c r="BB2064" s="7"/>
      <c r="BC2064" s="4" t="s">
        <v>233</v>
      </c>
      <c r="BD2064" s="8" t="s">
        <v>233</v>
      </c>
      <c r="BE2064" s="4" t="s">
        <v>233</v>
      </c>
      <c r="BF2064" s="8" t="s">
        <v>233</v>
      </c>
      <c r="BG2064" s="7" t="s">
        <v>233</v>
      </c>
      <c r="BH2064" s="7" t="s">
        <v>233</v>
      </c>
      <c r="BI2064" s="7"/>
      <c r="BJ2064" s="4"/>
      <c r="BK2064" s="8"/>
      <c r="BL2064" s="2" t="s">
        <v>233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243</v>
      </c>
      <c r="BV2064" s="2" t="s">
        <v>233</v>
      </c>
      <c r="BW2064" s="2" t="s">
        <v>233</v>
      </c>
      <c r="BX2064" s="2" t="s">
        <v>243</v>
      </c>
      <c r="BY2064" s="2" t="s">
        <v>244</v>
      </c>
      <c r="BZ2064" s="2" t="s">
        <v>245</v>
      </c>
      <c r="CA2064" s="2" t="s">
        <v>233</v>
      </c>
      <c r="CB2064" s="2" t="s">
        <v>233</v>
      </c>
      <c r="CC2064" s="2" t="s">
        <v>246</v>
      </c>
      <c r="CD2064" s="2" t="s">
        <v>233</v>
      </c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>
        <v>1004</v>
      </c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>
        <v>231</v>
      </c>
      <c r="FA2064" s="4"/>
      <c r="FB2064" s="4">
        <v>268</v>
      </c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/>
      <c r="GO2064" s="4"/>
      <c r="GP2064" s="4"/>
      <c r="GQ2064" s="4"/>
      <c r="GR2064" s="4"/>
      <c r="GS2064" s="4"/>
      <c r="GT2064" s="4"/>
      <c r="GU2064" s="4"/>
      <c r="GV2064" s="4"/>
      <c r="GW2064" s="4"/>
      <c r="GX2064" s="4"/>
      <c r="GY2064" s="4"/>
      <c r="GZ2064" s="4"/>
      <c r="HA2064" s="4"/>
      <c r="HB2064" s="4"/>
      <c r="HC2064" s="4"/>
      <c r="HD2064" s="4"/>
      <c r="HE2064" s="4"/>
      <c r="HF2064" s="4"/>
      <c r="HG2064" s="4"/>
      <c r="HH2064" s="4"/>
      <c r="HI2064" s="4"/>
      <c r="HJ2064" s="4"/>
      <c r="HK2064" s="4"/>
      <c r="HL2064" s="4"/>
      <c r="HM2064" s="4"/>
      <c r="HN2064" s="4"/>
      <c r="HO2064" s="4"/>
      <c r="HP2064" s="4"/>
      <c r="HQ2064" s="4"/>
      <c r="HR2064" s="4"/>
    </row>
    <row r="2065">
      <c r="A2065" s="2" t="s">
        <v>9392</v>
      </c>
      <c r="B2065" s="2" t="s">
        <v>1242</v>
      </c>
      <c r="C2065" s="2" t="s">
        <v>243</v>
      </c>
      <c r="D2065" s="2" t="s">
        <v>969</v>
      </c>
      <c r="E2065" s="2" t="s">
        <v>970</v>
      </c>
      <c r="F2065" s="2" t="s">
        <v>9386</v>
      </c>
      <c r="G2065" s="2" t="s">
        <v>9387</v>
      </c>
      <c r="H2065" s="2" t="s">
        <v>1828</v>
      </c>
      <c r="I2065" s="2" t="s">
        <v>9388</v>
      </c>
      <c r="J2065" s="2" t="s">
        <v>918</v>
      </c>
      <c r="K2065" s="2" t="s">
        <v>255</v>
      </c>
      <c r="L2065" s="3">
        <v>22.85</v>
      </c>
      <c r="M2065" s="3">
        <v>23.99</v>
      </c>
      <c r="N2065" s="3">
        <v>47.99</v>
      </c>
      <c r="O2065" s="2" t="s">
        <v>245</v>
      </c>
      <c r="P2065" s="2" t="s">
        <v>974</v>
      </c>
      <c r="Q2065" s="2" t="s">
        <v>239</v>
      </c>
      <c r="R2065" s="2" t="s">
        <v>233</v>
      </c>
      <c r="S2065" s="2" t="s">
        <v>9393</v>
      </c>
      <c r="T2065" s="2" t="s">
        <v>395</v>
      </c>
      <c r="U2065" s="2" t="s">
        <v>491</v>
      </c>
      <c r="V2065" s="2" t="s">
        <v>1085</v>
      </c>
      <c r="W2065" s="2" t="s">
        <v>2882</v>
      </c>
      <c r="X2065" s="2" t="s">
        <v>275</v>
      </c>
      <c r="Y2065" s="2" t="s">
        <v>233</v>
      </c>
      <c r="Z2065" s="4"/>
      <c r="AA2065" s="4">
        <f>=ROUNDDOWN({0},0)</f>
      </c>
      <c r="AB2065" s="5"/>
      <c r="AC2065" s="2" t="s">
        <v>3189</v>
      </c>
      <c r="AD2065" s="4">
        <v>405</v>
      </c>
      <c r="AE2065" s="4">
        <v>651</v>
      </c>
      <c r="AF2065" s="6"/>
      <c r="AG2065" s="6"/>
      <c r="AH2065" s="7">
        <v>0</v>
      </c>
      <c r="AI2065" s="4"/>
      <c r="AJ2065" s="4">
        <f>=ROUNDDOWN({0},0)</f>
      </c>
      <c r="AK2065" s="5"/>
      <c r="AL2065" s="2" t="s">
        <v>233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233</v>
      </c>
      <c r="AW2065" s="8" t="s">
        <v>233</v>
      </c>
      <c r="AX2065" s="4" t="s">
        <v>233</v>
      </c>
      <c r="AY2065" s="8" t="s">
        <v>233</v>
      </c>
      <c r="AZ2065" s="7" t="s">
        <v>233</v>
      </c>
      <c r="BA2065" s="7" t="s">
        <v>233</v>
      </c>
      <c r="BB2065" s="7"/>
      <c r="BC2065" s="4" t="s">
        <v>233</v>
      </c>
      <c r="BD2065" s="8" t="s">
        <v>233</v>
      </c>
      <c r="BE2065" s="4" t="s">
        <v>233</v>
      </c>
      <c r="BF2065" s="8" t="s">
        <v>233</v>
      </c>
      <c r="BG2065" s="7" t="s">
        <v>233</v>
      </c>
      <c r="BH2065" s="7" t="s">
        <v>233</v>
      </c>
      <c r="BI2065" s="7"/>
      <c r="BJ2065" s="4"/>
      <c r="BK2065" s="8"/>
      <c r="BL2065" s="2" t="s">
        <v>233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243</v>
      </c>
      <c r="BV2065" s="2" t="s">
        <v>233</v>
      </c>
      <c r="BW2065" s="2" t="s">
        <v>233</v>
      </c>
      <c r="BX2065" s="2" t="s">
        <v>243</v>
      </c>
      <c r="BY2065" s="2" t="s">
        <v>244</v>
      </c>
      <c r="BZ2065" s="2" t="s">
        <v>245</v>
      </c>
      <c r="CA2065" s="2" t="s">
        <v>233</v>
      </c>
      <c r="CB2065" s="2" t="s">
        <v>233</v>
      </c>
      <c r="CC2065" s="2" t="s">
        <v>246</v>
      </c>
      <c r="CD2065" s="2" t="s">
        <v>233</v>
      </c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>
        <v>405</v>
      </c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>
        <v>157</v>
      </c>
      <c r="FA2065" s="4"/>
      <c r="FB2065" s="4">
        <v>89</v>
      </c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  <c r="HF2065" s="4"/>
      <c r="HG2065" s="4"/>
      <c r="HH2065" s="4"/>
      <c r="HI2065" s="4"/>
      <c r="HJ2065" s="4"/>
      <c r="HK2065" s="4"/>
      <c r="HL2065" s="4"/>
      <c r="HM2065" s="4"/>
      <c r="HN2065" s="4"/>
      <c r="HO2065" s="4"/>
      <c r="HP2065" s="4"/>
      <c r="HQ2065" s="4"/>
      <c r="HR2065" s="4"/>
    </row>
    <row r="2066">
      <c r="A2066" s="2" t="s">
        <v>9394</v>
      </c>
      <c r="B2066" s="2" t="s">
        <v>1242</v>
      </c>
      <c r="C2066" s="2" t="s">
        <v>243</v>
      </c>
      <c r="D2066" s="2" t="s">
        <v>969</v>
      </c>
      <c r="E2066" s="2" t="s">
        <v>970</v>
      </c>
      <c r="F2066" s="2" t="s">
        <v>9386</v>
      </c>
      <c r="G2066" s="2" t="s">
        <v>9387</v>
      </c>
      <c r="H2066" s="2" t="s">
        <v>1828</v>
      </c>
      <c r="I2066" s="2" t="s">
        <v>9388</v>
      </c>
      <c r="J2066" s="2" t="s">
        <v>981</v>
      </c>
      <c r="K2066" s="2" t="s">
        <v>255</v>
      </c>
      <c r="L2066" s="3">
        <v>27.61</v>
      </c>
      <c r="M2066" s="3">
        <v>28.99</v>
      </c>
      <c r="N2066" s="3">
        <v>57.99</v>
      </c>
      <c r="O2066" s="2" t="s">
        <v>245</v>
      </c>
      <c r="P2066" s="2" t="s">
        <v>974</v>
      </c>
      <c r="Q2066" s="2" t="s">
        <v>239</v>
      </c>
      <c r="R2066" s="2" t="s">
        <v>233</v>
      </c>
      <c r="S2066" s="2" t="s">
        <v>9393</v>
      </c>
      <c r="T2066" s="2" t="s">
        <v>395</v>
      </c>
      <c r="U2066" s="2" t="s">
        <v>475</v>
      </c>
      <c r="V2066" s="2" t="s">
        <v>1085</v>
      </c>
      <c r="W2066" s="2" t="s">
        <v>2882</v>
      </c>
      <c r="X2066" s="2" t="s">
        <v>275</v>
      </c>
      <c r="Y2066" s="2" t="s">
        <v>233</v>
      </c>
      <c r="Z2066" s="4"/>
      <c r="AA2066" s="4">
        <f>=ROUNDDOWN({0},0)</f>
      </c>
      <c r="AB2066" s="5"/>
      <c r="AC2066" s="2" t="s">
        <v>3189</v>
      </c>
      <c r="AD2066" s="4">
        <v>1335</v>
      </c>
      <c r="AE2066" s="4">
        <v>1881</v>
      </c>
      <c r="AF2066" s="6"/>
      <c r="AG2066" s="6"/>
      <c r="AH2066" s="7">
        <v>0</v>
      </c>
      <c r="AI2066" s="4"/>
      <c r="AJ2066" s="4">
        <f>=ROUNDDOWN({0},0)</f>
      </c>
      <c r="AK2066" s="5"/>
      <c r="AL2066" s="2" t="s">
        <v>233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233</v>
      </c>
      <c r="AW2066" s="8" t="s">
        <v>233</v>
      </c>
      <c r="AX2066" s="4" t="s">
        <v>233</v>
      </c>
      <c r="AY2066" s="8" t="s">
        <v>233</v>
      </c>
      <c r="AZ2066" s="7" t="s">
        <v>233</v>
      </c>
      <c r="BA2066" s="7" t="s">
        <v>233</v>
      </c>
      <c r="BB2066" s="7"/>
      <c r="BC2066" s="4" t="s">
        <v>233</v>
      </c>
      <c r="BD2066" s="8" t="s">
        <v>233</v>
      </c>
      <c r="BE2066" s="4" t="s">
        <v>233</v>
      </c>
      <c r="BF2066" s="8" t="s">
        <v>233</v>
      </c>
      <c r="BG2066" s="7" t="s">
        <v>233</v>
      </c>
      <c r="BH2066" s="7" t="s">
        <v>233</v>
      </c>
      <c r="BI2066" s="7"/>
      <c r="BJ2066" s="4"/>
      <c r="BK2066" s="8"/>
      <c r="BL2066" s="2" t="s">
        <v>233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243</v>
      </c>
      <c r="BV2066" s="2" t="s">
        <v>233</v>
      </c>
      <c r="BW2066" s="2" t="s">
        <v>233</v>
      </c>
      <c r="BX2066" s="2" t="s">
        <v>243</v>
      </c>
      <c r="BY2066" s="2" t="s">
        <v>244</v>
      </c>
      <c r="BZ2066" s="2" t="s">
        <v>245</v>
      </c>
      <c r="CA2066" s="2" t="s">
        <v>233</v>
      </c>
      <c r="CB2066" s="2" t="s">
        <v>233</v>
      </c>
      <c r="CC2066" s="2" t="s">
        <v>246</v>
      </c>
      <c r="CD2066" s="2" t="s">
        <v>233</v>
      </c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>
        <v>1335</v>
      </c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>
        <v>192</v>
      </c>
      <c r="FA2066" s="4"/>
      <c r="FB2066" s="4">
        <v>354</v>
      </c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  <c r="GQ2066" s="4"/>
      <c r="GR2066" s="4"/>
      <c r="GS2066" s="4"/>
      <c r="GT2066" s="4"/>
      <c r="GU2066" s="4"/>
      <c r="GV2066" s="4"/>
      <c r="GW2066" s="4"/>
      <c r="GX2066" s="4"/>
      <c r="GY2066" s="4"/>
      <c r="GZ2066" s="4"/>
      <c r="HA2066" s="4"/>
      <c r="HB2066" s="4"/>
      <c r="HC2066" s="4"/>
      <c r="HD2066" s="4"/>
      <c r="HE2066" s="4"/>
      <c r="HF2066" s="4"/>
      <c r="HG2066" s="4"/>
      <c r="HH2066" s="4"/>
      <c r="HI2066" s="4"/>
      <c r="HJ2066" s="4"/>
      <c r="HK2066" s="4"/>
      <c r="HL2066" s="4"/>
      <c r="HM2066" s="4"/>
      <c r="HN2066" s="4"/>
      <c r="HO2066" s="4"/>
      <c r="HP2066" s="4"/>
      <c r="HQ2066" s="4"/>
      <c r="HR2066" s="4"/>
    </row>
    <row r="2067">
      <c r="A2067" s="2" t="s">
        <v>9395</v>
      </c>
      <c r="B2067" s="2" t="s">
        <v>1242</v>
      </c>
      <c r="C2067" s="2" t="s">
        <v>243</v>
      </c>
      <c r="D2067" s="2" t="s">
        <v>969</v>
      </c>
      <c r="E2067" s="2" t="s">
        <v>970</v>
      </c>
      <c r="F2067" s="2" t="s">
        <v>9386</v>
      </c>
      <c r="G2067" s="2" t="s">
        <v>9387</v>
      </c>
      <c r="H2067" s="2" t="s">
        <v>1828</v>
      </c>
      <c r="I2067" s="2" t="s">
        <v>9388</v>
      </c>
      <c r="J2067" s="2" t="s">
        <v>1142</v>
      </c>
      <c r="K2067" s="2" t="s">
        <v>255</v>
      </c>
      <c r="L2067" s="3">
        <v>30.95</v>
      </c>
      <c r="M2067" s="3">
        <v>32.5</v>
      </c>
      <c r="N2067" s="3">
        <v>64.99</v>
      </c>
      <c r="O2067" s="2" t="s">
        <v>245</v>
      </c>
      <c r="P2067" s="2" t="s">
        <v>974</v>
      </c>
      <c r="Q2067" s="2" t="s">
        <v>239</v>
      </c>
      <c r="R2067" s="2" t="s">
        <v>233</v>
      </c>
      <c r="S2067" s="2" t="s">
        <v>9393</v>
      </c>
      <c r="T2067" s="2" t="s">
        <v>395</v>
      </c>
      <c r="U2067" s="2" t="s">
        <v>475</v>
      </c>
      <c r="V2067" s="2" t="s">
        <v>1085</v>
      </c>
      <c r="W2067" s="2" t="s">
        <v>2882</v>
      </c>
      <c r="X2067" s="2" t="s">
        <v>275</v>
      </c>
      <c r="Y2067" s="2" t="s">
        <v>233</v>
      </c>
      <c r="Z2067" s="4"/>
      <c r="AA2067" s="4">
        <f>=ROUNDDOWN({0},0)</f>
      </c>
      <c r="AB2067" s="5"/>
      <c r="AC2067" s="2" t="s">
        <v>3189</v>
      </c>
      <c r="AD2067" s="4">
        <v>1046</v>
      </c>
      <c r="AE2067" s="4">
        <v>1488</v>
      </c>
      <c r="AF2067" s="6"/>
      <c r="AG2067" s="6"/>
      <c r="AH2067" s="7">
        <v>0</v>
      </c>
      <c r="AI2067" s="4"/>
      <c r="AJ2067" s="4">
        <f>=ROUNDDOWN({0},0)</f>
      </c>
      <c r="AK2067" s="5"/>
      <c r="AL2067" s="2" t="s">
        <v>233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233</v>
      </c>
      <c r="AW2067" s="8" t="s">
        <v>233</v>
      </c>
      <c r="AX2067" s="4" t="s">
        <v>233</v>
      </c>
      <c r="AY2067" s="8" t="s">
        <v>233</v>
      </c>
      <c r="AZ2067" s="7" t="s">
        <v>233</v>
      </c>
      <c r="BA2067" s="7" t="s">
        <v>233</v>
      </c>
      <c r="BB2067" s="7"/>
      <c r="BC2067" s="4" t="s">
        <v>233</v>
      </c>
      <c r="BD2067" s="8" t="s">
        <v>233</v>
      </c>
      <c r="BE2067" s="4" t="s">
        <v>233</v>
      </c>
      <c r="BF2067" s="8" t="s">
        <v>233</v>
      </c>
      <c r="BG2067" s="7" t="s">
        <v>233</v>
      </c>
      <c r="BH2067" s="7" t="s">
        <v>233</v>
      </c>
      <c r="BI2067" s="7"/>
      <c r="BJ2067" s="4"/>
      <c r="BK2067" s="8"/>
      <c r="BL2067" s="2" t="s">
        <v>233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243</v>
      </c>
      <c r="BV2067" s="2" t="s">
        <v>233</v>
      </c>
      <c r="BW2067" s="2" t="s">
        <v>233</v>
      </c>
      <c r="BX2067" s="2" t="s">
        <v>243</v>
      </c>
      <c r="BY2067" s="2" t="s">
        <v>244</v>
      </c>
      <c r="BZ2067" s="2" t="s">
        <v>245</v>
      </c>
      <c r="CA2067" s="2" t="s">
        <v>233</v>
      </c>
      <c r="CB2067" s="2" t="s">
        <v>233</v>
      </c>
      <c r="CC2067" s="2" t="s">
        <v>246</v>
      </c>
      <c r="CD2067" s="2" t="s">
        <v>233</v>
      </c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>
        <v>1046</v>
      </c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>
        <v>170</v>
      </c>
      <c r="FA2067" s="4"/>
      <c r="FB2067" s="4">
        <v>272</v>
      </c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  <c r="GQ2067" s="4"/>
      <c r="GR2067" s="4"/>
      <c r="GS2067" s="4"/>
      <c r="GT2067" s="4"/>
      <c r="GU2067" s="4"/>
      <c r="GV2067" s="4"/>
      <c r="GW2067" s="4"/>
      <c r="GX2067" s="4"/>
      <c r="GY2067" s="4"/>
      <c r="GZ2067" s="4"/>
      <c r="HA2067" s="4"/>
      <c r="HB2067" s="4"/>
      <c r="HC2067" s="4"/>
      <c r="HD2067" s="4"/>
      <c r="HE2067" s="4"/>
      <c r="HF2067" s="4"/>
      <c r="HG2067" s="4"/>
      <c r="HH2067" s="4"/>
      <c r="HI2067" s="4"/>
      <c r="HJ2067" s="4"/>
      <c r="HK2067" s="4"/>
      <c r="HL2067" s="4"/>
      <c r="HM2067" s="4"/>
      <c r="HN2067" s="4"/>
      <c r="HO2067" s="4"/>
      <c r="HP2067" s="4"/>
      <c r="HQ2067" s="4"/>
      <c r="HR2067" s="4"/>
    </row>
    <row r="2068">
      <c r="A2068" s="2" t="s">
        <v>9396</v>
      </c>
      <c r="B2068" s="2" t="s">
        <v>1242</v>
      </c>
      <c r="C2068" s="2" t="s">
        <v>243</v>
      </c>
      <c r="D2068" s="2" t="s">
        <v>969</v>
      </c>
      <c r="E2068" s="2" t="s">
        <v>970</v>
      </c>
      <c r="F2068" s="2" t="s">
        <v>9386</v>
      </c>
      <c r="G2068" s="2" t="s">
        <v>9387</v>
      </c>
      <c r="H2068" s="2" t="s">
        <v>1828</v>
      </c>
      <c r="I2068" s="2" t="s">
        <v>9388</v>
      </c>
      <c r="J2068" s="2" t="s">
        <v>918</v>
      </c>
      <c r="K2068" s="2" t="s">
        <v>569</v>
      </c>
      <c r="L2068" s="3">
        <v>22.85</v>
      </c>
      <c r="M2068" s="3">
        <v>23.99</v>
      </c>
      <c r="N2068" s="3">
        <v>47.99</v>
      </c>
      <c r="O2068" s="2" t="s">
        <v>245</v>
      </c>
      <c r="P2068" s="2" t="s">
        <v>974</v>
      </c>
      <c r="Q2068" s="2" t="s">
        <v>239</v>
      </c>
      <c r="R2068" s="2" t="s">
        <v>233</v>
      </c>
      <c r="S2068" s="2" t="s">
        <v>9397</v>
      </c>
      <c r="T2068" s="2" t="s">
        <v>395</v>
      </c>
      <c r="U2068" s="2" t="s">
        <v>491</v>
      </c>
      <c r="V2068" s="2" t="s">
        <v>1085</v>
      </c>
      <c r="W2068" s="2" t="s">
        <v>2882</v>
      </c>
      <c r="X2068" s="2" t="s">
        <v>275</v>
      </c>
      <c r="Y2068" s="2" t="s">
        <v>233</v>
      </c>
      <c r="Z2068" s="4"/>
      <c r="AA2068" s="4">
        <f>=ROUNDDOWN({0},0)</f>
      </c>
      <c r="AB2068" s="5"/>
      <c r="AC2068" s="2" t="s">
        <v>3189</v>
      </c>
      <c r="AD2068" s="4">
        <v>627</v>
      </c>
      <c r="AE2068" s="4">
        <v>846</v>
      </c>
      <c r="AF2068" s="6"/>
      <c r="AG2068" s="6"/>
      <c r="AH2068" s="7">
        <v>0</v>
      </c>
      <c r="AI2068" s="4"/>
      <c r="AJ2068" s="4">
        <f>=ROUNDDOWN({0},0)</f>
      </c>
      <c r="AK2068" s="5"/>
      <c r="AL2068" s="2" t="s">
        <v>233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233</v>
      </c>
      <c r="AW2068" s="8" t="s">
        <v>233</v>
      </c>
      <c r="AX2068" s="4" t="s">
        <v>233</v>
      </c>
      <c r="AY2068" s="8" t="s">
        <v>233</v>
      </c>
      <c r="AZ2068" s="7" t="s">
        <v>233</v>
      </c>
      <c r="BA2068" s="7" t="s">
        <v>233</v>
      </c>
      <c r="BB2068" s="7"/>
      <c r="BC2068" s="4" t="s">
        <v>233</v>
      </c>
      <c r="BD2068" s="8" t="s">
        <v>233</v>
      </c>
      <c r="BE2068" s="4" t="s">
        <v>233</v>
      </c>
      <c r="BF2068" s="8" t="s">
        <v>233</v>
      </c>
      <c r="BG2068" s="7" t="s">
        <v>233</v>
      </c>
      <c r="BH2068" s="7" t="s">
        <v>233</v>
      </c>
      <c r="BI2068" s="7"/>
      <c r="BJ2068" s="4"/>
      <c r="BK2068" s="8"/>
      <c r="BL2068" s="2" t="s">
        <v>233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243</v>
      </c>
      <c r="BV2068" s="2" t="s">
        <v>233</v>
      </c>
      <c r="BW2068" s="2" t="s">
        <v>233</v>
      </c>
      <c r="BX2068" s="2" t="s">
        <v>243</v>
      </c>
      <c r="BY2068" s="2" t="s">
        <v>244</v>
      </c>
      <c r="BZ2068" s="2" t="s">
        <v>245</v>
      </c>
      <c r="CA2068" s="2" t="s">
        <v>233</v>
      </c>
      <c r="CB2068" s="2" t="s">
        <v>233</v>
      </c>
      <c r="CC2068" s="2" t="s">
        <v>246</v>
      </c>
      <c r="CD2068" s="2" t="s">
        <v>233</v>
      </c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>
        <v>627</v>
      </c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>
        <v>126</v>
      </c>
      <c r="FA2068" s="4"/>
      <c r="FB2068" s="4">
        <v>93</v>
      </c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  <c r="GL2068" s="4"/>
      <c r="GM2068" s="4"/>
      <c r="GN2068" s="4"/>
      <c r="GO2068" s="4"/>
      <c r="GP2068" s="4"/>
      <c r="GQ2068" s="4"/>
      <c r="GR2068" s="4"/>
      <c r="GS2068" s="4"/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  <c r="HF2068" s="4"/>
      <c r="HG2068" s="4"/>
      <c r="HH2068" s="4"/>
      <c r="HI2068" s="4"/>
      <c r="HJ2068" s="4"/>
      <c r="HK2068" s="4"/>
      <c r="HL2068" s="4"/>
      <c r="HM2068" s="4"/>
      <c r="HN2068" s="4"/>
      <c r="HO2068" s="4"/>
      <c r="HP2068" s="4"/>
      <c r="HQ2068" s="4"/>
      <c r="HR2068" s="4"/>
    </row>
    <row r="2069">
      <c r="A2069" s="2" t="s">
        <v>9398</v>
      </c>
      <c r="B2069" s="2" t="s">
        <v>1242</v>
      </c>
      <c r="C2069" s="2" t="s">
        <v>243</v>
      </c>
      <c r="D2069" s="2" t="s">
        <v>969</v>
      </c>
      <c r="E2069" s="2" t="s">
        <v>970</v>
      </c>
      <c r="F2069" s="2" t="s">
        <v>9386</v>
      </c>
      <c r="G2069" s="2" t="s">
        <v>9387</v>
      </c>
      <c r="H2069" s="2" t="s">
        <v>1828</v>
      </c>
      <c r="I2069" s="2" t="s">
        <v>9388</v>
      </c>
      <c r="J2069" s="2" t="s">
        <v>981</v>
      </c>
      <c r="K2069" s="2" t="s">
        <v>569</v>
      </c>
      <c r="L2069" s="3">
        <v>27.61</v>
      </c>
      <c r="M2069" s="3">
        <v>28.99</v>
      </c>
      <c r="N2069" s="3">
        <v>57.99</v>
      </c>
      <c r="O2069" s="2" t="s">
        <v>245</v>
      </c>
      <c r="P2069" s="2" t="s">
        <v>974</v>
      </c>
      <c r="Q2069" s="2" t="s">
        <v>239</v>
      </c>
      <c r="R2069" s="2" t="s">
        <v>233</v>
      </c>
      <c r="S2069" s="2" t="s">
        <v>9397</v>
      </c>
      <c r="T2069" s="2" t="s">
        <v>395</v>
      </c>
      <c r="U2069" s="2" t="s">
        <v>475</v>
      </c>
      <c r="V2069" s="2" t="s">
        <v>1085</v>
      </c>
      <c r="W2069" s="2" t="s">
        <v>2882</v>
      </c>
      <c r="X2069" s="2" t="s">
        <v>275</v>
      </c>
      <c r="Y2069" s="2" t="s">
        <v>233</v>
      </c>
      <c r="Z2069" s="4"/>
      <c r="AA2069" s="4">
        <f>=ROUNDDOWN({0},0)</f>
      </c>
      <c r="AB2069" s="5"/>
      <c r="AC2069" s="2" t="s">
        <v>3189</v>
      </c>
      <c r="AD2069" s="4">
        <v>1512</v>
      </c>
      <c r="AE2069" s="4">
        <v>2417</v>
      </c>
      <c r="AF2069" s="6"/>
      <c r="AG2069" s="6"/>
      <c r="AH2069" s="7">
        <v>0</v>
      </c>
      <c r="AI2069" s="4"/>
      <c r="AJ2069" s="4">
        <f>=ROUNDDOWN({0},0)</f>
      </c>
      <c r="AK2069" s="5"/>
      <c r="AL2069" s="2" t="s">
        <v>233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233</v>
      </c>
      <c r="AW2069" s="8" t="s">
        <v>233</v>
      </c>
      <c r="AX2069" s="4" t="s">
        <v>233</v>
      </c>
      <c r="AY2069" s="8" t="s">
        <v>233</v>
      </c>
      <c r="AZ2069" s="7" t="s">
        <v>233</v>
      </c>
      <c r="BA2069" s="7" t="s">
        <v>233</v>
      </c>
      <c r="BB2069" s="7"/>
      <c r="BC2069" s="4" t="s">
        <v>233</v>
      </c>
      <c r="BD2069" s="8" t="s">
        <v>233</v>
      </c>
      <c r="BE2069" s="4" t="s">
        <v>233</v>
      </c>
      <c r="BF2069" s="8" t="s">
        <v>233</v>
      </c>
      <c r="BG2069" s="7" t="s">
        <v>233</v>
      </c>
      <c r="BH2069" s="7" t="s">
        <v>233</v>
      </c>
      <c r="BI2069" s="7"/>
      <c r="BJ2069" s="4"/>
      <c r="BK2069" s="8"/>
      <c r="BL2069" s="2" t="s">
        <v>233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243</v>
      </c>
      <c r="BV2069" s="2" t="s">
        <v>233</v>
      </c>
      <c r="BW2069" s="2" t="s">
        <v>233</v>
      </c>
      <c r="BX2069" s="2" t="s">
        <v>243</v>
      </c>
      <c r="BY2069" s="2" t="s">
        <v>244</v>
      </c>
      <c r="BZ2069" s="2" t="s">
        <v>245</v>
      </c>
      <c r="CA2069" s="2" t="s">
        <v>233</v>
      </c>
      <c r="CB2069" s="2" t="s">
        <v>233</v>
      </c>
      <c r="CC2069" s="2" t="s">
        <v>246</v>
      </c>
      <c r="CD2069" s="2" t="s">
        <v>233</v>
      </c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>
        <v>1512</v>
      </c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>
        <v>445</v>
      </c>
      <c r="FA2069" s="4"/>
      <c r="FB2069" s="4">
        <v>460</v>
      </c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/>
      <c r="HB2069" s="4"/>
      <c r="HC2069" s="4"/>
      <c r="HD2069" s="4"/>
      <c r="HE2069" s="4"/>
      <c r="HF2069" s="4"/>
      <c r="HG2069" s="4"/>
      <c r="HH2069" s="4"/>
      <c r="HI2069" s="4"/>
      <c r="HJ2069" s="4"/>
      <c r="HK2069" s="4"/>
      <c r="HL2069" s="4"/>
      <c r="HM2069" s="4"/>
      <c r="HN2069" s="4"/>
      <c r="HO2069" s="4"/>
      <c r="HP2069" s="4"/>
      <c r="HQ2069" s="4"/>
      <c r="HR2069" s="4"/>
    </row>
    <row r="2070">
      <c r="A2070" s="2" t="s">
        <v>9399</v>
      </c>
      <c r="B2070" s="2" t="s">
        <v>1242</v>
      </c>
      <c r="C2070" s="2" t="s">
        <v>243</v>
      </c>
      <c r="D2070" s="2" t="s">
        <v>969</v>
      </c>
      <c r="E2070" s="2" t="s">
        <v>970</v>
      </c>
      <c r="F2070" s="2" t="s">
        <v>9386</v>
      </c>
      <c r="G2070" s="2" t="s">
        <v>9387</v>
      </c>
      <c r="H2070" s="2" t="s">
        <v>1828</v>
      </c>
      <c r="I2070" s="2" t="s">
        <v>9388</v>
      </c>
      <c r="J2070" s="2" t="s">
        <v>1142</v>
      </c>
      <c r="K2070" s="2" t="s">
        <v>569</v>
      </c>
      <c r="L2070" s="3">
        <v>30.95</v>
      </c>
      <c r="M2070" s="3">
        <v>32.5</v>
      </c>
      <c r="N2070" s="3">
        <v>64.99</v>
      </c>
      <c r="O2070" s="2" t="s">
        <v>245</v>
      </c>
      <c r="P2070" s="2" t="s">
        <v>974</v>
      </c>
      <c r="Q2070" s="2" t="s">
        <v>239</v>
      </c>
      <c r="R2070" s="2" t="s">
        <v>233</v>
      </c>
      <c r="S2070" s="2" t="s">
        <v>9397</v>
      </c>
      <c r="T2070" s="2" t="s">
        <v>395</v>
      </c>
      <c r="U2070" s="2" t="s">
        <v>475</v>
      </c>
      <c r="V2070" s="2" t="s">
        <v>1085</v>
      </c>
      <c r="W2070" s="2" t="s">
        <v>2882</v>
      </c>
      <c r="X2070" s="2" t="s">
        <v>275</v>
      </c>
      <c r="Y2070" s="2" t="s">
        <v>233</v>
      </c>
      <c r="Z2070" s="4"/>
      <c r="AA2070" s="4">
        <f>=ROUNDDOWN({0},0)</f>
      </c>
      <c r="AB2070" s="5"/>
      <c r="AC2070" s="2" t="s">
        <v>3189</v>
      </c>
      <c r="AD2070" s="4">
        <v>1150</v>
      </c>
      <c r="AE2070" s="4">
        <v>1896</v>
      </c>
      <c r="AF2070" s="6"/>
      <c r="AG2070" s="6"/>
      <c r="AH2070" s="7">
        <v>0</v>
      </c>
      <c r="AI2070" s="4"/>
      <c r="AJ2070" s="4">
        <f>=ROUNDDOWN({0},0)</f>
      </c>
      <c r="AK2070" s="5"/>
      <c r="AL2070" s="2" t="s">
        <v>233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233</v>
      </c>
      <c r="AW2070" s="8" t="s">
        <v>233</v>
      </c>
      <c r="AX2070" s="4" t="s">
        <v>233</v>
      </c>
      <c r="AY2070" s="8" t="s">
        <v>233</v>
      </c>
      <c r="AZ2070" s="7" t="s">
        <v>233</v>
      </c>
      <c r="BA2070" s="7" t="s">
        <v>233</v>
      </c>
      <c r="BB2070" s="7"/>
      <c r="BC2070" s="4" t="s">
        <v>233</v>
      </c>
      <c r="BD2070" s="8" t="s">
        <v>233</v>
      </c>
      <c r="BE2070" s="4" t="s">
        <v>233</v>
      </c>
      <c r="BF2070" s="8" t="s">
        <v>233</v>
      </c>
      <c r="BG2070" s="7" t="s">
        <v>233</v>
      </c>
      <c r="BH2070" s="7" t="s">
        <v>233</v>
      </c>
      <c r="BI2070" s="7"/>
      <c r="BJ2070" s="4"/>
      <c r="BK2070" s="8"/>
      <c r="BL2070" s="2" t="s">
        <v>233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243</v>
      </c>
      <c r="BV2070" s="2" t="s">
        <v>233</v>
      </c>
      <c r="BW2070" s="2" t="s">
        <v>233</v>
      </c>
      <c r="BX2070" s="2" t="s">
        <v>243</v>
      </c>
      <c r="BY2070" s="2" t="s">
        <v>244</v>
      </c>
      <c r="BZ2070" s="2" t="s">
        <v>245</v>
      </c>
      <c r="CA2070" s="2" t="s">
        <v>233</v>
      </c>
      <c r="CB2070" s="2" t="s">
        <v>233</v>
      </c>
      <c r="CC2070" s="2" t="s">
        <v>246</v>
      </c>
      <c r="CD2070" s="2" t="s">
        <v>233</v>
      </c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>
        <v>1150</v>
      </c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>
        <v>394</v>
      </c>
      <c r="FA2070" s="4"/>
      <c r="FB2070" s="4">
        <v>352</v>
      </c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  <c r="HF2070" s="4"/>
      <c r="HG2070" s="4"/>
      <c r="HH2070" s="4"/>
      <c r="HI2070" s="4"/>
      <c r="HJ2070" s="4"/>
      <c r="HK2070" s="4"/>
      <c r="HL2070" s="4"/>
      <c r="HM2070" s="4"/>
      <c r="HN2070" s="4"/>
      <c r="HO2070" s="4"/>
      <c r="HP2070" s="4"/>
      <c r="HQ2070" s="4"/>
      <c r="HR2070" s="4"/>
    </row>
    <row r="2071">
      <c r="A2071" s="2" t="s">
        <v>9400</v>
      </c>
      <c r="B2071" s="2" t="s">
        <v>1242</v>
      </c>
      <c r="C2071" s="2" t="s">
        <v>243</v>
      </c>
      <c r="D2071" s="2" t="s">
        <v>969</v>
      </c>
      <c r="E2071" s="2" t="s">
        <v>970</v>
      </c>
      <c r="F2071" s="2" t="s">
        <v>9386</v>
      </c>
      <c r="G2071" s="2" t="s">
        <v>9387</v>
      </c>
      <c r="H2071" s="2" t="s">
        <v>1828</v>
      </c>
      <c r="I2071" s="2" t="s">
        <v>9388</v>
      </c>
      <c r="J2071" s="2" t="s">
        <v>918</v>
      </c>
      <c r="K2071" s="2" t="s">
        <v>6366</v>
      </c>
      <c r="L2071" s="3">
        <v>22.85</v>
      </c>
      <c r="M2071" s="3">
        <v>23.99</v>
      </c>
      <c r="N2071" s="3">
        <v>47.99</v>
      </c>
      <c r="O2071" s="2" t="s">
        <v>245</v>
      </c>
      <c r="P2071" s="2" t="s">
        <v>974</v>
      </c>
      <c r="Q2071" s="2" t="s">
        <v>239</v>
      </c>
      <c r="R2071" s="2" t="s">
        <v>233</v>
      </c>
      <c r="S2071" s="2" t="s">
        <v>9401</v>
      </c>
      <c r="T2071" s="2" t="s">
        <v>395</v>
      </c>
      <c r="U2071" s="2" t="s">
        <v>491</v>
      </c>
      <c r="V2071" s="2" t="s">
        <v>1085</v>
      </c>
      <c r="W2071" s="2" t="s">
        <v>2882</v>
      </c>
      <c r="X2071" s="2" t="s">
        <v>275</v>
      </c>
      <c r="Y2071" s="2" t="s">
        <v>233</v>
      </c>
      <c r="Z2071" s="4"/>
      <c r="AA2071" s="4">
        <f>=ROUNDDOWN({0},0)</f>
      </c>
      <c r="AB2071" s="5"/>
      <c r="AC2071" s="2" t="s">
        <v>3189</v>
      </c>
      <c r="AD2071" s="4">
        <v>153</v>
      </c>
      <c r="AE2071" s="4">
        <v>190</v>
      </c>
      <c r="AF2071" s="6"/>
      <c r="AG2071" s="6"/>
      <c r="AH2071" s="7">
        <v>0</v>
      </c>
      <c r="AI2071" s="4"/>
      <c r="AJ2071" s="4">
        <f>=ROUNDDOWN({0},0)</f>
      </c>
      <c r="AK2071" s="5"/>
      <c r="AL2071" s="2" t="s">
        <v>233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233</v>
      </c>
      <c r="AW2071" s="8" t="s">
        <v>233</v>
      </c>
      <c r="AX2071" s="4" t="s">
        <v>233</v>
      </c>
      <c r="AY2071" s="8" t="s">
        <v>233</v>
      </c>
      <c r="AZ2071" s="7" t="s">
        <v>233</v>
      </c>
      <c r="BA2071" s="7" t="s">
        <v>233</v>
      </c>
      <c r="BB2071" s="7"/>
      <c r="BC2071" s="4" t="s">
        <v>233</v>
      </c>
      <c r="BD2071" s="8" t="s">
        <v>233</v>
      </c>
      <c r="BE2071" s="4" t="s">
        <v>233</v>
      </c>
      <c r="BF2071" s="8" t="s">
        <v>233</v>
      </c>
      <c r="BG2071" s="7" t="s">
        <v>233</v>
      </c>
      <c r="BH2071" s="7" t="s">
        <v>233</v>
      </c>
      <c r="BI2071" s="7"/>
      <c r="BJ2071" s="4"/>
      <c r="BK2071" s="8"/>
      <c r="BL2071" s="2" t="s">
        <v>233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243</v>
      </c>
      <c r="BV2071" s="2" t="s">
        <v>233</v>
      </c>
      <c r="BW2071" s="2" t="s">
        <v>233</v>
      </c>
      <c r="BX2071" s="2" t="s">
        <v>243</v>
      </c>
      <c r="BY2071" s="2" t="s">
        <v>244</v>
      </c>
      <c r="BZ2071" s="2" t="s">
        <v>245</v>
      </c>
      <c r="CA2071" s="2" t="s">
        <v>233</v>
      </c>
      <c r="CB2071" s="2" t="s">
        <v>233</v>
      </c>
      <c r="CC2071" s="2" t="s">
        <v>246</v>
      </c>
      <c r="CD2071" s="2" t="s">
        <v>233</v>
      </c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>
        <v>153</v>
      </c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>
        <v>11</v>
      </c>
      <c r="FA2071" s="4"/>
      <c r="FB2071" s="4">
        <v>26</v>
      </c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  <c r="HF2071" s="4"/>
      <c r="HG2071" s="4"/>
      <c r="HH2071" s="4"/>
      <c r="HI2071" s="4"/>
      <c r="HJ2071" s="4"/>
      <c r="HK2071" s="4"/>
      <c r="HL2071" s="4"/>
      <c r="HM2071" s="4"/>
      <c r="HN2071" s="4"/>
      <c r="HO2071" s="4"/>
      <c r="HP2071" s="4"/>
      <c r="HQ2071" s="4"/>
      <c r="HR2071" s="4"/>
    </row>
    <row r="2072">
      <c r="A2072" s="2" t="s">
        <v>9402</v>
      </c>
      <c r="B2072" s="2" t="s">
        <v>1242</v>
      </c>
      <c r="C2072" s="2" t="s">
        <v>243</v>
      </c>
      <c r="D2072" s="2" t="s">
        <v>969</v>
      </c>
      <c r="E2072" s="2" t="s">
        <v>970</v>
      </c>
      <c r="F2072" s="2" t="s">
        <v>9386</v>
      </c>
      <c r="G2072" s="2" t="s">
        <v>9387</v>
      </c>
      <c r="H2072" s="2" t="s">
        <v>1828</v>
      </c>
      <c r="I2072" s="2" t="s">
        <v>9388</v>
      </c>
      <c r="J2072" s="2" t="s">
        <v>981</v>
      </c>
      <c r="K2072" s="2" t="s">
        <v>6366</v>
      </c>
      <c r="L2072" s="3">
        <v>27.61</v>
      </c>
      <c r="M2072" s="3">
        <v>28.99</v>
      </c>
      <c r="N2072" s="3">
        <v>57.99</v>
      </c>
      <c r="O2072" s="2" t="s">
        <v>245</v>
      </c>
      <c r="P2072" s="2" t="s">
        <v>974</v>
      </c>
      <c r="Q2072" s="2" t="s">
        <v>239</v>
      </c>
      <c r="R2072" s="2" t="s">
        <v>233</v>
      </c>
      <c r="S2072" s="2" t="s">
        <v>9401</v>
      </c>
      <c r="T2072" s="2" t="s">
        <v>395</v>
      </c>
      <c r="U2072" s="2" t="s">
        <v>475</v>
      </c>
      <c r="V2072" s="2" t="s">
        <v>1085</v>
      </c>
      <c r="W2072" s="2" t="s">
        <v>2882</v>
      </c>
      <c r="X2072" s="2" t="s">
        <v>275</v>
      </c>
      <c r="Y2072" s="2" t="s">
        <v>233</v>
      </c>
      <c r="Z2072" s="4"/>
      <c r="AA2072" s="4">
        <f>=ROUNDDOWN({0},0)</f>
      </c>
      <c r="AB2072" s="5"/>
      <c r="AC2072" s="2" t="s">
        <v>3189</v>
      </c>
      <c r="AD2072" s="4">
        <v>306</v>
      </c>
      <c r="AE2072" s="4">
        <v>467</v>
      </c>
      <c r="AF2072" s="6"/>
      <c r="AG2072" s="6"/>
      <c r="AH2072" s="7">
        <v>0</v>
      </c>
      <c r="AI2072" s="4"/>
      <c r="AJ2072" s="4">
        <f>=ROUNDDOWN({0},0)</f>
      </c>
      <c r="AK2072" s="5"/>
      <c r="AL2072" s="2" t="s">
        <v>233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233</v>
      </c>
      <c r="AW2072" s="8" t="s">
        <v>233</v>
      </c>
      <c r="AX2072" s="4" t="s">
        <v>233</v>
      </c>
      <c r="AY2072" s="8" t="s">
        <v>233</v>
      </c>
      <c r="AZ2072" s="7" t="s">
        <v>233</v>
      </c>
      <c r="BA2072" s="7" t="s">
        <v>233</v>
      </c>
      <c r="BB2072" s="7"/>
      <c r="BC2072" s="4" t="s">
        <v>233</v>
      </c>
      <c r="BD2072" s="8" t="s">
        <v>233</v>
      </c>
      <c r="BE2072" s="4" t="s">
        <v>233</v>
      </c>
      <c r="BF2072" s="8" t="s">
        <v>233</v>
      </c>
      <c r="BG2072" s="7" t="s">
        <v>233</v>
      </c>
      <c r="BH2072" s="7" t="s">
        <v>233</v>
      </c>
      <c r="BI2072" s="7"/>
      <c r="BJ2072" s="4"/>
      <c r="BK2072" s="8"/>
      <c r="BL2072" s="2" t="s">
        <v>233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243</v>
      </c>
      <c r="BV2072" s="2" t="s">
        <v>233</v>
      </c>
      <c r="BW2072" s="2" t="s">
        <v>233</v>
      </c>
      <c r="BX2072" s="2" t="s">
        <v>243</v>
      </c>
      <c r="BY2072" s="2" t="s">
        <v>244</v>
      </c>
      <c r="BZ2072" s="2" t="s">
        <v>245</v>
      </c>
      <c r="CA2072" s="2" t="s">
        <v>233</v>
      </c>
      <c r="CB2072" s="2" t="s">
        <v>233</v>
      </c>
      <c r="CC2072" s="2" t="s">
        <v>246</v>
      </c>
      <c r="CD2072" s="2" t="s">
        <v>233</v>
      </c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>
        <v>306</v>
      </c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>
        <v>88</v>
      </c>
      <c r="FA2072" s="4"/>
      <c r="FB2072" s="4">
        <v>73</v>
      </c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  <c r="HF2072" s="4"/>
      <c r="HG2072" s="4"/>
      <c r="HH2072" s="4"/>
      <c r="HI2072" s="4"/>
      <c r="HJ2072" s="4"/>
      <c r="HK2072" s="4"/>
      <c r="HL2072" s="4"/>
      <c r="HM2072" s="4"/>
      <c r="HN2072" s="4"/>
      <c r="HO2072" s="4"/>
      <c r="HP2072" s="4"/>
      <c r="HQ2072" s="4"/>
      <c r="HR2072" s="4"/>
    </row>
    <row r="2073">
      <c r="A2073" s="2" t="s">
        <v>9403</v>
      </c>
      <c r="B2073" s="2" t="s">
        <v>1242</v>
      </c>
      <c r="C2073" s="2" t="s">
        <v>243</v>
      </c>
      <c r="D2073" s="2" t="s">
        <v>969</v>
      </c>
      <c r="E2073" s="2" t="s">
        <v>970</v>
      </c>
      <c r="F2073" s="2" t="s">
        <v>9386</v>
      </c>
      <c r="G2073" s="2" t="s">
        <v>9387</v>
      </c>
      <c r="H2073" s="2" t="s">
        <v>1828</v>
      </c>
      <c r="I2073" s="2" t="s">
        <v>9388</v>
      </c>
      <c r="J2073" s="2" t="s">
        <v>1142</v>
      </c>
      <c r="K2073" s="2" t="s">
        <v>6366</v>
      </c>
      <c r="L2073" s="3">
        <v>30.95</v>
      </c>
      <c r="M2073" s="3">
        <v>32.5</v>
      </c>
      <c r="N2073" s="3">
        <v>64.99</v>
      </c>
      <c r="O2073" s="2" t="s">
        <v>245</v>
      </c>
      <c r="P2073" s="2" t="s">
        <v>974</v>
      </c>
      <c r="Q2073" s="2" t="s">
        <v>239</v>
      </c>
      <c r="R2073" s="2" t="s">
        <v>233</v>
      </c>
      <c r="S2073" s="2" t="s">
        <v>9401</v>
      </c>
      <c r="T2073" s="2" t="s">
        <v>395</v>
      </c>
      <c r="U2073" s="2" t="s">
        <v>475</v>
      </c>
      <c r="V2073" s="2" t="s">
        <v>1085</v>
      </c>
      <c r="W2073" s="2" t="s">
        <v>2882</v>
      </c>
      <c r="X2073" s="2" t="s">
        <v>275</v>
      </c>
      <c r="Y2073" s="2" t="s">
        <v>233</v>
      </c>
      <c r="Z2073" s="4"/>
      <c r="AA2073" s="4">
        <f>=ROUNDDOWN({0},0)</f>
      </c>
      <c r="AB2073" s="5"/>
      <c r="AC2073" s="2" t="s">
        <v>3189</v>
      </c>
      <c r="AD2073" s="4">
        <v>234</v>
      </c>
      <c r="AE2073" s="4">
        <v>369</v>
      </c>
      <c r="AF2073" s="6"/>
      <c r="AG2073" s="6"/>
      <c r="AH2073" s="7">
        <v>0</v>
      </c>
      <c r="AI2073" s="4"/>
      <c r="AJ2073" s="4">
        <f>=ROUNDDOWN({0},0)</f>
      </c>
      <c r="AK2073" s="5"/>
      <c r="AL2073" s="2" t="s">
        <v>233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233</v>
      </c>
      <c r="AW2073" s="8" t="s">
        <v>233</v>
      </c>
      <c r="AX2073" s="4" t="s">
        <v>233</v>
      </c>
      <c r="AY2073" s="8" t="s">
        <v>233</v>
      </c>
      <c r="AZ2073" s="7" t="s">
        <v>233</v>
      </c>
      <c r="BA2073" s="7" t="s">
        <v>233</v>
      </c>
      <c r="BB2073" s="7"/>
      <c r="BC2073" s="4" t="s">
        <v>233</v>
      </c>
      <c r="BD2073" s="8" t="s">
        <v>233</v>
      </c>
      <c r="BE2073" s="4" t="s">
        <v>233</v>
      </c>
      <c r="BF2073" s="8" t="s">
        <v>233</v>
      </c>
      <c r="BG2073" s="7" t="s">
        <v>233</v>
      </c>
      <c r="BH2073" s="7" t="s">
        <v>233</v>
      </c>
      <c r="BI2073" s="7"/>
      <c r="BJ2073" s="4"/>
      <c r="BK2073" s="8"/>
      <c r="BL2073" s="2" t="s">
        <v>233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243</v>
      </c>
      <c r="BV2073" s="2" t="s">
        <v>233</v>
      </c>
      <c r="BW2073" s="2" t="s">
        <v>233</v>
      </c>
      <c r="BX2073" s="2" t="s">
        <v>243</v>
      </c>
      <c r="BY2073" s="2" t="s">
        <v>244</v>
      </c>
      <c r="BZ2073" s="2" t="s">
        <v>245</v>
      </c>
      <c r="CA2073" s="2" t="s">
        <v>233</v>
      </c>
      <c r="CB2073" s="2" t="s">
        <v>233</v>
      </c>
      <c r="CC2073" s="2" t="s">
        <v>246</v>
      </c>
      <c r="CD2073" s="2" t="s">
        <v>233</v>
      </c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>
        <v>234</v>
      </c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>
        <v>75</v>
      </c>
      <c r="FA2073" s="4"/>
      <c r="FB2073" s="4">
        <v>60</v>
      </c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  <c r="HF2073" s="4"/>
      <c r="HG2073" s="4"/>
      <c r="HH2073" s="4"/>
      <c r="HI2073" s="4"/>
      <c r="HJ2073" s="4"/>
      <c r="HK2073" s="4"/>
      <c r="HL2073" s="4"/>
      <c r="HM2073" s="4"/>
      <c r="HN2073" s="4"/>
      <c r="HO2073" s="4"/>
      <c r="HP2073" s="4"/>
      <c r="HQ2073" s="4"/>
      <c r="HR2073" s="4"/>
    </row>
    <row r="2074">
      <c r="A2074" s="2" t="s">
        <v>9404</v>
      </c>
      <c r="B2074" s="2" t="s">
        <v>1242</v>
      </c>
      <c r="C2074" s="2" t="s">
        <v>243</v>
      </c>
      <c r="D2074" s="2" t="s">
        <v>969</v>
      </c>
      <c r="E2074" s="2" t="s">
        <v>970</v>
      </c>
      <c r="F2074" s="2" t="s">
        <v>9386</v>
      </c>
      <c r="G2074" s="2" t="s">
        <v>9387</v>
      </c>
      <c r="H2074" s="2" t="s">
        <v>1828</v>
      </c>
      <c r="I2074" s="2" t="s">
        <v>9388</v>
      </c>
      <c r="J2074" s="2" t="s">
        <v>918</v>
      </c>
      <c r="K2074" s="2" t="s">
        <v>2158</v>
      </c>
      <c r="L2074" s="3">
        <v>22.85</v>
      </c>
      <c r="M2074" s="3">
        <v>23.99</v>
      </c>
      <c r="N2074" s="3">
        <v>47.99</v>
      </c>
      <c r="O2074" s="2" t="s">
        <v>245</v>
      </c>
      <c r="P2074" s="2" t="s">
        <v>974</v>
      </c>
      <c r="Q2074" s="2" t="s">
        <v>239</v>
      </c>
      <c r="R2074" s="2" t="s">
        <v>233</v>
      </c>
      <c r="S2074" s="2" t="s">
        <v>9405</v>
      </c>
      <c r="T2074" s="2" t="s">
        <v>395</v>
      </c>
      <c r="U2074" s="2" t="s">
        <v>491</v>
      </c>
      <c r="V2074" s="2" t="s">
        <v>1085</v>
      </c>
      <c r="W2074" s="2" t="s">
        <v>2882</v>
      </c>
      <c r="X2074" s="2" t="s">
        <v>275</v>
      </c>
      <c r="Y2074" s="2" t="s">
        <v>233</v>
      </c>
      <c r="Z2074" s="4"/>
      <c r="AA2074" s="4">
        <f>=ROUNDDOWN({0},0)</f>
      </c>
      <c r="AB2074" s="5"/>
      <c r="AC2074" s="2" t="s">
        <v>3189</v>
      </c>
      <c r="AD2074" s="4">
        <v>288</v>
      </c>
      <c r="AE2074" s="4">
        <v>347</v>
      </c>
      <c r="AF2074" s="6"/>
      <c r="AG2074" s="6"/>
      <c r="AH2074" s="7">
        <v>0</v>
      </c>
      <c r="AI2074" s="4"/>
      <c r="AJ2074" s="4">
        <f>=ROUNDDOWN({0},0)</f>
      </c>
      <c r="AK2074" s="5"/>
      <c r="AL2074" s="2" t="s">
        <v>233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233</v>
      </c>
      <c r="AW2074" s="8" t="s">
        <v>233</v>
      </c>
      <c r="AX2074" s="4" t="s">
        <v>233</v>
      </c>
      <c r="AY2074" s="8" t="s">
        <v>233</v>
      </c>
      <c r="AZ2074" s="7" t="s">
        <v>233</v>
      </c>
      <c r="BA2074" s="7" t="s">
        <v>233</v>
      </c>
      <c r="BB2074" s="7"/>
      <c r="BC2074" s="4" t="s">
        <v>233</v>
      </c>
      <c r="BD2074" s="8" t="s">
        <v>233</v>
      </c>
      <c r="BE2074" s="4" t="s">
        <v>233</v>
      </c>
      <c r="BF2074" s="8" t="s">
        <v>233</v>
      </c>
      <c r="BG2074" s="7" t="s">
        <v>233</v>
      </c>
      <c r="BH2074" s="7" t="s">
        <v>233</v>
      </c>
      <c r="BI2074" s="7"/>
      <c r="BJ2074" s="4"/>
      <c r="BK2074" s="8"/>
      <c r="BL2074" s="2" t="s">
        <v>233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243</v>
      </c>
      <c r="BV2074" s="2" t="s">
        <v>233</v>
      </c>
      <c r="BW2074" s="2" t="s">
        <v>233</v>
      </c>
      <c r="BX2074" s="2" t="s">
        <v>243</v>
      </c>
      <c r="BY2074" s="2" t="s">
        <v>244</v>
      </c>
      <c r="BZ2074" s="2" t="s">
        <v>245</v>
      </c>
      <c r="CA2074" s="2" t="s">
        <v>233</v>
      </c>
      <c r="CB2074" s="2" t="s">
        <v>233</v>
      </c>
      <c r="CC2074" s="2" t="s">
        <v>246</v>
      </c>
      <c r="CD2074" s="2" t="s">
        <v>233</v>
      </c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>
        <v>288</v>
      </c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>
        <v>18</v>
      </c>
      <c r="FA2074" s="4"/>
      <c r="FB2074" s="4">
        <v>41</v>
      </c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  <c r="HF2074" s="4"/>
      <c r="HG2074" s="4"/>
      <c r="HH2074" s="4"/>
      <c r="HI2074" s="4"/>
      <c r="HJ2074" s="4"/>
      <c r="HK2074" s="4"/>
      <c r="HL2074" s="4"/>
      <c r="HM2074" s="4"/>
      <c r="HN2074" s="4"/>
      <c r="HO2074" s="4"/>
      <c r="HP2074" s="4"/>
      <c r="HQ2074" s="4"/>
      <c r="HR2074" s="4"/>
    </row>
    <row r="2075">
      <c r="A2075" s="2" t="s">
        <v>9406</v>
      </c>
      <c r="B2075" s="2" t="s">
        <v>1242</v>
      </c>
      <c r="C2075" s="2" t="s">
        <v>243</v>
      </c>
      <c r="D2075" s="2" t="s">
        <v>969</v>
      </c>
      <c r="E2075" s="2" t="s">
        <v>970</v>
      </c>
      <c r="F2075" s="2" t="s">
        <v>9386</v>
      </c>
      <c r="G2075" s="2" t="s">
        <v>9387</v>
      </c>
      <c r="H2075" s="2" t="s">
        <v>1828</v>
      </c>
      <c r="I2075" s="2" t="s">
        <v>9388</v>
      </c>
      <c r="J2075" s="2" t="s">
        <v>981</v>
      </c>
      <c r="K2075" s="2" t="s">
        <v>2158</v>
      </c>
      <c r="L2075" s="3">
        <v>27.61</v>
      </c>
      <c r="M2075" s="3">
        <v>28.99</v>
      </c>
      <c r="N2075" s="3">
        <v>57.99</v>
      </c>
      <c r="O2075" s="2" t="s">
        <v>245</v>
      </c>
      <c r="P2075" s="2" t="s">
        <v>974</v>
      </c>
      <c r="Q2075" s="2" t="s">
        <v>239</v>
      </c>
      <c r="R2075" s="2" t="s">
        <v>233</v>
      </c>
      <c r="S2075" s="2" t="s">
        <v>9405</v>
      </c>
      <c r="T2075" s="2" t="s">
        <v>395</v>
      </c>
      <c r="U2075" s="2" t="s">
        <v>475</v>
      </c>
      <c r="V2075" s="2" t="s">
        <v>1085</v>
      </c>
      <c r="W2075" s="2" t="s">
        <v>2882</v>
      </c>
      <c r="X2075" s="2" t="s">
        <v>275</v>
      </c>
      <c r="Y2075" s="2" t="s">
        <v>233</v>
      </c>
      <c r="Z2075" s="4"/>
      <c r="AA2075" s="4">
        <f>=ROUNDDOWN({0},0)</f>
      </c>
      <c r="AB2075" s="5"/>
      <c r="AC2075" s="2" t="s">
        <v>3189</v>
      </c>
      <c r="AD2075" s="4">
        <v>594</v>
      </c>
      <c r="AE2075" s="4">
        <v>887</v>
      </c>
      <c r="AF2075" s="6"/>
      <c r="AG2075" s="6"/>
      <c r="AH2075" s="7">
        <v>0</v>
      </c>
      <c r="AI2075" s="4"/>
      <c r="AJ2075" s="4">
        <f>=ROUNDDOWN({0},0)</f>
      </c>
      <c r="AK2075" s="5"/>
      <c r="AL2075" s="2" t="s">
        <v>233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233</v>
      </c>
      <c r="AW2075" s="8" t="s">
        <v>233</v>
      </c>
      <c r="AX2075" s="4" t="s">
        <v>233</v>
      </c>
      <c r="AY2075" s="8" t="s">
        <v>233</v>
      </c>
      <c r="AZ2075" s="7" t="s">
        <v>233</v>
      </c>
      <c r="BA2075" s="7" t="s">
        <v>233</v>
      </c>
      <c r="BB2075" s="7"/>
      <c r="BC2075" s="4" t="s">
        <v>233</v>
      </c>
      <c r="BD2075" s="8" t="s">
        <v>233</v>
      </c>
      <c r="BE2075" s="4" t="s">
        <v>233</v>
      </c>
      <c r="BF2075" s="8" t="s">
        <v>233</v>
      </c>
      <c r="BG2075" s="7" t="s">
        <v>233</v>
      </c>
      <c r="BH2075" s="7" t="s">
        <v>233</v>
      </c>
      <c r="BI2075" s="7"/>
      <c r="BJ2075" s="4"/>
      <c r="BK2075" s="8"/>
      <c r="BL2075" s="2" t="s">
        <v>233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243</v>
      </c>
      <c r="BV2075" s="2" t="s">
        <v>233</v>
      </c>
      <c r="BW2075" s="2" t="s">
        <v>233</v>
      </c>
      <c r="BX2075" s="2" t="s">
        <v>243</v>
      </c>
      <c r="BY2075" s="2" t="s">
        <v>244</v>
      </c>
      <c r="BZ2075" s="2" t="s">
        <v>245</v>
      </c>
      <c r="CA2075" s="2" t="s">
        <v>233</v>
      </c>
      <c r="CB2075" s="2" t="s">
        <v>233</v>
      </c>
      <c r="CC2075" s="2" t="s">
        <v>246</v>
      </c>
      <c r="CD2075" s="2" t="s">
        <v>233</v>
      </c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>
        <v>594</v>
      </c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>
        <v>142</v>
      </c>
      <c r="FA2075" s="4"/>
      <c r="FB2075" s="4">
        <v>151</v>
      </c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4"/>
      <c r="HE2075" s="4"/>
      <c r="HF2075" s="4"/>
      <c r="HG2075" s="4"/>
      <c r="HH2075" s="4"/>
      <c r="HI2075" s="4"/>
      <c r="HJ2075" s="4"/>
      <c r="HK2075" s="4"/>
      <c r="HL2075" s="4"/>
      <c r="HM2075" s="4"/>
      <c r="HN2075" s="4"/>
      <c r="HO2075" s="4"/>
      <c r="HP2075" s="4"/>
      <c r="HQ2075" s="4"/>
      <c r="HR2075" s="4"/>
    </row>
    <row r="2076">
      <c r="A2076" s="2" t="s">
        <v>9407</v>
      </c>
      <c r="B2076" s="2" t="s">
        <v>1242</v>
      </c>
      <c r="C2076" s="2" t="s">
        <v>243</v>
      </c>
      <c r="D2076" s="2" t="s">
        <v>969</v>
      </c>
      <c r="E2076" s="2" t="s">
        <v>970</v>
      </c>
      <c r="F2076" s="2" t="s">
        <v>9386</v>
      </c>
      <c r="G2076" s="2" t="s">
        <v>9387</v>
      </c>
      <c r="H2076" s="2" t="s">
        <v>1828</v>
      </c>
      <c r="I2076" s="2" t="s">
        <v>9388</v>
      </c>
      <c r="J2076" s="2" t="s">
        <v>1142</v>
      </c>
      <c r="K2076" s="2" t="s">
        <v>2158</v>
      </c>
      <c r="L2076" s="3">
        <v>30.95</v>
      </c>
      <c r="M2076" s="3">
        <v>32.5</v>
      </c>
      <c r="N2076" s="3">
        <v>64.99</v>
      </c>
      <c r="O2076" s="2" t="s">
        <v>245</v>
      </c>
      <c r="P2076" s="2" t="s">
        <v>974</v>
      </c>
      <c r="Q2076" s="2" t="s">
        <v>239</v>
      </c>
      <c r="R2076" s="2" t="s">
        <v>233</v>
      </c>
      <c r="S2076" s="2" t="s">
        <v>9405</v>
      </c>
      <c r="T2076" s="2" t="s">
        <v>395</v>
      </c>
      <c r="U2076" s="2" t="s">
        <v>475</v>
      </c>
      <c r="V2076" s="2" t="s">
        <v>1085</v>
      </c>
      <c r="W2076" s="2" t="s">
        <v>2882</v>
      </c>
      <c r="X2076" s="2" t="s">
        <v>275</v>
      </c>
      <c r="Y2076" s="2" t="s">
        <v>233</v>
      </c>
      <c r="Z2076" s="4"/>
      <c r="AA2076" s="4">
        <f>=ROUNDDOWN({0},0)</f>
      </c>
      <c r="AB2076" s="5"/>
      <c r="AC2076" s="2" t="s">
        <v>3189</v>
      </c>
      <c r="AD2076" s="4">
        <v>480</v>
      </c>
      <c r="AE2076" s="4">
        <v>733</v>
      </c>
      <c r="AF2076" s="6"/>
      <c r="AG2076" s="6"/>
      <c r="AH2076" s="7">
        <v>0</v>
      </c>
      <c r="AI2076" s="4"/>
      <c r="AJ2076" s="4">
        <f>=ROUNDDOWN({0},0)</f>
      </c>
      <c r="AK2076" s="5"/>
      <c r="AL2076" s="2" t="s">
        <v>233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233</v>
      </c>
      <c r="AW2076" s="8" t="s">
        <v>233</v>
      </c>
      <c r="AX2076" s="4" t="s">
        <v>233</v>
      </c>
      <c r="AY2076" s="8" t="s">
        <v>233</v>
      </c>
      <c r="AZ2076" s="7" t="s">
        <v>233</v>
      </c>
      <c r="BA2076" s="7" t="s">
        <v>233</v>
      </c>
      <c r="BB2076" s="7"/>
      <c r="BC2076" s="4" t="s">
        <v>233</v>
      </c>
      <c r="BD2076" s="8" t="s">
        <v>233</v>
      </c>
      <c r="BE2076" s="4" t="s">
        <v>233</v>
      </c>
      <c r="BF2076" s="8" t="s">
        <v>233</v>
      </c>
      <c r="BG2076" s="7" t="s">
        <v>233</v>
      </c>
      <c r="BH2076" s="7" t="s">
        <v>233</v>
      </c>
      <c r="BI2076" s="7"/>
      <c r="BJ2076" s="4"/>
      <c r="BK2076" s="8"/>
      <c r="BL2076" s="2" t="s">
        <v>233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243</v>
      </c>
      <c r="BV2076" s="2" t="s">
        <v>233</v>
      </c>
      <c r="BW2076" s="2" t="s">
        <v>233</v>
      </c>
      <c r="BX2076" s="2" t="s">
        <v>243</v>
      </c>
      <c r="BY2076" s="2" t="s">
        <v>244</v>
      </c>
      <c r="BZ2076" s="2" t="s">
        <v>245</v>
      </c>
      <c r="CA2076" s="2" t="s">
        <v>233</v>
      </c>
      <c r="CB2076" s="2" t="s">
        <v>233</v>
      </c>
      <c r="CC2076" s="2" t="s">
        <v>246</v>
      </c>
      <c r="CD2076" s="2" t="s">
        <v>233</v>
      </c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>
        <v>480</v>
      </c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>
        <v>131</v>
      </c>
      <c r="FA2076" s="4"/>
      <c r="FB2076" s="4">
        <v>122</v>
      </c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  <c r="GL2076" s="4"/>
      <c r="GM2076" s="4"/>
      <c r="GN2076" s="4"/>
      <c r="GO2076" s="4"/>
      <c r="GP2076" s="4"/>
      <c r="GQ2076" s="4"/>
      <c r="GR2076" s="4"/>
      <c r="GS2076" s="4"/>
      <c r="GT2076" s="4"/>
      <c r="GU2076" s="4"/>
      <c r="GV2076" s="4"/>
      <c r="GW2076" s="4"/>
      <c r="GX2076" s="4"/>
      <c r="GY2076" s="4"/>
      <c r="GZ2076" s="4"/>
      <c r="HA2076" s="4"/>
      <c r="HB2076" s="4"/>
      <c r="HC2076" s="4"/>
      <c r="HD2076" s="4"/>
      <c r="HE2076" s="4"/>
      <c r="HF2076" s="4"/>
      <c r="HG2076" s="4"/>
      <c r="HH2076" s="4"/>
      <c r="HI2076" s="4"/>
      <c r="HJ2076" s="4"/>
      <c r="HK2076" s="4"/>
      <c r="HL2076" s="4"/>
      <c r="HM2076" s="4"/>
      <c r="HN2076" s="4"/>
      <c r="HO2076" s="4"/>
      <c r="HP2076" s="4"/>
      <c r="HQ2076" s="4"/>
      <c r="HR2076" s="4"/>
    </row>
    <row r="2077">
      <c r="A2077" s="2" t="s">
        <v>9408</v>
      </c>
      <c r="B2077" s="2" t="s">
        <v>910</v>
      </c>
      <c r="C2077" s="2" t="s">
        <v>911</v>
      </c>
      <c r="D2077" s="2" t="s">
        <v>969</v>
      </c>
      <c r="E2077" s="2" t="s">
        <v>970</v>
      </c>
      <c r="F2077" s="2" t="s">
        <v>9409</v>
      </c>
      <c r="G2077" s="2" t="s">
        <v>8729</v>
      </c>
      <c r="H2077" s="2" t="s">
        <v>9410</v>
      </c>
      <c r="I2077" s="2" t="s">
        <v>9411</v>
      </c>
      <c r="J2077" s="2" t="s">
        <v>918</v>
      </c>
      <c r="K2077" s="2" t="s">
        <v>9412</v>
      </c>
      <c r="L2077" s="3">
        <v>28.57</v>
      </c>
      <c r="M2077" s="3">
        <v>30</v>
      </c>
      <c r="N2077" s="3">
        <v>59.99</v>
      </c>
      <c r="O2077" s="2" t="s">
        <v>245</v>
      </c>
      <c r="P2077" s="2" t="s">
        <v>272</v>
      </c>
      <c r="Q2077" s="2" t="s">
        <v>239</v>
      </c>
      <c r="R2077" s="2" t="s">
        <v>233</v>
      </c>
      <c r="S2077" s="2" t="s">
        <v>9413</v>
      </c>
      <c r="T2077" s="2" t="s">
        <v>395</v>
      </c>
      <c r="U2077" s="2" t="s">
        <v>491</v>
      </c>
      <c r="V2077" s="2" t="s">
        <v>1340</v>
      </c>
      <c r="W2077" s="2" t="s">
        <v>397</v>
      </c>
      <c r="X2077" s="2" t="s">
        <v>7831</v>
      </c>
      <c r="Y2077" s="2" t="s">
        <v>1878</v>
      </c>
      <c r="Z2077" s="4">
        <v>355</v>
      </c>
      <c r="AA2077" s="4">
        <f>=ROUNDDOWN(88.75,0)</f>
      </c>
      <c r="AB2077" s="5">
        <v>4</v>
      </c>
      <c r="AC2077" s="2" t="s">
        <v>361</v>
      </c>
      <c r="AD2077" s="4">
        <v>260</v>
      </c>
      <c r="AE2077" s="4">
        <v>260</v>
      </c>
      <c r="AF2077" s="6">
        <v>64</v>
      </c>
      <c r="AG2077" s="6"/>
      <c r="AH2077" s="7">
        <v>1</v>
      </c>
      <c r="AI2077" s="4"/>
      <c r="AJ2077" s="4">
        <f>=ROUNDDOWN({0},0)</f>
      </c>
      <c r="AK2077" s="5"/>
      <c r="AL2077" s="2" t="s">
        <v>233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233</v>
      </c>
      <c r="AW2077" s="8" t="s">
        <v>233</v>
      </c>
      <c r="AX2077" s="4" t="s">
        <v>233</v>
      </c>
      <c r="AY2077" s="8" t="s">
        <v>233</v>
      </c>
      <c r="AZ2077" s="7" t="s">
        <v>233</v>
      </c>
      <c r="BA2077" s="7" t="s">
        <v>233</v>
      </c>
      <c r="BB2077" s="7"/>
      <c r="BC2077" s="4" t="s">
        <v>233</v>
      </c>
      <c r="BD2077" s="8" t="s">
        <v>233</v>
      </c>
      <c r="BE2077" s="4" t="s">
        <v>233</v>
      </c>
      <c r="BF2077" s="8" t="s">
        <v>233</v>
      </c>
      <c r="BG2077" s="7" t="s">
        <v>233</v>
      </c>
      <c r="BH2077" s="7" t="s">
        <v>233</v>
      </c>
      <c r="BI2077" s="7"/>
      <c r="BJ2077" s="4">
        <v>11</v>
      </c>
      <c r="BK2077" s="8">
        <v>325.38</v>
      </c>
      <c r="BL2077" s="2" t="s">
        <v>9414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9415</v>
      </c>
      <c r="BV2077" s="2" t="s">
        <v>233</v>
      </c>
      <c r="BW2077" s="2" t="s">
        <v>233</v>
      </c>
      <c r="BX2077" s="2" t="s">
        <v>243</v>
      </c>
      <c r="BY2077" s="2" t="s">
        <v>280</v>
      </c>
      <c r="BZ2077" s="2" t="s">
        <v>245</v>
      </c>
      <c r="CA2077" s="2" t="s">
        <v>1881</v>
      </c>
      <c r="CB2077" s="2" t="s">
        <v>9416</v>
      </c>
      <c r="CC2077" s="2" t="s">
        <v>246</v>
      </c>
      <c r="CD2077" s="2" t="s">
        <v>233</v>
      </c>
      <c r="CE2077" s="4">
        <v>355</v>
      </c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>
        <v>260</v>
      </c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4"/>
      <c r="HE2077" s="4"/>
      <c r="HF2077" s="4"/>
      <c r="HG2077" s="4"/>
      <c r="HH2077" s="4"/>
      <c r="HI2077" s="4"/>
      <c r="HJ2077" s="4"/>
      <c r="HK2077" s="4"/>
      <c r="HL2077" s="4"/>
      <c r="HM2077" s="4"/>
      <c r="HN2077" s="4"/>
      <c r="HO2077" s="4"/>
      <c r="HP2077" s="4"/>
      <c r="HQ2077" s="4"/>
      <c r="HR2077" s="4"/>
    </row>
    <row r="2078">
      <c r="A2078" s="2" t="s">
        <v>9417</v>
      </c>
      <c r="B2078" s="2" t="s">
        <v>910</v>
      </c>
      <c r="C2078" s="2" t="s">
        <v>911</v>
      </c>
      <c r="D2078" s="2" t="s">
        <v>912</v>
      </c>
      <c r="E2078" s="2" t="s">
        <v>1139</v>
      </c>
      <c r="F2078" s="2" t="s">
        <v>9409</v>
      </c>
      <c r="G2078" s="2" t="s">
        <v>8729</v>
      </c>
      <c r="H2078" s="2" t="s">
        <v>9410</v>
      </c>
      <c r="I2078" s="2" t="s">
        <v>9418</v>
      </c>
      <c r="J2078" s="2" t="s">
        <v>1142</v>
      </c>
      <c r="K2078" s="2" t="s">
        <v>9412</v>
      </c>
      <c r="L2078" s="3">
        <v>28.57</v>
      </c>
      <c r="M2078" s="3">
        <v>30</v>
      </c>
      <c r="N2078" s="3">
        <v>59.99</v>
      </c>
      <c r="O2078" s="2" t="s">
        <v>252</v>
      </c>
      <c r="P2078" s="2" t="s">
        <v>311</v>
      </c>
      <c r="Q2078" s="2" t="s">
        <v>239</v>
      </c>
      <c r="R2078" s="2" t="s">
        <v>233</v>
      </c>
      <c r="S2078" s="2" t="s">
        <v>9413</v>
      </c>
      <c r="T2078" s="2" t="s">
        <v>395</v>
      </c>
      <c r="U2078" s="2" t="s">
        <v>475</v>
      </c>
      <c r="V2078" s="2" t="s">
        <v>1340</v>
      </c>
      <c r="W2078" s="2" t="s">
        <v>397</v>
      </c>
      <c r="X2078" s="2" t="s">
        <v>7831</v>
      </c>
      <c r="Y2078" s="2" t="s">
        <v>6644</v>
      </c>
      <c r="Z2078" s="4">
        <v>1</v>
      </c>
      <c r="AA2078" s="4">
        <f>=ROUNDDOWN(0.5,0)</f>
      </c>
      <c r="AB2078" s="5">
        <v>2</v>
      </c>
      <c r="AC2078" s="2" t="s">
        <v>233</v>
      </c>
      <c r="AD2078" s="4"/>
      <c r="AE2078" s="4"/>
      <c r="AF2078" s="6">
        <v>64</v>
      </c>
      <c r="AG2078" s="6"/>
      <c r="AH2078" s="7">
        <v>1</v>
      </c>
      <c r="AI2078" s="4"/>
      <c r="AJ2078" s="4">
        <f>=ROUNDDOWN({0},0)</f>
      </c>
      <c r="AK2078" s="5"/>
      <c r="AL2078" s="2" t="s">
        <v>233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233</v>
      </c>
      <c r="AW2078" s="8" t="s">
        <v>233</v>
      </c>
      <c r="AX2078" s="4" t="s">
        <v>233</v>
      </c>
      <c r="AY2078" s="8" t="s">
        <v>233</v>
      </c>
      <c r="AZ2078" s="7" t="s">
        <v>233</v>
      </c>
      <c r="BA2078" s="7" t="s">
        <v>233</v>
      </c>
      <c r="BB2078" s="7"/>
      <c r="BC2078" s="4" t="s">
        <v>233</v>
      </c>
      <c r="BD2078" s="8" t="s">
        <v>233</v>
      </c>
      <c r="BE2078" s="4" t="s">
        <v>233</v>
      </c>
      <c r="BF2078" s="8" t="s">
        <v>233</v>
      </c>
      <c r="BG2078" s="7" t="s">
        <v>233</v>
      </c>
      <c r="BH2078" s="7" t="s">
        <v>233</v>
      </c>
      <c r="BI2078" s="7"/>
      <c r="BJ2078" s="4">
        <v>5</v>
      </c>
      <c r="BK2078" s="8">
        <v>155.68</v>
      </c>
      <c r="BL2078" s="2" t="s">
        <v>9419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9420</v>
      </c>
      <c r="BV2078" s="2" t="s">
        <v>233</v>
      </c>
      <c r="BW2078" s="2" t="s">
        <v>233</v>
      </c>
      <c r="BX2078" s="2" t="s">
        <v>233</v>
      </c>
      <c r="BY2078" s="2" t="s">
        <v>280</v>
      </c>
      <c r="BZ2078" s="2" t="s">
        <v>245</v>
      </c>
      <c r="CA2078" s="2" t="s">
        <v>9421</v>
      </c>
      <c r="CB2078" s="2" t="s">
        <v>9422</v>
      </c>
      <c r="CC2078" s="2" t="s">
        <v>246</v>
      </c>
      <c r="CD2078" s="2" t="s">
        <v>233</v>
      </c>
      <c r="CE2078" s="4">
        <v>1</v>
      </c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4"/>
      <c r="HE2078" s="4"/>
      <c r="HF2078" s="4"/>
      <c r="HG2078" s="4"/>
      <c r="HH2078" s="4"/>
      <c r="HI2078" s="4"/>
      <c r="HJ2078" s="4"/>
      <c r="HK2078" s="4"/>
      <c r="HL2078" s="4"/>
      <c r="HM2078" s="4"/>
      <c r="HN2078" s="4"/>
      <c r="HO2078" s="4"/>
      <c r="HP2078" s="4"/>
      <c r="HQ2078" s="4"/>
      <c r="HR2078" s="4"/>
    </row>
    <row r="2079">
      <c r="A2079" s="2" t="s">
        <v>9423</v>
      </c>
      <c r="B2079" s="2" t="s">
        <v>910</v>
      </c>
      <c r="C2079" s="2" t="s">
        <v>1266</v>
      </c>
      <c r="D2079" s="2" t="s">
        <v>969</v>
      </c>
      <c r="E2079" s="2" t="s">
        <v>1078</v>
      </c>
      <c r="F2079" s="2" t="s">
        <v>9424</v>
      </c>
      <c r="G2079" s="2" t="s">
        <v>9425</v>
      </c>
      <c r="H2079" s="2" t="s">
        <v>9426</v>
      </c>
      <c r="I2079" s="2" t="s">
        <v>1082</v>
      </c>
      <c r="J2079" s="2" t="s">
        <v>1142</v>
      </c>
      <c r="K2079" s="2" t="s">
        <v>257</v>
      </c>
      <c r="L2079" s="3">
        <v>39.74</v>
      </c>
      <c r="M2079" s="3">
        <v>41.73</v>
      </c>
      <c r="N2079" s="3">
        <v>89.99</v>
      </c>
      <c r="O2079" s="2" t="s">
        <v>245</v>
      </c>
      <c r="P2079" s="2" t="s">
        <v>996</v>
      </c>
      <c r="Q2079" s="2" t="s">
        <v>239</v>
      </c>
      <c r="R2079" s="2" t="s">
        <v>233</v>
      </c>
      <c r="S2079" s="2" t="s">
        <v>9427</v>
      </c>
      <c r="T2079" s="2" t="s">
        <v>395</v>
      </c>
      <c r="U2079" s="2" t="s">
        <v>342</v>
      </c>
      <c r="V2079" s="2" t="s">
        <v>1658</v>
      </c>
      <c r="W2079" s="2" t="s">
        <v>275</v>
      </c>
      <c r="X2079" s="2" t="s">
        <v>397</v>
      </c>
      <c r="Y2079" s="2" t="s">
        <v>276</v>
      </c>
      <c r="Z2079" s="4">
        <v>26</v>
      </c>
      <c r="AA2079" s="4">
        <f>=ROUNDDOWN(5.2,0)</f>
      </c>
      <c r="AB2079" s="5">
        <v>5</v>
      </c>
      <c r="AC2079" s="2" t="s">
        <v>233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233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/>
      <c r="BD2079" s="8"/>
      <c r="BE2079" s="4"/>
      <c r="BF2079" s="8"/>
      <c r="BG2079" s="7"/>
      <c r="BH2079" s="7"/>
      <c r="BI2079" s="7"/>
      <c r="BJ2079" s="4">
        <v>5</v>
      </c>
      <c r="BK2079" s="8">
        <v>195.6</v>
      </c>
      <c r="BL2079" s="2" t="s">
        <v>9428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9429</v>
      </c>
      <c r="BV2079" s="2" t="s">
        <v>233</v>
      </c>
      <c r="BW2079" s="2" t="s">
        <v>233</v>
      </c>
      <c r="BX2079" s="2" t="s">
        <v>233</v>
      </c>
      <c r="BY2079" s="2" t="s">
        <v>280</v>
      </c>
      <c r="BZ2079" s="2" t="s">
        <v>245</v>
      </c>
      <c r="CA2079" s="2" t="s">
        <v>421</v>
      </c>
      <c r="CB2079" s="2" t="s">
        <v>4271</v>
      </c>
      <c r="CC2079" s="2" t="s">
        <v>246</v>
      </c>
      <c r="CD2079" s="2" t="s">
        <v>233</v>
      </c>
      <c r="CE2079" s="4"/>
      <c r="CF2079" s="4">
        <v>14</v>
      </c>
      <c r="CG2079" s="4"/>
      <c r="CH2079" s="4"/>
      <c r="CI2079" s="4">
        <v>12</v>
      </c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4"/>
      <c r="HE2079" s="4"/>
      <c r="HF2079" s="4"/>
      <c r="HG2079" s="4"/>
      <c r="HH2079" s="4"/>
      <c r="HI2079" s="4"/>
      <c r="HJ2079" s="4"/>
      <c r="HK2079" s="4"/>
      <c r="HL2079" s="4"/>
      <c r="HM2079" s="4"/>
      <c r="HN2079" s="4"/>
      <c r="HO2079" s="4"/>
      <c r="HP2079" s="4"/>
      <c r="HQ2079" s="4"/>
      <c r="HR2079" s="4"/>
    </row>
    <row r="2080">
      <c r="A2080" s="2" t="s">
        <v>9430</v>
      </c>
      <c r="B2080" s="2" t="s">
        <v>1242</v>
      </c>
      <c r="C2080" s="2" t="s">
        <v>1781</v>
      </c>
      <c r="D2080" s="2" t="s">
        <v>969</v>
      </c>
      <c r="E2080" s="2" t="s">
        <v>1078</v>
      </c>
      <c r="F2080" s="2" t="s">
        <v>9431</v>
      </c>
      <c r="G2080" s="2" t="s">
        <v>9431</v>
      </c>
      <c r="H2080" s="2" t="s">
        <v>9431</v>
      </c>
      <c r="I2080" s="2" t="s">
        <v>9432</v>
      </c>
      <c r="J2080" s="2" t="s">
        <v>348</v>
      </c>
      <c r="K2080" s="2" t="s">
        <v>9433</v>
      </c>
      <c r="L2080" s="3">
        <v>96</v>
      </c>
      <c r="M2080" s="3">
        <v>100.8</v>
      </c>
      <c r="N2080" s="3">
        <v>199.99</v>
      </c>
      <c r="O2080" s="2" t="s">
        <v>245</v>
      </c>
      <c r="P2080" s="2" t="s">
        <v>272</v>
      </c>
      <c r="Q2080" s="2" t="s">
        <v>239</v>
      </c>
      <c r="R2080" s="2" t="s">
        <v>233</v>
      </c>
      <c r="S2080" s="2" t="s">
        <v>9434</v>
      </c>
      <c r="T2080" s="2" t="s">
        <v>341</v>
      </c>
      <c r="U2080" s="2" t="s">
        <v>871</v>
      </c>
      <c r="V2080" s="2" t="s">
        <v>343</v>
      </c>
      <c r="W2080" s="2" t="s">
        <v>343</v>
      </c>
      <c r="X2080" s="2" t="s">
        <v>233</v>
      </c>
      <c r="Y2080" s="2" t="s">
        <v>1674</v>
      </c>
      <c r="Z2080" s="4"/>
      <c r="AA2080" s="4">
        <f>=ROUNDDOWN({0},0)</f>
      </c>
      <c r="AB2080" s="5">
        <v>9</v>
      </c>
      <c r="AC2080" s="2" t="s">
        <v>1701</v>
      </c>
      <c r="AD2080" s="4">
        <v>80</v>
      </c>
      <c r="AE2080" s="4">
        <v>294</v>
      </c>
      <c r="AF2080" s="6">
        <v>67</v>
      </c>
      <c r="AG2080" s="6"/>
      <c r="AH2080" s="7">
        <v>0</v>
      </c>
      <c r="AI2080" s="4"/>
      <c r="AJ2080" s="4">
        <f>=ROUNDDOWN({0},0)</f>
      </c>
      <c r="AK2080" s="5"/>
      <c r="AL2080" s="2" t="s">
        <v>233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233</v>
      </c>
      <c r="AW2080" s="8" t="s">
        <v>233</v>
      </c>
      <c r="AX2080" s="4" t="s">
        <v>233</v>
      </c>
      <c r="AY2080" s="8" t="s">
        <v>233</v>
      </c>
      <c r="AZ2080" s="7" t="s">
        <v>233</v>
      </c>
      <c r="BA2080" s="7" t="s">
        <v>233</v>
      </c>
      <c r="BB2080" s="7"/>
      <c r="BC2080" s="4" t="s">
        <v>233</v>
      </c>
      <c r="BD2080" s="8" t="s">
        <v>233</v>
      </c>
      <c r="BE2080" s="4" t="s">
        <v>233</v>
      </c>
      <c r="BF2080" s="8" t="s">
        <v>233</v>
      </c>
      <c r="BG2080" s="7" t="s">
        <v>233</v>
      </c>
      <c r="BH2080" s="7" t="s">
        <v>233</v>
      </c>
      <c r="BI2080" s="7"/>
      <c r="BJ2080" s="4"/>
      <c r="BK2080" s="8"/>
      <c r="BL2080" s="2" t="s">
        <v>233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9435</v>
      </c>
      <c r="BV2080" s="2" t="s">
        <v>233</v>
      </c>
      <c r="BW2080" s="2" t="s">
        <v>233</v>
      </c>
      <c r="BX2080" s="2" t="s">
        <v>233</v>
      </c>
      <c r="BY2080" s="2" t="s">
        <v>280</v>
      </c>
      <c r="BZ2080" s="2" t="s">
        <v>245</v>
      </c>
      <c r="CA2080" s="2" t="s">
        <v>1806</v>
      </c>
      <c r="CB2080" s="2" t="s">
        <v>3674</v>
      </c>
      <c r="CC2080" s="2" t="s">
        <v>246</v>
      </c>
      <c r="CD2080" s="2" t="s">
        <v>233</v>
      </c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>
        <v>80</v>
      </c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>
        <v>80</v>
      </c>
      <c r="FT2080" s="4">
        <v>134</v>
      </c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4"/>
      <c r="HE2080" s="4"/>
      <c r="HF2080" s="4"/>
      <c r="HG2080" s="4"/>
      <c r="HH2080" s="4"/>
      <c r="HI2080" s="4"/>
      <c r="HJ2080" s="4"/>
      <c r="HK2080" s="4"/>
      <c r="HL2080" s="4"/>
      <c r="HM2080" s="4"/>
      <c r="HN2080" s="4"/>
      <c r="HO2080" s="4"/>
      <c r="HP2080" s="4"/>
      <c r="HQ2080" s="4"/>
      <c r="HR2080" s="4"/>
    </row>
    <row r="2081">
      <c r="A2081" s="2" t="s">
        <v>9436</v>
      </c>
      <c r="B2081" s="2" t="s">
        <v>1242</v>
      </c>
      <c r="C2081" s="2" t="s">
        <v>1781</v>
      </c>
      <c r="D2081" s="2" t="s">
        <v>969</v>
      </c>
      <c r="E2081" s="2" t="s">
        <v>1078</v>
      </c>
      <c r="F2081" s="2" t="s">
        <v>9431</v>
      </c>
      <c r="G2081" s="2" t="s">
        <v>9431</v>
      </c>
      <c r="H2081" s="2" t="s">
        <v>9431</v>
      </c>
      <c r="I2081" s="2" t="s">
        <v>9432</v>
      </c>
      <c r="J2081" s="2" t="s">
        <v>328</v>
      </c>
      <c r="K2081" s="2" t="s">
        <v>9433</v>
      </c>
      <c r="L2081" s="3">
        <v>105.6</v>
      </c>
      <c r="M2081" s="3">
        <v>110.88</v>
      </c>
      <c r="N2081" s="3">
        <v>219.99</v>
      </c>
      <c r="O2081" s="2" t="s">
        <v>245</v>
      </c>
      <c r="P2081" s="2" t="s">
        <v>272</v>
      </c>
      <c r="Q2081" s="2" t="s">
        <v>239</v>
      </c>
      <c r="R2081" s="2" t="s">
        <v>233</v>
      </c>
      <c r="S2081" s="2" t="s">
        <v>9434</v>
      </c>
      <c r="T2081" s="2" t="s">
        <v>341</v>
      </c>
      <c r="U2081" s="2" t="s">
        <v>871</v>
      </c>
      <c r="V2081" s="2" t="s">
        <v>343</v>
      </c>
      <c r="W2081" s="2" t="s">
        <v>343</v>
      </c>
      <c r="X2081" s="2" t="s">
        <v>233</v>
      </c>
      <c r="Y2081" s="2" t="s">
        <v>1674</v>
      </c>
      <c r="Z2081" s="4"/>
      <c r="AA2081" s="4">
        <f>=ROUNDDOWN({0},0)</f>
      </c>
      <c r="AB2081" s="5">
        <v>8</v>
      </c>
      <c r="AC2081" s="2" t="s">
        <v>1701</v>
      </c>
      <c r="AD2081" s="4">
        <v>150</v>
      </c>
      <c r="AE2081" s="4">
        <v>280</v>
      </c>
      <c r="AF2081" s="6">
        <v>67</v>
      </c>
      <c r="AG2081" s="6"/>
      <c r="AH2081" s="7">
        <v>0</v>
      </c>
      <c r="AI2081" s="4"/>
      <c r="AJ2081" s="4">
        <f>=ROUNDDOWN({0},0)</f>
      </c>
      <c r="AK2081" s="5"/>
      <c r="AL2081" s="2" t="s">
        <v>233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233</v>
      </c>
      <c r="AW2081" s="8" t="s">
        <v>233</v>
      </c>
      <c r="AX2081" s="4" t="s">
        <v>233</v>
      </c>
      <c r="AY2081" s="8" t="s">
        <v>233</v>
      </c>
      <c r="AZ2081" s="7" t="s">
        <v>233</v>
      </c>
      <c r="BA2081" s="7" t="s">
        <v>233</v>
      </c>
      <c r="BB2081" s="7"/>
      <c r="BC2081" s="4" t="s">
        <v>233</v>
      </c>
      <c r="BD2081" s="8" t="s">
        <v>233</v>
      </c>
      <c r="BE2081" s="4" t="s">
        <v>233</v>
      </c>
      <c r="BF2081" s="8" t="s">
        <v>233</v>
      </c>
      <c r="BG2081" s="7" t="s">
        <v>233</v>
      </c>
      <c r="BH2081" s="7" t="s">
        <v>233</v>
      </c>
      <c r="BI2081" s="7"/>
      <c r="BJ2081" s="4"/>
      <c r="BK2081" s="8"/>
      <c r="BL2081" s="2" t="s">
        <v>233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9437</v>
      </c>
      <c r="BV2081" s="2" t="s">
        <v>233</v>
      </c>
      <c r="BW2081" s="2" t="s">
        <v>233</v>
      </c>
      <c r="BX2081" s="2" t="s">
        <v>233</v>
      </c>
      <c r="BY2081" s="2" t="s">
        <v>280</v>
      </c>
      <c r="BZ2081" s="2" t="s">
        <v>245</v>
      </c>
      <c r="CA2081" s="2" t="s">
        <v>1806</v>
      </c>
      <c r="CB2081" s="2" t="s">
        <v>2315</v>
      </c>
      <c r="CC2081" s="2" t="s">
        <v>246</v>
      </c>
      <c r="CD2081" s="2" t="s">
        <v>233</v>
      </c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>
        <v>150</v>
      </c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>
        <v>130</v>
      </c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4"/>
      <c r="HE2081" s="4"/>
      <c r="HF2081" s="4"/>
      <c r="HG2081" s="4"/>
      <c r="HH2081" s="4"/>
      <c r="HI2081" s="4"/>
      <c r="HJ2081" s="4"/>
      <c r="HK2081" s="4"/>
      <c r="HL2081" s="4"/>
      <c r="HM2081" s="4"/>
      <c r="HN2081" s="4"/>
      <c r="HO2081" s="4"/>
      <c r="HP2081" s="4"/>
      <c r="HQ2081" s="4"/>
      <c r="HR2081" s="4"/>
    </row>
    <row r="2082">
      <c r="A2082" s="2" t="s">
        <v>9438</v>
      </c>
      <c r="B2082" s="2" t="s">
        <v>1242</v>
      </c>
      <c r="C2082" s="2" t="s">
        <v>1781</v>
      </c>
      <c r="D2082" s="2" t="s">
        <v>969</v>
      </c>
      <c r="E2082" s="2" t="s">
        <v>1078</v>
      </c>
      <c r="F2082" s="2" t="s">
        <v>9431</v>
      </c>
      <c r="G2082" s="2" t="s">
        <v>9431</v>
      </c>
      <c r="H2082" s="2" t="s">
        <v>9431</v>
      </c>
      <c r="I2082" s="2" t="s">
        <v>9432</v>
      </c>
      <c r="J2082" s="2" t="s">
        <v>546</v>
      </c>
      <c r="K2082" s="2" t="s">
        <v>9433</v>
      </c>
      <c r="L2082" s="3">
        <v>105.6</v>
      </c>
      <c r="M2082" s="3">
        <v>110.88</v>
      </c>
      <c r="N2082" s="3">
        <v>219.99</v>
      </c>
      <c r="O2082" s="2" t="s">
        <v>245</v>
      </c>
      <c r="P2082" s="2" t="s">
        <v>272</v>
      </c>
      <c r="Q2082" s="2" t="s">
        <v>239</v>
      </c>
      <c r="R2082" s="2" t="s">
        <v>233</v>
      </c>
      <c r="S2082" s="2" t="s">
        <v>9434</v>
      </c>
      <c r="T2082" s="2" t="s">
        <v>341</v>
      </c>
      <c r="U2082" s="2" t="s">
        <v>871</v>
      </c>
      <c r="V2082" s="2" t="s">
        <v>343</v>
      </c>
      <c r="W2082" s="2" t="s">
        <v>343</v>
      </c>
      <c r="X2082" s="2" t="s">
        <v>233</v>
      </c>
      <c r="Y2082" s="2" t="s">
        <v>1674</v>
      </c>
      <c r="Z2082" s="4"/>
      <c r="AA2082" s="4">
        <f>=ROUNDDOWN({0},0)</f>
      </c>
      <c r="AB2082" s="5">
        <v>3</v>
      </c>
      <c r="AC2082" s="2" t="s">
        <v>1701</v>
      </c>
      <c r="AD2082" s="4">
        <v>30</v>
      </c>
      <c r="AE2082" s="4">
        <v>110</v>
      </c>
      <c r="AF2082" s="6">
        <v>67</v>
      </c>
      <c r="AG2082" s="6"/>
      <c r="AH2082" s="7">
        <v>0</v>
      </c>
      <c r="AI2082" s="4"/>
      <c r="AJ2082" s="4">
        <f>=ROUNDDOWN({0},0)</f>
      </c>
      <c r="AK2082" s="5"/>
      <c r="AL2082" s="2" t="s">
        <v>233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233</v>
      </c>
      <c r="AW2082" s="8" t="s">
        <v>233</v>
      </c>
      <c r="AX2082" s="4" t="s">
        <v>233</v>
      </c>
      <c r="AY2082" s="8" t="s">
        <v>233</v>
      </c>
      <c r="AZ2082" s="7" t="s">
        <v>233</v>
      </c>
      <c r="BA2082" s="7" t="s">
        <v>233</v>
      </c>
      <c r="BB2082" s="7"/>
      <c r="BC2082" s="4" t="s">
        <v>233</v>
      </c>
      <c r="BD2082" s="8" t="s">
        <v>233</v>
      </c>
      <c r="BE2082" s="4" t="s">
        <v>233</v>
      </c>
      <c r="BF2082" s="8" t="s">
        <v>233</v>
      </c>
      <c r="BG2082" s="7" t="s">
        <v>233</v>
      </c>
      <c r="BH2082" s="7" t="s">
        <v>233</v>
      </c>
      <c r="BI2082" s="7"/>
      <c r="BJ2082" s="4">
        <v>2</v>
      </c>
      <c r="BK2082" s="8">
        <v>232.31</v>
      </c>
      <c r="BL2082" s="2" t="s">
        <v>4772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9439</v>
      </c>
      <c r="BV2082" s="2" t="s">
        <v>233</v>
      </c>
      <c r="BW2082" s="2" t="s">
        <v>233</v>
      </c>
      <c r="BX2082" s="2" t="s">
        <v>233</v>
      </c>
      <c r="BY2082" s="2" t="s">
        <v>280</v>
      </c>
      <c r="BZ2082" s="2" t="s">
        <v>245</v>
      </c>
      <c r="CA2082" s="2" t="s">
        <v>1806</v>
      </c>
      <c r="CB2082" s="2" t="s">
        <v>5390</v>
      </c>
      <c r="CC2082" s="2" t="s">
        <v>246</v>
      </c>
      <c r="CD2082" s="2" t="s">
        <v>233</v>
      </c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>
        <v>30</v>
      </c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>
        <v>80</v>
      </c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4"/>
      <c r="HE2082" s="4"/>
      <c r="HF2082" s="4"/>
      <c r="HG2082" s="4"/>
      <c r="HH2082" s="4"/>
      <c r="HI2082" s="4"/>
      <c r="HJ2082" s="4"/>
      <c r="HK2082" s="4"/>
      <c r="HL2082" s="4"/>
      <c r="HM2082" s="4"/>
      <c r="HN2082" s="4"/>
      <c r="HO2082" s="4"/>
      <c r="HP2082" s="4"/>
      <c r="HQ2082" s="4"/>
      <c r="HR2082" s="4"/>
    </row>
    <row r="2083">
      <c r="A2083" s="2" t="s">
        <v>9440</v>
      </c>
      <c r="B2083" s="2" t="s">
        <v>928</v>
      </c>
      <c r="C2083" s="2" t="s">
        <v>947</v>
      </c>
      <c r="D2083" s="2" t="s">
        <v>1101</v>
      </c>
      <c r="E2083" s="2" t="s">
        <v>1102</v>
      </c>
      <c r="F2083" s="2" t="s">
        <v>9441</v>
      </c>
      <c r="G2083" s="2" t="s">
        <v>9441</v>
      </c>
      <c r="H2083" s="2" t="s">
        <v>9441</v>
      </c>
      <c r="I2083" s="2" t="s">
        <v>9442</v>
      </c>
      <c r="J2083" s="2" t="s">
        <v>892</v>
      </c>
      <c r="K2083" s="2" t="s">
        <v>236</v>
      </c>
      <c r="L2083" s="3">
        <v>95.23</v>
      </c>
      <c r="M2083" s="3">
        <v>99.99</v>
      </c>
      <c r="N2083" s="3">
        <v>199.99</v>
      </c>
      <c r="O2083" s="2" t="s">
        <v>245</v>
      </c>
      <c r="P2083" s="2" t="s">
        <v>238</v>
      </c>
      <c r="Q2083" s="2" t="s">
        <v>239</v>
      </c>
      <c r="R2083" s="2" t="s">
        <v>233</v>
      </c>
      <c r="S2083" s="2" t="s">
        <v>233</v>
      </c>
      <c r="T2083" s="2" t="s">
        <v>233</v>
      </c>
      <c r="U2083" s="2" t="s">
        <v>396</v>
      </c>
      <c r="V2083" s="2" t="s">
        <v>893</v>
      </c>
      <c r="W2083" s="2" t="s">
        <v>343</v>
      </c>
      <c r="X2083" s="2" t="s">
        <v>5825</v>
      </c>
      <c r="Y2083" s="2" t="s">
        <v>795</v>
      </c>
      <c r="Z2083" s="4">
        <v>100</v>
      </c>
      <c r="AA2083" s="4">
        <f>=ROUNDDOWN({0},0)</f>
      </c>
      <c r="AB2083" s="5"/>
      <c r="AC2083" s="2" t="s">
        <v>233</v>
      </c>
      <c r="AD2083" s="4"/>
      <c r="AE2083" s="4"/>
      <c r="AF2083" s="6"/>
      <c r="AG2083" s="6"/>
      <c r="AH2083" s="7">
        <v>0</v>
      </c>
      <c r="AI2083" s="4"/>
      <c r="AJ2083" s="4">
        <f>=ROUNDDOWN({0},0)</f>
      </c>
      <c r="AK2083" s="5"/>
      <c r="AL2083" s="2" t="s">
        <v>233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233</v>
      </c>
      <c r="BD2083" s="8" t="s">
        <v>233</v>
      </c>
      <c r="BE2083" s="4" t="s">
        <v>233</v>
      </c>
      <c r="BF2083" s="8" t="s">
        <v>233</v>
      </c>
      <c r="BG2083" s="7" t="s">
        <v>233</v>
      </c>
      <c r="BH2083" s="7" t="s">
        <v>233</v>
      </c>
      <c r="BI2083" s="7"/>
      <c r="BJ2083" s="4"/>
      <c r="BK2083" s="8"/>
      <c r="BL2083" s="2" t="s">
        <v>233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243</v>
      </c>
      <c r="BV2083" s="2" t="s">
        <v>233</v>
      </c>
      <c r="BW2083" s="2" t="s">
        <v>233</v>
      </c>
      <c r="BX2083" s="2" t="s">
        <v>243</v>
      </c>
      <c r="BY2083" s="2" t="s">
        <v>244</v>
      </c>
      <c r="BZ2083" s="2" t="s">
        <v>245</v>
      </c>
      <c r="CA2083" s="2" t="s">
        <v>233</v>
      </c>
      <c r="CB2083" s="2" t="s">
        <v>233</v>
      </c>
      <c r="CC2083" s="2" t="s">
        <v>246</v>
      </c>
      <c r="CD2083" s="2" t="s">
        <v>233</v>
      </c>
      <c r="CE2083" s="4"/>
      <c r="CF2083" s="4">
        <v>100</v>
      </c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  <c r="HF2083" s="4"/>
      <c r="HG2083" s="4"/>
      <c r="HH2083" s="4"/>
      <c r="HI2083" s="4"/>
      <c r="HJ2083" s="4"/>
      <c r="HK2083" s="4"/>
      <c r="HL2083" s="4"/>
      <c r="HM2083" s="4"/>
      <c r="HN2083" s="4"/>
      <c r="HO2083" s="4"/>
      <c r="HP2083" s="4"/>
      <c r="HQ2083" s="4"/>
      <c r="HR2083" s="4"/>
    </row>
    <row r="2084">
      <c r="A2084" s="2" t="s">
        <v>9443</v>
      </c>
      <c r="B2084" s="2" t="s">
        <v>928</v>
      </c>
      <c r="C2084" s="2" t="s">
        <v>947</v>
      </c>
      <c r="D2084" s="2" t="s">
        <v>1101</v>
      </c>
      <c r="E2084" s="2" t="s">
        <v>1102</v>
      </c>
      <c r="F2084" s="2" t="s">
        <v>9441</v>
      </c>
      <c r="G2084" s="2" t="s">
        <v>9441</v>
      </c>
      <c r="H2084" s="2" t="s">
        <v>9441</v>
      </c>
      <c r="I2084" s="2" t="s">
        <v>9442</v>
      </c>
      <c r="J2084" s="2" t="s">
        <v>892</v>
      </c>
      <c r="K2084" s="2" t="s">
        <v>1537</v>
      </c>
      <c r="L2084" s="3">
        <v>95.23</v>
      </c>
      <c r="M2084" s="3">
        <v>99.99</v>
      </c>
      <c r="N2084" s="3">
        <v>199.99</v>
      </c>
      <c r="O2084" s="2" t="s">
        <v>245</v>
      </c>
      <c r="P2084" s="2" t="s">
        <v>238</v>
      </c>
      <c r="Q2084" s="2" t="s">
        <v>239</v>
      </c>
      <c r="R2084" s="2" t="s">
        <v>233</v>
      </c>
      <c r="S2084" s="2" t="s">
        <v>233</v>
      </c>
      <c r="T2084" s="2" t="s">
        <v>233</v>
      </c>
      <c r="U2084" s="2" t="s">
        <v>396</v>
      </c>
      <c r="V2084" s="2" t="s">
        <v>893</v>
      </c>
      <c r="W2084" s="2" t="s">
        <v>343</v>
      </c>
      <c r="X2084" s="2" t="s">
        <v>5825</v>
      </c>
      <c r="Y2084" s="2" t="s">
        <v>795</v>
      </c>
      <c r="Z2084" s="4">
        <v>100</v>
      </c>
      <c r="AA2084" s="4">
        <f>=ROUNDDOWN({0},0)</f>
      </c>
      <c r="AB2084" s="5"/>
      <c r="AC2084" s="2" t="s">
        <v>233</v>
      </c>
      <c r="AD2084" s="4"/>
      <c r="AE2084" s="4"/>
      <c r="AF2084" s="6"/>
      <c r="AG2084" s="6"/>
      <c r="AH2084" s="7">
        <v>0</v>
      </c>
      <c r="AI2084" s="4"/>
      <c r="AJ2084" s="4">
        <f>=ROUNDDOWN({0},0)</f>
      </c>
      <c r="AK2084" s="5"/>
      <c r="AL2084" s="2" t="s">
        <v>233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233</v>
      </c>
      <c r="BD2084" s="8" t="s">
        <v>233</v>
      </c>
      <c r="BE2084" s="4" t="s">
        <v>233</v>
      </c>
      <c r="BF2084" s="8" t="s">
        <v>233</v>
      </c>
      <c r="BG2084" s="7" t="s">
        <v>233</v>
      </c>
      <c r="BH2084" s="7" t="s">
        <v>233</v>
      </c>
      <c r="BI2084" s="7"/>
      <c r="BJ2084" s="4"/>
      <c r="BK2084" s="8"/>
      <c r="BL2084" s="2" t="s">
        <v>233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243</v>
      </c>
      <c r="BV2084" s="2" t="s">
        <v>233</v>
      </c>
      <c r="BW2084" s="2" t="s">
        <v>233</v>
      </c>
      <c r="BX2084" s="2" t="s">
        <v>243</v>
      </c>
      <c r="BY2084" s="2" t="s">
        <v>244</v>
      </c>
      <c r="BZ2084" s="2" t="s">
        <v>245</v>
      </c>
      <c r="CA2084" s="2" t="s">
        <v>233</v>
      </c>
      <c r="CB2084" s="2" t="s">
        <v>233</v>
      </c>
      <c r="CC2084" s="2" t="s">
        <v>246</v>
      </c>
      <c r="CD2084" s="2" t="s">
        <v>233</v>
      </c>
      <c r="CE2084" s="4"/>
      <c r="CF2084" s="4">
        <v>100</v>
      </c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4"/>
      <c r="HE2084" s="4"/>
      <c r="HF2084" s="4"/>
      <c r="HG2084" s="4"/>
      <c r="HH2084" s="4"/>
      <c r="HI2084" s="4"/>
      <c r="HJ2084" s="4"/>
      <c r="HK2084" s="4"/>
      <c r="HL2084" s="4"/>
      <c r="HM2084" s="4"/>
      <c r="HN2084" s="4"/>
      <c r="HO2084" s="4"/>
      <c r="HP2084" s="4"/>
      <c r="HQ2084" s="4"/>
      <c r="HR2084" s="4"/>
    </row>
    <row r="2085">
      <c r="A2085" s="2" t="s">
        <v>9444</v>
      </c>
      <c r="B2085" s="2" t="s">
        <v>989</v>
      </c>
      <c r="C2085" s="2" t="s">
        <v>701</v>
      </c>
      <c r="D2085" s="2" t="s">
        <v>991</v>
      </c>
      <c r="E2085" s="2" t="s">
        <v>992</v>
      </c>
      <c r="F2085" s="2" t="s">
        <v>5537</v>
      </c>
      <c r="G2085" s="2" t="s">
        <v>5537</v>
      </c>
      <c r="H2085" s="2" t="s">
        <v>5537</v>
      </c>
      <c r="I2085" s="2" t="s">
        <v>9445</v>
      </c>
      <c r="J2085" s="2" t="s">
        <v>892</v>
      </c>
      <c r="K2085" s="2" t="s">
        <v>257</v>
      </c>
      <c r="L2085" s="3">
        <v>38</v>
      </c>
      <c r="M2085" s="3">
        <v>39.9</v>
      </c>
      <c r="N2085" s="3">
        <v>79.99</v>
      </c>
      <c r="O2085" s="2" t="s">
        <v>245</v>
      </c>
      <c r="P2085" s="2" t="s">
        <v>272</v>
      </c>
      <c r="Q2085" s="2" t="s">
        <v>239</v>
      </c>
      <c r="R2085" s="2" t="s">
        <v>233</v>
      </c>
      <c r="S2085" s="2" t="s">
        <v>9446</v>
      </c>
      <c r="T2085" s="2" t="s">
        <v>341</v>
      </c>
      <c r="U2085" s="2" t="s">
        <v>871</v>
      </c>
      <c r="V2085" s="2" t="s">
        <v>241</v>
      </c>
      <c r="W2085" s="2" t="s">
        <v>451</v>
      </c>
      <c r="X2085" s="2" t="s">
        <v>233</v>
      </c>
      <c r="Y2085" s="2" t="s">
        <v>3543</v>
      </c>
      <c r="Z2085" s="4">
        <v>646</v>
      </c>
      <c r="AA2085" s="4">
        <f>=ROUNDDOWN(71.7777777777778,0)</f>
      </c>
      <c r="AB2085" s="5">
        <v>9</v>
      </c>
      <c r="AC2085" s="2" t="s">
        <v>233</v>
      </c>
      <c r="AD2085" s="4"/>
      <c r="AE2085" s="4"/>
      <c r="AF2085" s="6">
        <v>67</v>
      </c>
      <c r="AG2085" s="6"/>
      <c r="AH2085" s="7">
        <v>1</v>
      </c>
      <c r="AI2085" s="4"/>
      <c r="AJ2085" s="4">
        <f>=ROUNDDOWN({0},0)</f>
      </c>
      <c r="AK2085" s="5"/>
      <c r="AL2085" s="2" t="s">
        <v>233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 t="s">
        <v>233</v>
      </c>
      <c r="BD2085" s="8" t="s">
        <v>233</v>
      </c>
      <c r="BE2085" s="4" t="s">
        <v>233</v>
      </c>
      <c r="BF2085" s="8" t="s">
        <v>233</v>
      </c>
      <c r="BG2085" s="7" t="s">
        <v>233</v>
      </c>
      <c r="BH2085" s="7" t="s">
        <v>233</v>
      </c>
      <c r="BI2085" s="7"/>
      <c r="BJ2085" s="4">
        <v>34</v>
      </c>
      <c r="BK2085" s="8">
        <v>1357.21</v>
      </c>
      <c r="BL2085" s="2" t="s">
        <v>9447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243</v>
      </c>
      <c r="BV2085" s="2" t="s">
        <v>233</v>
      </c>
      <c r="BW2085" s="2" t="s">
        <v>233</v>
      </c>
      <c r="BX2085" s="2" t="s">
        <v>243</v>
      </c>
      <c r="BY2085" s="2" t="s">
        <v>9448</v>
      </c>
      <c r="BZ2085" s="2" t="s">
        <v>245</v>
      </c>
      <c r="CA2085" s="2" t="s">
        <v>233</v>
      </c>
      <c r="CB2085" s="2" t="s">
        <v>233</v>
      </c>
      <c r="CC2085" s="2" t="s">
        <v>246</v>
      </c>
      <c r="CD2085" s="2" t="s">
        <v>233</v>
      </c>
      <c r="CE2085" s="4">
        <v>646</v>
      </c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  <c r="GQ2085" s="4"/>
      <c r="GR2085" s="4"/>
      <c r="GS2085" s="4"/>
      <c r="GT2085" s="4"/>
      <c r="GU2085" s="4"/>
      <c r="GV2085" s="4"/>
      <c r="GW2085" s="4"/>
      <c r="GX2085" s="4"/>
      <c r="GY2085" s="4"/>
      <c r="GZ2085" s="4"/>
      <c r="HA2085" s="4"/>
      <c r="HB2085" s="4"/>
      <c r="HC2085" s="4"/>
      <c r="HD2085" s="4"/>
      <c r="HE2085" s="4"/>
      <c r="HF2085" s="4"/>
      <c r="HG2085" s="4"/>
      <c r="HH2085" s="4"/>
      <c r="HI2085" s="4"/>
      <c r="HJ2085" s="4"/>
      <c r="HK2085" s="4"/>
      <c r="HL2085" s="4"/>
      <c r="HM2085" s="4"/>
      <c r="HN2085" s="4"/>
      <c r="HO2085" s="4"/>
      <c r="HP2085" s="4"/>
      <c r="HQ2085" s="4"/>
      <c r="HR2085" s="4"/>
    </row>
    <row r="2086">
      <c r="A2086" s="2" t="s">
        <v>9449</v>
      </c>
      <c r="B2086" s="2" t="s">
        <v>989</v>
      </c>
      <c r="C2086" s="2" t="s">
        <v>701</v>
      </c>
      <c r="D2086" s="2" t="s">
        <v>991</v>
      </c>
      <c r="E2086" s="2" t="s">
        <v>992</v>
      </c>
      <c r="F2086" s="2" t="s">
        <v>5537</v>
      </c>
      <c r="G2086" s="2" t="s">
        <v>5537</v>
      </c>
      <c r="H2086" s="2" t="s">
        <v>5537</v>
      </c>
      <c r="I2086" s="2" t="s">
        <v>9445</v>
      </c>
      <c r="J2086" s="2" t="s">
        <v>892</v>
      </c>
      <c r="K2086" s="2" t="s">
        <v>297</v>
      </c>
      <c r="L2086" s="3">
        <v>38</v>
      </c>
      <c r="M2086" s="3">
        <v>39.9</v>
      </c>
      <c r="N2086" s="3">
        <v>79.99</v>
      </c>
      <c r="O2086" s="2" t="s">
        <v>245</v>
      </c>
      <c r="P2086" s="2" t="s">
        <v>741</v>
      </c>
      <c r="Q2086" s="2" t="s">
        <v>239</v>
      </c>
      <c r="R2086" s="2" t="s">
        <v>233</v>
      </c>
      <c r="S2086" s="2" t="s">
        <v>9450</v>
      </c>
      <c r="T2086" s="2" t="s">
        <v>341</v>
      </c>
      <c r="U2086" s="2" t="s">
        <v>871</v>
      </c>
      <c r="V2086" s="2" t="s">
        <v>241</v>
      </c>
      <c r="W2086" s="2" t="s">
        <v>451</v>
      </c>
      <c r="X2086" s="2" t="s">
        <v>233</v>
      </c>
      <c r="Y2086" s="2" t="s">
        <v>2075</v>
      </c>
      <c r="Z2086" s="4">
        <v>638</v>
      </c>
      <c r="AA2086" s="4">
        <f>=ROUNDDOWN(70.8888888888889,0)</f>
      </c>
      <c r="AB2086" s="5">
        <v>9</v>
      </c>
      <c r="AC2086" s="2" t="s">
        <v>233</v>
      </c>
      <c r="AD2086" s="4"/>
      <c r="AE2086" s="4"/>
      <c r="AF2086" s="6">
        <v>67</v>
      </c>
      <c r="AG2086" s="6"/>
      <c r="AH2086" s="7">
        <v>1</v>
      </c>
      <c r="AI2086" s="4"/>
      <c r="AJ2086" s="4">
        <f>=ROUNDDOWN({0},0)</f>
      </c>
      <c r="AK2086" s="5"/>
      <c r="AL2086" s="2" t="s">
        <v>233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 t="s">
        <v>233</v>
      </c>
      <c r="BD2086" s="8" t="s">
        <v>233</v>
      </c>
      <c r="BE2086" s="4" t="s">
        <v>233</v>
      </c>
      <c r="BF2086" s="8" t="s">
        <v>233</v>
      </c>
      <c r="BG2086" s="7" t="s">
        <v>233</v>
      </c>
      <c r="BH2086" s="7" t="s">
        <v>233</v>
      </c>
      <c r="BI2086" s="7"/>
      <c r="BJ2086" s="4">
        <v>28</v>
      </c>
      <c r="BK2086" s="8">
        <v>1100.53</v>
      </c>
      <c r="BL2086" s="2" t="s">
        <v>6172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9451</v>
      </c>
      <c r="BV2086" s="2" t="s">
        <v>233</v>
      </c>
      <c r="BW2086" s="2" t="s">
        <v>233</v>
      </c>
      <c r="BX2086" s="2" t="s">
        <v>233</v>
      </c>
      <c r="BY2086" s="2" t="s">
        <v>280</v>
      </c>
      <c r="BZ2086" s="2" t="s">
        <v>245</v>
      </c>
      <c r="CA2086" s="2" t="s">
        <v>2075</v>
      </c>
      <c r="CB2086" s="2" t="s">
        <v>3892</v>
      </c>
      <c r="CC2086" s="2" t="s">
        <v>246</v>
      </c>
      <c r="CD2086" s="2" t="s">
        <v>233</v>
      </c>
      <c r="CE2086" s="4">
        <v>638</v>
      </c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  <c r="GQ2086" s="4"/>
      <c r="GR2086" s="4"/>
      <c r="GS2086" s="4"/>
      <c r="GT2086" s="4"/>
      <c r="GU2086" s="4"/>
      <c r="GV2086" s="4"/>
      <c r="GW2086" s="4"/>
      <c r="GX2086" s="4"/>
      <c r="GY2086" s="4"/>
      <c r="GZ2086" s="4"/>
      <c r="HA2086" s="4"/>
      <c r="HB2086" s="4"/>
      <c r="HC2086" s="4"/>
      <c r="HD2086" s="4"/>
      <c r="HE2086" s="4"/>
      <c r="HF2086" s="4"/>
      <c r="HG2086" s="4"/>
      <c r="HH2086" s="4"/>
      <c r="HI2086" s="4"/>
      <c r="HJ2086" s="4"/>
      <c r="HK2086" s="4"/>
      <c r="HL2086" s="4"/>
      <c r="HM2086" s="4"/>
      <c r="HN2086" s="4"/>
      <c r="HO2086" s="4"/>
      <c r="HP2086" s="4"/>
      <c r="HQ2086" s="4"/>
      <c r="HR2086" s="4"/>
    </row>
    <row r="2087">
      <c r="A2087" s="2" t="s">
        <v>9452</v>
      </c>
      <c r="B2087" s="2" t="s">
        <v>228</v>
      </c>
      <c r="C2087" s="2" t="s">
        <v>3846</v>
      </c>
      <c r="D2087" s="2" t="s">
        <v>3847</v>
      </c>
      <c r="E2087" s="2" t="s">
        <v>3848</v>
      </c>
      <c r="F2087" s="2" t="s">
        <v>9453</v>
      </c>
      <c r="G2087" s="2" t="s">
        <v>9453</v>
      </c>
      <c r="H2087" s="2" t="s">
        <v>9453</v>
      </c>
      <c r="I2087" s="2" t="s">
        <v>231</v>
      </c>
      <c r="J2087" s="2" t="s">
        <v>290</v>
      </c>
      <c r="K2087" s="2" t="s">
        <v>569</v>
      </c>
      <c r="L2087" s="3">
        <v>50.08</v>
      </c>
      <c r="M2087" s="3">
        <v>52.58</v>
      </c>
      <c r="N2087" s="3">
        <v>106.99</v>
      </c>
      <c r="O2087" s="2" t="s">
        <v>245</v>
      </c>
      <c r="P2087" s="2" t="s">
        <v>272</v>
      </c>
      <c r="Q2087" s="2" t="s">
        <v>239</v>
      </c>
      <c r="R2087" s="2" t="s">
        <v>233</v>
      </c>
      <c r="S2087" s="2" t="s">
        <v>233</v>
      </c>
      <c r="T2087" s="2" t="s">
        <v>1622</v>
      </c>
      <c r="U2087" s="2" t="s">
        <v>396</v>
      </c>
      <c r="V2087" s="2" t="s">
        <v>241</v>
      </c>
      <c r="W2087" s="2" t="s">
        <v>275</v>
      </c>
      <c r="X2087" s="2" t="s">
        <v>233</v>
      </c>
      <c r="Y2087" s="2" t="s">
        <v>5496</v>
      </c>
      <c r="Z2087" s="4">
        <v>2</v>
      </c>
      <c r="AA2087" s="4">
        <f>=ROUNDDOWN(0.142857142857143,0)</f>
      </c>
      <c r="AB2087" s="5">
        <v>14</v>
      </c>
      <c r="AC2087" s="2" t="s">
        <v>1341</v>
      </c>
      <c r="AD2087" s="4">
        <v>150</v>
      </c>
      <c r="AE2087" s="4">
        <v>150</v>
      </c>
      <c r="AF2087" s="6">
        <v>65</v>
      </c>
      <c r="AG2087" s="6"/>
      <c r="AH2087" s="7">
        <v>0</v>
      </c>
      <c r="AI2087" s="4"/>
      <c r="AJ2087" s="4">
        <f>=ROUNDDOWN({0},0)</f>
      </c>
      <c r="AK2087" s="5"/>
      <c r="AL2087" s="2" t="s">
        <v>233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 t="s">
        <v>233</v>
      </c>
      <c r="BD2087" s="8" t="s">
        <v>233</v>
      </c>
      <c r="BE2087" s="4" t="s">
        <v>233</v>
      </c>
      <c r="BF2087" s="8" t="s">
        <v>233</v>
      </c>
      <c r="BG2087" s="7" t="s">
        <v>233</v>
      </c>
      <c r="BH2087" s="7" t="s">
        <v>233</v>
      </c>
      <c r="BI2087" s="7"/>
      <c r="BJ2087" s="4"/>
      <c r="BK2087" s="8"/>
      <c r="BL2087" s="2" t="s">
        <v>778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9454</v>
      </c>
      <c r="BV2087" s="2" t="s">
        <v>233</v>
      </c>
      <c r="BW2087" s="2" t="s">
        <v>233</v>
      </c>
      <c r="BX2087" s="2" t="s">
        <v>233</v>
      </c>
      <c r="BY2087" s="2" t="s">
        <v>280</v>
      </c>
      <c r="BZ2087" s="2" t="s">
        <v>245</v>
      </c>
      <c r="CA2087" s="2" t="s">
        <v>5496</v>
      </c>
      <c r="CB2087" s="2" t="s">
        <v>9455</v>
      </c>
      <c r="CC2087" s="2" t="s">
        <v>246</v>
      </c>
      <c r="CD2087" s="2" t="s">
        <v>233</v>
      </c>
      <c r="CE2087" s="4">
        <v>2</v>
      </c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>
        <v>150</v>
      </c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/>
      <c r="GN2087" s="4"/>
      <c r="GO2087" s="4"/>
      <c r="GP2087" s="4"/>
      <c r="GQ2087" s="4"/>
      <c r="GR2087" s="4"/>
      <c r="GS2087" s="4"/>
      <c r="GT2087" s="4"/>
      <c r="GU2087" s="4"/>
      <c r="GV2087" s="4"/>
      <c r="GW2087" s="4"/>
      <c r="GX2087" s="4"/>
      <c r="GY2087" s="4"/>
      <c r="GZ2087" s="4"/>
      <c r="HA2087" s="4"/>
      <c r="HB2087" s="4"/>
      <c r="HC2087" s="4"/>
      <c r="HD2087" s="4"/>
      <c r="HE2087" s="4"/>
      <c r="HF2087" s="4"/>
      <c r="HG2087" s="4"/>
      <c r="HH2087" s="4"/>
      <c r="HI2087" s="4"/>
      <c r="HJ2087" s="4"/>
      <c r="HK2087" s="4"/>
      <c r="HL2087" s="4"/>
      <c r="HM2087" s="4"/>
      <c r="HN2087" s="4"/>
      <c r="HO2087" s="4"/>
      <c r="HP2087" s="4"/>
      <c r="HQ2087" s="4"/>
      <c r="HR2087" s="4"/>
    </row>
    <row r="2088">
      <c r="A2088" s="2" t="s">
        <v>9456</v>
      </c>
      <c r="B2088" s="2" t="s">
        <v>228</v>
      </c>
      <c r="C2088" s="2" t="s">
        <v>3846</v>
      </c>
      <c r="D2088" s="2" t="s">
        <v>3847</v>
      </c>
      <c r="E2088" s="2" t="s">
        <v>3848</v>
      </c>
      <c r="F2088" s="2" t="s">
        <v>9453</v>
      </c>
      <c r="G2088" s="2" t="s">
        <v>9453</v>
      </c>
      <c r="H2088" s="2" t="s">
        <v>9453</v>
      </c>
      <c r="I2088" s="2" t="s">
        <v>231</v>
      </c>
      <c r="J2088" s="2" t="s">
        <v>290</v>
      </c>
      <c r="K2088" s="2" t="s">
        <v>1938</v>
      </c>
      <c r="L2088" s="3">
        <v>50.08</v>
      </c>
      <c r="M2088" s="3">
        <v>52.58</v>
      </c>
      <c r="N2088" s="3">
        <v>106.99</v>
      </c>
      <c r="O2088" s="2" t="s">
        <v>245</v>
      </c>
      <c r="P2088" s="2" t="s">
        <v>272</v>
      </c>
      <c r="Q2088" s="2" t="s">
        <v>239</v>
      </c>
      <c r="R2088" s="2" t="s">
        <v>233</v>
      </c>
      <c r="S2088" s="2" t="s">
        <v>233</v>
      </c>
      <c r="T2088" s="2" t="s">
        <v>1622</v>
      </c>
      <c r="U2088" s="2" t="s">
        <v>396</v>
      </c>
      <c r="V2088" s="2" t="s">
        <v>241</v>
      </c>
      <c r="W2088" s="2" t="s">
        <v>275</v>
      </c>
      <c r="X2088" s="2" t="s">
        <v>233</v>
      </c>
      <c r="Y2088" s="2" t="s">
        <v>9457</v>
      </c>
      <c r="Z2088" s="4">
        <v>2</v>
      </c>
      <c r="AA2088" s="4">
        <f>=ROUNDDOWN(0.25,0)</f>
      </c>
      <c r="AB2088" s="5">
        <v>8</v>
      </c>
      <c r="AC2088" s="2" t="s">
        <v>1341</v>
      </c>
      <c r="AD2088" s="4">
        <v>150</v>
      </c>
      <c r="AE2088" s="4">
        <v>150</v>
      </c>
      <c r="AF2088" s="6">
        <v>65</v>
      </c>
      <c r="AG2088" s="6"/>
      <c r="AH2088" s="7">
        <v>0</v>
      </c>
      <c r="AI2088" s="4"/>
      <c r="AJ2088" s="4">
        <f>=ROUNDDOWN({0},0)</f>
      </c>
      <c r="AK2088" s="5"/>
      <c r="AL2088" s="2" t="s">
        <v>233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233</v>
      </c>
      <c r="AW2088" s="8" t="s">
        <v>233</v>
      </c>
      <c r="AX2088" s="4" t="s">
        <v>233</v>
      </c>
      <c r="AY2088" s="8" t="s">
        <v>233</v>
      </c>
      <c r="AZ2088" s="7" t="s">
        <v>233</v>
      </c>
      <c r="BA2088" s="7" t="s">
        <v>233</v>
      </c>
      <c r="BB2088" s="7"/>
      <c r="BC2088" s="4" t="s">
        <v>233</v>
      </c>
      <c r="BD2088" s="8" t="s">
        <v>233</v>
      </c>
      <c r="BE2088" s="4" t="s">
        <v>233</v>
      </c>
      <c r="BF2088" s="8" t="s">
        <v>233</v>
      </c>
      <c r="BG2088" s="7" t="s">
        <v>233</v>
      </c>
      <c r="BH2088" s="7" t="s">
        <v>233</v>
      </c>
      <c r="BI2088" s="7"/>
      <c r="BJ2088" s="4"/>
      <c r="BK2088" s="8"/>
      <c r="BL2088" s="2" t="s">
        <v>9458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9459</v>
      </c>
      <c r="BV2088" s="2" t="s">
        <v>233</v>
      </c>
      <c r="BW2088" s="2" t="s">
        <v>233</v>
      </c>
      <c r="BX2088" s="2" t="s">
        <v>233</v>
      </c>
      <c r="BY2088" s="2" t="s">
        <v>280</v>
      </c>
      <c r="BZ2088" s="2" t="s">
        <v>245</v>
      </c>
      <c r="CA2088" s="2" t="s">
        <v>1778</v>
      </c>
      <c r="CB2088" s="2" t="s">
        <v>1423</v>
      </c>
      <c r="CC2088" s="2" t="s">
        <v>246</v>
      </c>
      <c r="CD2088" s="2" t="s">
        <v>233</v>
      </c>
      <c r="CE2088" s="4">
        <v>2</v>
      </c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>
        <v>150</v>
      </c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/>
      <c r="GR2088" s="4"/>
      <c r="GS2088" s="4"/>
      <c r="GT2088" s="4"/>
      <c r="GU2088" s="4"/>
      <c r="GV2088" s="4"/>
      <c r="GW2088" s="4"/>
      <c r="GX2088" s="4"/>
      <c r="GY2088" s="4"/>
      <c r="GZ2088" s="4"/>
      <c r="HA2088" s="4"/>
      <c r="HB2088" s="4"/>
      <c r="HC2088" s="4"/>
      <c r="HD2088" s="4"/>
      <c r="HE2088" s="4"/>
      <c r="HF2088" s="4"/>
      <c r="HG2088" s="4"/>
      <c r="HH2088" s="4"/>
      <c r="HI2088" s="4"/>
      <c r="HJ2088" s="4"/>
      <c r="HK2088" s="4"/>
      <c r="HL2088" s="4"/>
      <c r="HM2088" s="4"/>
      <c r="HN2088" s="4"/>
      <c r="HO2088" s="4"/>
      <c r="HP2088" s="4"/>
      <c r="HQ2088" s="4"/>
      <c r="HR2088" s="4"/>
    </row>
    <row r="2089">
      <c r="A2089" s="2" t="s">
        <v>9460</v>
      </c>
      <c r="B2089" s="2" t="s">
        <v>228</v>
      </c>
      <c r="C2089" s="2" t="s">
        <v>3846</v>
      </c>
      <c r="D2089" s="2" t="s">
        <v>3847</v>
      </c>
      <c r="E2089" s="2" t="s">
        <v>3848</v>
      </c>
      <c r="F2089" s="2" t="s">
        <v>9453</v>
      </c>
      <c r="G2089" s="2" t="s">
        <v>9453</v>
      </c>
      <c r="H2089" s="2" t="s">
        <v>9453</v>
      </c>
      <c r="I2089" s="2" t="s">
        <v>231</v>
      </c>
      <c r="J2089" s="2" t="s">
        <v>348</v>
      </c>
      <c r="K2089" s="2" t="s">
        <v>1938</v>
      </c>
      <c r="L2089" s="3">
        <v>72.34</v>
      </c>
      <c r="M2089" s="3">
        <v>75.96</v>
      </c>
      <c r="N2089" s="3">
        <v>149.99</v>
      </c>
      <c r="O2089" s="2" t="s">
        <v>245</v>
      </c>
      <c r="P2089" s="2" t="s">
        <v>272</v>
      </c>
      <c r="Q2089" s="2" t="s">
        <v>239</v>
      </c>
      <c r="R2089" s="2" t="s">
        <v>233</v>
      </c>
      <c r="S2089" s="2" t="s">
        <v>233</v>
      </c>
      <c r="T2089" s="2" t="s">
        <v>1622</v>
      </c>
      <c r="U2089" s="2" t="s">
        <v>396</v>
      </c>
      <c r="V2089" s="2" t="s">
        <v>241</v>
      </c>
      <c r="W2089" s="2" t="s">
        <v>275</v>
      </c>
      <c r="X2089" s="2" t="s">
        <v>233</v>
      </c>
      <c r="Y2089" s="2" t="s">
        <v>9457</v>
      </c>
      <c r="Z2089" s="4">
        <v>3</v>
      </c>
      <c r="AA2089" s="4">
        <f>=ROUNDDOWN(0.333333333333333,0)</f>
      </c>
      <c r="AB2089" s="5">
        <v>9</v>
      </c>
      <c r="AC2089" s="2" t="s">
        <v>1341</v>
      </c>
      <c r="AD2089" s="4">
        <v>180</v>
      </c>
      <c r="AE2089" s="4">
        <v>180</v>
      </c>
      <c r="AF2089" s="6">
        <v>65</v>
      </c>
      <c r="AG2089" s="6"/>
      <c r="AH2089" s="7">
        <v>0</v>
      </c>
      <c r="AI2089" s="4"/>
      <c r="AJ2089" s="4">
        <f>=ROUNDDOWN({0},0)</f>
      </c>
      <c r="AK2089" s="5"/>
      <c r="AL2089" s="2" t="s">
        <v>233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233</v>
      </c>
      <c r="AW2089" s="8" t="s">
        <v>233</v>
      </c>
      <c r="AX2089" s="4" t="s">
        <v>233</v>
      </c>
      <c r="AY2089" s="8" t="s">
        <v>233</v>
      </c>
      <c r="AZ2089" s="7" t="s">
        <v>233</v>
      </c>
      <c r="BA2089" s="7" t="s">
        <v>233</v>
      </c>
      <c r="BB2089" s="7"/>
      <c r="BC2089" s="4" t="s">
        <v>233</v>
      </c>
      <c r="BD2089" s="8" t="s">
        <v>233</v>
      </c>
      <c r="BE2089" s="4" t="s">
        <v>233</v>
      </c>
      <c r="BF2089" s="8" t="s">
        <v>233</v>
      </c>
      <c r="BG2089" s="7" t="s">
        <v>233</v>
      </c>
      <c r="BH2089" s="7" t="s">
        <v>233</v>
      </c>
      <c r="BI2089" s="7"/>
      <c r="BJ2089" s="4"/>
      <c r="BK2089" s="8"/>
      <c r="BL2089" s="2" t="s">
        <v>9458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9461</v>
      </c>
      <c r="BV2089" s="2" t="s">
        <v>233</v>
      </c>
      <c r="BW2089" s="2" t="s">
        <v>233</v>
      </c>
      <c r="BX2089" s="2" t="s">
        <v>233</v>
      </c>
      <c r="BY2089" s="2" t="s">
        <v>280</v>
      </c>
      <c r="BZ2089" s="2" t="s">
        <v>245</v>
      </c>
      <c r="CA2089" s="2" t="s">
        <v>1778</v>
      </c>
      <c r="CB2089" s="2" t="s">
        <v>1423</v>
      </c>
      <c r="CC2089" s="2" t="s">
        <v>246</v>
      </c>
      <c r="CD2089" s="2" t="s">
        <v>233</v>
      </c>
      <c r="CE2089" s="4">
        <v>3</v>
      </c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>
        <v>180</v>
      </c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  <c r="GQ2089" s="4"/>
      <c r="GR2089" s="4"/>
      <c r="GS2089" s="4"/>
      <c r="GT2089" s="4"/>
      <c r="GU2089" s="4"/>
      <c r="GV2089" s="4"/>
      <c r="GW2089" s="4"/>
      <c r="GX2089" s="4"/>
      <c r="GY2089" s="4"/>
      <c r="GZ2089" s="4"/>
      <c r="HA2089" s="4"/>
      <c r="HB2089" s="4"/>
      <c r="HC2089" s="4"/>
      <c r="HD2089" s="4"/>
      <c r="HE2089" s="4"/>
      <c r="HF2089" s="4"/>
      <c r="HG2089" s="4"/>
      <c r="HH2089" s="4"/>
      <c r="HI2089" s="4"/>
      <c r="HJ2089" s="4"/>
      <c r="HK2089" s="4"/>
      <c r="HL2089" s="4"/>
      <c r="HM2089" s="4"/>
      <c r="HN2089" s="4"/>
      <c r="HO2089" s="4"/>
      <c r="HP2089" s="4"/>
      <c r="HQ2089" s="4"/>
      <c r="HR2089" s="4"/>
    </row>
    <row r="2090">
      <c r="A2090" s="2" t="s">
        <v>9462</v>
      </c>
      <c r="B2090" s="2" t="s">
        <v>228</v>
      </c>
      <c r="C2090" s="2" t="s">
        <v>3846</v>
      </c>
      <c r="D2090" s="2" t="s">
        <v>3847</v>
      </c>
      <c r="E2090" s="2" t="s">
        <v>6221</v>
      </c>
      <c r="F2090" s="2" t="s">
        <v>9453</v>
      </c>
      <c r="G2090" s="2" t="s">
        <v>9453</v>
      </c>
      <c r="H2090" s="2" t="s">
        <v>9453</v>
      </c>
      <c r="I2090" s="2" t="s">
        <v>2599</v>
      </c>
      <c r="J2090" s="2" t="s">
        <v>1736</v>
      </c>
      <c r="K2090" s="2" t="s">
        <v>1938</v>
      </c>
      <c r="L2090" s="3">
        <v>33.38</v>
      </c>
      <c r="M2090" s="3">
        <v>35.05</v>
      </c>
      <c r="N2090" s="3">
        <v>71.99</v>
      </c>
      <c r="O2090" s="2" t="s">
        <v>245</v>
      </c>
      <c r="P2090" s="2" t="s">
        <v>311</v>
      </c>
      <c r="Q2090" s="2" t="s">
        <v>239</v>
      </c>
      <c r="R2090" s="2" t="s">
        <v>233</v>
      </c>
      <c r="S2090" s="2" t="s">
        <v>233</v>
      </c>
      <c r="T2090" s="2" t="s">
        <v>1622</v>
      </c>
      <c r="U2090" s="2" t="s">
        <v>396</v>
      </c>
      <c r="V2090" s="2" t="s">
        <v>241</v>
      </c>
      <c r="W2090" s="2" t="s">
        <v>275</v>
      </c>
      <c r="X2090" s="2" t="s">
        <v>233</v>
      </c>
      <c r="Y2090" s="2" t="s">
        <v>7683</v>
      </c>
      <c r="Z2090" s="4">
        <v>789</v>
      </c>
      <c r="AA2090" s="4">
        <f>=ROUNDDOWN(98.625,0)</f>
      </c>
      <c r="AB2090" s="5">
        <v>8</v>
      </c>
      <c r="AC2090" s="2" t="s">
        <v>233</v>
      </c>
      <c r="AD2090" s="4"/>
      <c r="AE2090" s="4"/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233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233</v>
      </c>
      <c r="AW2090" s="8" t="s">
        <v>233</v>
      </c>
      <c r="AX2090" s="4" t="s">
        <v>233</v>
      </c>
      <c r="AY2090" s="8" t="s">
        <v>233</v>
      </c>
      <c r="AZ2090" s="7" t="s">
        <v>233</v>
      </c>
      <c r="BA2090" s="7" t="s">
        <v>233</v>
      </c>
      <c r="BB2090" s="7"/>
      <c r="BC2090" s="4" t="s">
        <v>233</v>
      </c>
      <c r="BD2090" s="8" t="s">
        <v>233</v>
      </c>
      <c r="BE2090" s="4" t="s">
        <v>233</v>
      </c>
      <c r="BF2090" s="8" t="s">
        <v>233</v>
      </c>
      <c r="BG2090" s="7" t="s">
        <v>233</v>
      </c>
      <c r="BH2090" s="7" t="s">
        <v>233</v>
      </c>
      <c r="BI2090" s="7"/>
      <c r="BJ2090" s="4">
        <v>11</v>
      </c>
      <c r="BK2090" s="8">
        <v>403.81</v>
      </c>
      <c r="BL2090" s="2" t="s">
        <v>8087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9463</v>
      </c>
      <c r="BV2090" s="2" t="s">
        <v>233</v>
      </c>
      <c r="BW2090" s="2" t="s">
        <v>233</v>
      </c>
      <c r="BX2090" s="2" t="s">
        <v>595</v>
      </c>
      <c r="BY2090" s="2" t="s">
        <v>280</v>
      </c>
      <c r="BZ2090" s="2" t="s">
        <v>245</v>
      </c>
      <c r="CA2090" s="2" t="s">
        <v>1778</v>
      </c>
      <c r="CB2090" s="2" t="s">
        <v>9464</v>
      </c>
      <c r="CC2090" s="2" t="s">
        <v>246</v>
      </c>
      <c r="CD2090" s="2" t="s">
        <v>233</v>
      </c>
      <c r="CE2090" s="4">
        <v>789</v>
      </c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  <c r="GQ2090" s="4"/>
      <c r="GR2090" s="4"/>
      <c r="GS2090" s="4"/>
      <c r="GT2090" s="4"/>
      <c r="GU2090" s="4"/>
      <c r="GV2090" s="4"/>
      <c r="GW2090" s="4"/>
      <c r="GX2090" s="4"/>
      <c r="GY2090" s="4"/>
      <c r="GZ2090" s="4"/>
      <c r="HA2090" s="4"/>
      <c r="HB2090" s="4"/>
      <c r="HC2090" s="4"/>
      <c r="HD2090" s="4"/>
      <c r="HE2090" s="4"/>
      <c r="HF2090" s="4"/>
      <c r="HG2090" s="4"/>
      <c r="HH2090" s="4"/>
      <c r="HI2090" s="4"/>
      <c r="HJ2090" s="4"/>
      <c r="HK2090" s="4"/>
      <c r="HL2090" s="4"/>
      <c r="HM2090" s="4"/>
      <c r="HN2090" s="4"/>
      <c r="HO2090" s="4"/>
      <c r="HP2090" s="4"/>
      <c r="HQ2090" s="4"/>
      <c r="HR2090" s="4"/>
    </row>
    <row r="2091">
      <c r="A2091" s="2" t="s">
        <v>9465</v>
      </c>
      <c r="B2091" s="2" t="s">
        <v>228</v>
      </c>
      <c r="C2091" s="2" t="s">
        <v>3846</v>
      </c>
      <c r="D2091" s="2" t="s">
        <v>3847</v>
      </c>
      <c r="E2091" s="2" t="s">
        <v>3848</v>
      </c>
      <c r="F2091" s="2" t="s">
        <v>9453</v>
      </c>
      <c r="G2091" s="2" t="s">
        <v>9453</v>
      </c>
      <c r="H2091" s="2" t="s">
        <v>9453</v>
      </c>
      <c r="I2091" s="2" t="s">
        <v>231</v>
      </c>
      <c r="J2091" s="2" t="s">
        <v>270</v>
      </c>
      <c r="K2091" s="2" t="s">
        <v>853</v>
      </c>
      <c r="L2091" s="3">
        <v>44.52</v>
      </c>
      <c r="M2091" s="3">
        <v>46.75</v>
      </c>
      <c r="N2091" s="3">
        <v>94.99</v>
      </c>
      <c r="O2091" s="2" t="s">
        <v>245</v>
      </c>
      <c r="P2091" s="2" t="s">
        <v>311</v>
      </c>
      <c r="Q2091" s="2" t="s">
        <v>239</v>
      </c>
      <c r="R2091" s="2" t="s">
        <v>233</v>
      </c>
      <c r="S2091" s="2" t="s">
        <v>233</v>
      </c>
      <c r="T2091" s="2" t="s">
        <v>1622</v>
      </c>
      <c r="U2091" s="2" t="s">
        <v>396</v>
      </c>
      <c r="V2091" s="2" t="s">
        <v>241</v>
      </c>
      <c r="W2091" s="2" t="s">
        <v>275</v>
      </c>
      <c r="X2091" s="2" t="s">
        <v>233</v>
      </c>
      <c r="Y2091" s="2" t="s">
        <v>9457</v>
      </c>
      <c r="Z2091" s="4"/>
      <c r="AA2091" s="4">
        <f>=ROUNDDOWN({0},0)</f>
      </c>
      <c r="AB2091" s="5">
        <v>4</v>
      </c>
      <c r="AC2091" s="2" t="s">
        <v>233</v>
      </c>
      <c r="AD2091" s="4"/>
      <c r="AE2091" s="4"/>
      <c r="AF2091" s="6">
        <v>65</v>
      </c>
      <c r="AG2091" s="6"/>
      <c r="AH2091" s="7">
        <v>0</v>
      </c>
      <c r="AI2091" s="4"/>
      <c r="AJ2091" s="4">
        <f>=ROUNDDOWN({0},0)</f>
      </c>
      <c r="AK2091" s="5"/>
      <c r="AL2091" s="2" t="s">
        <v>233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 t="s">
        <v>233</v>
      </c>
      <c r="BD2091" s="8" t="s">
        <v>233</v>
      </c>
      <c r="BE2091" s="4" t="s">
        <v>233</v>
      </c>
      <c r="BF2091" s="8" t="s">
        <v>233</v>
      </c>
      <c r="BG2091" s="7" t="s">
        <v>233</v>
      </c>
      <c r="BH2091" s="7" t="s">
        <v>233</v>
      </c>
      <c r="BI2091" s="7"/>
      <c r="BJ2091" s="4"/>
      <c r="BK2091" s="8"/>
      <c r="BL2091" s="2" t="s">
        <v>320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9466</v>
      </c>
      <c r="BV2091" s="2" t="s">
        <v>233</v>
      </c>
      <c r="BW2091" s="2" t="s">
        <v>233</v>
      </c>
      <c r="BX2091" s="2" t="s">
        <v>595</v>
      </c>
      <c r="BY2091" s="2" t="s">
        <v>280</v>
      </c>
      <c r="BZ2091" s="2" t="s">
        <v>245</v>
      </c>
      <c r="CA2091" s="2" t="s">
        <v>1778</v>
      </c>
      <c r="CB2091" s="2" t="s">
        <v>9467</v>
      </c>
      <c r="CC2091" s="2" t="s">
        <v>246</v>
      </c>
      <c r="CD2091" s="2" t="s">
        <v>233</v>
      </c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4"/>
      <c r="HG2091" s="4"/>
      <c r="HH2091" s="4"/>
      <c r="HI2091" s="4"/>
      <c r="HJ2091" s="4"/>
      <c r="HK2091" s="4"/>
      <c r="HL2091" s="4"/>
      <c r="HM2091" s="4"/>
      <c r="HN2091" s="4"/>
      <c r="HO2091" s="4"/>
      <c r="HP2091" s="4"/>
      <c r="HQ2091" s="4"/>
      <c r="HR2091" s="4"/>
    </row>
    <row r="2092">
      <c r="A2092" s="2" t="s">
        <v>9468</v>
      </c>
      <c r="B2092" s="2" t="s">
        <v>228</v>
      </c>
      <c r="C2092" s="2" t="s">
        <v>3846</v>
      </c>
      <c r="D2092" s="2" t="s">
        <v>3847</v>
      </c>
      <c r="E2092" s="2" t="s">
        <v>3848</v>
      </c>
      <c r="F2092" s="2" t="s">
        <v>9453</v>
      </c>
      <c r="G2092" s="2" t="s">
        <v>9453</v>
      </c>
      <c r="H2092" s="2" t="s">
        <v>9453</v>
      </c>
      <c r="I2092" s="2" t="s">
        <v>231</v>
      </c>
      <c r="J2092" s="2" t="s">
        <v>290</v>
      </c>
      <c r="K2092" s="2" t="s">
        <v>590</v>
      </c>
      <c r="L2092" s="3">
        <v>50.08</v>
      </c>
      <c r="M2092" s="3">
        <v>52.58</v>
      </c>
      <c r="N2092" s="3">
        <v>106.99</v>
      </c>
      <c r="O2092" s="2" t="s">
        <v>245</v>
      </c>
      <c r="P2092" s="2" t="s">
        <v>272</v>
      </c>
      <c r="Q2092" s="2" t="s">
        <v>239</v>
      </c>
      <c r="R2092" s="2" t="s">
        <v>233</v>
      </c>
      <c r="S2092" s="2" t="s">
        <v>233</v>
      </c>
      <c r="T2092" s="2" t="s">
        <v>1622</v>
      </c>
      <c r="U2092" s="2" t="s">
        <v>396</v>
      </c>
      <c r="V2092" s="2" t="s">
        <v>241</v>
      </c>
      <c r="W2092" s="2" t="s">
        <v>275</v>
      </c>
      <c r="X2092" s="2" t="s">
        <v>233</v>
      </c>
      <c r="Y2092" s="2" t="s">
        <v>5496</v>
      </c>
      <c r="Z2092" s="4">
        <v>78</v>
      </c>
      <c r="AA2092" s="4">
        <f>=ROUNDDOWN(7.8,0)</f>
      </c>
      <c r="AB2092" s="5">
        <v>10</v>
      </c>
      <c r="AC2092" s="2" t="s">
        <v>1341</v>
      </c>
      <c r="AD2092" s="4">
        <v>150</v>
      </c>
      <c r="AE2092" s="4">
        <v>150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233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233</v>
      </c>
      <c r="AW2092" s="8" t="s">
        <v>233</v>
      </c>
      <c r="AX2092" s="4" t="s">
        <v>233</v>
      </c>
      <c r="AY2092" s="8" t="s">
        <v>233</v>
      </c>
      <c r="AZ2092" s="7" t="s">
        <v>233</v>
      </c>
      <c r="BA2092" s="7" t="s">
        <v>233</v>
      </c>
      <c r="BB2092" s="7"/>
      <c r="BC2092" s="4" t="s">
        <v>233</v>
      </c>
      <c r="BD2092" s="8" t="s">
        <v>233</v>
      </c>
      <c r="BE2092" s="4" t="s">
        <v>233</v>
      </c>
      <c r="BF2092" s="8" t="s">
        <v>233</v>
      </c>
      <c r="BG2092" s="7" t="s">
        <v>233</v>
      </c>
      <c r="BH2092" s="7" t="s">
        <v>233</v>
      </c>
      <c r="BI2092" s="7"/>
      <c r="BJ2092" s="4">
        <v>11</v>
      </c>
      <c r="BK2092" s="8">
        <v>600.18</v>
      </c>
      <c r="BL2092" s="2" t="s">
        <v>9469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9470</v>
      </c>
      <c r="BV2092" s="2" t="s">
        <v>233</v>
      </c>
      <c r="BW2092" s="2" t="s">
        <v>233</v>
      </c>
      <c r="BX2092" s="2" t="s">
        <v>233</v>
      </c>
      <c r="BY2092" s="2" t="s">
        <v>280</v>
      </c>
      <c r="BZ2092" s="2" t="s">
        <v>245</v>
      </c>
      <c r="CA2092" s="2" t="s">
        <v>5496</v>
      </c>
      <c r="CB2092" s="2" t="s">
        <v>9109</v>
      </c>
      <c r="CC2092" s="2" t="s">
        <v>246</v>
      </c>
      <c r="CD2092" s="2" t="s">
        <v>233</v>
      </c>
      <c r="CE2092" s="4">
        <v>78</v>
      </c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>
        <v>150</v>
      </c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  <c r="GQ2092" s="4"/>
      <c r="GR2092" s="4"/>
      <c r="GS2092" s="4"/>
      <c r="GT2092" s="4"/>
      <c r="GU2092" s="4"/>
      <c r="GV2092" s="4"/>
      <c r="GW2092" s="4"/>
      <c r="GX2092" s="4"/>
      <c r="GY2092" s="4"/>
      <c r="GZ2092" s="4"/>
      <c r="HA2092" s="4"/>
      <c r="HB2092" s="4"/>
      <c r="HC2092" s="4"/>
      <c r="HD2092" s="4"/>
      <c r="HE2092" s="4"/>
      <c r="HF2092" s="4"/>
      <c r="HG2092" s="4"/>
      <c r="HH2092" s="4"/>
      <c r="HI2092" s="4"/>
      <c r="HJ2092" s="4"/>
      <c r="HK2092" s="4"/>
      <c r="HL2092" s="4"/>
      <c r="HM2092" s="4"/>
      <c r="HN2092" s="4"/>
      <c r="HO2092" s="4"/>
      <c r="HP2092" s="4"/>
      <c r="HQ2092" s="4"/>
      <c r="HR2092" s="4"/>
    </row>
    <row r="2093">
      <c r="A2093" s="2" t="s">
        <v>9471</v>
      </c>
      <c r="B2093" s="2" t="s">
        <v>228</v>
      </c>
      <c r="C2093" s="2" t="s">
        <v>3846</v>
      </c>
      <c r="D2093" s="2" t="s">
        <v>3847</v>
      </c>
      <c r="E2093" s="2" t="s">
        <v>3848</v>
      </c>
      <c r="F2093" s="2" t="s">
        <v>9453</v>
      </c>
      <c r="G2093" s="2" t="s">
        <v>9453</v>
      </c>
      <c r="H2093" s="2" t="s">
        <v>9453</v>
      </c>
      <c r="I2093" s="2" t="s">
        <v>231</v>
      </c>
      <c r="J2093" s="2" t="s">
        <v>348</v>
      </c>
      <c r="K2093" s="2" t="s">
        <v>590</v>
      </c>
      <c r="L2093" s="3">
        <v>72.34</v>
      </c>
      <c r="M2093" s="3">
        <v>75.96</v>
      </c>
      <c r="N2093" s="3">
        <v>149.99</v>
      </c>
      <c r="O2093" s="2" t="s">
        <v>245</v>
      </c>
      <c r="P2093" s="2" t="s">
        <v>272</v>
      </c>
      <c r="Q2093" s="2" t="s">
        <v>239</v>
      </c>
      <c r="R2093" s="2" t="s">
        <v>233</v>
      </c>
      <c r="S2093" s="2" t="s">
        <v>233</v>
      </c>
      <c r="T2093" s="2" t="s">
        <v>1622</v>
      </c>
      <c r="U2093" s="2" t="s">
        <v>396</v>
      </c>
      <c r="V2093" s="2" t="s">
        <v>241</v>
      </c>
      <c r="W2093" s="2" t="s">
        <v>275</v>
      </c>
      <c r="X2093" s="2" t="s">
        <v>233</v>
      </c>
      <c r="Y2093" s="2" t="s">
        <v>5496</v>
      </c>
      <c r="Z2093" s="4">
        <v>25</v>
      </c>
      <c r="AA2093" s="4">
        <f>=ROUNDDOWN(2.77777777777778,0)</f>
      </c>
      <c r="AB2093" s="5">
        <v>9</v>
      </c>
      <c r="AC2093" s="2" t="s">
        <v>1341</v>
      </c>
      <c r="AD2093" s="4">
        <v>170</v>
      </c>
      <c r="AE2093" s="4">
        <v>170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233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 t="s">
        <v>233</v>
      </c>
      <c r="AW2093" s="8" t="s">
        <v>233</v>
      </c>
      <c r="AX2093" s="4" t="s">
        <v>233</v>
      </c>
      <c r="AY2093" s="8" t="s">
        <v>233</v>
      </c>
      <c r="AZ2093" s="7" t="s">
        <v>233</v>
      </c>
      <c r="BA2093" s="7" t="s">
        <v>233</v>
      </c>
      <c r="BB2093" s="7"/>
      <c r="BC2093" s="4" t="s">
        <v>233</v>
      </c>
      <c r="BD2093" s="8" t="s">
        <v>233</v>
      </c>
      <c r="BE2093" s="4" t="s">
        <v>233</v>
      </c>
      <c r="BF2093" s="8" t="s">
        <v>233</v>
      </c>
      <c r="BG2093" s="7" t="s">
        <v>233</v>
      </c>
      <c r="BH2093" s="7" t="s">
        <v>233</v>
      </c>
      <c r="BI2093" s="7"/>
      <c r="BJ2093" s="4">
        <v>9</v>
      </c>
      <c r="BK2093" s="8">
        <v>706.9</v>
      </c>
      <c r="BL2093" s="2" t="s">
        <v>9472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9473</v>
      </c>
      <c r="BV2093" s="2" t="s">
        <v>233</v>
      </c>
      <c r="BW2093" s="2" t="s">
        <v>233</v>
      </c>
      <c r="BX2093" s="2" t="s">
        <v>233</v>
      </c>
      <c r="BY2093" s="2" t="s">
        <v>280</v>
      </c>
      <c r="BZ2093" s="2" t="s">
        <v>245</v>
      </c>
      <c r="CA2093" s="2" t="s">
        <v>5499</v>
      </c>
      <c r="CB2093" s="2" t="s">
        <v>5500</v>
      </c>
      <c r="CC2093" s="2" t="s">
        <v>246</v>
      </c>
      <c r="CD2093" s="2" t="s">
        <v>233</v>
      </c>
      <c r="CE2093" s="4">
        <v>25</v>
      </c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>
        <v>170</v>
      </c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  <c r="GQ2093" s="4"/>
      <c r="GR2093" s="4"/>
      <c r="GS2093" s="4"/>
      <c r="GT2093" s="4"/>
      <c r="GU2093" s="4"/>
      <c r="GV2093" s="4"/>
      <c r="GW2093" s="4"/>
      <c r="GX2093" s="4"/>
      <c r="GY2093" s="4"/>
      <c r="GZ2093" s="4"/>
      <c r="HA2093" s="4"/>
      <c r="HB2093" s="4"/>
      <c r="HC2093" s="4"/>
      <c r="HD2093" s="4"/>
      <c r="HE2093" s="4"/>
      <c r="HF2093" s="4"/>
      <c r="HG2093" s="4"/>
      <c r="HH2093" s="4"/>
      <c r="HI2093" s="4"/>
      <c r="HJ2093" s="4"/>
      <c r="HK2093" s="4"/>
      <c r="HL2093" s="4"/>
      <c r="HM2093" s="4"/>
      <c r="HN2093" s="4"/>
      <c r="HO2093" s="4"/>
      <c r="HP2093" s="4"/>
      <c r="HQ2093" s="4"/>
      <c r="HR2093" s="4"/>
    </row>
    <row r="2094">
      <c r="A2094" s="2" t="s">
        <v>9474</v>
      </c>
      <c r="B2094" s="2" t="s">
        <v>228</v>
      </c>
      <c r="C2094" s="2" t="s">
        <v>3846</v>
      </c>
      <c r="D2094" s="2" t="s">
        <v>3847</v>
      </c>
      <c r="E2094" s="2" t="s">
        <v>3848</v>
      </c>
      <c r="F2094" s="2" t="s">
        <v>9453</v>
      </c>
      <c r="G2094" s="2" t="s">
        <v>9453</v>
      </c>
      <c r="H2094" s="2" t="s">
        <v>9453</v>
      </c>
      <c r="I2094" s="2" t="s">
        <v>231</v>
      </c>
      <c r="J2094" s="2" t="s">
        <v>328</v>
      </c>
      <c r="K2094" s="2" t="s">
        <v>590</v>
      </c>
      <c r="L2094" s="3">
        <v>77.9</v>
      </c>
      <c r="M2094" s="3">
        <v>81.8</v>
      </c>
      <c r="N2094" s="3">
        <v>166.99</v>
      </c>
      <c r="O2094" s="2" t="s">
        <v>245</v>
      </c>
      <c r="P2094" s="2" t="s">
        <v>272</v>
      </c>
      <c r="Q2094" s="2" t="s">
        <v>239</v>
      </c>
      <c r="R2094" s="2" t="s">
        <v>233</v>
      </c>
      <c r="S2094" s="2" t="s">
        <v>233</v>
      </c>
      <c r="T2094" s="2" t="s">
        <v>1622</v>
      </c>
      <c r="U2094" s="2" t="s">
        <v>396</v>
      </c>
      <c r="V2094" s="2" t="s">
        <v>241</v>
      </c>
      <c r="W2094" s="2" t="s">
        <v>275</v>
      </c>
      <c r="X2094" s="2" t="s">
        <v>233</v>
      </c>
      <c r="Y2094" s="2" t="s">
        <v>5496</v>
      </c>
      <c r="Z2094" s="4">
        <v>144</v>
      </c>
      <c r="AA2094" s="4">
        <f>=ROUNDDOWN(18,0)</f>
      </c>
      <c r="AB2094" s="5">
        <v>8</v>
      </c>
      <c r="AC2094" s="2" t="s">
        <v>233</v>
      </c>
      <c r="AD2094" s="4"/>
      <c r="AE2094" s="4"/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233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233</v>
      </c>
      <c r="AW2094" s="8" t="s">
        <v>233</v>
      </c>
      <c r="AX2094" s="4" t="s">
        <v>233</v>
      </c>
      <c r="AY2094" s="8" t="s">
        <v>233</v>
      </c>
      <c r="AZ2094" s="7" t="s">
        <v>233</v>
      </c>
      <c r="BA2094" s="7" t="s">
        <v>233</v>
      </c>
      <c r="BB2094" s="7"/>
      <c r="BC2094" s="4" t="s">
        <v>233</v>
      </c>
      <c r="BD2094" s="8" t="s">
        <v>233</v>
      </c>
      <c r="BE2094" s="4" t="s">
        <v>233</v>
      </c>
      <c r="BF2094" s="8" t="s">
        <v>233</v>
      </c>
      <c r="BG2094" s="7" t="s">
        <v>233</v>
      </c>
      <c r="BH2094" s="7" t="s">
        <v>233</v>
      </c>
      <c r="BI2094" s="7"/>
      <c r="BJ2094" s="4">
        <v>8</v>
      </c>
      <c r="BK2094" s="8">
        <v>682</v>
      </c>
      <c r="BL2094" s="2" t="s">
        <v>9475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9476</v>
      </c>
      <c r="BV2094" s="2" t="s">
        <v>233</v>
      </c>
      <c r="BW2094" s="2" t="s">
        <v>233</v>
      </c>
      <c r="BX2094" s="2" t="s">
        <v>233</v>
      </c>
      <c r="BY2094" s="2" t="s">
        <v>280</v>
      </c>
      <c r="BZ2094" s="2" t="s">
        <v>245</v>
      </c>
      <c r="CA2094" s="2" t="s">
        <v>5496</v>
      </c>
      <c r="CB2094" s="2" t="s">
        <v>9109</v>
      </c>
      <c r="CC2094" s="2" t="s">
        <v>246</v>
      </c>
      <c r="CD2094" s="2" t="s">
        <v>233</v>
      </c>
      <c r="CE2094" s="4">
        <v>144</v>
      </c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  <c r="HF2094" s="4"/>
      <c r="HG2094" s="4"/>
      <c r="HH2094" s="4"/>
      <c r="HI2094" s="4"/>
      <c r="HJ2094" s="4"/>
      <c r="HK2094" s="4"/>
      <c r="HL2094" s="4"/>
      <c r="HM2094" s="4"/>
      <c r="HN2094" s="4"/>
      <c r="HO2094" s="4"/>
      <c r="HP2094" s="4"/>
      <c r="HQ2094" s="4"/>
      <c r="HR2094" s="4"/>
    </row>
    <row r="2095">
      <c r="A2095" s="2" t="s">
        <v>9477</v>
      </c>
      <c r="B2095" s="2" t="s">
        <v>228</v>
      </c>
      <c r="C2095" s="2" t="s">
        <v>3846</v>
      </c>
      <c r="D2095" s="2" t="s">
        <v>3847</v>
      </c>
      <c r="E2095" s="2" t="s">
        <v>3848</v>
      </c>
      <c r="F2095" s="2" t="s">
        <v>9453</v>
      </c>
      <c r="G2095" s="2" t="s">
        <v>9453</v>
      </c>
      <c r="H2095" s="2" t="s">
        <v>9453</v>
      </c>
      <c r="I2095" s="2" t="s">
        <v>231</v>
      </c>
      <c r="J2095" s="2" t="s">
        <v>270</v>
      </c>
      <c r="K2095" s="2" t="s">
        <v>620</v>
      </c>
      <c r="L2095" s="3">
        <v>44.52</v>
      </c>
      <c r="M2095" s="3">
        <v>46.75</v>
      </c>
      <c r="N2095" s="3">
        <v>94.99</v>
      </c>
      <c r="O2095" s="2" t="s">
        <v>245</v>
      </c>
      <c r="P2095" s="2" t="s">
        <v>311</v>
      </c>
      <c r="Q2095" s="2" t="s">
        <v>239</v>
      </c>
      <c r="R2095" s="2" t="s">
        <v>233</v>
      </c>
      <c r="S2095" s="2" t="s">
        <v>233</v>
      </c>
      <c r="T2095" s="2" t="s">
        <v>1622</v>
      </c>
      <c r="U2095" s="2" t="s">
        <v>396</v>
      </c>
      <c r="V2095" s="2" t="s">
        <v>241</v>
      </c>
      <c r="W2095" s="2" t="s">
        <v>275</v>
      </c>
      <c r="X2095" s="2" t="s">
        <v>233</v>
      </c>
      <c r="Y2095" s="2" t="s">
        <v>5496</v>
      </c>
      <c r="Z2095" s="4">
        <v>117</v>
      </c>
      <c r="AA2095" s="4">
        <f>=ROUNDDOWN(19.5,0)</f>
      </c>
      <c r="AB2095" s="5">
        <v>6</v>
      </c>
      <c r="AC2095" s="2" t="s">
        <v>233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233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 t="s">
        <v>233</v>
      </c>
      <c r="BD2095" s="8" t="s">
        <v>233</v>
      </c>
      <c r="BE2095" s="4" t="s">
        <v>233</v>
      </c>
      <c r="BF2095" s="8" t="s">
        <v>233</v>
      </c>
      <c r="BG2095" s="7" t="s">
        <v>233</v>
      </c>
      <c r="BH2095" s="7" t="s">
        <v>233</v>
      </c>
      <c r="BI2095" s="7"/>
      <c r="BJ2095" s="4">
        <v>10</v>
      </c>
      <c r="BK2095" s="8">
        <v>480.14</v>
      </c>
      <c r="BL2095" s="2" t="s">
        <v>3868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9478</v>
      </c>
      <c r="BV2095" s="2" t="s">
        <v>233</v>
      </c>
      <c r="BW2095" s="2" t="s">
        <v>233</v>
      </c>
      <c r="BX2095" s="2" t="s">
        <v>595</v>
      </c>
      <c r="BY2095" s="2" t="s">
        <v>280</v>
      </c>
      <c r="BZ2095" s="2" t="s">
        <v>245</v>
      </c>
      <c r="CA2095" s="2" t="s">
        <v>5496</v>
      </c>
      <c r="CB2095" s="2" t="s">
        <v>9109</v>
      </c>
      <c r="CC2095" s="2" t="s">
        <v>246</v>
      </c>
      <c r="CD2095" s="2" t="s">
        <v>233</v>
      </c>
      <c r="CE2095" s="4">
        <v>117</v>
      </c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  <c r="HF2095" s="4"/>
      <c r="HG2095" s="4"/>
      <c r="HH2095" s="4"/>
      <c r="HI2095" s="4"/>
      <c r="HJ2095" s="4"/>
      <c r="HK2095" s="4"/>
      <c r="HL2095" s="4"/>
      <c r="HM2095" s="4"/>
      <c r="HN2095" s="4"/>
      <c r="HO2095" s="4"/>
      <c r="HP2095" s="4"/>
      <c r="HQ2095" s="4"/>
      <c r="HR2095" s="4"/>
    </row>
    <row r="2096">
      <c r="A2096" s="2" t="s">
        <v>9479</v>
      </c>
      <c r="B2096" s="2" t="s">
        <v>333</v>
      </c>
      <c r="C2096" s="2" t="s">
        <v>1266</v>
      </c>
      <c r="D2096" s="2" t="s">
        <v>335</v>
      </c>
      <c r="E2096" s="2" t="s">
        <v>336</v>
      </c>
      <c r="F2096" s="2" t="s">
        <v>9480</v>
      </c>
      <c r="G2096" s="2" t="s">
        <v>9480</v>
      </c>
      <c r="H2096" s="2" t="s">
        <v>9480</v>
      </c>
      <c r="I2096" s="2" t="s">
        <v>9481</v>
      </c>
      <c r="J2096" s="2" t="s">
        <v>270</v>
      </c>
      <c r="K2096" s="2" t="s">
        <v>9482</v>
      </c>
      <c r="L2096" s="3">
        <v>21.6</v>
      </c>
      <c r="M2096" s="3">
        <v>22.68</v>
      </c>
      <c r="N2096" s="3">
        <v>47.99</v>
      </c>
      <c r="O2096" s="2" t="s">
        <v>245</v>
      </c>
      <c r="P2096" s="2" t="s">
        <v>272</v>
      </c>
      <c r="Q2096" s="2" t="s">
        <v>239</v>
      </c>
      <c r="R2096" s="2" t="s">
        <v>233</v>
      </c>
      <c r="S2096" s="2" t="s">
        <v>9483</v>
      </c>
      <c r="T2096" s="2" t="s">
        <v>341</v>
      </c>
      <c r="U2096" s="2" t="s">
        <v>233</v>
      </c>
      <c r="V2096" s="2" t="s">
        <v>3836</v>
      </c>
      <c r="W2096" s="2" t="s">
        <v>275</v>
      </c>
      <c r="X2096" s="2" t="s">
        <v>233</v>
      </c>
      <c r="Y2096" s="2" t="s">
        <v>276</v>
      </c>
      <c r="Z2096" s="4">
        <v>192</v>
      </c>
      <c r="AA2096" s="4">
        <f>=ROUNDDOWN(27.4285714285714,0)</f>
      </c>
      <c r="AB2096" s="5">
        <v>7</v>
      </c>
      <c r="AC2096" s="2" t="s">
        <v>233</v>
      </c>
      <c r="AD2096" s="4"/>
      <c r="AE2096" s="4"/>
      <c r="AF2096" s="6">
        <v>67</v>
      </c>
      <c r="AG2096" s="6"/>
      <c r="AH2096" s="7">
        <v>1</v>
      </c>
      <c r="AI2096" s="4"/>
      <c r="AJ2096" s="4">
        <f>=ROUNDDOWN({0},0)</f>
      </c>
      <c r="AK2096" s="5"/>
      <c r="AL2096" s="2" t="s">
        <v>233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233</v>
      </c>
      <c r="AW2096" s="8" t="s">
        <v>233</v>
      </c>
      <c r="AX2096" s="4" t="s">
        <v>233</v>
      </c>
      <c r="AY2096" s="8" t="s">
        <v>233</v>
      </c>
      <c r="AZ2096" s="7" t="s">
        <v>233</v>
      </c>
      <c r="BA2096" s="7" t="s">
        <v>233</v>
      </c>
      <c r="BB2096" s="7"/>
      <c r="BC2096" s="4" t="s">
        <v>233</v>
      </c>
      <c r="BD2096" s="8" t="s">
        <v>233</v>
      </c>
      <c r="BE2096" s="4" t="s">
        <v>233</v>
      </c>
      <c r="BF2096" s="8" t="s">
        <v>233</v>
      </c>
      <c r="BG2096" s="7" t="s">
        <v>233</v>
      </c>
      <c r="BH2096" s="7" t="s">
        <v>233</v>
      </c>
      <c r="BI2096" s="7"/>
      <c r="BJ2096" s="4">
        <v>24</v>
      </c>
      <c r="BK2096" s="8">
        <v>539.25</v>
      </c>
      <c r="BL2096" s="2" t="s">
        <v>9484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9485</v>
      </c>
      <c r="BV2096" s="2" t="s">
        <v>233</v>
      </c>
      <c r="BW2096" s="2" t="s">
        <v>233</v>
      </c>
      <c r="BX2096" s="2" t="s">
        <v>233</v>
      </c>
      <c r="BY2096" s="2" t="s">
        <v>280</v>
      </c>
      <c r="BZ2096" s="2" t="s">
        <v>245</v>
      </c>
      <c r="CA2096" s="2" t="s">
        <v>4034</v>
      </c>
      <c r="CB2096" s="2" t="s">
        <v>4267</v>
      </c>
      <c r="CC2096" s="2" t="s">
        <v>246</v>
      </c>
      <c r="CD2096" s="2" t="s">
        <v>233</v>
      </c>
      <c r="CE2096" s="4">
        <v>192</v>
      </c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  <c r="HF2096" s="4"/>
      <c r="HG2096" s="4"/>
      <c r="HH2096" s="4"/>
      <c r="HI2096" s="4"/>
      <c r="HJ2096" s="4"/>
      <c r="HK2096" s="4"/>
      <c r="HL2096" s="4"/>
      <c r="HM2096" s="4"/>
      <c r="HN2096" s="4"/>
      <c r="HO2096" s="4"/>
      <c r="HP2096" s="4"/>
      <c r="HQ2096" s="4"/>
      <c r="HR2096" s="4"/>
    </row>
    <row r="2097">
      <c r="A2097" s="2" t="s">
        <v>9486</v>
      </c>
      <c r="B2097" s="2" t="s">
        <v>333</v>
      </c>
      <c r="C2097" s="2" t="s">
        <v>1266</v>
      </c>
      <c r="D2097" s="2" t="s">
        <v>335</v>
      </c>
      <c r="E2097" s="2" t="s">
        <v>336</v>
      </c>
      <c r="F2097" s="2" t="s">
        <v>9480</v>
      </c>
      <c r="G2097" s="2" t="s">
        <v>9480</v>
      </c>
      <c r="H2097" s="2" t="s">
        <v>9480</v>
      </c>
      <c r="I2097" s="2" t="s">
        <v>9481</v>
      </c>
      <c r="J2097" s="2" t="s">
        <v>348</v>
      </c>
      <c r="K2097" s="2" t="s">
        <v>9482</v>
      </c>
      <c r="L2097" s="3">
        <v>27</v>
      </c>
      <c r="M2097" s="3">
        <v>28.35</v>
      </c>
      <c r="N2097" s="3">
        <v>59.99</v>
      </c>
      <c r="O2097" s="2" t="s">
        <v>245</v>
      </c>
      <c r="P2097" s="2" t="s">
        <v>272</v>
      </c>
      <c r="Q2097" s="2" t="s">
        <v>239</v>
      </c>
      <c r="R2097" s="2" t="s">
        <v>233</v>
      </c>
      <c r="S2097" s="2" t="s">
        <v>9483</v>
      </c>
      <c r="T2097" s="2" t="s">
        <v>341</v>
      </c>
      <c r="U2097" s="2" t="s">
        <v>233</v>
      </c>
      <c r="V2097" s="2" t="s">
        <v>3836</v>
      </c>
      <c r="W2097" s="2" t="s">
        <v>275</v>
      </c>
      <c r="X2097" s="2" t="s">
        <v>233</v>
      </c>
      <c r="Y2097" s="2" t="s">
        <v>276</v>
      </c>
      <c r="Z2097" s="4">
        <v>289</v>
      </c>
      <c r="AA2097" s="4">
        <f>=ROUNDDOWN(57.8,0)</f>
      </c>
      <c r="AB2097" s="5">
        <v>5</v>
      </c>
      <c r="AC2097" s="2" t="s">
        <v>233</v>
      </c>
      <c r="AD2097" s="4"/>
      <c r="AE2097" s="4"/>
      <c r="AF2097" s="6">
        <v>67</v>
      </c>
      <c r="AG2097" s="6"/>
      <c r="AH2097" s="7">
        <v>1</v>
      </c>
      <c r="AI2097" s="4"/>
      <c r="AJ2097" s="4">
        <f>=ROUNDDOWN({0},0)</f>
      </c>
      <c r="AK2097" s="5"/>
      <c r="AL2097" s="2" t="s">
        <v>233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233</v>
      </c>
      <c r="AW2097" s="8" t="s">
        <v>233</v>
      </c>
      <c r="AX2097" s="4" t="s">
        <v>233</v>
      </c>
      <c r="AY2097" s="8" t="s">
        <v>233</v>
      </c>
      <c r="AZ2097" s="7" t="s">
        <v>233</v>
      </c>
      <c r="BA2097" s="7" t="s">
        <v>233</v>
      </c>
      <c r="BB2097" s="7"/>
      <c r="BC2097" s="4" t="s">
        <v>233</v>
      </c>
      <c r="BD2097" s="8" t="s">
        <v>233</v>
      </c>
      <c r="BE2097" s="4" t="s">
        <v>233</v>
      </c>
      <c r="BF2097" s="8" t="s">
        <v>233</v>
      </c>
      <c r="BG2097" s="7" t="s">
        <v>233</v>
      </c>
      <c r="BH2097" s="7" t="s">
        <v>233</v>
      </c>
      <c r="BI2097" s="7"/>
      <c r="BJ2097" s="4">
        <v>20</v>
      </c>
      <c r="BK2097" s="8">
        <v>581.3</v>
      </c>
      <c r="BL2097" s="2" t="s">
        <v>9487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9488</v>
      </c>
      <c r="BV2097" s="2" t="s">
        <v>233</v>
      </c>
      <c r="BW2097" s="2" t="s">
        <v>233</v>
      </c>
      <c r="BX2097" s="2" t="s">
        <v>233</v>
      </c>
      <c r="BY2097" s="2" t="s">
        <v>280</v>
      </c>
      <c r="BZ2097" s="2" t="s">
        <v>245</v>
      </c>
      <c r="CA2097" s="2" t="s">
        <v>9489</v>
      </c>
      <c r="CB2097" s="2" t="s">
        <v>4014</v>
      </c>
      <c r="CC2097" s="2" t="s">
        <v>246</v>
      </c>
      <c r="CD2097" s="2" t="s">
        <v>233</v>
      </c>
      <c r="CE2097" s="4">
        <v>289</v>
      </c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  <c r="HF2097" s="4"/>
      <c r="HG2097" s="4"/>
      <c r="HH2097" s="4"/>
      <c r="HI2097" s="4"/>
      <c r="HJ2097" s="4"/>
      <c r="HK2097" s="4"/>
      <c r="HL2097" s="4"/>
      <c r="HM2097" s="4"/>
      <c r="HN2097" s="4"/>
      <c r="HO2097" s="4"/>
      <c r="HP2097" s="4"/>
      <c r="HQ2097" s="4"/>
      <c r="HR2097" s="4"/>
    </row>
    <row r="2098">
      <c r="A2098" s="2" t="s">
        <v>9490</v>
      </c>
      <c r="B2098" s="2" t="s">
        <v>333</v>
      </c>
      <c r="C2098" s="2" t="s">
        <v>1266</v>
      </c>
      <c r="D2098" s="2" t="s">
        <v>335</v>
      </c>
      <c r="E2098" s="2" t="s">
        <v>336</v>
      </c>
      <c r="F2098" s="2" t="s">
        <v>9480</v>
      </c>
      <c r="G2098" s="2" t="s">
        <v>9480</v>
      </c>
      <c r="H2098" s="2" t="s">
        <v>9480</v>
      </c>
      <c r="I2098" s="2" t="s">
        <v>9481</v>
      </c>
      <c r="J2098" s="2" t="s">
        <v>348</v>
      </c>
      <c r="K2098" s="2" t="s">
        <v>590</v>
      </c>
      <c r="L2098" s="3">
        <v>27</v>
      </c>
      <c r="M2098" s="3">
        <v>28.35</v>
      </c>
      <c r="N2098" s="3">
        <v>59.99</v>
      </c>
      <c r="O2098" s="2" t="s">
        <v>245</v>
      </c>
      <c r="P2098" s="2" t="s">
        <v>272</v>
      </c>
      <c r="Q2098" s="2" t="s">
        <v>239</v>
      </c>
      <c r="R2098" s="2" t="s">
        <v>233</v>
      </c>
      <c r="S2098" s="2" t="s">
        <v>9491</v>
      </c>
      <c r="T2098" s="2" t="s">
        <v>341</v>
      </c>
      <c r="U2098" s="2" t="s">
        <v>233</v>
      </c>
      <c r="V2098" s="2" t="s">
        <v>3836</v>
      </c>
      <c r="W2098" s="2" t="s">
        <v>275</v>
      </c>
      <c r="X2098" s="2" t="s">
        <v>233</v>
      </c>
      <c r="Y2098" s="2" t="s">
        <v>276</v>
      </c>
      <c r="Z2098" s="4">
        <v>154</v>
      </c>
      <c r="AA2098" s="4">
        <f>=ROUNDDOWN(17.1111111111111,0)</f>
      </c>
      <c r="AB2098" s="5">
        <v>9</v>
      </c>
      <c r="AC2098" s="2" t="s">
        <v>361</v>
      </c>
      <c r="AD2098" s="4">
        <v>38</v>
      </c>
      <c r="AE2098" s="4">
        <v>178</v>
      </c>
      <c r="AF2098" s="6">
        <v>67</v>
      </c>
      <c r="AG2098" s="6"/>
      <c r="AH2098" s="7">
        <v>1</v>
      </c>
      <c r="AI2098" s="4"/>
      <c r="AJ2098" s="4">
        <f>=ROUNDDOWN({0},0)</f>
      </c>
      <c r="AK2098" s="5"/>
      <c r="AL2098" s="2" t="s">
        <v>233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/>
      <c r="AW2098" s="8"/>
      <c r="AX2098" s="4"/>
      <c r="AY2098" s="8"/>
      <c r="AZ2098" s="7"/>
      <c r="BA2098" s="7"/>
      <c r="BB2098" s="7"/>
      <c r="BC2098" s="4" t="s">
        <v>233</v>
      </c>
      <c r="BD2098" s="8" t="s">
        <v>233</v>
      </c>
      <c r="BE2098" s="4" t="s">
        <v>233</v>
      </c>
      <c r="BF2098" s="8" t="s">
        <v>233</v>
      </c>
      <c r="BG2098" s="7" t="s">
        <v>233</v>
      </c>
      <c r="BH2098" s="7" t="s">
        <v>233</v>
      </c>
      <c r="BI2098" s="7"/>
      <c r="BJ2098" s="4">
        <v>24</v>
      </c>
      <c r="BK2098" s="8">
        <v>684.06</v>
      </c>
      <c r="BL2098" s="2" t="s">
        <v>9492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9493</v>
      </c>
      <c r="BV2098" s="2" t="s">
        <v>233</v>
      </c>
      <c r="BW2098" s="2" t="s">
        <v>233</v>
      </c>
      <c r="BX2098" s="2" t="s">
        <v>233</v>
      </c>
      <c r="BY2098" s="2" t="s">
        <v>280</v>
      </c>
      <c r="BZ2098" s="2" t="s">
        <v>245</v>
      </c>
      <c r="CA2098" s="2" t="s">
        <v>281</v>
      </c>
      <c r="CB2098" s="2" t="s">
        <v>9494</v>
      </c>
      <c r="CC2098" s="2" t="s">
        <v>246</v>
      </c>
      <c r="CD2098" s="2" t="s">
        <v>233</v>
      </c>
      <c r="CE2098" s="4">
        <v>154</v>
      </c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>
        <v>38</v>
      </c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>
        <v>60</v>
      </c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>
        <v>80</v>
      </c>
      <c r="HC2098" s="4"/>
      <c r="HD2098" s="4"/>
      <c r="HE2098" s="4"/>
      <c r="HF2098" s="4"/>
      <c r="HG2098" s="4"/>
      <c r="HH2098" s="4"/>
      <c r="HI2098" s="4"/>
      <c r="HJ2098" s="4"/>
      <c r="HK2098" s="4"/>
      <c r="HL2098" s="4"/>
      <c r="HM2098" s="4"/>
      <c r="HN2098" s="4"/>
      <c r="HO2098" s="4"/>
      <c r="HP2098" s="4"/>
      <c r="HQ2098" s="4"/>
      <c r="HR2098" s="4"/>
    </row>
    <row r="2099">
      <c r="A2099" s="2" t="s">
        <v>9495</v>
      </c>
      <c r="B2099" s="2" t="s">
        <v>333</v>
      </c>
      <c r="C2099" s="2" t="s">
        <v>1266</v>
      </c>
      <c r="D2099" s="2" t="s">
        <v>335</v>
      </c>
      <c r="E2099" s="2" t="s">
        <v>336</v>
      </c>
      <c r="F2099" s="2" t="s">
        <v>9480</v>
      </c>
      <c r="G2099" s="2" t="s">
        <v>9480</v>
      </c>
      <c r="H2099" s="2" t="s">
        <v>9480</v>
      </c>
      <c r="I2099" s="2" t="s">
        <v>9481</v>
      </c>
      <c r="J2099" s="2" t="s">
        <v>290</v>
      </c>
      <c r="K2099" s="2" t="s">
        <v>499</v>
      </c>
      <c r="L2099" s="3">
        <v>24.75</v>
      </c>
      <c r="M2099" s="3">
        <v>25.99</v>
      </c>
      <c r="N2099" s="3">
        <v>54.99</v>
      </c>
      <c r="O2099" s="2" t="s">
        <v>245</v>
      </c>
      <c r="P2099" s="2" t="s">
        <v>272</v>
      </c>
      <c r="Q2099" s="2" t="s">
        <v>239</v>
      </c>
      <c r="R2099" s="2" t="s">
        <v>233</v>
      </c>
      <c r="S2099" s="2" t="s">
        <v>9496</v>
      </c>
      <c r="T2099" s="2" t="s">
        <v>341</v>
      </c>
      <c r="U2099" s="2" t="s">
        <v>233</v>
      </c>
      <c r="V2099" s="2" t="s">
        <v>3836</v>
      </c>
      <c r="W2099" s="2" t="s">
        <v>275</v>
      </c>
      <c r="X2099" s="2" t="s">
        <v>233</v>
      </c>
      <c r="Y2099" s="2" t="s">
        <v>276</v>
      </c>
      <c r="Z2099" s="4">
        <v>157</v>
      </c>
      <c r="AA2099" s="4">
        <f>=ROUNDDOWN(39.25,0)</f>
      </c>
      <c r="AB2099" s="5">
        <v>4</v>
      </c>
      <c r="AC2099" s="2" t="s">
        <v>345</v>
      </c>
      <c r="AD2099" s="4">
        <v>104</v>
      </c>
      <c r="AE2099" s="4">
        <v>104</v>
      </c>
      <c r="AF2099" s="6">
        <v>67</v>
      </c>
      <c r="AG2099" s="6"/>
      <c r="AH2099" s="7">
        <v>1</v>
      </c>
      <c r="AI2099" s="4"/>
      <c r="AJ2099" s="4">
        <f>=ROUNDDOWN({0},0)</f>
      </c>
      <c r="AK2099" s="5"/>
      <c r="AL2099" s="2" t="s">
        <v>233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233</v>
      </c>
      <c r="AW2099" s="8" t="s">
        <v>233</v>
      </c>
      <c r="AX2099" s="4" t="s">
        <v>233</v>
      </c>
      <c r="AY2099" s="8" t="s">
        <v>233</v>
      </c>
      <c r="AZ2099" s="7" t="s">
        <v>233</v>
      </c>
      <c r="BA2099" s="7" t="s">
        <v>233</v>
      </c>
      <c r="BB2099" s="7"/>
      <c r="BC2099" s="4" t="s">
        <v>233</v>
      </c>
      <c r="BD2099" s="8" t="s">
        <v>233</v>
      </c>
      <c r="BE2099" s="4" t="s">
        <v>233</v>
      </c>
      <c r="BF2099" s="8" t="s">
        <v>233</v>
      </c>
      <c r="BG2099" s="7" t="s">
        <v>233</v>
      </c>
      <c r="BH2099" s="7" t="s">
        <v>233</v>
      </c>
      <c r="BI2099" s="7"/>
      <c r="BJ2099" s="4">
        <v>20</v>
      </c>
      <c r="BK2099" s="8">
        <v>504.49</v>
      </c>
      <c r="BL2099" s="2" t="s">
        <v>9497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9498</v>
      </c>
      <c r="BV2099" s="2" t="s">
        <v>233</v>
      </c>
      <c r="BW2099" s="2" t="s">
        <v>233</v>
      </c>
      <c r="BX2099" s="2" t="s">
        <v>233</v>
      </c>
      <c r="BY2099" s="2" t="s">
        <v>280</v>
      </c>
      <c r="BZ2099" s="2" t="s">
        <v>245</v>
      </c>
      <c r="CA2099" s="2" t="s">
        <v>4034</v>
      </c>
      <c r="CB2099" s="2" t="s">
        <v>417</v>
      </c>
      <c r="CC2099" s="2" t="s">
        <v>246</v>
      </c>
      <c r="CD2099" s="2" t="s">
        <v>233</v>
      </c>
      <c r="CE2099" s="4">
        <v>157</v>
      </c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>
        <v>104</v>
      </c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  <c r="GQ2099" s="4"/>
      <c r="GR2099" s="4"/>
      <c r="GS2099" s="4"/>
      <c r="GT2099" s="4"/>
      <c r="GU2099" s="4"/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  <c r="HF2099" s="4"/>
      <c r="HG2099" s="4"/>
      <c r="HH2099" s="4"/>
      <c r="HI2099" s="4"/>
      <c r="HJ2099" s="4"/>
      <c r="HK2099" s="4"/>
      <c r="HL2099" s="4"/>
      <c r="HM2099" s="4"/>
      <c r="HN2099" s="4"/>
      <c r="HO2099" s="4"/>
      <c r="HP2099" s="4"/>
      <c r="HQ2099" s="4"/>
      <c r="HR2099" s="4"/>
    </row>
    <row r="2100">
      <c r="A2100" s="2" t="s">
        <v>9499</v>
      </c>
      <c r="B2100" s="2" t="s">
        <v>333</v>
      </c>
      <c r="C2100" s="2" t="s">
        <v>1266</v>
      </c>
      <c r="D2100" s="2" t="s">
        <v>335</v>
      </c>
      <c r="E2100" s="2" t="s">
        <v>336</v>
      </c>
      <c r="F2100" s="2" t="s">
        <v>9480</v>
      </c>
      <c r="G2100" s="2" t="s">
        <v>9480</v>
      </c>
      <c r="H2100" s="2" t="s">
        <v>9480</v>
      </c>
      <c r="I2100" s="2" t="s">
        <v>9481</v>
      </c>
      <c r="J2100" s="2" t="s">
        <v>348</v>
      </c>
      <c r="K2100" s="2" t="s">
        <v>499</v>
      </c>
      <c r="L2100" s="3">
        <v>27</v>
      </c>
      <c r="M2100" s="3">
        <v>28.35</v>
      </c>
      <c r="N2100" s="3">
        <v>59.99</v>
      </c>
      <c r="O2100" s="2" t="s">
        <v>245</v>
      </c>
      <c r="P2100" s="2" t="s">
        <v>272</v>
      </c>
      <c r="Q2100" s="2" t="s">
        <v>239</v>
      </c>
      <c r="R2100" s="2" t="s">
        <v>233</v>
      </c>
      <c r="S2100" s="2" t="s">
        <v>9496</v>
      </c>
      <c r="T2100" s="2" t="s">
        <v>341</v>
      </c>
      <c r="U2100" s="2" t="s">
        <v>233</v>
      </c>
      <c r="V2100" s="2" t="s">
        <v>3836</v>
      </c>
      <c r="W2100" s="2" t="s">
        <v>275</v>
      </c>
      <c r="X2100" s="2" t="s">
        <v>233</v>
      </c>
      <c r="Y2100" s="2" t="s">
        <v>276</v>
      </c>
      <c r="Z2100" s="4">
        <v>152</v>
      </c>
      <c r="AA2100" s="4">
        <f>=ROUNDDOWN(25.3333333333333,0)</f>
      </c>
      <c r="AB2100" s="5">
        <v>6</v>
      </c>
      <c r="AC2100" s="2" t="s">
        <v>345</v>
      </c>
      <c r="AD2100" s="4">
        <v>94</v>
      </c>
      <c r="AE2100" s="4">
        <v>94</v>
      </c>
      <c r="AF2100" s="6">
        <v>67</v>
      </c>
      <c r="AG2100" s="6"/>
      <c r="AH2100" s="7">
        <v>1</v>
      </c>
      <c r="AI2100" s="4"/>
      <c r="AJ2100" s="4">
        <f>=ROUNDDOWN({0},0)</f>
      </c>
      <c r="AK2100" s="5"/>
      <c r="AL2100" s="2" t="s">
        <v>233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233</v>
      </c>
      <c r="AW2100" s="8" t="s">
        <v>233</v>
      </c>
      <c r="AX2100" s="4" t="s">
        <v>233</v>
      </c>
      <c r="AY2100" s="8" t="s">
        <v>233</v>
      </c>
      <c r="AZ2100" s="7" t="s">
        <v>233</v>
      </c>
      <c r="BA2100" s="7" t="s">
        <v>233</v>
      </c>
      <c r="BB2100" s="7"/>
      <c r="BC2100" s="4" t="s">
        <v>233</v>
      </c>
      <c r="BD2100" s="8" t="s">
        <v>233</v>
      </c>
      <c r="BE2100" s="4" t="s">
        <v>233</v>
      </c>
      <c r="BF2100" s="8" t="s">
        <v>233</v>
      </c>
      <c r="BG2100" s="7" t="s">
        <v>233</v>
      </c>
      <c r="BH2100" s="7" t="s">
        <v>233</v>
      </c>
      <c r="BI2100" s="7"/>
      <c r="BJ2100" s="4">
        <v>19</v>
      </c>
      <c r="BK2100" s="8">
        <v>554.42</v>
      </c>
      <c r="BL2100" s="2" t="s">
        <v>2938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9500</v>
      </c>
      <c r="BV2100" s="2" t="s">
        <v>233</v>
      </c>
      <c r="BW2100" s="2" t="s">
        <v>233</v>
      </c>
      <c r="BX2100" s="2" t="s">
        <v>233</v>
      </c>
      <c r="BY2100" s="2" t="s">
        <v>280</v>
      </c>
      <c r="BZ2100" s="2" t="s">
        <v>245</v>
      </c>
      <c r="CA2100" s="2" t="s">
        <v>4034</v>
      </c>
      <c r="CB2100" s="2" t="s">
        <v>9501</v>
      </c>
      <c r="CC2100" s="2" t="s">
        <v>246</v>
      </c>
      <c r="CD2100" s="2" t="s">
        <v>233</v>
      </c>
      <c r="CE2100" s="4">
        <v>152</v>
      </c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>
        <v>94</v>
      </c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  <c r="HF2100" s="4"/>
      <c r="HG2100" s="4"/>
      <c r="HH2100" s="4"/>
      <c r="HI2100" s="4"/>
      <c r="HJ2100" s="4"/>
      <c r="HK2100" s="4"/>
      <c r="HL2100" s="4"/>
      <c r="HM2100" s="4"/>
      <c r="HN2100" s="4"/>
      <c r="HO2100" s="4"/>
      <c r="HP2100" s="4"/>
      <c r="HQ2100" s="4"/>
      <c r="HR2100" s="4"/>
    </row>
    <row r="2101">
      <c r="A2101" s="2" t="s">
        <v>9502</v>
      </c>
      <c r="B2101" s="2" t="s">
        <v>1174</v>
      </c>
      <c r="C2101" s="2" t="s">
        <v>9503</v>
      </c>
      <c r="D2101" s="2" t="s">
        <v>1175</v>
      </c>
      <c r="E2101" s="2" t="s">
        <v>1448</v>
      </c>
      <c r="F2101" s="2" t="s">
        <v>9504</v>
      </c>
      <c r="G2101" s="2" t="s">
        <v>233</v>
      </c>
      <c r="H2101" s="2" t="s">
        <v>233</v>
      </c>
      <c r="I2101" s="2" t="s">
        <v>9505</v>
      </c>
      <c r="J2101" s="2" t="s">
        <v>9506</v>
      </c>
      <c r="K2101" s="2" t="s">
        <v>552</v>
      </c>
      <c r="L2101" s="3">
        <v>19.99</v>
      </c>
      <c r="M2101" s="3">
        <v>20.99</v>
      </c>
      <c r="N2101" s="3"/>
      <c r="O2101" s="2" t="s">
        <v>245</v>
      </c>
      <c r="P2101" s="2" t="s">
        <v>238</v>
      </c>
      <c r="Q2101" s="2" t="s">
        <v>239</v>
      </c>
      <c r="R2101" s="2" t="s">
        <v>9507</v>
      </c>
      <c r="S2101" s="2" t="s">
        <v>233</v>
      </c>
      <c r="T2101" s="2" t="s">
        <v>233</v>
      </c>
      <c r="U2101" s="2" t="s">
        <v>233</v>
      </c>
      <c r="V2101" s="2" t="s">
        <v>241</v>
      </c>
      <c r="W2101" s="2" t="s">
        <v>233</v>
      </c>
      <c r="X2101" s="2" t="s">
        <v>233</v>
      </c>
      <c r="Y2101" s="2" t="s">
        <v>9508</v>
      </c>
      <c r="Z2101" s="4"/>
      <c r="AA2101" s="4">
        <f>=ROUNDDOWN({0},0)</f>
      </c>
      <c r="AB2101" s="5"/>
      <c r="AC2101" s="2" t="s">
        <v>233</v>
      </c>
      <c r="AD2101" s="4"/>
      <c r="AE2101" s="4"/>
      <c r="AF2101" s="6"/>
      <c r="AG2101" s="6"/>
      <c r="AH2101" s="7">
        <v>0</v>
      </c>
      <c r="AI2101" s="4"/>
      <c r="AJ2101" s="4">
        <f>=ROUNDDOWN({0},0)</f>
      </c>
      <c r="AK2101" s="5"/>
      <c r="AL2101" s="2" t="s">
        <v>233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233</v>
      </c>
      <c r="AW2101" s="8" t="s">
        <v>233</v>
      </c>
      <c r="AX2101" s="4" t="s">
        <v>233</v>
      </c>
      <c r="AY2101" s="8" t="s">
        <v>233</v>
      </c>
      <c r="AZ2101" s="7" t="s">
        <v>233</v>
      </c>
      <c r="BA2101" s="7" t="s">
        <v>233</v>
      </c>
      <c r="BB2101" s="7"/>
      <c r="BC2101" s="4" t="s">
        <v>233</v>
      </c>
      <c r="BD2101" s="8" t="s">
        <v>233</v>
      </c>
      <c r="BE2101" s="4" t="s">
        <v>233</v>
      </c>
      <c r="BF2101" s="8" t="s">
        <v>233</v>
      </c>
      <c r="BG2101" s="7" t="s">
        <v>233</v>
      </c>
      <c r="BH2101" s="7" t="s">
        <v>233</v>
      </c>
      <c r="BI2101" s="7"/>
      <c r="BJ2101" s="4"/>
      <c r="BK2101" s="8"/>
      <c r="BL2101" s="2" t="s">
        <v>233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243</v>
      </c>
      <c r="BV2101" s="2" t="s">
        <v>233</v>
      </c>
      <c r="BW2101" s="2" t="s">
        <v>233</v>
      </c>
      <c r="BX2101" s="2" t="s">
        <v>233</v>
      </c>
      <c r="BY2101" s="2" t="s">
        <v>244</v>
      </c>
      <c r="BZ2101" s="2" t="s">
        <v>245</v>
      </c>
      <c r="CA2101" s="2" t="s">
        <v>233</v>
      </c>
      <c r="CB2101" s="2" t="s">
        <v>233</v>
      </c>
      <c r="CC2101" s="2" t="s">
        <v>246</v>
      </c>
      <c r="CD2101" s="2" t="s">
        <v>233</v>
      </c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4"/>
      <c r="HE2101" s="4"/>
      <c r="HF2101" s="4"/>
      <c r="HG2101" s="4"/>
      <c r="HH2101" s="4"/>
      <c r="HI2101" s="4"/>
      <c r="HJ2101" s="4"/>
      <c r="HK2101" s="4"/>
      <c r="HL2101" s="4"/>
      <c r="HM2101" s="4"/>
      <c r="HN2101" s="4"/>
      <c r="HO2101" s="4"/>
      <c r="HP2101" s="4"/>
      <c r="HQ2101" s="4"/>
      <c r="HR2101" s="4"/>
    </row>
    <row r="2102">
      <c r="A2102" s="2" t="s">
        <v>9509</v>
      </c>
      <c r="B2102" s="2" t="s">
        <v>1174</v>
      </c>
      <c r="C2102" s="2" t="s">
        <v>9503</v>
      </c>
      <c r="D2102" s="2" t="s">
        <v>1175</v>
      </c>
      <c r="E2102" s="2" t="s">
        <v>1448</v>
      </c>
      <c r="F2102" s="2" t="s">
        <v>9504</v>
      </c>
      <c r="G2102" s="2" t="s">
        <v>233</v>
      </c>
      <c r="H2102" s="2" t="s">
        <v>233</v>
      </c>
      <c r="I2102" s="2" t="s">
        <v>9510</v>
      </c>
      <c r="J2102" s="2" t="s">
        <v>2094</v>
      </c>
      <c r="K2102" s="2" t="s">
        <v>552</v>
      </c>
      <c r="L2102" s="3">
        <v>22.99</v>
      </c>
      <c r="M2102" s="3">
        <v>24.14</v>
      </c>
      <c r="N2102" s="3"/>
      <c r="O2102" s="2" t="s">
        <v>245</v>
      </c>
      <c r="P2102" s="2" t="s">
        <v>238</v>
      </c>
      <c r="Q2102" s="2" t="s">
        <v>239</v>
      </c>
      <c r="R2102" s="2" t="s">
        <v>9507</v>
      </c>
      <c r="S2102" s="2" t="s">
        <v>233</v>
      </c>
      <c r="T2102" s="2" t="s">
        <v>233</v>
      </c>
      <c r="U2102" s="2" t="s">
        <v>233</v>
      </c>
      <c r="V2102" s="2" t="s">
        <v>241</v>
      </c>
      <c r="W2102" s="2" t="s">
        <v>233</v>
      </c>
      <c r="X2102" s="2" t="s">
        <v>233</v>
      </c>
      <c r="Y2102" s="2" t="s">
        <v>9508</v>
      </c>
      <c r="Z2102" s="4"/>
      <c r="AA2102" s="4">
        <f>=ROUNDDOWN({0},0)</f>
      </c>
      <c r="AB2102" s="5"/>
      <c r="AC2102" s="2" t="s">
        <v>233</v>
      </c>
      <c r="AD2102" s="4"/>
      <c r="AE2102" s="4"/>
      <c r="AF2102" s="6"/>
      <c r="AG2102" s="6"/>
      <c r="AH2102" s="7">
        <v>0</v>
      </c>
      <c r="AI2102" s="4"/>
      <c r="AJ2102" s="4">
        <f>=ROUNDDOWN({0},0)</f>
      </c>
      <c r="AK2102" s="5"/>
      <c r="AL2102" s="2" t="s">
        <v>233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233</v>
      </c>
      <c r="AW2102" s="8" t="s">
        <v>233</v>
      </c>
      <c r="AX2102" s="4" t="s">
        <v>233</v>
      </c>
      <c r="AY2102" s="8" t="s">
        <v>233</v>
      </c>
      <c r="AZ2102" s="7" t="s">
        <v>233</v>
      </c>
      <c r="BA2102" s="7" t="s">
        <v>233</v>
      </c>
      <c r="BB2102" s="7"/>
      <c r="BC2102" s="4" t="s">
        <v>233</v>
      </c>
      <c r="BD2102" s="8" t="s">
        <v>233</v>
      </c>
      <c r="BE2102" s="4" t="s">
        <v>233</v>
      </c>
      <c r="BF2102" s="8" t="s">
        <v>233</v>
      </c>
      <c r="BG2102" s="7" t="s">
        <v>233</v>
      </c>
      <c r="BH2102" s="7" t="s">
        <v>233</v>
      </c>
      <c r="BI2102" s="7"/>
      <c r="BJ2102" s="4"/>
      <c r="BK2102" s="8"/>
      <c r="BL2102" s="2" t="s">
        <v>233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243</v>
      </c>
      <c r="BV2102" s="2" t="s">
        <v>233</v>
      </c>
      <c r="BW2102" s="2" t="s">
        <v>233</v>
      </c>
      <c r="BX2102" s="2" t="s">
        <v>233</v>
      </c>
      <c r="BY2102" s="2" t="s">
        <v>244</v>
      </c>
      <c r="BZ2102" s="2" t="s">
        <v>245</v>
      </c>
      <c r="CA2102" s="2" t="s">
        <v>233</v>
      </c>
      <c r="CB2102" s="2" t="s">
        <v>233</v>
      </c>
      <c r="CC2102" s="2" t="s">
        <v>246</v>
      </c>
      <c r="CD2102" s="2" t="s">
        <v>233</v>
      </c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  <c r="GQ2102" s="4"/>
      <c r="GR2102" s="4"/>
      <c r="GS2102" s="4"/>
      <c r="GT2102" s="4"/>
      <c r="GU2102" s="4"/>
      <c r="GV2102" s="4"/>
      <c r="GW2102" s="4"/>
      <c r="GX2102" s="4"/>
      <c r="GY2102" s="4"/>
      <c r="GZ2102" s="4"/>
      <c r="HA2102" s="4"/>
      <c r="HB2102" s="4"/>
      <c r="HC2102" s="4"/>
      <c r="HD2102" s="4"/>
      <c r="HE2102" s="4"/>
      <c r="HF2102" s="4"/>
      <c r="HG2102" s="4"/>
      <c r="HH2102" s="4"/>
      <c r="HI2102" s="4"/>
      <c r="HJ2102" s="4"/>
      <c r="HK2102" s="4"/>
      <c r="HL2102" s="4"/>
      <c r="HM2102" s="4"/>
      <c r="HN2102" s="4"/>
      <c r="HO2102" s="4"/>
      <c r="HP2102" s="4"/>
      <c r="HQ2102" s="4"/>
      <c r="HR2102" s="4"/>
    </row>
    <row r="2103">
      <c r="A2103" s="2" t="s">
        <v>9511</v>
      </c>
      <c r="B2103" s="2" t="s">
        <v>1174</v>
      </c>
      <c r="C2103" s="2" t="s">
        <v>9503</v>
      </c>
      <c r="D2103" s="2" t="s">
        <v>1175</v>
      </c>
      <c r="E2103" s="2" t="s">
        <v>1448</v>
      </c>
      <c r="F2103" s="2" t="s">
        <v>9504</v>
      </c>
      <c r="G2103" s="2" t="s">
        <v>233</v>
      </c>
      <c r="H2103" s="2" t="s">
        <v>233</v>
      </c>
      <c r="I2103" s="2" t="s">
        <v>9510</v>
      </c>
      <c r="J2103" s="2" t="s">
        <v>9506</v>
      </c>
      <c r="K2103" s="2" t="s">
        <v>1537</v>
      </c>
      <c r="L2103" s="3">
        <v>19.99</v>
      </c>
      <c r="M2103" s="3">
        <v>20.99</v>
      </c>
      <c r="N2103" s="3"/>
      <c r="O2103" s="2" t="s">
        <v>245</v>
      </c>
      <c r="P2103" s="2" t="s">
        <v>238</v>
      </c>
      <c r="Q2103" s="2" t="s">
        <v>239</v>
      </c>
      <c r="R2103" s="2" t="s">
        <v>9507</v>
      </c>
      <c r="S2103" s="2" t="s">
        <v>233</v>
      </c>
      <c r="T2103" s="2" t="s">
        <v>233</v>
      </c>
      <c r="U2103" s="2" t="s">
        <v>233</v>
      </c>
      <c r="V2103" s="2" t="s">
        <v>241</v>
      </c>
      <c r="W2103" s="2" t="s">
        <v>233</v>
      </c>
      <c r="X2103" s="2" t="s">
        <v>233</v>
      </c>
      <c r="Y2103" s="2" t="s">
        <v>9508</v>
      </c>
      <c r="Z2103" s="4"/>
      <c r="AA2103" s="4">
        <f>=ROUNDDOWN({0},0)</f>
      </c>
      <c r="AB2103" s="5"/>
      <c r="AC2103" s="2" t="s">
        <v>233</v>
      </c>
      <c r="AD2103" s="4"/>
      <c r="AE2103" s="4"/>
      <c r="AF2103" s="6"/>
      <c r="AG2103" s="6"/>
      <c r="AH2103" s="7">
        <v>0</v>
      </c>
      <c r="AI2103" s="4"/>
      <c r="AJ2103" s="4">
        <f>=ROUNDDOWN({0},0)</f>
      </c>
      <c r="AK2103" s="5"/>
      <c r="AL2103" s="2" t="s">
        <v>233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233</v>
      </c>
      <c r="AW2103" s="8" t="s">
        <v>233</v>
      </c>
      <c r="AX2103" s="4" t="s">
        <v>233</v>
      </c>
      <c r="AY2103" s="8" t="s">
        <v>233</v>
      </c>
      <c r="AZ2103" s="7" t="s">
        <v>233</v>
      </c>
      <c r="BA2103" s="7" t="s">
        <v>233</v>
      </c>
      <c r="BB2103" s="7"/>
      <c r="BC2103" s="4" t="s">
        <v>233</v>
      </c>
      <c r="BD2103" s="8" t="s">
        <v>233</v>
      </c>
      <c r="BE2103" s="4" t="s">
        <v>233</v>
      </c>
      <c r="BF2103" s="8" t="s">
        <v>233</v>
      </c>
      <c r="BG2103" s="7" t="s">
        <v>233</v>
      </c>
      <c r="BH2103" s="7" t="s">
        <v>233</v>
      </c>
      <c r="BI2103" s="7"/>
      <c r="BJ2103" s="4"/>
      <c r="BK2103" s="8"/>
      <c r="BL2103" s="2" t="s">
        <v>233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243</v>
      </c>
      <c r="BV2103" s="2" t="s">
        <v>233</v>
      </c>
      <c r="BW2103" s="2" t="s">
        <v>233</v>
      </c>
      <c r="BX2103" s="2" t="s">
        <v>233</v>
      </c>
      <c r="BY2103" s="2" t="s">
        <v>244</v>
      </c>
      <c r="BZ2103" s="2" t="s">
        <v>245</v>
      </c>
      <c r="CA2103" s="2" t="s">
        <v>233</v>
      </c>
      <c r="CB2103" s="2" t="s">
        <v>233</v>
      </c>
      <c r="CC2103" s="2" t="s">
        <v>246</v>
      </c>
      <c r="CD2103" s="2" t="s">
        <v>233</v>
      </c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  <c r="GQ2103" s="4"/>
      <c r="GR2103" s="4"/>
      <c r="GS2103" s="4"/>
      <c r="GT2103" s="4"/>
      <c r="GU2103" s="4"/>
      <c r="GV2103" s="4"/>
      <c r="GW2103" s="4"/>
      <c r="GX2103" s="4"/>
      <c r="GY2103" s="4"/>
      <c r="GZ2103" s="4"/>
      <c r="HA2103" s="4"/>
      <c r="HB2103" s="4"/>
      <c r="HC2103" s="4"/>
      <c r="HD2103" s="4"/>
      <c r="HE2103" s="4"/>
      <c r="HF2103" s="4"/>
      <c r="HG2103" s="4"/>
      <c r="HH2103" s="4"/>
      <c r="HI2103" s="4"/>
      <c r="HJ2103" s="4"/>
      <c r="HK2103" s="4"/>
      <c r="HL2103" s="4"/>
      <c r="HM2103" s="4"/>
      <c r="HN2103" s="4"/>
      <c r="HO2103" s="4"/>
      <c r="HP2103" s="4"/>
      <c r="HQ2103" s="4"/>
      <c r="HR2103" s="4"/>
    </row>
    <row r="2104">
      <c r="A2104" s="2" t="s">
        <v>9512</v>
      </c>
      <c r="B2104" s="2" t="s">
        <v>1174</v>
      </c>
      <c r="C2104" s="2" t="s">
        <v>9503</v>
      </c>
      <c r="D2104" s="2" t="s">
        <v>1175</v>
      </c>
      <c r="E2104" s="2" t="s">
        <v>1448</v>
      </c>
      <c r="F2104" s="2" t="s">
        <v>9504</v>
      </c>
      <c r="G2104" s="2" t="s">
        <v>233</v>
      </c>
      <c r="H2104" s="2" t="s">
        <v>233</v>
      </c>
      <c r="I2104" s="2" t="s">
        <v>9510</v>
      </c>
      <c r="J2104" s="2" t="s">
        <v>2094</v>
      </c>
      <c r="K2104" s="2" t="s">
        <v>1537</v>
      </c>
      <c r="L2104" s="3">
        <v>22.99</v>
      </c>
      <c r="M2104" s="3">
        <v>24.14</v>
      </c>
      <c r="N2104" s="3"/>
      <c r="O2104" s="2" t="s">
        <v>245</v>
      </c>
      <c r="P2104" s="2" t="s">
        <v>238</v>
      </c>
      <c r="Q2104" s="2" t="s">
        <v>239</v>
      </c>
      <c r="R2104" s="2" t="s">
        <v>9507</v>
      </c>
      <c r="S2104" s="2" t="s">
        <v>233</v>
      </c>
      <c r="T2104" s="2" t="s">
        <v>233</v>
      </c>
      <c r="U2104" s="2" t="s">
        <v>233</v>
      </c>
      <c r="V2104" s="2" t="s">
        <v>241</v>
      </c>
      <c r="W2104" s="2" t="s">
        <v>233</v>
      </c>
      <c r="X2104" s="2" t="s">
        <v>233</v>
      </c>
      <c r="Y2104" s="2" t="s">
        <v>9508</v>
      </c>
      <c r="Z2104" s="4"/>
      <c r="AA2104" s="4">
        <f>=ROUNDDOWN({0},0)</f>
      </c>
      <c r="AB2104" s="5"/>
      <c r="AC2104" s="2" t="s">
        <v>233</v>
      </c>
      <c r="AD2104" s="4"/>
      <c r="AE2104" s="4"/>
      <c r="AF2104" s="6"/>
      <c r="AG2104" s="6"/>
      <c r="AH2104" s="7">
        <v>0</v>
      </c>
      <c r="AI2104" s="4"/>
      <c r="AJ2104" s="4">
        <f>=ROUNDDOWN({0},0)</f>
      </c>
      <c r="AK2104" s="5"/>
      <c r="AL2104" s="2" t="s">
        <v>233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233</v>
      </c>
      <c r="AW2104" s="8" t="s">
        <v>233</v>
      </c>
      <c r="AX2104" s="4" t="s">
        <v>233</v>
      </c>
      <c r="AY2104" s="8" t="s">
        <v>233</v>
      </c>
      <c r="AZ2104" s="7" t="s">
        <v>233</v>
      </c>
      <c r="BA2104" s="7" t="s">
        <v>233</v>
      </c>
      <c r="BB2104" s="7"/>
      <c r="BC2104" s="4" t="s">
        <v>233</v>
      </c>
      <c r="BD2104" s="8" t="s">
        <v>233</v>
      </c>
      <c r="BE2104" s="4" t="s">
        <v>233</v>
      </c>
      <c r="BF2104" s="8" t="s">
        <v>233</v>
      </c>
      <c r="BG2104" s="7" t="s">
        <v>233</v>
      </c>
      <c r="BH2104" s="7" t="s">
        <v>233</v>
      </c>
      <c r="BI2104" s="7"/>
      <c r="BJ2104" s="4"/>
      <c r="BK2104" s="8"/>
      <c r="BL2104" s="2" t="s">
        <v>233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243</v>
      </c>
      <c r="BV2104" s="2" t="s">
        <v>233</v>
      </c>
      <c r="BW2104" s="2" t="s">
        <v>233</v>
      </c>
      <c r="BX2104" s="2" t="s">
        <v>233</v>
      </c>
      <c r="BY2104" s="2" t="s">
        <v>244</v>
      </c>
      <c r="BZ2104" s="2" t="s">
        <v>245</v>
      </c>
      <c r="CA2104" s="2" t="s">
        <v>233</v>
      </c>
      <c r="CB2104" s="2" t="s">
        <v>233</v>
      </c>
      <c r="CC2104" s="2" t="s">
        <v>246</v>
      </c>
      <c r="CD2104" s="2" t="s">
        <v>233</v>
      </c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/>
      <c r="GS2104" s="4"/>
      <c r="GT2104" s="4"/>
      <c r="GU2104" s="4"/>
      <c r="GV2104" s="4"/>
      <c r="GW2104" s="4"/>
      <c r="GX2104" s="4"/>
      <c r="GY2104" s="4"/>
      <c r="GZ2104" s="4"/>
      <c r="HA2104" s="4"/>
      <c r="HB2104" s="4"/>
      <c r="HC2104" s="4"/>
      <c r="HD2104" s="4"/>
      <c r="HE2104" s="4"/>
      <c r="HF2104" s="4"/>
      <c r="HG2104" s="4"/>
      <c r="HH2104" s="4"/>
      <c r="HI2104" s="4"/>
      <c r="HJ2104" s="4"/>
      <c r="HK2104" s="4"/>
      <c r="HL2104" s="4"/>
      <c r="HM2104" s="4"/>
      <c r="HN2104" s="4"/>
      <c r="HO2104" s="4"/>
      <c r="HP2104" s="4"/>
      <c r="HQ2104" s="4"/>
      <c r="HR2104" s="4"/>
    </row>
    <row r="2105">
      <c r="A2105" s="2" t="s">
        <v>9513</v>
      </c>
      <c r="B2105" s="2" t="s">
        <v>1174</v>
      </c>
      <c r="C2105" s="2" t="s">
        <v>9503</v>
      </c>
      <c r="D2105" s="2" t="s">
        <v>1175</v>
      </c>
      <c r="E2105" s="2" t="s">
        <v>1448</v>
      </c>
      <c r="F2105" s="2" t="s">
        <v>9504</v>
      </c>
      <c r="G2105" s="2" t="s">
        <v>233</v>
      </c>
      <c r="H2105" s="2" t="s">
        <v>233</v>
      </c>
      <c r="I2105" s="2" t="s">
        <v>9510</v>
      </c>
      <c r="J2105" s="2" t="s">
        <v>9506</v>
      </c>
      <c r="K2105" s="2" t="s">
        <v>297</v>
      </c>
      <c r="L2105" s="3">
        <v>19.99</v>
      </c>
      <c r="M2105" s="3">
        <v>20.99</v>
      </c>
      <c r="N2105" s="3"/>
      <c r="O2105" s="2" t="s">
        <v>245</v>
      </c>
      <c r="P2105" s="2" t="s">
        <v>238</v>
      </c>
      <c r="Q2105" s="2" t="s">
        <v>239</v>
      </c>
      <c r="R2105" s="2" t="s">
        <v>9507</v>
      </c>
      <c r="S2105" s="2" t="s">
        <v>233</v>
      </c>
      <c r="T2105" s="2" t="s">
        <v>233</v>
      </c>
      <c r="U2105" s="2" t="s">
        <v>233</v>
      </c>
      <c r="V2105" s="2" t="s">
        <v>241</v>
      </c>
      <c r="W2105" s="2" t="s">
        <v>233</v>
      </c>
      <c r="X2105" s="2" t="s">
        <v>233</v>
      </c>
      <c r="Y2105" s="2" t="s">
        <v>9508</v>
      </c>
      <c r="Z2105" s="4"/>
      <c r="AA2105" s="4">
        <f>=ROUNDDOWN({0},0)</f>
      </c>
      <c r="AB2105" s="5"/>
      <c r="AC2105" s="2" t="s">
        <v>233</v>
      </c>
      <c r="AD2105" s="4"/>
      <c r="AE2105" s="4"/>
      <c r="AF2105" s="6"/>
      <c r="AG2105" s="6"/>
      <c r="AH2105" s="7">
        <v>0</v>
      </c>
      <c r="AI2105" s="4"/>
      <c r="AJ2105" s="4">
        <f>=ROUNDDOWN({0},0)</f>
      </c>
      <c r="AK2105" s="5"/>
      <c r="AL2105" s="2" t="s">
        <v>233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233</v>
      </c>
      <c r="AW2105" s="8" t="s">
        <v>233</v>
      </c>
      <c r="AX2105" s="4" t="s">
        <v>233</v>
      </c>
      <c r="AY2105" s="8" t="s">
        <v>233</v>
      </c>
      <c r="AZ2105" s="7" t="s">
        <v>233</v>
      </c>
      <c r="BA2105" s="7" t="s">
        <v>233</v>
      </c>
      <c r="BB2105" s="7"/>
      <c r="BC2105" s="4" t="s">
        <v>233</v>
      </c>
      <c r="BD2105" s="8" t="s">
        <v>233</v>
      </c>
      <c r="BE2105" s="4" t="s">
        <v>233</v>
      </c>
      <c r="BF2105" s="8" t="s">
        <v>233</v>
      </c>
      <c r="BG2105" s="7" t="s">
        <v>233</v>
      </c>
      <c r="BH2105" s="7" t="s">
        <v>233</v>
      </c>
      <c r="BI2105" s="7"/>
      <c r="BJ2105" s="4"/>
      <c r="BK2105" s="8"/>
      <c r="BL2105" s="2" t="s">
        <v>233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243</v>
      </c>
      <c r="BV2105" s="2" t="s">
        <v>233</v>
      </c>
      <c r="BW2105" s="2" t="s">
        <v>233</v>
      </c>
      <c r="BX2105" s="2" t="s">
        <v>233</v>
      </c>
      <c r="BY2105" s="2" t="s">
        <v>244</v>
      </c>
      <c r="BZ2105" s="2" t="s">
        <v>245</v>
      </c>
      <c r="CA2105" s="2" t="s">
        <v>233</v>
      </c>
      <c r="CB2105" s="2" t="s">
        <v>233</v>
      </c>
      <c r="CC2105" s="2" t="s">
        <v>246</v>
      </c>
      <c r="CD2105" s="2" t="s">
        <v>233</v>
      </c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4"/>
      <c r="HE2105" s="4"/>
      <c r="HF2105" s="4"/>
      <c r="HG2105" s="4"/>
      <c r="HH2105" s="4"/>
      <c r="HI2105" s="4"/>
      <c r="HJ2105" s="4"/>
      <c r="HK2105" s="4"/>
      <c r="HL2105" s="4"/>
      <c r="HM2105" s="4"/>
      <c r="HN2105" s="4"/>
      <c r="HO2105" s="4"/>
      <c r="HP2105" s="4"/>
      <c r="HQ2105" s="4"/>
      <c r="HR2105" s="4"/>
    </row>
    <row r="2106">
      <c r="A2106" s="2" t="s">
        <v>9514</v>
      </c>
      <c r="B2106" s="2" t="s">
        <v>1174</v>
      </c>
      <c r="C2106" s="2" t="s">
        <v>9503</v>
      </c>
      <c r="D2106" s="2" t="s">
        <v>1175</v>
      </c>
      <c r="E2106" s="2" t="s">
        <v>1448</v>
      </c>
      <c r="F2106" s="2" t="s">
        <v>9504</v>
      </c>
      <c r="G2106" s="2" t="s">
        <v>233</v>
      </c>
      <c r="H2106" s="2" t="s">
        <v>233</v>
      </c>
      <c r="I2106" s="2" t="s">
        <v>9510</v>
      </c>
      <c r="J2106" s="2" t="s">
        <v>2094</v>
      </c>
      <c r="K2106" s="2" t="s">
        <v>297</v>
      </c>
      <c r="L2106" s="3">
        <v>22.99</v>
      </c>
      <c r="M2106" s="3">
        <v>24.14</v>
      </c>
      <c r="N2106" s="3"/>
      <c r="O2106" s="2" t="s">
        <v>245</v>
      </c>
      <c r="P2106" s="2" t="s">
        <v>238</v>
      </c>
      <c r="Q2106" s="2" t="s">
        <v>239</v>
      </c>
      <c r="R2106" s="2" t="s">
        <v>9507</v>
      </c>
      <c r="S2106" s="2" t="s">
        <v>233</v>
      </c>
      <c r="T2106" s="2" t="s">
        <v>233</v>
      </c>
      <c r="U2106" s="2" t="s">
        <v>233</v>
      </c>
      <c r="V2106" s="2" t="s">
        <v>241</v>
      </c>
      <c r="W2106" s="2" t="s">
        <v>233</v>
      </c>
      <c r="X2106" s="2" t="s">
        <v>233</v>
      </c>
      <c r="Y2106" s="2" t="s">
        <v>9508</v>
      </c>
      <c r="Z2106" s="4"/>
      <c r="AA2106" s="4">
        <f>=ROUNDDOWN({0},0)</f>
      </c>
      <c r="AB2106" s="5"/>
      <c r="AC2106" s="2" t="s">
        <v>233</v>
      </c>
      <c r="AD2106" s="4"/>
      <c r="AE2106" s="4"/>
      <c r="AF2106" s="6"/>
      <c r="AG2106" s="6"/>
      <c r="AH2106" s="7">
        <v>0</v>
      </c>
      <c r="AI2106" s="4"/>
      <c r="AJ2106" s="4">
        <f>=ROUNDDOWN({0},0)</f>
      </c>
      <c r="AK2106" s="5"/>
      <c r="AL2106" s="2" t="s">
        <v>233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233</v>
      </c>
      <c r="AW2106" s="8" t="s">
        <v>233</v>
      </c>
      <c r="AX2106" s="4" t="s">
        <v>233</v>
      </c>
      <c r="AY2106" s="8" t="s">
        <v>233</v>
      </c>
      <c r="AZ2106" s="7" t="s">
        <v>233</v>
      </c>
      <c r="BA2106" s="7" t="s">
        <v>233</v>
      </c>
      <c r="BB2106" s="7"/>
      <c r="BC2106" s="4" t="s">
        <v>233</v>
      </c>
      <c r="BD2106" s="8" t="s">
        <v>233</v>
      </c>
      <c r="BE2106" s="4" t="s">
        <v>233</v>
      </c>
      <c r="BF2106" s="8" t="s">
        <v>233</v>
      </c>
      <c r="BG2106" s="7" t="s">
        <v>233</v>
      </c>
      <c r="BH2106" s="7" t="s">
        <v>233</v>
      </c>
      <c r="BI2106" s="7"/>
      <c r="BJ2106" s="4"/>
      <c r="BK2106" s="8"/>
      <c r="BL2106" s="2" t="s">
        <v>233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243</v>
      </c>
      <c r="BV2106" s="2" t="s">
        <v>233</v>
      </c>
      <c r="BW2106" s="2" t="s">
        <v>233</v>
      </c>
      <c r="BX2106" s="2" t="s">
        <v>233</v>
      </c>
      <c r="BY2106" s="2" t="s">
        <v>244</v>
      </c>
      <c r="BZ2106" s="2" t="s">
        <v>245</v>
      </c>
      <c r="CA2106" s="2" t="s">
        <v>233</v>
      </c>
      <c r="CB2106" s="2" t="s">
        <v>233</v>
      </c>
      <c r="CC2106" s="2" t="s">
        <v>246</v>
      </c>
      <c r="CD2106" s="2" t="s">
        <v>233</v>
      </c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/>
      <c r="GS2106" s="4"/>
      <c r="GT2106" s="4"/>
      <c r="GU2106" s="4"/>
      <c r="GV2106" s="4"/>
      <c r="GW2106" s="4"/>
      <c r="GX2106" s="4"/>
      <c r="GY2106" s="4"/>
      <c r="GZ2106" s="4"/>
      <c r="HA2106" s="4"/>
      <c r="HB2106" s="4"/>
      <c r="HC2106" s="4"/>
      <c r="HD2106" s="4"/>
      <c r="HE2106" s="4"/>
      <c r="HF2106" s="4"/>
      <c r="HG2106" s="4"/>
      <c r="HH2106" s="4"/>
      <c r="HI2106" s="4"/>
      <c r="HJ2106" s="4"/>
      <c r="HK2106" s="4"/>
      <c r="HL2106" s="4"/>
      <c r="HM2106" s="4"/>
      <c r="HN2106" s="4"/>
      <c r="HO2106" s="4"/>
      <c r="HP2106" s="4"/>
      <c r="HQ2106" s="4"/>
      <c r="HR2106" s="4"/>
    </row>
    <row r="2107">
      <c r="A2107" s="2" t="s">
        <v>9515</v>
      </c>
      <c r="B2107" s="2" t="s">
        <v>1174</v>
      </c>
      <c r="C2107" s="2" t="s">
        <v>9503</v>
      </c>
      <c r="D2107" s="2" t="s">
        <v>1175</v>
      </c>
      <c r="E2107" s="2" t="s">
        <v>1448</v>
      </c>
      <c r="F2107" s="2" t="s">
        <v>9504</v>
      </c>
      <c r="G2107" s="2" t="s">
        <v>233</v>
      </c>
      <c r="H2107" s="2" t="s">
        <v>233</v>
      </c>
      <c r="I2107" s="2" t="s">
        <v>9510</v>
      </c>
      <c r="J2107" s="2" t="s">
        <v>9506</v>
      </c>
      <c r="K2107" s="2" t="s">
        <v>1125</v>
      </c>
      <c r="L2107" s="3">
        <v>19.99</v>
      </c>
      <c r="M2107" s="3">
        <v>20.99</v>
      </c>
      <c r="N2107" s="3"/>
      <c r="O2107" s="2" t="s">
        <v>245</v>
      </c>
      <c r="P2107" s="2" t="s">
        <v>238</v>
      </c>
      <c r="Q2107" s="2" t="s">
        <v>239</v>
      </c>
      <c r="R2107" s="2" t="s">
        <v>9507</v>
      </c>
      <c r="S2107" s="2" t="s">
        <v>233</v>
      </c>
      <c r="T2107" s="2" t="s">
        <v>233</v>
      </c>
      <c r="U2107" s="2" t="s">
        <v>233</v>
      </c>
      <c r="V2107" s="2" t="s">
        <v>241</v>
      </c>
      <c r="W2107" s="2" t="s">
        <v>233</v>
      </c>
      <c r="X2107" s="2" t="s">
        <v>233</v>
      </c>
      <c r="Y2107" s="2" t="s">
        <v>9508</v>
      </c>
      <c r="Z2107" s="4"/>
      <c r="AA2107" s="4">
        <f>=ROUNDDOWN({0},0)</f>
      </c>
      <c r="AB2107" s="5"/>
      <c r="AC2107" s="2" t="s">
        <v>233</v>
      </c>
      <c r="AD2107" s="4"/>
      <c r="AE2107" s="4"/>
      <c r="AF2107" s="6"/>
      <c r="AG2107" s="6"/>
      <c r="AH2107" s="7">
        <v>0</v>
      </c>
      <c r="AI2107" s="4"/>
      <c r="AJ2107" s="4">
        <f>=ROUNDDOWN({0},0)</f>
      </c>
      <c r="AK2107" s="5"/>
      <c r="AL2107" s="2" t="s">
        <v>233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233</v>
      </c>
      <c r="AW2107" s="8" t="s">
        <v>233</v>
      </c>
      <c r="AX2107" s="4" t="s">
        <v>233</v>
      </c>
      <c r="AY2107" s="8" t="s">
        <v>233</v>
      </c>
      <c r="AZ2107" s="7" t="s">
        <v>233</v>
      </c>
      <c r="BA2107" s="7" t="s">
        <v>233</v>
      </c>
      <c r="BB2107" s="7"/>
      <c r="BC2107" s="4" t="s">
        <v>233</v>
      </c>
      <c r="BD2107" s="8" t="s">
        <v>233</v>
      </c>
      <c r="BE2107" s="4" t="s">
        <v>233</v>
      </c>
      <c r="BF2107" s="8" t="s">
        <v>233</v>
      </c>
      <c r="BG2107" s="7" t="s">
        <v>233</v>
      </c>
      <c r="BH2107" s="7" t="s">
        <v>233</v>
      </c>
      <c r="BI2107" s="7"/>
      <c r="BJ2107" s="4"/>
      <c r="BK2107" s="8"/>
      <c r="BL2107" s="2" t="s">
        <v>233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243</v>
      </c>
      <c r="BV2107" s="2" t="s">
        <v>233</v>
      </c>
      <c r="BW2107" s="2" t="s">
        <v>233</v>
      </c>
      <c r="BX2107" s="2" t="s">
        <v>233</v>
      </c>
      <c r="BY2107" s="2" t="s">
        <v>244</v>
      </c>
      <c r="BZ2107" s="2" t="s">
        <v>245</v>
      </c>
      <c r="CA2107" s="2" t="s">
        <v>233</v>
      </c>
      <c r="CB2107" s="2" t="s">
        <v>233</v>
      </c>
      <c r="CC2107" s="2" t="s">
        <v>246</v>
      </c>
      <c r="CD2107" s="2" t="s">
        <v>233</v>
      </c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  <c r="HF2107" s="4"/>
      <c r="HG2107" s="4"/>
      <c r="HH2107" s="4"/>
      <c r="HI2107" s="4"/>
      <c r="HJ2107" s="4"/>
      <c r="HK2107" s="4"/>
      <c r="HL2107" s="4"/>
      <c r="HM2107" s="4"/>
      <c r="HN2107" s="4"/>
      <c r="HO2107" s="4"/>
      <c r="HP2107" s="4"/>
      <c r="HQ2107" s="4"/>
      <c r="HR2107" s="4"/>
    </row>
    <row r="2108">
      <c r="A2108" s="2" t="s">
        <v>9516</v>
      </c>
      <c r="B2108" s="2" t="s">
        <v>1174</v>
      </c>
      <c r="C2108" s="2" t="s">
        <v>9503</v>
      </c>
      <c r="D2108" s="2" t="s">
        <v>1175</v>
      </c>
      <c r="E2108" s="2" t="s">
        <v>1448</v>
      </c>
      <c r="F2108" s="2" t="s">
        <v>9504</v>
      </c>
      <c r="G2108" s="2" t="s">
        <v>233</v>
      </c>
      <c r="H2108" s="2" t="s">
        <v>233</v>
      </c>
      <c r="I2108" s="2" t="s">
        <v>9510</v>
      </c>
      <c r="J2108" s="2" t="s">
        <v>2094</v>
      </c>
      <c r="K2108" s="2" t="s">
        <v>1125</v>
      </c>
      <c r="L2108" s="3">
        <v>22.99</v>
      </c>
      <c r="M2108" s="3">
        <v>24.14</v>
      </c>
      <c r="N2108" s="3"/>
      <c r="O2108" s="2" t="s">
        <v>245</v>
      </c>
      <c r="P2108" s="2" t="s">
        <v>238</v>
      </c>
      <c r="Q2108" s="2" t="s">
        <v>239</v>
      </c>
      <c r="R2108" s="2" t="s">
        <v>9507</v>
      </c>
      <c r="S2108" s="2" t="s">
        <v>233</v>
      </c>
      <c r="T2108" s="2" t="s">
        <v>233</v>
      </c>
      <c r="U2108" s="2" t="s">
        <v>233</v>
      </c>
      <c r="V2108" s="2" t="s">
        <v>241</v>
      </c>
      <c r="W2108" s="2" t="s">
        <v>233</v>
      </c>
      <c r="X2108" s="2" t="s">
        <v>233</v>
      </c>
      <c r="Y2108" s="2" t="s">
        <v>9508</v>
      </c>
      <c r="Z2108" s="4"/>
      <c r="AA2108" s="4">
        <f>=ROUNDDOWN({0},0)</f>
      </c>
      <c r="AB2108" s="5"/>
      <c r="AC2108" s="2" t="s">
        <v>233</v>
      </c>
      <c r="AD2108" s="4"/>
      <c r="AE2108" s="4"/>
      <c r="AF2108" s="6"/>
      <c r="AG2108" s="6"/>
      <c r="AH2108" s="7">
        <v>0</v>
      </c>
      <c r="AI2108" s="4"/>
      <c r="AJ2108" s="4">
        <f>=ROUNDDOWN({0},0)</f>
      </c>
      <c r="AK2108" s="5"/>
      <c r="AL2108" s="2" t="s">
        <v>233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233</v>
      </c>
      <c r="AW2108" s="8" t="s">
        <v>233</v>
      </c>
      <c r="AX2108" s="4" t="s">
        <v>233</v>
      </c>
      <c r="AY2108" s="8" t="s">
        <v>233</v>
      </c>
      <c r="AZ2108" s="7" t="s">
        <v>233</v>
      </c>
      <c r="BA2108" s="7" t="s">
        <v>233</v>
      </c>
      <c r="BB2108" s="7"/>
      <c r="BC2108" s="4" t="s">
        <v>233</v>
      </c>
      <c r="BD2108" s="8" t="s">
        <v>233</v>
      </c>
      <c r="BE2108" s="4" t="s">
        <v>233</v>
      </c>
      <c r="BF2108" s="8" t="s">
        <v>233</v>
      </c>
      <c r="BG2108" s="7" t="s">
        <v>233</v>
      </c>
      <c r="BH2108" s="7" t="s">
        <v>233</v>
      </c>
      <c r="BI2108" s="7"/>
      <c r="BJ2108" s="4"/>
      <c r="BK2108" s="8"/>
      <c r="BL2108" s="2" t="s">
        <v>233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243</v>
      </c>
      <c r="BV2108" s="2" t="s">
        <v>233</v>
      </c>
      <c r="BW2108" s="2" t="s">
        <v>233</v>
      </c>
      <c r="BX2108" s="2" t="s">
        <v>233</v>
      </c>
      <c r="BY2108" s="2" t="s">
        <v>244</v>
      </c>
      <c r="BZ2108" s="2" t="s">
        <v>245</v>
      </c>
      <c r="CA2108" s="2" t="s">
        <v>233</v>
      </c>
      <c r="CB2108" s="2" t="s">
        <v>233</v>
      </c>
      <c r="CC2108" s="2" t="s">
        <v>246</v>
      </c>
      <c r="CD2108" s="2" t="s">
        <v>233</v>
      </c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  <c r="GQ2108" s="4"/>
      <c r="GR2108" s="4"/>
      <c r="GS2108" s="4"/>
      <c r="GT2108" s="4"/>
      <c r="GU2108" s="4"/>
      <c r="GV2108" s="4"/>
      <c r="GW2108" s="4"/>
      <c r="GX2108" s="4"/>
      <c r="GY2108" s="4"/>
      <c r="GZ2108" s="4"/>
      <c r="HA2108" s="4"/>
      <c r="HB2108" s="4"/>
      <c r="HC2108" s="4"/>
      <c r="HD2108" s="4"/>
      <c r="HE2108" s="4"/>
      <c r="HF2108" s="4"/>
      <c r="HG2108" s="4"/>
      <c r="HH2108" s="4"/>
      <c r="HI2108" s="4"/>
      <c r="HJ2108" s="4"/>
      <c r="HK2108" s="4"/>
      <c r="HL2108" s="4"/>
      <c r="HM2108" s="4"/>
      <c r="HN2108" s="4"/>
      <c r="HO2108" s="4"/>
      <c r="HP2108" s="4"/>
      <c r="HQ2108" s="4"/>
      <c r="HR2108" s="4"/>
    </row>
    <row r="2109">
      <c r="A2109" s="2" t="s">
        <v>9517</v>
      </c>
      <c r="B2109" s="2" t="s">
        <v>1242</v>
      </c>
      <c r="C2109" s="2" t="s">
        <v>2145</v>
      </c>
      <c r="D2109" s="2" t="s">
        <v>969</v>
      </c>
      <c r="E2109" s="2" t="s">
        <v>970</v>
      </c>
      <c r="F2109" s="2" t="s">
        <v>9518</v>
      </c>
      <c r="G2109" s="2" t="s">
        <v>9519</v>
      </c>
      <c r="H2109" s="2" t="s">
        <v>9520</v>
      </c>
      <c r="I2109" s="2" t="s">
        <v>9521</v>
      </c>
      <c r="J2109" s="2" t="s">
        <v>918</v>
      </c>
      <c r="K2109" s="2" t="s">
        <v>645</v>
      </c>
      <c r="L2109" s="3">
        <v>21.42</v>
      </c>
      <c r="M2109" s="3">
        <v>22.49</v>
      </c>
      <c r="N2109" s="3">
        <v>44.99</v>
      </c>
      <c r="O2109" s="2" t="s">
        <v>245</v>
      </c>
      <c r="P2109" s="2" t="s">
        <v>238</v>
      </c>
      <c r="Q2109" s="2" t="s">
        <v>239</v>
      </c>
      <c r="R2109" s="2" t="s">
        <v>233</v>
      </c>
      <c r="S2109" s="2" t="s">
        <v>9522</v>
      </c>
      <c r="T2109" s="2" t="s">
        <v>395</v>
      </c>
      <c r="U2109" s="2" t="s">
        <v>491</v>
      </c>
      <c r="V2109" s="2" t="s">
        <v>241</v>
      </c>
      <c r="W2109" s="2" t="s">
        <v>275</v>
      </c>
      <c r="X2109" s="2" t="s">
        <v>397</v>
      </c>
      <c r="Y2109" s="2" t="s">
        <v>350</v>
      </c>
      <c r="Z2109" s="4">
        <v>117</v>
      </c>
      <c r="AA2109" s="4">
        <f>=ROUNDDOWN({0},0)</f>
      </c>
      <c r="AB2109" s="5"/>
      <c r="AC2109" s="2" t="s">
        <v>2388</v>
      </c>
      <c r="AD2109" s="4">
        <v>123</v>
      </c>
      <c r="AE2109" s="4">
        <v>378</v>
      </c>
      <c r="AF2109" s="6">
        <v>63</v>
      </c>
      <c r="AG2109" s="6">
        <v>46</v>
      </c>
      <c r="AH2109" s="7">
        <v>0</v>
      </c>
      <c r="AI2109" s="4"/>
      <c r="AJ2109" s="4">
        <f>=ROUNDDOWN({0},0)</f>
      </c>
      <c r="AK2109" s="5"/>
      <c r="AL2109" s="2" t="s">
        <v>233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233</v>
      </c>
      <c r="AW2109" s="8" t="s">
        <v>233</v>
      </c>
      <c r="AX2109" s="4" t="s">
        <v>233</v>
      </c>
      <c r="AY2109" s="8" t="s">
        <v>233</v>
      </c>
      <c r="AZ2109" s="7" t="s">
        <v>233</v>
      </c>
      <c r="BA2109" s="7" t="s">
        <v>233</v>
      </c>
      <c r="BB2109" s="7" t="s">
        <v>233</v>
      </c>
      <c r="BC2109" s="4" t="s">
        <v>233</v>
      </c>
      <c r="BD2109" s="8" t="s">
        <v>233</v>
      </c>
      <c r="BE2109" s="4" t="s">
        <v>233</v>
      </c>
      <c r="BF2109" s="8" t="s">
        <v>233</v>
      </c>
      <c r="BG2109" s="7" t="s">
        <v>233</v>
      </c>
      <c r="BH2109" s="7" t="s">
        <v>233</v>
      </c>
      <c r="BI2109" s="7"/>
      <c r="BJ2109" s="4"/>
      <c r="BK2109" s="8"/>
      <c r="BL2109" s="2" t="s">
        <v>233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9523</v>
      </c>
      <c r="BV2109" s="2" t="s">
        <v>233</v>
      </c>
      <c r="BW2109" s="2" t="s">
        <v>233</v>
      </c>
      <c r="BX2109" s="2" t="s">
        <v>243</v>
      </c>
      <c r="BY2109" s="2" t="s">
        <v>280</v>
      </c>
      <c r="BZ2109" s="2" t="s">
        <v>245</v>
      </c>
      <c r="CA2109" s="2" t="s">
        <v>3257</v>
      </c>
      <c r="CB2109" s="2" t="s">
        <v>233</v>
      </c>
      <c r="CC2109" s="2" t="s">
        <v>246</v>
      </c>
      <c r="CD2109" s="2" t="s">
        <v>233</v>
      </c>
      <c r="CE2109" s="4"/>
      <c r="CF2109" s="4"/>
      <c r="CG2109" s="4"/>
      <c r="CH2109" s="4"/>
      <c r="CI2109" s="4">
        <v>117</v>
      </c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>
        <v>123</v>
      </c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>
        <v>72</v>
      </c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>
        <v>168</v>
      </c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>
        <v>15</v>
      </c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/>
      <c r="GO2109" s="4"/>
      <c r="GP2109" s="4"/>
      <c r="GQ2109" s="4"/>
      <c r="GR2109" s="4"/>
      <c r="GS2109" s="4"/>
      <c r="GT2109" s="4"/>
      <c r="GU2109" s="4"/>
      <c r="GV2109" s="4"/>
      <c r="GW2109" s="4"/>
      <c r="GX2109" s="4"/>
      <c r="GY2109" s="4"/>
      <c r="GZ2109" s="4"/>
      <c r="HA2109" s="4"/>
      <c r="HB2109" s="4"/>
      <c r="HC2109" s="4"/>
      <c r="HD2109" s="4"/>
      <c r="HE2109" s="4"/>
      <c r="HF2109" s="4"/>
      <c r="HG2109" s="4"/>
      <c r="HH2109" s="4"/>
      <c r="HI2109" s="4"/>
      <c r="HJ2109" s="4"/>
      <c r="HK2109" s="4"/>
      <c r="HL2109" s="4"/>
      <c r="HM2109" s="4"/>
      <c r="HN2109" s="4"/>
      <c r="HO2109" s="4"/>
      <c r="HP2109" s="4"/>
      <c r="HQ2109" s="4"/>
      <c r="HR2109" s="4"/>
    </row>
    <row r="2110">
      <c r="A2110" s="2" t="s">
        <v>9524</v>
      </c>
      <c r="B2110" s="2" t="s">
        <v>1242</v>
      </c>
      <c r="C2110" s="2" t="s">
        <v>2145</v>
      </c>
      <c r="D2110" s="2" t="s">
        <v>912</v>
      </c>
      <c r="E2110" s="2" t="s">
        <v>1139</v>
      </c>
      <c r="F2110" s="2" t="s">
        <v>9518</v>
      </c>
      <c r="G2110" s="2" t="s">
        <v>9519</v>
      </c>
      <c r="H2110" s="2" t="s">
        <v>9520</v>
      </c>
      <c r="I2110" s="2" t="s">
        <v>9525</v>
      </c>
      <c r="J2110" s="2" t="s">
        <v>918</v>
      </c>
      <c r="K2110" s="2" t="s">
        <v>645</v>
      </c>
      <c r="L2110" s="3">
        <v>15.47</v>
      </c>
      <c r="M2110" s="3">
        <v>16.24</v>
      </c>
      <c r="N2110" s="3">
        <v>32.49</v>
      </c>
      <c r="O2110" s="2" t="s">
        <v>245</v>
      </c>
      <c r="P2110" s="2" t="s">
        <v>238</v>
      </c>
      <c r="Q2110" s="2" t="s">
        <v>239</v>
      </c>
      <c r="R2110" s="2" t="s">
        <v>233</v>
      </c>
      <c r="S2110" s="2" t="s">
        <v>9522</v>
      </c>
      <c r="T2110" s="2" t="s">
        <v>395</v>
      </c>
      <c r="U2110" s="2" t="s">
        <v>491</v>
      </c>
      <c r="V2110" s="2" t="s">
        <v>241</v>
      </c>
      <c r="W2110" s="2" t="s">
        <v>275</v>
      </c>
      <c r="X2110" s="2" t="s">
        <v>397</v>
      </c>
      <c r="Y2110" s="2" t="s">
        <v>2467</v>
      </c>
      <c r="Z2110" s="4">
        <v>47</v>
      </c>
      <c r="AA2110" s="4">
        <f>=ROUNDDOWN(47,0)</f>
      </c>
      <c r="AB2110" s="5">
        <v>1</v>
      </c>
      <c r="AC2110" s="2" t="s">
        <v>2388</v>
      </c>
      <c r="AD2110" s="4">
        <v>52</v>
      </c>
      <c r="AE2110" s="4">
        <v>128</v>
      </c>
      <c r="AF2110" s="6">
        <v>63</v>
      </c>
      <c r="AG2110" s="6">
        <v>46</v>
      </c>
      <c r="AH2110" s="7">
        <v>1</v>
      </c>
      <c r="AI2110" s="4"/>
      <c r="AJ2110" s="4">
        <f>=ROUNDDOWN({0},0)</f>
      </c>
      <c r="AK2110" s="5"/>
      <c r="AL2110" s="2" t="s">
        <v>233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233</v>
      </c>
      <c r="AW2110" s="8" t="s">
        <v>233</v>
      </c>
      <c r="AX2110" s="4" t="s">
        <v>233</v>
      </c>
      <c r="AY2110" s="8" t="s">
        <v>233</v>
      </c>
      <c r="AZ2110" s="7" t="s">
        <v>233</v>
      </c>
      <c r="BA2110" s="7" t="s">
        <v>233</v>
      </c>
      <c r="BB2110" s="7" t="s">
        <v>233</v>
      </c>
      <c r="BC2110" s="4" t="s">
        <v>233</v>
      </c>
      <c r="BD2110" s="8" t="s">
        <v>233</v>
      </c>
      <c r="BE2110" s="4" t="s">
        <v>233</v>
      </c>
      <c r="BF2110" s="8" t="s">
        <v>233</v>
      </c>
      <c r="BG2110" s="7" t="s">
        <v>233</v>
      </c>
      <c r="BH2110" s="7" t="s">
        <v>233</v>
      </c>
      <c r="BI2110" s="7"/>
      <c r="BJ2110" s="4"/>
      <c r="BK2110" s="8"/>
      <c r="BL2110" s="2" t="s">
        <v>233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9526</v>
      </c>
      <c r="BV2110" s="2" t="s">
        <v>233</v>
      </c>
      <c r="BW2110" s="2" t="s">
        <v>233</v>
      </c>
      <c r="BX2110" s="2" t="s">
        <v>243</v>
      </c>
      <c r="BY2110" s="2" t="s">
        <v>280</v>
      </c>
      <c r="BZ2110" s="2" t="s">
        <v>245</v>
      </c>
      <c r="CA2110" s="2" t="s">
        <v>2467</v>
      </c>
      <c r="CB2110" s="2" t="s">
        <v>521</v>
      </c>
      <c r="CC2110" s="2" t="s">
        <v>246</v>
      </c>
      <c r="CD2110" s="2" t="s">
        <v>233</v>
      </c>
      <c r="CE2110" s="4"/>
      <c r="CF2110" s="4"/>
      <c r="CG2110" s="4"/>
      <c r="CH2110" s="4"/>
      <c r="CI2110" s="4">
        <v>47</v>
      </c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>
        <v>52</v>
      </c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>
        <v>24</v>
      </c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>
        <v>52</v>
      </c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/>
      <c r="GO2110" s="4"/>
      <c r="GP2110" s="4"/>
      <c r="GQ2110" s="4"/>
      <c r="GR2110" s="4"/>
      <c r="GS2110" s="4"/>
      <c r="GT2110" s="4"/>
      <c r="GU2110" s="4"/>
      <c r="GV2110" s="4"/>
      <c r="GW2110" s="4"/>
      <c r="GX2110" s="4"/>
      <c r="GY2110" s="4"/>
      <c r="GZ2110" s="4"/>
      <c r="HA2110" s="4"/>
      <c r="HB2110" s="4"/>
      <c r="HC2110" s="4"/>
      <c r="HD2110" s="4"/>
      <c r="HE2110" s="4"/>
      <c r="HF2110" s="4"/>
      <c r="HG2110" s="4"/>
      <c r="HH2110" s="4"/>
      <c r="HI2110" s="4"/>
      <c r="HJ2110" s="4"/>
      <c r="HK2110" s="4"/>
      <c r="HL2110" s="4"/>
      <c r="HM2110" s="4"/>
      <c r="HN2110" s="4"/>
      <c r="HO2110" s="4"/>
      <c r="HP2110" s="4"/>
      <c r="HQ2110" s="4"/>
      <c r="HR2110" s="4"/>
    </row>
    <row r="2111">
      <c r="A2111" s="2" t="s">
        <v>9527</v>
      </c>
      <c r="B2111" s="2" t="s">
        <v>1242</v>
      </c>
      <c r="C2111" s="2" t="s">
        <v>2145</v>
      </c>
      <c r="D2111" s="2" t="s">
        <v>969</v>
      </c>
      <c r="E2111" s="2" t="s">
        <v>970</v>
      </c>
      <c r="F2111" s="2" t="s">
        <v>9518</v>
      </c>
      <c r="G2111" s="2" t="s">
        <v>9519</v>
      </c>
      <c r="H2111" s="2" t="s">
        <v>9520</v>
      </c>
      <c r="I2111" s="2" t="s">
        <v>9521</v>
      </c>
      <c r="J2111" s="2" t="s">
        <v>981</v>
      </c>
      <c r="K2111" s="2" t="s">
        <v>645</v>
      </c>
      <c r="L2111" s="3">
        <v>26.19</v>
      </c>
      <c r="M2111" s="3">
        <v>27.5</v>
      </c>
      <c r="N2111" s="3">
        <v>54.99</v>
      </c>
      <c r="O2111" s="2" t="s">
        <v>245</v>
      </c>
      <c r="P2111" s="2" t="s">
        <v>238</v>
      </c>
      <c r="Q2111" s="2" t="s">
        <v>239</v>
      </c>
      <c r="R2111" s="2" t="s">
        <v>233</v>
      </c>
      <c r="S2111" s="2" t="s">
        <v>9522</v>
      </c>
      <c r="T2111" s="2" t="s">
        <v>395</v>
      </c>
      <c r="U2111" s="2" t="s">
        <v>475</v>
      </c>
      <c r="V2111" s="2" t="s">
        <v>241</v>
      </c>
      <c r="W2111" s="2" t="s">
        <v>275</v>
      </c>
      <c r="X2111" s="2" t="s">
        <v>397</v>
      </c>
      <c r="Y2111" s="2" t="s">
        <v>350</v>
      </c>
      <c r="Z2111" s="4">
        <v>458</v>
      </c>
      <c r="AA2111" s="4">
        <f>=ROUNDDOWN({0},0)</f>
      </c>
      <c r="AB2111" s="5"/>
      <c r="AC2111" s="2" t="s">
        <v>2388</v>
      </c>
      <c r="AD2111" s="4">
        <v>495</v>
      </c>
      <c r="AE2111" s="4">
        <v>1911</v>
      </c>
      <c r="AF2111" s="6">
        <v>63</v>
      </c>
      <c r="AG2111" s="6">
        <v>46</v>
      </c>
      <c r="AH2111" s="7">
        <v>0</v>
      </c>
      <c r="AI2111" s="4"/>
      <c r="AJ2111" s="4">
        <f>=ROUNDDOWN({0},0)</f>
      </c>
      <c r="AK2111" s="5"/>
      <c r="AL2111" s="2" t="s">
        <v>233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233</v>
      </c>
      <c r="AW2111" s="8" t="s">
        <v>233</v>
      </c>
      <c r="AX2111" s="4" t="s">
        <v>233</v>
      </c>
      <c r="AY2111" s="8" t="s">
        <v>233</v>
      </c>
      <c r="AZ2111" s="7" t="s">
        <v>233</v>
      </c>
      <c r="BA2111" s="7" t="s">
        <v>233</v>
      </c>
      <c r="BB2111" s="7" t="s">
        <v>233</v>
      </c>
      <c r="BC2111" s="4" t="s">
        <v>233</v>
      </c>
      <c r="BD2111" s="8" t="s">
        <v>233</v>
      </c>
      <c r="BE2111" s="4" t="s">
        <v>233</v>
      </c>
      <c r="BF2111" s="8" t="s">
        <v>233</v>
      </c>
      <c r="BG2111" s="7" t="s">
        <v>233</v>
      </c>
      <c r="BH2111" s="7" t="s">
        <v>233</v>
      </c>
      <c r="BI2111" s="7"/>
      <c r="BJ2111" s="4"/>
      <c r="BK2111" s="8"/>
      <c r="BL2111" s="2" t="s">
        <v>233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9528</v>
      </c>
      <c r="BV2111" s="2" t="s">
        <v>233</v>
      </c>
      <c r="BW2111" s="2" t="s">
        <v>233</v>
      </c>
      <c r="BX2111" s="2" t="s">
        <v>243</v>
      </c>
      <c r="BY2111" s="2" t="s">
        <v>280</v>
      </c>
      <c r="BZ2111" s="2" t="s">
        <v>245</v>
      </c>
      <c r="CA2111" s="2" t="s">
        <v>350</v>
      </c>
      <c r="CB2111" s="2" t="s">
        <v>795</v>
      </c>
      <c r="CC2111" s="2" t="s">
        <v>246</v>
      </c>
      <c r="CD2111" s="2" t="s">
        <v>233</v>
      </c>
      <c r="CE2111" s="4"/>
      <c r="CF2111" s="4"/>
      <c r="CG2111" s="4"/>
      <c r="CH2111" s="4"/>
      <c r="CI2111" s="4">
        <v>458</v>
      </c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>
        <v>495</v>
      </c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>
        <v>315</v>
      </c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>
        <v>735</v>
      </c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>
        <v>366</v>
      </c>
      <c r="GD2111" s="4"/>
      <c r="GE2111" s="4"/>
      <c r="GF2111" s="4"/>
      <c r="GG2111" s="4"/>
      <c r="GH2111" s="4"/>
      <c r="GI2111" s="4"/>
      <c r="GJ2111" s="4"/>
      <c r="GK2111" s="4"/>
      <c r="GL2111" s="4"/>
      <c r="GM2111" s="4"/>
      <c r="GN2111" s="4"/>
      <c r="GO2111" s="4"/>
      <c r="GP2111" s="4"/>
      <c r="GQ2111" s="4"/>
      <c r="GR2111" s="4"/>
      <c r="GS2111" s="4"/>
      <c r="GT2111" s="4"/>
      <c r="GU2111" s="4"/>
      <c r="GV2111" s="4"/>
      <c r="GW2111" s="4"/>
      <c r="GX2111" s="4"/>
      <c r="GY2111" s="4"/>
      <c r="GZ2111" s="4"/>
      <c r="HA2111" s="4"/>
      <c r="HB2111" s="4"/>
      <c r="HC2111" s="4"/>
      <c r="HD2111" s="4"/>
      <c r="HE2111" s="4"/>
      <c r="HF2111" s="4"/>
      <c r="HG2111" s="4"/>
      <c r="HH2111" s="4"/>
      <c r="HI2111" s="4"/>
      <c r="HJ2111" s="4"/>
      <c r="HK2111" s="4"/>
      <c r="HL2111" s="4"/>
      <c r="HM2111" s="4"/>
      <c r="HN2111" s="4"/>
      <c r="HO2111" s="4"/>
      <c r="HP2111" s="4"/>
      <c r="HQ2111" s="4"/>
      <c r="HR2111" s="4"/>
    </row>
    <row r="2112">
      <c r="A2112" s="2" t="s">
        <v>9529</v>
      </c>
      <c r="B2112" s="2" t="s">
        <v>1242</v>
      </c>
      <c r="C2112" s="2" t="s">
        <v>2145</v>
      </c>
      <c r="D2112" s="2" t="s">
        <v>912</v>
      </c>
      <c r="E2112" s="2" t="s">
        <v>1139</v>
      </c>
      <c r="F2112" s="2" t="s">
        <v>9518</v>
      </c>
      <c r="G2112" s="2" t="s">
        <v>9519</v>
      </c>
      <c r="H2112" s="2" t="s">
        <v>9520</v>
      </c>
      <c r="I2112" s="2" t="s">
        <v>9525</v>
      </c>
      <c r="J2112" s="2" t="s">
        <v>981</v>
      </c>
      <c r="K2112" s="2" t="s">
        <v>645</v>
      </c>
      <c r="L2112" s="3">
        <v>20.23</v>
      </c>
      <c r="M2112" s="3">
        <v>21.24</v>
      </c>
      <c r="N2112" s="3">
        <v>42.49</v>
      </c>
      <c r="O2112" s="2" t="s">
        <v>245</v>
      </c>
      <c r="P2112" s="2" t="s">
        <v>238</v>
      </c>
      <c r="Q2112" s="2" t="s">
        <v>239</v>
      </c>
      <c r="R2112" s="2" t="s">
        <v>233</v>
      </c>
      <c r="S2112" s="2" t="s">
        <v>9522</v>
      </c>
      <c r="T2112" s="2" t="s">
        <v>395</v>
      </c>
      <c r="U2112" s="2" t="s">
        <v>475</v>
      </c>
      <c r="V2112" s="2" t="s">
        <v>241</v>
      </c>
      <c r="W2112" s="2" t="s">
        <v>275</v>
      </c>
      <c r="X2112" s="2" t="s">
        <v>397</v>
      </c>
      <c r="Y2112" s="2" t="s">
        <v>2467</v>
      </c>
      <c r="Z2112" s="4">
        <v>176</v>
      </c>
      <c r="AA2112" s="4">
        <f>=ROUNDDOWN({0},0)</f>
      </c>
      <c r="AB2112" s="5"/>
      <c r="AC2112" s="2" t="s">
        <v>2388</v>
      </c>
      <c r="AD2112" s="4">
        <v>212</v>
      </c>
      <c r="AE2112" s="4">
        <v>580</v>
      </c>
      <c r="AF2112" s="6">
        <v>63</v>
      </c>
      <c r="AG2112" s="6">
        <v>46</v>
      </c>
      <c r="AH2112" s="7">
        <v>1</v>
      </c>
      <c r="AI2112" s="4"/>
      <c r="AJ2112" s="4">
        <f>=ROUNDDOWN({0},0)</f>
      </c>
      <c r="AK2112" s="5"/>
      <c r="AL2112" s="2" t="s">
        <v>233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233</v>
      </c>
      <c r="AW2112" s="8" t="s">
        <v>233</v>
      </c>
      <c r="AX2112" s="4" t="s">
        <v>233</v>
      </c>
      <c r="AY2112" s="8" t="s">
        <v>233</v>
      </c>
      <c r="AZ2112" s="7" t="s">
        <v>233</v>
      </c>
      <c r="BA2112" s="7" t="s">
        <v>233</v>
      </c>
      <c r="BB2112" s="7" t="s">
        <v>233</v>
      </c>
      <c r="BC2112" s="4" t="s">
        <v>233</v>
      </c>
      <c r="BD2112" s="8" t="s">
        <v>233</v>
      </c>
      <c r="BE2112" s="4" t="s">
        <v>233</v>
      </c>
      <c r="BF2112" s="8" t="s">
        <v>233</v>
      </c>
      <c r="BG2112" s="7" t="s">
        <v>233</v>
      </c>
      <c r="BH2112" s="7" t="s">
        <v>233</v>
      </c>
      <c r="BI2112" s="7"/>
      <c r="BJ2112" s="4"/>
      <c r="BK2112" s="8"/>
      <c r="BL2112" s="2" t="s">
        <v>233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9530</v>
      </c>
      <c r="BV2112" s="2" t="s">
        <v>233</v>
      </c>
      <c r="BW2112" s="2" t="s">
        <v>233</v>
      </c>
      <c r="BX2112" s="2" t="s">
        <v>243</v>
      </c>
      <c r="BY2112" s="2" t="s">
        <v>280</v>
      </c>
      <c r="BZ2112" s="2" t="s">
        <v>245</v>
      </c>
      <c r="CA2112" s="2" t="s">
        <v>2467</v>
      </c>
      <c r="CB2112" s="2" t="s">
        <v>233</v>
      </c>
      <c r="CC2112" s="2" t="s">
        <v>246</v>
      </c>
      <c r="CD2112" s="2" t="s">
        <v>233</v>
      </c>
      <c r="CE2112" s="4"/>
      <c r="CF2112" s="4"/>
      <c r="CG2112" s="4"/>
      <c r="CH2112" s="4"/>
      <c r="CI2112" s="4">
        <v>176</v>
      </c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>
        <v>212</v>
      </c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>
        <v>108</v>
      </c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>
        <v>248</v>
      </c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>
        <v>12</v>
      </c>
      <c r="GD2112" s="4"/>
      <c r="GE2112" s="4"/>
      <c r="GF2112" s="4"/>
      <c r="GG2112" s="4"/>
      <c r="GH2112" s="4"/>
      <c r="GI2112" s="4"/>
      <c r="GJ2112" s="4"/>
      <c r="GK2112" s="4"/>
      <c r="GL2112" s="4"/>
      <c r="GM2112" s="4"/>
      <c r="GN2112" s="4"/>
      <c r="GO2112" s="4"/>
      <c r="GP2112" s="4"/>
      <c r="GQ2112" s="4"/>
      <c r="GR2112" s="4"/>
      <c r="GS2112" s="4"/>
      <c r="GT2112" s="4"/>
      <c r="GU2112" s="4"/>
      <c r="GV2112" s="4"/>
      <c r="GW2112" s="4"/>
      <c r="GX2112" s="4"/>
      <c r="GY2112" s="4"/>
      <c r="GZ2112" s="4"/>
      <c r="HA2112" s="4"/>
      <c r="HB2112" s="4"/>
      <c r="HC2112" s="4"/>
      <c r="HD2112" s="4"/>
      <c r="HE2112" s="4"/>
      <c r="HF2112" s="4"/>
      <c r="HG2112" s="4"/>
      <c r="HH2112" s="4"/>
      <c r="HI2112" s="4"/>
      <c r="HJ2112" s="4"/>
      <c r="HK2112" s="4"/>
      <c r="HL2112" s="4"/>
      <c r="HM2112" s="4"/>
      <c r="HN2112" s="4"/>
      <c r="HO2112" s="4"/>
      <c r="HP2112" s="4"/>
      <c r="HQ2112" s="4"/>
      <c r="HR2112" s="4"/>
    </row>
    <row r="2113">
      <c r="A2113" s="2" t="s">
        <v>9531</v>
      </c>
      <c r="B2113" s="2" t="s">
        <v>1242</v>
      </c>
      <c r="C2113" s="2" t="s">
        <v>2145</v>
      </c>
      <c r="D2113" s="2" t="s">
        <v>969</v>
      </c>
      <c r="E2113" s="2" t="s">
        <v>970</v>
      </c>
      <c r="F2113" s="2" t="s">
        <v>9518</v>
      </c>
      <c r="G2113" s="2" t="s">
        <v>9519</v>
      </c>
      <c r="H2113" s="2" t="s">
        <v>9520</v>
      </c>
      <c r="I2113" s="2" t="s">
        <v>9521</v>
      </c>
      <c r="J2113" s="2" t="s">
        <v>1142</v>
      </c>
      <c r="K2113" s="2" t="s">
        <v>645</v>
      </c>
      <c r="L2113" s="3">
        <v>28.57</v>
      </c>
      <c r="M2113" s="3">
        <v>30</v>
      </c>
      <c r="N2113" s="3">
        <v>59.99</v>
      </c>
      <c r="O2113" s="2" t="s">
        <v>245</v>
      </c>
      <c r="P2113" s="2" t="s">
        <v>238</v>
      </c>
      <c r="Q2113" s="2" t="s">
        <v>239</v>
      </c>
      <c r="R2113" s="2" t="s">
        <v>233</v>
      </c>
      <c r="S2113" s="2" t="s">
        <v>9522</v>
      </c>
      <c r="T2113" s="2" t="s">
        <v>395</v>
      </c>
      <c r="U2113" s="2" t="s">
        <v>475</v>
      </c>
      <c r="V2113" s="2" t="s">
        <v>241</v>
      </c>
      <c r="W2113" s="2" t="s">
        <v>275</v>
      </c>
      <c r="X2113" s="2" t="s">
        <v>397</v>
      </c>
      <c r="Y2113" s="2" t="s">
        <v>3199</v>
      </c>
      <c r="Z2113" s="4">
        <v>402</v>
      </c>
      <c r="AA2113" s="4">
        <f>=ROUNDDOWN(134,0)</f>
      </c>
      <c r="AB2113" s="5">
        <v>3</v>
      </c>
      <c r="AC2113" s="2" t="s">
        <v>2388</v>
      </c>
      <c r="AD2113" s="4">
        <v>432</v>
      </c>
      <c r="AE2113" s="4">
        <v>2271</v>
      </c>
      <c r="AF2113" s="6">
        <v>63</v>
      </c>
      <c r="AG2113" s="6">
        <v>46</v>
      </c>
      <c r="AH2113" s="7">
        <v>1</v>
      </c>
      <c r="AI2113" s="4"/>
      <c r="AJ2113" s="4">
        <f>=ROUNDDOWN({0},0)</f>
      </c>
      <c r="AK2113" s="5"/>
      <c r="AL2113" s="2" t="s">
        <v>233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233</v>
      </c>
      <c r="AW2113" s="8" t="s">
        <v>233</v>
      </c>
      <c r="AX2113" s="4" t="s">
        <v>233</v>
      </c>
      <c r="AY2113" s="8" t="s">
        <v>233</v>
      </c>
      <c r="AZ2113" s="7" t="s">
        <v>233</v>
      </c>
      <c r="BA2113" s="7" t="s">
        <v>233</v>
      </c>
      <c r="BB2113" s="7" t="s">
        <v>233</v>
      </c>
      <c r="BC2113" s="4" t="s">
        <v>233</v>
      </c>
      <c r="BD2113" s="8" t="s">
        <v>233</v>
      </c>
      <c r="BE2113" s="4" t="s">
        <v>233</v>
      </c>
      <c r="BF2113" s="8" t="s">
        <v>233</v>
      </c>
      <c r="BG2113" s="7" t="s">
        <v>233</v>
      </c>
      <c r="BH2113" s="7" t="s">
        <v>233</v>
      </c>
      <c r="BI2113" s="7"/>
      <c r="BJ2113" s="4"/>
      <c r="BK2113" s="8"/>
      <c r="BL2113" s="2" t="s">
        <v>233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9532</v>
      </c>
      <c r="BV2113" s="2" t="s">
        <v>233</v>
      </c>
      <c r="BW2113" s="2" t="s">
        <v>233</v>
      </c>
      <c r="BX2113" s="2" t="s">
        <v>243</v>
      </c>
      <c r="BY2113" s="2" t="s">
        <v>280</v>
      </c>
      <c r="BZ2113" s="2" t="s">
        <v>245</v>
      </c>
      <c r="CA2113" s="2" t="s">
        <v>2467</v>
      </c>
      <c r="CB2113" s="2" t="s">
        <v>521</v>
      </c>
      <c r="CC2113" s="2" t="s">
        <v>246</v>
      </c>
      <c r="CD2113" s="2" t="s">
        <v>233</v>
      </c>
      <c r="CE2113" s="4"/>
      <c r="CF2113" s="4"/>
      <c r="CG2113" s="4"/>
      <c r="CH2113" s="4"/>
      <c r="CI2113" s="4">
        <v>402</v>
      </c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>
        <v>432</v>
      </c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>
        <v>255</v>
      </c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>
        <v>594</v>
      </c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>
        <v>990</v>
      </c>
      <c r="GD2113" s="4"/>
      <c r="GE2113" s="4"/>
      <c r="GF2113" s="4"/>
      <c r="GG2113" s="4"/>
      <c r="GH2113" s="4"/>
      <c r="GI2113" s="4"/>
      <c r="GJ2113" s="4"/>
      <c r="GK2113" s="4"/>
      <c r="GL2113" s="4"/>
      <c r="GM2113" s="4"/>
      <c r="GN2113" s="4"/>
      <c r="GO2113" s="4"/>
      <c r="GP2113" s="4"/>
      <c r="GQ2113" s="4"/>
      <c r="GR2113" s="4"/>
      <c r="GS2113" s="4"/>
      <c r="GT2113" s="4"/>
      <c r="GU2113" s="4"/>
      <c r="GV2113" s="4"/>
      <c r="GW2113" s="4"/>
      <c r="GX2113" s="4"/>
      <c r="GY2113" s="4"/>
      <c r="GZ2113" s="4"/>
      <c r="HA2113" s="4"/>
      <c r="HB2113" s="4"/>
      <c r="HC2113" s="4"/>
      <c r="HD2113" s="4"/>
      <c r="HE2113" s="4"/>
      <c r="HF2113" s="4"/>
      <c r="HG2113" s="4"/>
      <c r="HH2113" s="4"/>
      <c r="HI2113" s="4"/>
      <c r="HJ2113" s="4"/>
      <c r="HK2113" s="4"/>
      <c r="HL2113" s="4"/>
      <c r="HM2113" s="4"/>
      <c r="HN2113" s="4"/>
      <c r="HO2113" s="4"/>
      <c r="HP2113" s="4"/>
      <c r="HQ2113" s="4"/>
      <c r="HR2113" s="4"/>
    </row>
    <row r="2114">
      <c r="A2114" s="2" t="s">
        <v>9533</v>
      </c>
      <c r="B2114" s="2" t="s">
        <v>1242</v>
      </c>
      <c r="C2114" s="2" t="s">
        <v>2145</v>
      </c>
      <c r="D2114" s="2" t="s">
        <v>912</v>
      </c>
      <c r="E2114" s="2" t="s">
        <v>1139</v>
      </c>
      <c r="F2114" s="2" t="s">
        <v>9518</v>
      </c>
      <c r="G2114" s="2" t="s">
        <v>9519</v>
      </c>
      <c r="H2114" s="2" t="s">
        <v>9520</v>
      </c>
      <c r="I2114" s="2" t="s">
        <v>9525</v>
      </c>
      <c r="J2114" s="2" t="s">
        <v>1142</v>
      </c>
      <c r="K2114" s="2" t="s">
        <v>645</v>
      </c>
      <c r="L2114" s="3">
        <v>22.61</v>
      </c>
      <c r="M2114" s="3">
        <v>23.74</v>
      </c>
      <c r="N2114" s="3">
        <v>47.49</v>
      </c>
      <c r="O2114" s="2" t="s">
        <v>245</v>
      </c>
      <c r="P2114" s="2" t="s">
        <v>238</v>
      </c>
      <c r="Q2114" s="2" t="s">
        <v>239</v>
      </c>
      <c r="R2114" s="2" t="s">
        <v>233</v>
      </c>
      <c r="S2114" s="2" t="s">
        <v>9522</v>
      </c>
      <c r="T2114" s="2" t="s">
        <v>395</v>
      </c>
      <c r="U2114" s="2" t="s">
        <v>475</v>
      </c>
      <c r="V2114" s="2" t="s">
        <v>241</v>
      </c>
      <c r="W2114" s="2" t="s">
        <v>275</v>
      </c>
      <c r="X2114" s="2" t="s">
        <v>397</v>
      </c>
      <c r="Y2114" s="2" t="s">
        <v>2467</v>
      </c>
      <c r="Z2114" s="4">
        <v>237</v>
      </c>
      <c r="AA2114" s="4">
        <f>=ROUNDDOWN(237,0)</f>
      </c>
      <c r="AB2114" s="5">
        <v>1</v>
      </c>
      <c r="AC2114" s="2" t="s">
        <v>2388</v>
      </c>
      <c r="AD2114" s="4">
        <v>256</v>
      </c>
      <c r="AE2114" s="4">
        <v>672</v>
      </c>
      <c r="AF2114" s="6">
        <v>63</v>
      </c>
      <c r="AG2114" s="6">
        <v>46</v>
      </c>
      <c r="AH2114" s="7">
        <v>1</v>
      </c>
      <c r="AI2114" s="4"/>
      <c r="AJ2114" s="4">
        <f>=ROUNDDOWN({0},0)</f>
      </c>
      <c r="AK2114" s="5"/>
      <c r="AL2114" s="2" t="s">
        <v>233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233</v>
      </c>
      <c r="AW2114" s="8" t="s">
        <v>233</v>
      </c>
      <c r="AX2114" s="4" t="s">
        <v>233</v>
      </c>
      <c r="AY2114" s="8" t="s">
        <v>233</v>
      </c>
      <c r="AZ2114" s="7" t="s">
        <v>233</v>
      </c>
      <c r="BA2114" s="7" t="s">
        <v>233</v>
      </c>
      <c r="BB2114" s="7" t="s">
        <v>233</v>
      </c>
      <c r="BC2114" s="4" t="s">
        <v>233</v>
      </c>
      <c r="BD2114" s="8" t="s">
        <v>233</v>
      </c>
      <c r="BE2114" s="4" t="s">
        <v>233</v>
      </c>
      <c r="BF2114" s="8" t="s">
        <v>233</v>
      </c>
      <c r="BG2114" s="7" t="s">
        <v>233</v>
      </c>
      <c r="BH2114" s="7" t="s">
        <v>233</v>
      </c>
      <c r="BI2114" s="7"/>
      <c r="BJ2114" s="4"/>
      <c r="BK2114" s="8"/>
      <c r="BL2114" s="2" t="s">
        <v>233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9534</v>
      </c>
      <c r="BV2114" s="2" t="s">
        <v>233</v>
      </c>
      <c r="BW2114" s="2" t="s">
        <v>233</v>
      </c>
      <c r="BX2114" s="2" t="s">
        <v>243</v>
      </c>
      <c r="BY2114" s="2" t="s">
        <v>280</v>
      </c>
      <c r="BZ2114" s="2" t="s">
        <v>245</v>
      </c>
      <c r="CA2114" s="2" t="s">
        <v>2467</v>
      </c>
      <c r="CB2114" s="2" t="s">
        <v>233</v>
      </c>
      <c r="CC2114" s="2" t="s">
        <v>246</v>
      </c>
      <c r="CD2114" s="2" t="s">
        <v>233</v>
      </c>
      <c r="CE2114" s="4"/>
      <c r="CF2114" s="4"/>
      <c r="CG2114" s="4"/>
      <c r="CH2114" s="4"/>
      <c r="CI2114" s="4">
        <v>237</v>
      </c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>
        <v>256</v>
      </c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>
        <v>120</v>
      </c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>
        <v>272</v>
      </c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>
        <v>24</v>
      </c>
      <c r="GD2114" s="4"/>
      <c r="GE2114" s="4"/>
      <c r="GF2114" s="4"/>
      <c r="GG2114" s="4"/>
      <c r="GH2114" s="4"/>
      <c r="GI2114" s="4"/>
      <c r="GJ2114" s="4"/>
      <c r="GK2114" s="4"/>
      <c r="GL2114" s="4"/>
      <c r="GM2114" s="4"/>
      <c r="GN2114" s="4"/>
      <c r="GO2114" s="4"/>
      <c r="GP2114" s="4"/>
      <c r="GQ2114" s="4"/>
      <c r="GR2114" s="4"/>
      <c r="GS2114" s="4"/>
      <c r="GT2114" s="4"/>
      <c r="GU2114" s="4"/>
      <c r="GV2114" s="4"/>
      <c r="GW2114" s="4"/>
      <c r="GX2114" s="4"/>
      <c r="GY2114" s="4"/>
      <c r="GZ2114" s="4"/>
      <c r="HA2114" s="4"/>
      <c r="HB2114" s="4"/>
      <c r="HC2114" s="4"/>
      <c r="HD2114" s="4"/>
      <c r="HE2114" s="4"/>
      <c r="HF2114" s="4"/>
      <c r="HG2114" s="4"/>
      <c r="HH2114" s="4"/>
      <c r="HI2114" s="4"/>
      <c r="HJ2114" s="4"/>
      <c r="HK2114" s="4"/>
      <c r="HL2114" s="4"/>
      <c r="HM2114" s="4"/>
      <c r="HN2114" s="4"/>
      <c r="HO2114" s="4"/>
      <c r="HP2114" s="4"/>
      <c r="HQ2114" s="4"/>
      <c r="HR2114" s="4"/>
    </row>
    <row r="2115">
      <c r="A2115" s="2" t="s">
        <v>9535</v>
      </c>
      <c r="B2115" s="2" t="s">
        <v>1242</v>
      </c>
      <c r="C2115" s="2" t="s">
        <v>2145</v>
      </c>
      <c r="D2115" s="2" t="s">
        <v>969</v>
      </c>
      <c r="E2115" s="2" t="s">
        <v>970</v>
      </c>
      <c r="F2115" s="2" t="s">
        <v>9518</v>
      </c>
      <c r="G2115" s="2" t="s">
        <v>9519</v>
      </c>
      <c r="H2115" s="2" t="s">
        <v>9520</v>
      </c>
      <c r="I2115" s="2" t="s">
        <v>9521</v>
      </c>
      <c r="J2115" s="2" t="s">
        <v>918</v>
      </c>
      <c r="K2115" s="2" t="s">
        <v>6826</v>
      </c>
      <c r="L2115" s="3">
        <v>21.42</v>
      </c>
      <c r="M2115" s="3">
        <v>22.49</v>
      </c>
      <c r="N2115" s="3">
        <v>44.99</v>
      </c>
      <c r="O2115" s="2" t="s">
        <v>245</v>
      </c>
      <c r="P2115" s="2" t="s">
        <v>238</v>
      </c>
      <c r="Q2115" s="2" t="s">
        <v>239</v>
      </c>
      <c r="R2115" s="2" t="s">
        <v>233</v>
      </c>
      <c r="S2115" s="2" t="s">
        <v>9536</v>
      </c>
      <c r="T2115" s="2" t="s">
        <v>395</v>
      </c>
      <c r="U2115" s="2" t="s">
        <v>491</v>
      </c>
      <c r="V2115" s="2" t="s">
        <v>241</v>
      </c>
      <c r="W2115" s="2" t="s">
        <v>275</v>
      </c>
      <c r="X2115" s="2" t="s">
        <v>397</v>
      </c>
      <c r="Y2115" s="2" t="s">
        <v>3199</v>
      </c>
      <c r="Z2115" s="4">
        <v>100</v>
      </c>
      <c r="AA2115" s="4">
        <f>=ROUNDDOWN({0},0)</f>
      </c>
      <c r="AB2115" s="5"/>
      <c r="AC2115" s="2" t="s">
        <v>2388</v>
      </c>
      <c r="AD2115" s="4">
        <v>111</v>
      </c>
      <c r="AE2115" s="4">
        <v>336</v>
      </c>
      <c r="AF2115" s="6">
        <v>63</v>
      </c>
      <c r="AG2115" s="6">
        <v>46</v>
      </c>
      <c r="AH2115" s="7">
        <v>1</v>
      </c>
      <c r="AI2115" s="4"/>
      <c r="AJ2115" s="4">
        <f>=ROUNDDOWN({0},0)</f>
      </c>
      <c r="AK2115" s="5"/>
      <c r="AL2115" s="2" t="s">
        <v>233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233</v>
      </c>
      <c r="AW2115" s="8" t="s">
        <v>233</v>
      </c>
      <c r="AX2115" s="4" t="s">
        <v>233</v>
      </c>
      <c r="AY2115" s="8" t="s">
        <v>233</v>
      </c>
      <c r="AZ2115" s="7" t="s">
        <v>233</v>
      </c>
      <c r="BA2115" s="7" t="s">
        <v>233</v>
      </c>
      <c r="BB2115" s="7" t="s">
        <v>233</v>
      </c>
      <c r="BC2115" s="4" t="s">
        <v>233</v>
      </c>
      <c r="BD2115" s="8" t="s">
        <v>233</v>
      </c>
      <c r="BE2115" s="4" t="s">
        <v>233</v>
      </c>
      <c r="BF2115" s="8" t="s">
        <v>233</v>
      </c>
      <c r="BG2115" s="7" t="s">
        <v>233</v>
      </c>
      <c r="BH2115" s="7" t="s">
        <v>233</v>
      </c>
      <c r="BI2115" s="7"/>
      <c r="BJ2115" s="4"/>
      <c r="BK2115" s="8"/>
      <c r="BL2115" s="2" t="s">
        <v>233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9537</v>
      </c>
      <c r="BV2115" s="2" t="s">
        <v>233</v>
      </c>
      <c r="BW2115" s="2" t="s">
        <v>233</v>
      </c>
      <c r="BX2115" s="2" t="s">
        <v>243</v>
      </c>
      <c r="BY2115" s="2" t="s">
        <v>280</v>
      </c>
      <c r="BZ2115" s="2" t="s">
        <v>245</v>
      </c>
      <c r="CA2115" s="2" t="s">
        <v>3257</v>
      </c>
      <c r="CB2115" s="2" t="s">
        <v>233</v>
      </c>
      <c r="CC2115" s="2" t="s">
        <v>246</v>
      </c>
      <c r="CD2115" s="2" t="s">
        <v>233</v>
      </c>
      <c r="CE2115" s="4"/>
      <c r="CF2115" s="4"/>
      <c r="CG2115" s="4"/>
      <c r="CH2115" s="4"/>
      <c r="CI2115" s="4">
        <v>100</v>
      </c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>
        <v>111</v>
      </c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>
        <v>63</v>
      </c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>
        <v>147</v>
      </c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>
        <v>15</v>
      </c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/>
      <c r="HD2115" s="4"/>
      <c r="HE2115" s="4"/>
      <c r="HF2115" s="4"/>
      <c r="HG2115" s="4"/>
      <c r="HH2115" s="4"/>
      <c r="HI2115" s="4"/>
      <c r="HJ2115" s="4"/>
      <c r="HK2115" s="4"/>
      <c r="HL2115" s="4"/>
      <c r="HM2115" s="4"/>
      <c r="HN2115" s="4"/>
      <c r="HO2115" s="4"/>
      <c r="HP2115" s="4"/>
      <c r="HQ2115" s="4"/>
      <c r="HR2115" s="4"/>
    </row>
    <row r="2116">
      <c r="A2116" s="2" t="s">
        <v>9538</v>
      </c>
      <c r="B2116" s="2" t="s">
        <v>1242</v>
      </c>
      <c r="C2116" s="2" t="s">
        <v>2145</v>
      </c>
      <c r="D2116" s="2" t="s">
        <v>912</v>
      </c>
      <c r="E2116" s="2" t="s">
        <v>1139</v>
      </c>
      <c r="F2116" s="2" t="s">
        <v>9518</v>
      </c>
      <c r="G2116" s="2" t="s">
        <v>9519</v>
      </c>
      <c r="H2116" s="2" t="s">
        <v>9520</v>
      </c>
      <c r="I2116" s="2" t="s">
        <v>9525</v>
      </c>
      <c r="J2116" s="2" t="s">
        <v>918</v>
      </c>
      <c r="K2116" s="2" t="s">
        <v>6826</v>
      </c>
      <c r="L2116" s="3">
        <v>15.47</v>
      </c>
      <c r="M2116" s="3">
        <v>16.24</v>
      </c>
      <c r="N2116" s="3">
        <v>32.49</v>
      </c>
      <c r="O2116" s="2" t="s">
        <v>245</v>
      </c>
      <c r="P2116" s="2" t="s">
        <v>238</v>
      </c>
      <c r="Q2116" s="2" t="s">
        <v>239</v>
      </c>
      <c r="R2116" s="2" t="s">
        <v>233</v>
      </c>
      <c r="S2116" s="2" t="s">
        <v>9536</v>
      </c>
      <c r="T2116" s="2" t="s">
        <v>395</v>
      </c>
      <c r="U2116" s="2" t="s">
        <v>491</v>
      </c>
      <c r="V2116" s="2" t="s">
        <v>241</v>
      </c>
      <c r="W2116" s="2" t="s">
        <v>275</v>
      </c>
      <c r="X2116" s="2" t="s">
        <v>397</v>
      </c>
      <c r="Y2116" s="2" t="s">
        <v>2467</v>
      </c>
      <c r="Z2116" s="4">
        <v>47</v>
      </c>
      <c r="AA2116" s="4">
        <f>=ROUNDDOWN({0},0)</f>
      </c>
      <c r="AB2116" s="5"/>
      <c r="AC2116" s="2" t="s">
        <v>2388</v>
      </c>
      <c r="AD2116" s="4">
        <v>56</v>
      </c>
      <c r="AE2116" s="4">
        <v>144</v>
      </c>
      <c r="AF2116" s="6">
        <v>63</v>
      </c>
      <c r="AG2116" s="6">
        <v>46</v>
      </c>
      <c r="AH2116" s="7">
        <v>1</v>
      </c>
      <c r="AI2116" s="4"/>
      <c r="AJ2116" s="4">
        <f>=ROUNDDOWN({0},0)</f>
      </c>
      <c r="AK2116" s="5"/>
      <c r="AL2116" s="2" t="s">
        <v>233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233</v>
      </c>
      <c r="AW2116" s="8" t="s">
        <v>233</v>
      </c>
      <c r="AX2116" s="4" t="s">
        <v>233</v>
      </c>
      <c r="AY2116" s="8" t="s">
        <v>233</v>
      </c>
      <c r="AZ2116" s="7" t="s">
        <v>233</v>
      </c>
      <c r="BA2116" s="7" t="s">
        <v>233</v>
      </c>
      <c r="BB2116" s="7" t="s">
        <v>233</v>
      </c>
      <c r="BC2116" s="4" t="s">
        <v>233</v>
      </c>
      <c r="BD2116" s="8" t="s">
        <v>233</v>
      </c>
      <c r="BE2116" s="4" t="s">
        <v>233</v>
      </c>
      <c r="BF2116" s="8" t="s">
        <v>233</v>
      </c>
      <c r="BG2116" s="7" t="s">
        <v>233</v>
      </c>
      <c r="BH2116" s="7" t="s">
        <v>233</v>
      </c>
      <c r="BI2116" s="7"/>
      <c r="BJ2116" s="4"/>
      <c r="BK2116" s="8"/>
      <c r="BL2116" s="2" t="s">
        <v>233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9539</v>
      </c>
      <c r="BV2116" s="2" t="s">
        <v>233</v>
      </c>
      <c r="BW2116" s="2" t="s">
        <v>233</v>
      </c>
      <c r="BX2116" s="2" t="s">
        <v>243</v>
      </c>
      <c r="BY2116" s="2" t="s">
        <v>280</v>
      </c>
      <c r="BZ2116" s="2" t="s">
        <v>245</v>
      </c>
      <c r="CA2116" s="2" t="s">
        <v>2467</v>
      </c>
      <c r="CB2116" s="2" t="s">
        <v>233</v>
      </c>
      <c r="CC2116" s="2" t="s">
        <v>246</v>
      </c>
      <c r="CD2116" s="2" t="s">
        <v>233</v>
      </c>
      <c r="CE2116" s="4"/>
      <c r="CF2116" s="4"/>
      <c r="CG2116" s="4"/>
      <c r="CH2116" s="4"/>
      <c r="CI2116" s="4">
        <v>47</v>
      </c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>
        <v>56</v>
      </c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>
        <v>28</v>
      </c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>
        <v>60</v>
      </c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/>
      <c r="GO2116" s="4"/>
      <c r="GP2116" s="4"/>
      <c r="GQ2116" s="4"/>
      <c r="GR2116" s="4"/>
      <c r="GS2116" s="4"/>
      <c r="GT2116" s="4"/>
      <c r="GU2116" s="4"/>
      <c r="GV2116" s="4"/>
      <c r="GW2116" s="4"/>
      <c r="GX2116" s="4"/>
      <c r="GY2116" s="4"/>
      <c r="GZ2116" s="4"/>
      <c r="HA2116" s="4"/>
      <c r="HB2116" s="4"/>
      <c r="HC2116" s="4"/>
      <c r="HD2116" s="4"/>
      <c r="HE2116" s="4"/>
      <c r="HF2116" s="4"/>
      <c r="HG2116" s="4"/>
      <c r="HH2116" s="4"/>
      <c r="HI2116" s="4"/>
      <c r="HJ2116" s="4"/>
      <c r="HK2116" s="4"/>
      <c r="HL2116" s="4"/>
      <c r="HM2116" s="4"/>
      <c r="HN2116" s="4"/>
      <c r="HO2116" s="4"/>
      <c r="HP2116" s="4"/>
      <c r="HQ2116" s="4"/>
      <c r="HR2116" s="4"/>
    </row>
    <row r="2117">
      <c r="A2117" s="2" t="s">
        <v>9540</v>
      </c>
      <c r="B2117" s="2" t="s">
        <v>1242</v>
      </c>
      <c r="C2117" s="2" t="s">
        <v>2145</v>
      </c>
      <c r="D2117" s="2" t="s">
        <v>969</v>
      </c>
      <c r="E2117" s="2" t="s">
        <v>970</v>
      </c>
      <c r="F2117" s="2" t="s">
        <v>9518</v>
      </c>
      <c r="G2117" s="2" t="s">
        <v>9519</v>
      </c>
      <c r="H2117" s="2" t="s">
        <v>9520</v>
      </c>
      <c r="I2117" s="2" t="s">
        <v>9521</v>
      </c>
      <c r="J2117" s="2" t="s">
        <v>981</v>
      </c>
      <c r="K2117" s="2" t="s">
        <v>6826</v>
      </c>
      <c r="L2117" s="3">
        <v>26.19</v>
      </c>
      <c r="M2117" s="3">
        <v>27.5</v>
      </c>
      <c r="N2117" s="3">
        <v>54.99</v>
      </c>
      <c r="O2117" s="2" t="s">
        <v>245</v>
      </c>
      <c r="P2117" s="2" t="s">
        <v>238</v>
      </c>
      <c r="Q2117" s="2" t="s">
        <v>239</v>
      </c>
      <c r="R2117" s="2" t="s">
        <v>233</v>
      </c>
      <c r="S2117" s="2" t="s">
        <v>9536</v>
      </c>
      <c r="T2117" s="2" t="s">
        <v>395</v>
      </c>
      <c r="U2117" s="2" t="s">
        <v>475</v>
      </c>
      <c r="V2117" s="2" t="s">
        <v>241</v>
      </c>
      <c r="W2117" s="2" t="s">
        <v>275</v>
      </c>
      <c r="X2117" s="2" t="s">
        <v>397</v>
      </c>
      <c r="Y2117" s="2" t="s">
        <v>350</v>
      </c>
      <c r="Z2117" s="4">
        <v>352</v>
      </c>
      <c r="AA2117" s="4">
        <f>=ROUNDDOWN({0},0)</f>
      </c>
      <c r="AB2117" s="5"/>
      <c r="AC2117" s="2" t="s">
        <v>2388</v>
      </c>
      <c r="AD2117" s="4">
        <v>390</v>
      </c>
      <c r="AE2117" s="4">
        <v>1563</v>
      </c>
      <c r="AF2117" s="6">
        <v>63</v>
      </c>
      <c r="AG2117" s="6">
        <v>46</v>
      </c>
      <c r="AH2117" s="7">
        <v>0</v>
      </c>
      <c r="AI2117" s="4"/>
      <c r="AJ2117" s="4">
        <f>=ROUNDDOWN({0},0)</f>
      </c>
      <c r="AK2117" s="5"/>
      <c r="AL2117" s="2" t="s">
        <v>233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233</v>
      </c>
      <c r="AW2117" s="8" t="s">
        <v>233</v>
      </c>
      <c r="AX2117" s="4" t="s">
        <v>233</v>
      </c>
      <c r="AY2117" s="8" t="s">
        <v>233</v>
      </c>
      <c r="AZ2117" s="7" t="s">
        <v>233</v>
      </c>
      <c r="BA2117" s="7" t="s">
        <v>233</v>
      </c>
      <c r="BB2117" s="7" t="s">
        <v>233</v>
      </c>
      <c r="BC2117" s="4" t="s">
        <v>233</v>
      </c>
      <c r="BD2117" s="8" t="s">
        <v>233</v>
      </c>
      <c r="BE2117" s="4" t="s">
        <v>233</v>
      </c>
      <c r="BF2117" s="8" t="s">
        <v>233</v>
      </c>
      <c r="BG2117" s="7" t="s">
        <v>233</v>
      </c>
      <c r="BH2117" s="7" t="s">
        <v>233</v>
      </c>
      <c r="BI2117" s="7"/>
      <c r="BJ2117" s="4"/>
      <c r="BK2117" s="8"/>
      <c r="BL2117" s="2" t="s">
        <v>233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9541</v>
      </c>
      <c r="BV2117" s="2" t="s">
        <v>233</v>
      </c>
      <c r="BW2117" s="2" t="s">
        <v>233</v>
      </c>
      <c r="BX2117" s="2" t="s">
        <v>243</v>
      </c>
      <c r="BY2117" s="2" t="s">
        <v>280</v>
      </c>
      <c r="BZ2117" s="2" t="s">
        <v>245</v>
      </c>
      <c r="CA2117" s="2" t="s">
        <v>350</v>
      </c>
      <c r="CB2117" s="2" t="s">
        <v>233</v>
      </c>
      <c r="CC2117" s="2" t="s">
        <v>246</v>
      </c>
      <c r="CD2117" s="2" t="s">
        <v>233</v>
      </c>
      <c r="CE2117" s="4"/>
      <c r="CF2117" s="4"/>
      <c r="CG2117" s="4"/>
      <c r="CH2117" s="4"/>
      <c r="CI2117" s="4">
        <v>352</v>
      </c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>
        <v>390</v>
      </c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>
        <v>243</v>
      </c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>
        <v>564</v>
      </c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>
        <v>366</v>
      </c>
      <c r="GD2117" s="4"/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/>
      <c r="HC2117" s="4"/>
      <c r="HD2117" s="4"/>
      <c r="HE2117" s="4"/>
      <c r="HF2117" s="4"/>
      <c r="HG2117" s="4"/>
      <c r="HH2117" s="4"/>
      <c r="HI2117" s="4"/>
      <c r="HJ2117" s="4"/>
      <c r="HK2117" s="4"/>
      <c r="HL2117" s="4"/>
      <c r="HM2117" s="4"/>
      <c r="HN2117" s="4"/>
      <c r="HO2117" s="4"/>
      <c r="HP2117" s="4"/>
      <c r="HQ2117" s="4"/>
      <c r="HR2117" s="4"/>
    </row>
    <row r="2118">
      <c r="A2118" s="2" t="s">
        <v>9542</v>
      </c>
      <c r="B2118" s="2" t="s">
        <v>1242</v>
      </c>
      <c r="C2118" s="2" t="s">
        <v>2145</v>
      </c>
      <c r="D2118" s="2" t="s">
        <v>912</v>
      </c>
      <c r="E2118" s="2" t="s">
        <v>1139</v>
      </c>
      <c r="F2118" s="2" t="s">
        <v>9518</v>
      </c>
      <c r="G2118" s="2" t="s">
        <v>9519</v>
      </c>
      <c r="H2118" s="2" t="s">
        <v>9520</v>
      </c>
      <c r="I2118" s="2" t="s">
        <v>9525</v>
      </c>
      <c r="J2118" s="2" t="s">
        <v>981</v>
      </c>
      <c r="K2118" s="2" t="s">
        <v>6826</v>
      </c>
      <c r="L2118" s="3">
        <v>20.23</v>
      </c>
      <c r="M2118" s="3">
        <v>21.24</v>
      </c>
      <c r="N2118" s="3">
        <v>42.49</v>
      </c>
      <c r="O2118" s="2" t="s">
        <v>245</v>
      </c>
      <c r="P2118" s="2" t="s">
        <v>238</v>
      </c>
      <c r="Q2118" s="2" t="s">
        <v>239</v>
      </c>
      <c r="R2118" s="2" t="s">
        <v>233</v>
      </c>
      <c r="S2118" s="2" t="s">
        <v>9536</v>
      </c>
      <c r="T2118" s="2" t="s">
        <v>395</v>
      </c>
      <c r="U2118" s="2" t="s">
        <v>475</v>
      </c>
      <c r="V2118" s="2" t="s">
        <v>241</v>
      </c>
      <c r="W2118" s="2" t="s">
        <v>275</v>
      </c>
      <c r="X2118" s="2" t="s">
        <v>397</v>
      </c>
      <c r="Y2118" s="2" t="s">
        <v>2467</v>
      </c>
      <c r="Z2118" s="4">
        <v>216</v>
      </c>
      <c r="AA2118" s="4">
        <f>=ROUNDDOWN(72,0)</f>
      </c>
      <c r="AB2118" s="5">
        <v>3</v>
      </c>
      <c r="AC2118" s="2" t="s">
        <v>2388</v>
      </c>
      <c r="AD2118" s="4">
        <v>264</v>
      </c>
      <c r="AE2118" s="4">
        <v>756</v>
      </c>
      <c r="AF2118" s="6">
        <v>63</v>
      </c>
      <c r="AG2118" s="6">
        <v>46</v>
      </c>
      <c r="AH2118" s="7">
        <v>1</v>
      </c>
      <c r="AI2118" s="4"/>
      <c r="AJ2118" s="4">
        <f>=ROUNDDOWN({0},0)</f>
      </c>
      <c r="AK2118" s="5"/>
      <c r="AL2118" s="2" t="s">
        <v>233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233</v>
      </c>
      <c r="AW2118" s="8" t="s">
        <v>233</v>
      </c>
      <c r="AX2118" s="4" t="s">
        <v>233</v>
      </c>
      <c r="AY2118" s="8" t="s">
        <v>233</v>
      </c>
      <c r="AZ2118" s="7" t="s">
        <v>233</v>
      </c>
      <c r="BA2118" s="7" t="s">
        <v>233</v>
      </c>
      <c r="BB2118" s="7" t="s">
        <v>233</v>
      </c>
      <c r="BC2118" s="4" t="s">
        <v>233</v>
      </c>
      <c r="BD2118" s="8" t="s">
        <v>233</v>
      </c>
      <c r="BE2118" s="4" t="s">
        <v>233</v>
      </c>
      <c r="BF2118" s="8" t="s">
        <v>233</v>
      </c>
      <c r="BG2118" s="7" t="s">
        <v>233</v>
      </c>
      <c r="BH2118" s="7" t="s">
        <v>233</v>
      </c>
      <c r="BI2118" s="7"/>
      <c r="BJ2118" s="4"/>
      <c r="BK2118" s="8"/>
      <c r="BL2118" s="2" t="s">
        <v>233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9543</v>
      </c>
      <c r="BV2118" s="2" t="s">
        <v>233</v>
      </c>
      <c r="BW2118" s="2" t="s">
        <v>233</v>
      </c>
      <c r="BX2118" s="2" t="s">
        <v>243</v>
      </c>
      <c r="BY2118" s="2" t="s">
        <v>280</v>
      </c>
      <c r="BZ2118" s="2" t="s">
        <v>245</v>
      </c>
      <c r="CA2118" s="2" t="s">
        <v>2467</v>
      </c>
      <c r="CB2118" s="2" t="s">
        <v>233</v>
      </c>
      <c r="CC2118" s="2" t="s">
        <v>246</v>
      </c>
      <c r="CD2118" s="2" t="s">
        <v>233</v>
      </c>
      <c r="CE2118" s="4"/>
      <c r="CF2118" s="4"/>
      <c r="CG2118" s="4"/>
      <c r="CH2118" s="4"/>
      <c r="CI2118" s="4">
        <v>216</v>
      </c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>
        <v>264</v>
      </c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>
        <v>144</v>
      </c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>
        <v>336</v>
      </c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>
        <v>12</v>
      </c>
      <c r="GD2118" s="4"/>
      <c r="GE2118" s="4"/>
      <c r="GF2118" s="4"/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/>
      <c r="HC2118" s="4"/>
      <c r="HD2118" s="4"/>
      <c r="HE2118" s="4"/>
      <c r="HF2118" s="4"/>
      <c r="HG2118" s="4"/>
      <c r="HH2118" s="4"/>
      <c r="HI2118" s="4"/>
      <c r="HJ2118" s="4"/>
      <c r="HK2118" s="4"/>
      <c r="HL2118" s="4"/>
      <c r="HM2118" s="4"/>
      <c r="HN2118" s="4"/>
      <c r="HO2118" s="4"/>
      <c r="HP2118" s="4"/>
      <c r="HQ2118" s="4"/>
      <c r="HR2118" s="4"/>
    </row>
    <row r="2119">
      <c r="A2119" s="2" t="s">
        <v>9544</v>
      </c>
      <c r="B2119" s="2" t="s">
        <v>1242</v>
      </c>
      <c r="C2119" s="2" t="s">
        <v>2145</v>
      </c>
      <c r="D2119" s="2" t="s">
        <v>969</v>
      </c>
      <c r="E2119" s="2" t="s">
        <v>970</v>
      </c>
      <c r="F2119" s="2" t="s">
        <v>9518</v>
      </c>
      <c r="G2119" s="2" t="s">
        <v>9519</v>
      </c>
      <c r="H2119" s="2" t="s">
        <v>9520</v>
      </c>
      <c r="I2119" s="2" t="s">
        <v>9521</v>
      </c>
      <c r="J2119" s="2" t="s">
        <v>1142</v>
      </c>
      <c r="K2119" s="2" t="s">
        <v>6826</v>
      </c>
      <c r="L2119" s="3">
        <v>28.57</v>
      </c>
      <c r="M2119" s="3">
        <v>30</v>
      </c>
      <c r="N2119" s="3">
        <v>59.99</v>
      </c>
      <c r="O2119" s="2" t="s">
        <v>245</v>
      </c>
      <c r="P2119" s="2" t="s">
        <v>238</v>
      </c>
      <c r="Q2119" s="2" t="s">
        <v>239</v>
      </c>
      <c r="R2119" s="2" t="s">
        <v>233</v>
      </c>
      <c r="S2119" s="2" t="s">
        <v>9536</v>
      </c>
      <c r="T2119" s="2" t="s">
        <v>395</v>
      </c>
      <c r="U2119" s="2" t="s">
        <v>475</v>
      </c>
      <c r="V2119" s="2" t="s">
        <v>241</v>
      </c>
      <c r="W2119" s="2" t="s">
        <v>275</v>
      </c>
      <c r="X2119" s="2" t="s">
        <v>397</v>
      </c>
      <c r="Y2119" s="2" t="s">
        <v>3199</v>
      </c>
      <c r="Z2119" s="4">
        <v>326</v>
      </c>
      <c r="AA2119" s="4">
        <f>=ROUNDDOWN({0},0)</f>
      </c>
      <c r="AB2119" s="5"/>
      <c r="AC2119" s="2" t="s">
        <v>2388</v>
      </c>
      <c r="AD2119" s="4">
        <v>357</v>
      </c>
      <c r="AE2119" s="4">
        <v>2499</v>
      </c>
      <c r="AF2119" s="6">
        <v>63</v>
      </c>
      <c r="AG2119" s="6">
        <v>46</v>
      </c>
      <c r="AH2119" s="7">
        <v>1</v>
      </c>
      <c r="AI2119" s="4"/>
      <c r="AJ2119" s="4">
        <f>=ROUNDDOWN({0},0)</f>
      </c>
      <c r="AK2119" s="5"/>
      <c r="AL2119" s="2" t="s">
        <v>233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233</v>
      </c>
      <c r="AW2119" s="8" t="s">
        <v>233</v>
      </c>
      <c r="AX2119" s="4" t="s">
        <v>233</v>
      </c>
      <c r="AY2119" s="8" t="s">
        <v>233</v>
      </c>
      <c r="AZ2119" s="7" t="s">
        <v>233</v>
      </c>
      <c r="BA2119" s="7" t="s">
        <v>233</v>
      </c>
      <c r="BB2119" s="7" t="s">
        <v>233</v>
      </c>
      <c r="BC2119" s="4" t="s">
        <v>233</v>
      </c>
      <c r="BD2119" s="8" t="s">
        <v>233</v>
      </c>
      <c r="BE2119" s="4" t="s">
        <v>233</v>
      </c>
      <c r="BF2119" s="8" t="s">
        <v>233</v>
      </c>
      <c r="BG2119" s="7" t="s">
        <v>233</v>
      </c>
      <c r="BH2119" s="7" t="s">
        <v>233</v>
      </c>
      <c r="BI2119" s="7"/>
      <c r="BJ2119" s="4"/>
      <c r="BK2119" s="8"/>
      <c r="BL2119" s="2" t="s">
        <v>233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9545</v>
      </c>
      <c r="BV2119" s="2" t="s">
        <v>233</v>
      </c>
      <c r="BW2119" s="2" t="s">
        <v>233</v>
      </c>
      <c r="BX2119" s="2" t="s">
        <v>243</v>
      </c>
      <c r="BY2119" s="2" t="s">
        <v>280</v>
      </c>
      <c r="BZ2119" s="2" t="s">
        <v>245</v>
      </c>
      <c r="CA2119" s="2" t="s">
        <v>3257</v>
      </c>
      <c r="CB2119" s="2" t="s">
        <v>1136</v>
      </c>
      <c r="CC2119" s="2" t="s">
        <v>246</v>
      </c>
      <c r="CD2119" s="2" t="s">
        <v>233</v>
      </c>
      <c r="CE2119" s="4"/>
      <c r="CF2119" s="4"/>
      <c r="CG2119" s="4"/>
      <c r="CH2119" s="4"/>
      <c r="CI2119" s="4">
        <v>326</v>
      </c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>
        <v>357</v>
      </c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>
        <v>204</v>
      </c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>
        <v>948</v>
      </c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>
        <v>990</v>
      </c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  <c r="GQ2119" s="4"/>
      <c r="GR2119" s="4"/>
      <c r="GS2119" s="4"/>
      <c r="GT2119" s="4"/>
      <c r="GU2119" s="4"/>
      <c r="GV2119" s="4"/>
      <c r="GW2119" s="4"/>
      <c r="GX2119" s="4"/>
      <c r="GY2119" s="4"/>
      <c r="GZ2119" s="4"/>
      <c r="HA2119" s="4"/>
      <c r="HB2119" s="4"/>
      <c r="HC2119" s="4"/>
      <c r="HD2119" s="4"/>
      <c r="HE2119" s="4"/>
      <c r="HF2119" s="4"/>
      <c r="HG2119" s="4"/>
      <c r="HH2119" s="4"/>
      <c r="HI2119" s="4"/>
      <c r="HJ2119" s="4"/>
      <c r="HK2119" s="4"/>
      <c r="HL2119" s="4"/>
      <c r="HM2119" s="4"/>
      <c r="HN2119" s="4"/>
      <c r="HO2119" s="4"/>
      <c r="HP2119" s="4"/>
      <c r="HQ2119" s="4"/>
      <c r="HR2119" s="4"/>
    </row>
    <row r="2120">
      <c r="A2120" s="2" t="s">
        <v>9546</v>
      </c>
      <c r="B2120" s="2" t="s">
        <v>1242</v>
      </c>
      <c r="C2120" s="2" t="s">
        <v>2145</v>
      </c>
      <c r="D2120" s="2" t="s">
        <v>912</v>
      </c>
      <c r="E2120" s="2" t="s">
        <v>1139</v>
      </c>
      <c r="F2120" s="2" t="s">
        <v>9518</v>
      </c>
      <c r="G2120" s="2" t="s">
        <v>9519</v>
      </c>
      <c r="H2120" s="2" t="s">
        <v>9520</v>
      </c>
      <c r="I2120" s="2" t="s">
        <v>9525</v>
      </c>
      <c r="J2120" s="2" t="s">
        <v>1142</v>
      </c>
      <c r="K2120" s="2" t="s">
        <v>6826</v>
      </c>
      <c r="L2120" s="3">
        <v>22.61</v>
      </c>
      <c r="M2120" s="3">
        <v>23.74</v>
      </c>
      <c r="N2120" s="3">
        <v>47.49</v>
      </c>
      <c r="O2120" s="2" t="s">
        <v>245</v>
      </c>
      <c r="P2120" s="2" t="s">
        <v>238</v>
      </c>
      <c r="Q2120" s="2" t="s">
        <v>239</v>
      </c>
      <c r="R2120" s="2" t="s">
        <v>233</v>
      </c>
      <c r="S2120" s="2" t="s">
        <v>9536</v>
      </c>
      <c r="T2120" s="2" t="s">
        <v>395</v>
      </c>
      <c r="U2120" s="2" t="s">
        <v>475</v>
      </c>
      <c r="V2120" s="2" t="s">
        <v>241</v>
      </c>
      <c r="W2120" s="2" t="s">
        <v>275</v>
      </c>
      <c r="X2120" s="2" t="s">
        <v>397</v>
      </c>
      <c r="Y2120" s="2" t="s">
        <v>2467</v>
      </c>
      <c r="Z2120" s="4">
        <v>205</v>
      </c>
      <c r="AA2120" s="4">
        <f>=ROUNDDOWN(68.3333333333333,0)</f>
      </c>
      <c r="AB2120" s="5">
        <v>3</v>
      </c>
      <c r="AC2120" s="2" t="s">
        <v>2388</v>
      </c>
      <c r="AD2120" s="4">
        <v>228</v>
      </c>
      <c r="AE2120" s="4">
        <v>580</v>
      </c>
      <c r="AF2120" s="6">
        <v>63</v>
      </c>
      <c r="AG2120" s="6">
        <v>46</v>
      </c>
      <c r="AH2120" s="7">
        <v>1</v>
      </c>
      <c r="AI2120" s="4"/>
      <c r="AJ2120" s="4">
        <f>=ROUNDDOWN({0},0)</f>
      </c>
      <c r="AK2120" s="5"/>
      <c r="AL2120" s="2" t="s">
        <v>233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233</v>
      </c>
      <c r="AW2120" s="8" t="s">
        <v>233</v>
      </c>
      <c r="AX2120" s="4" t="s">
        <v>233</v>
      </c>
      <c r="AY2120" s="8" t="s">
        <v>233</v>
      </c>
      <c r="AZ2120" s="7" t="s">
        <v>233</v>
      </c>
      <c r="BA2120" s="7" t="s">
        <v>233</v>
      </c>
      <c r="BB2120" s="7" t="s">
        <v>233</v>
      </c>
      <c r="BC2120" s="4" t="s">
        <v>233</v>
      </c>
      <c r="BD2120" s="8" t="s">
        <v>233</v>
      </c>
      <c r="BE2120" s="4" t="s">
        <v>233</v>
      </c>
      <c r="BF2120" s="8" t="s">
        <v>233</v>
      </c>
      <c r="BG2120" s="7" t="s">
        <v>233</v>
      </c>
      <c r="BH2120" s="7" t="s">
        <v>233</v>
      </c>
      <c r="BI2120" s="7"/>
      <c r="BJ2120" s="4"/>
      <c r="BK2120" s="8"/>
      <c r="BL2120" s="2" t="s">
        <v>233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9547</v>
      </c>
      <c r="BV2120" s="2" t="s">
        <v>233</v>
      </c>
      <c r="BW2120" s="2" t="s">
        <v>233</v>
      </c>
      <c r="BX2120" s="2" t="s">
        <v>243</v>
      </c>
      <c r="BY2120" s="2" t="s">
        <v>280</v>
      </c>
      <c r="BZ2120" s="2" t="s">
        <v>245</v>
      </c>
      <c r="CA2120" s="2" t="s">
        <v>2467</v>
      </c>
      <c r="CB2120" s="2" t="s">
        <v>350</v>
      </c>
      <c r="CC2120" s="2" t="s">
        <v>246</v>
      </c>
      <c r="CD2120" s="2" t="s">
        <v>233</v>
      </c>
      <c r="CE2120" s="4"/>
      <c r="CF2120" s="4"/>
      <c r="CG2120" s="4"/>
      <c r="CH2120" s="4"/>
      <c r="CI2120" s="4">
        <v>205</v>
      </c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>
        <v>228</v>
      </c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>
        <v>100</v>
      </c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>
        <v>228</v>
      </c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>
        <v>24</v>
      </c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  <c r="GQ2120" s="4"/>
      <c r="GR2120" s="4"/>
      <c r="GS2120" s="4"/>
      <c r="GT2120" s="4"/>
      <c r="GU2120" s="4"/>
      <c r="GV2120" s="4"/>
      <c r="GW2120" s="4"/>
      <c r="GX2120" s="4"/>
      <c r="GY2120" s="4"/>
      <c r="GZ2120" s="4"/>
      <c r="HA2120" s="4"/>
      <c r="HB2120" s="4"/>
      <c r="HC2120" s="4"/>
      <c r="HD2120" s="4"/>
      <c r="HE2120" s="4"/>
      <c r="HF2120" s="4"/>
      <c r="HG2120" s="4"/>
      <c r="HH2120" s="4"/>
      <c r="HI2120" s="4"/>
      <c r="HJ2120" s="4"/>
      <c r="HK2120" s="4"/>
      <c r="HL2120" s="4"/>
      <c r="HM2120" s="4"/>
      <c r="HN2120" s="4"/>
      <c r="HO2120" s="4"/>
      <c r="HP2120" s="4"/>
      <c r="HQ2120" s="4"/>
      <c r="HR2120" s="4"/>
    </row>
    <row r="2121">
      <c r="A2121" s="2" t="s">
        <v>9548</v>
      </c>
      <c r="B2121" s="2" t="s">
        <v>1242</v>
      </c>
      <c r="C2121" s="2" t="s">
        <v>2145</v>
      </c>
      <c r="D2121" s="2" t="s">
        <v>969</v>
      </c>
      <c r="E2121" s="2" t="s">
        <v>970</v>
      </c>
      <c r="F2121" s="2" t="s">
        <v>9518</v>
      </c>
      <c r="G2121" s="2" t="s">
        <v>9519</v>
      </c>
      <c r="H2121" s="2" t="s">
        <v>9520</v>
      </c>
      <c r="I2121" s="2" t="s">
        <v>9521</v>
      </c>
      <c r="J2121" s="2" t="s">
        <v>918</v>
      </c>
      <c r="K2121" s="2" t="s">
        <v>552</v>
      </c>
      <c r="L2121" s="3">
        <v>21.42</v>
      </c>
      <c r="M2121" s="3">
        <v>22.49</v>
      </c>
      <c r="N2121" s="3">
        <v>44.99</v>
      </c>
      <c r="O2121" s="2" t="s">
        <v>245</v>
      </c>
      <c r="P2121" s="2" t="s">
        <v>238</v>
      </c>
      <c r="Q2121" s="2" t="s">
        <v>239</v>
      </c>
      <c r="R2121" s="2" t="s">
        <v>233</v>
      </c>
      <c r="S2121" s="2" t="s">
        <v>9549</v>
      </c>
      <c r="T2121" s="2" t="s">
        <v>395</v>
      </c>
      <c r="U2121" s="2" t="s">
        <v>491</v>
      </c>
      <c r="V2121" s="2" t="s">
        <v>241</v>
      </c>
      <c r="W2121" s="2" t="s">
        <v>275</v>
      </c>
      <c r="X2121" s="2" t="s">
        <v>397</v>
      </c>
      <c r="Y2121" s="2" t="s">
        <v>3199</v>
      </c>
      <c r="Z2121" s="4">
        <v>87</v>
      </c>
      <c r="AA2121" s="4">
        <f>=ROUNDDOWN({0},0)</f>
      </c>
      <c r="AB2121" s="5"/>
      <c r="AC2121" s="2" t="s">
        <v>2388</v>
      </c>
      <c r="AD2121" s="4">
        <v>96</v>
      </c>
      <c r="AE2121" s="4">
        <v>288</v>
      </c>
      <c r="AF2121" s="6">
        <v>63</v>
      </c>
      <c r="AG2121" s="6">
        <v>46</v>
      </c>
      <c r="AH2121" s="7">
        <v>1</v>
      </c>
      <c r="AI2121" s="4"/>
      <c r="AJ2121" s="4">
        <f>=ROUNDDOWN({0},0)</f>
      </c>
      <c r="AK2121" s="5"/>
      <c r="AL2121" s="2" t="s">
        <v>233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233</v>
      </c>
      <c r="AW2121" s="8" t="s">
        <v>233</v>
      </c>
      <c r="AX2121" s="4" t="s">
        <v>233</v>
      </c>
      <c r="AY2121" s="8" t="s">
        <v>233</v>
      </c>
      <c r="AZ2121" s="7" t="s">
        <v>233</v>
      </c>
      <c r="BA2121" s="7" t="s">
        <v>233</v>
      </c>
      <c r="BB2121" s="7" t="s">
        <v>233</v>
      </c>
      <c r="BC2121" s="4" t="s">
        <v>233</v>
      </c>
      <c r="BD2121" s="8" t="s">
        <v>233</v>
      </c>
      <c r="BE2121" s="4" t="s">
        <v>233</v>
      </c>
      <c r="BF2121" s="8" t="s">
        <v>233</v>
      </c>
      <c r="BG2121" s="7" t="s">
        <v>233</v>
      </c>
      <c r="BH2121" s="7" t="s">
        <v>233</v>
      </c>
      <c r="BI2121" s="7"/>
      <c r="BJ2121" s="4"/>
      <c r="BK2121" s="8"/>
      <c r="BL2121" s="2" t="s">
        <v>233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9550</v>
      </c>
      <c r="BV2121" s="2" t="s">
        <v>233</v>
      </c>
      <c r="BW2121" s="2" t="s">
        <v>233</v>
      </c>
      <c r="BX2121" s="2" t="s">
        <v>243</v>
      </c>
      <c r="BY2121" s="2" t="s">
        <v>280</v>
      </c>
      <c r="BZ2121" s="2" t="s">
        <v>245</v>
      </c>
      <c r="CA2121" s="2" t="s">
        <v>3257</v>
      </c>
      <c r="CB2121" s="2" t="s">
        <v>233</v>
      </c>
      <c r="CC2121" s="2" t="s">
        <v>246</v>
      </c>
      <c r="CD2121" s="2" t="s">
        <v>233</v>
      </c>
      <c r="CE2121" s="4"/>
      <c r="CF2121" s="4"/>
      <c r="CG2121" s="4"/>
      <c r="CH2121" s="4"/>
      <c r="CI2121" s="4">
        <v>87</v>
      </c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>
        <v>96</v>
      </c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>
        <v>54</v>
      </c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>
        <v>123</v>
      </c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>
        <v>15</v>
      </c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/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/>
      <c r="HC2121" s="4"/>
      <c r="HD2121" s="4"/>
      <c r="HE2121" s="4"/>
      <c r="HF2121" s="4"/>
      <c r="HG2121" s="4"/>
      <c r="HH2121" s="4"/>
      <c r="HI2121" s="4"/>
      <c r="HJ2121" s="4"/>
      <c r="HK2121" s="4"/>
      <c r="HL2121" s="4"/>
      <c r="HM2121" s="4"/>
      <c r="HN2121" s="4"/>
      <c r="HO2121" s="4"/>
      <c r="HP2121" s="4"/>
      <c r="HQ2121" s="4"/>
      <c r="HR2121" s="4"/>
    </row>
    <row r="2122">
      <c r="A2122" s="2" t="s">
        <v>9551</v>
      </c>
      <c r="B2122" s="2" t="s">
        <v>1242</v>
      </c>
      <c r="C2122" s="2" t="s">
        <v>2145</v>
      </c>
      <c r="D2122" s="2" t="s">
        <v>912</v>
      </c>
      <c r="E2122" s="2" t="s">
        <v>1139</v>
      </c>
      <c r="F2122" s="2" t="s">
        <v>9518</v>
      </c>
      <c r="G2122" s="2" t="s">
        <v>9519</v>
      </c>
      <c r="H2122" s="2" t="s">
        <v>9520</v>
      </c>
      <c r="I2122" s="2" t="s">
        <v>9525</v>
      </c>
      <c r="J2122" s="2" t="s">
        <v>918</v>
      </c>
      <c r="K2122" s="2" t="s">
        <v>552</v>
      </c>
      <c r="L2122" s="3">
        <v>15.47</v>
      </c>
      <c r="M2122" s="3">
        <v>16.24</v>
      </c>
      <c r="N2122" s="3">
        <v>32.49</v>
      </c>
      <c r="O2122" s="2" t="s">
        <v>245</v>
      </c>
      <c r="P2122" s="2" t="s">
        <v>238</v>
      </c>
      <c r="Q2122" s="2" t="s">
        <v>239</v>
      </c>
      <c r="R2122" s="2" t="s">
        <v>233</v>
      </c>
      <c r="S2122" s="2" t="s">
        <v>9549</v>
      </c>
      <c r="T2122" s="2" t="s">
        <v>395</v>
      </c>
      <c r="U2122" s="2" t="s">
        <v>491</v>
      </c>
      <c r="V2122" s="2" t="s">
        <v>241</v>
      </c>
      <c r="W2122" s="2" t="s">
        <v>275</v>
      </c>
      <c r="X2122" s="2" t="s">
        <v>397</v>
      </c>
      <c r="Y2122" s="2" t="s">
        <v>2467</v>
      </c>
      <c r="Z2122" s="4">
        <v>44</v>
      </c>
      <c r="AA2122" s="4">
        <f>=ROUNDDOWN({0},0)</f>
      </c>
      <c r="AB2122" s="5"/>
      <c r="AC2122" s="2" t="s">
        <v>2388</v>
      </c>
      <c r="AD2122" s="4">
        <v>48</v>
      </c>
      <c r="AE2122" s="4">
        <v>112</v>
      </c>
      <c r="AF2122" s="6">
        <v>63</v>
      </c>
      <c r="AG2122" s="6">
        <v>46</v>
      </c>
      <c r="AH2122" s="7">
        <v>1</v>
      </c>
      <c r="AI2122" s="4"/>
      <c r="AJ2122" s="4">
        <f>=ROUNDDOWN({0},0)</f>
      </c>
      <c r="AK2122" s="5"/>
      <c r="AL2122" s="2" t="s">
        <v>233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233</v>
      </c>
      <c r="AW2122" s="8" t="s">
        <v>233</v>
      </c>
      <c r="AX2122" s="4" t="s">
        <v>233</v>
      </c>
      <c r="AY2122" s="8" t="s">
        <v>233</v>
      </c>
      <c r="AZ2122" s="7" t="s">
        <v>233</v>
      </c>
      <c r="BA2122" s="7" t="s">
        <v>233</v>
      </c>
      <c r="BB2122" s="7" t="s">
        <v>233</v>
      </c>
      <c r="BC2122" s="4" t="s">
        <v>233</v>
      </c>
      <c r="BD2122" s="8" t="s">
        <v>233</v>
      </c>
      <c r="BE2122" s="4" t="s">
        <v>233</v>
      </c>
      <c r="BF2122" s="8" t="s">
        <v>233</v>
      </c>
      <c r="BG2122" s="7" t="s">
        <v>233</v>
      </c>
      <c r="BH2122" s="7" t="s">
        <v>233</v>
      </c>
      <c r="BI2122" s="7"/>
      <c r="BJ2122" s="4"/>
      <c r="BK2122" s="8"/>
      <c r="BL2122" s="2" t="s">
        <v>233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9552</v>
      </c>
      <c r="BV2122" s="2" t="s">
        <v>233</v>
      </c>
      <c r="BW2122" s="2" t="s">
        <v>233</v>
      </c>
      <c r="BX2122" s="2" t="s">
        <v>243</v>
      </c>
      <c r="BY2122" s="2" t="s">
        <v>280</v>
      </c>
      <c r="BZ2122" s="2" t="s">
        <v>245</v>
      </c>
      <c r="CA2122" s="2" t="s">
        <v>2467</v>
      </c>
      <c r="CB2122" s="2" t="s">
        <v>233</v>
      </c>
      <c r="CC2122" s="2" t="s">
        <v>246</v>
      </c>
      <c r="CD2122" s="2" t="s">
        <v>233</v>
      </c>
      <c r="CE2122" s="4"/>
      <c r="CF2122" s="4"/>
      <c r="CG2122" s="4"/>
      <c r="CH2122" s="4"/>
      <c r="CI2122" s="4">
        <v>44</v>
      </c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>
        <v>48</v>
      </c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>
        <v>20</v>
      </c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>
        <v>44</v>
      </c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/>
      <c r="GM2122" s="4"/>
      <c r="GN2122" s="4"/>
      <c r="GO2122" s="4"/>
      <c r="GP2122" s="4"/>
      <c r="GQ2122" s="4"/>
      <c r="GR2122" s="4"/>
      <c r="GS2122" s="4"/>
      <c r="GT2122" s="4"/>
      <c r="GU2122" s="4"/>
      <c r="GV2122" s="4"/>
      <c r="GW2122" s="4"/>
      <c r="GX2122" s="4"/>
      <c r="GY2122" s="4"/>
      <c r="GZ2122" s="4"/>
      <c r="HA2122" s="4"/>
      <c r="HB2122" s="4"/>
      <c r="HC2122" s="4"/>
      <c r="HD2122" s="4"/>
      <c r="HE2122" s="4"/>
      <c r="HF2122" s="4"/>
      <c r="HG2122" s="4"/>
      <c r="HH2122" s="4"/>
      <c r="HI2122" s="4"/>
      <c r="HJ2122" s="4"/>
      <c r="HK2122" s="4"/>
      <c r="HL2122" s="4"/>
      <c r="HM2122" s="4"/>
      <c r="HN2122" s="4"/>
      <c r="HO2122" s="4"/>
      <c r="HP2122" s="4"/>
      <c r="HQ2122" s="4"/>
      <c r="HR2122" s="4"/>
    </row>
    <row r="2123">
      <c r="A2123" s="2" t="s">
        <v>9553</v>
      </c>
      <c r="B2123" s="2" t="s">
        <v>1242</v>
      </c>
      <c r="C2123" s="2" t="s">
        <v>2145</v>
      </c>
      <c r="D2123" s="2" t="s">
        <v>969</v>
      </c>
      <c r="E2123" s="2" t="s">
        <v>970</v>
      </c>
      <c r="F2123" s="2" t="s">
        <v>9518</v>
      </c>
      <c r="G2123" s="2" t="s">
        <v>9519</v>
      </c>
      <c r="H2123" s="2" t="s">
        <v>9520</v>
      </c>
      <c r="I2123" s="2" t="s">
        <v>9521</v>
      </c>
      <c r="J2123" s="2" t="s">
        <v>981</v>
      </c>
      <c r="K2123" s="2" t="s">
        <v>552</v>
      </c>
      <c r="L2123" s="3">
        <v>26.19</v>
      </c>
      <c r="M2123" s="3">
        <v>27.5</v>
      </c>
      <c r="N2123" s="3">
        <v>54.99</v>
      </c>
      <c r="O2123" s="2" t="s">
        <v>245</v>
      </c>
      <c r="P2123" s="2" t="s">
        <v>238</v>
      </c>
      <c r="Q2123" s="2" t="s">
        <v>239</v>
      </c>
      <c r="R2123" s="2" t="s">
        <v>233</v>
      </c>
      <c r="S2123" s="2" t="s">
        <v>9549</v>
      </c>
      <c r="T2123" s="2" t="s">
        <v>395</v>
      </c>
      <c r="U2123" s="2" t="s">
        <v>475</v>
      </c>
      <c r="V2123" s="2" t="s">
        <v>241</v>
      </c>
      <c r="W2123" s="2" t="s">
        <v>275</v>
      </c>
      <c r="X2123" s="2" t="s">
        <v>397</v>
      </c>
      <c r="Y2123" s="2" t="s">
        <v>350</v>
      </c>
      <c r="Z2123" s="4">
        <v>238</v>
      </c>
      <c r="AA2123" s="4">
        <f>=ROUNDDOWN({0},0)</f>
      </c>
      <c r="AB2123" s="5"/>
      <c r="AC2123" s="2" t="s">
        <v>2388</v>
      </c>
      <c r="AD2123" s="4">
        <v>267</v>
      </c>
      <c r="AE2123" s="4">
        <v>1155</v>
      </c>
      <c r="AF2123" s="6">
        <v>63</v>
      </c>
      <c r="AG2123" s="6">
        <v>46</v>
      </c>
      <c r="AH2123" s="7">
        <v>0</v>
      </c>
      <c r="AI2123" s="4"/>
      <c r="AJ2123" s="4">
        <f>=ROUNDDOWN({0},0)</f>
      </c>
      <c r="AK2123" s="5"/>
      <c r="AL2123" s="2" t="s">
        <v>233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233</v>
      </c>
      <c r="AW2123" s="8" t="s">
        <v>233</v>
      </c>
      <c r="AX2123" s="4" t="s">
        <v>233</v>
      </c>
      <c r="AY2123" s="8" t="s">
        <v>233</v>
      </c>
      <c r="AZ2123" s="7" t="s">
        <v>233</v>
      </c>
      <c r="BA2123" s="7" t="s">
        <v>233</v>
      </c>
      <c r="BB2123" s="7" t="s">
        <v>233</v>
      </c>
      <c r="BC2123" s="4" t="s">
        <v>233</v>
      </c>
      <c r="BD2123" s="8" t="s">
        <v>233</v>
      </c>
      <c r="BE2123" s="4" t="s">
        <v>233</v>
      </c>
      <c r="BF2123" s="8" t="s">
        <v>233</v>
      </c>
      <c r="BG2123" s="7" t="s">
        <v>233</v>
      </c>
      <c r="BH2123" s="7" t="s">
        <v>233</v>
      </c>
      <c r="BI2123" s="7"/>
      <c r="BJ2123" s="4"/>
      <c r="BK2123" s="8"/>
      <c r="BL2123" s="2" t="s">
        <v>233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9554</v>
      </c>
      <c r="BV2123" s="2" t="s">
        <v>233</v>
      </c>
      <c r="BW2123" s="2" t="s">
        <v>233</v>
      </c>
      <c r="BX2123" s="2" t="s">
        <v>243</v>
      </c>
      <c r="BY2123" s="2" t="s">
        <v>280</v>
      </c>
      <c r="BZ2123" s="2" t="s">
        <v>245</v>
      </c>
      <c r="CA2123" s="2" t="s">
        <v>3257</v>
      </c>
      <c r="CB2123" s="2" t="s">
        <v>233</v>
      </c>
      <c r="CC2123" s="2" t="s">
        <v>246</v>
      </c>
      <c r="CD2123" s="2" t="s">
        <v>233</v>
      </c>
      <c r="CE2123" s="4"/>
      <c r="CF2123" s="4"/>
      <c r="CG2123" s="4"/>
      <c r="CH2123" s="4"/>
      <c r="CI2123" s="4">
        <v>238</v>
      </c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>
        <v>267</v>
      </c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>
        <v>156</v>
      </c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>
        <v>366</v>
      </c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>
        <v>366</v>
      </c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/>
      <c r="GV2123" s="4"/>
      <c r="GW2123" s="4"/>
      <c r="GX2123" s="4"/>
      <c r="GY2123" s="4"/>
      <c r="GZ2123" s="4"/>
      <c r="HA2123" s="4"/>
      <c r="HB2123" s="4"/>
      <c r="HC2123" s="4"/>
      <c r="HD2123" s="4"/>
      <c r="HE2123" s="4"/>
      <c r="HF2123" s="4"/>
      <c r="HG2123" s="4"/>
      <c r="HH2123" s="4"/>
      <c r="HI2123" s="4"/>
      <c r="HJ2123" s="4"/>
      <c r="HK2123" s="4"/>
      <c r="HL2123" s="4"/>
      <c r="HM2123" s="4"/>
      <c r="HN2123" s="4"/>
      <c r="HO2123" s="4"/>
      <c r="HP2123" s="4"/>
      <c r="HQ2123" s="4"/>
      <c r="HR2123" s="4"/>
    </row>
    <row r="2124">
      <c r="A2124" s="2" t="s">
        <v>9555</v>
      </c>
      <c r="B2124" s="2" t="s">
        <v>1242</v>
      </c>
      <c r="C2124" s="2" t="s">
        <v>2145</v>
      </c>
      <c r="D2124" s="2" t="s">
        <v>912</v>
      </c>
      <c r="E2124" s="2" t="s">
        <v>1139</v>
      </c>
      <c r="F2124" s="2" t="s">
        <v>9518</v>
      </c>
      <c r="G2124" s="2" t="s">
        <v>9519</v>
      </c>
      <c r="H2124" s="2" t="s">
        <v>9520</v>
      </c>
      <c r="I2124" s="2" t="s">
        <v>9525</v>
      </c>
      <c r="J2124" s="2" t="s">
        <v>981</v>
      </c>
      <c r="K2124" s="2" t="s">
        <v>552</v>
      </c>
      <c r="L2124" s="3">
        <v>20.23</v>
      </c>
      <c r="M2124" s="3">
        <v>21.24</v>
      </c>
      <c r="N2124" s="3">
        <v>42.49</v>
      </c>
      <c r="O2124" s="2" t="s">
        <v>245</v>
      </c>
      <c r="P2124" s="2" t="s">
        <v>238</v>
      </c>
      <c r="Q2124" s="2" t="s">
        <v>239</v>
      </c>
      <c r="R2124" s="2" t="s">
        <v>233</v>
      </c>
      <c r="S2124" s="2" t="s">
        <v>9549</v>
      </c>
      <c r="T2124" s="2" t="s">
        <v>395</v>
      </c>
      <c r="U2124" s="2" t="s">
        <v>475</v>
      </c>
      <c r="V2124" s="2" t="s">
        <v>241</v>
      </c>
      <c r="W2124" s="2" t="s">
        <v>275</v>
      </c>
      <c r="X2124" s="2" t="s">
        <v>397</v>
      </c>
      <c r="Y2124" s="2" t="s">
        <v>2467</v>
      </c>
      <c r="Z2124" s="4">
        <v>156</v>
      </c>
      <c r="AA2124" s="4">
        <f>=ROUNDDOWN({0},0)</f>
      </c>
      <c r="AB2124" s="5"/>
      <c r="AC2124" s="2" t="s">
        <v>2388</v>
      </c>
      <c r="AD2124" s="4">
        <v>188</v>
      </c>
      <c r="AE2124" s="4">
        <v>504</v>
      </c>
      <c r="AF2124" s="6">
        <v>63</v>
      </c>
      <c r="AG2124" s="6">
        <v>46</v>
      </c>
      <c r="AH2124" s="7">
        <v>1</v>
      </c>
      <c r="AI2124" s="4"/>
      <c r="AJ2124" s="4">
        <f>=ROUNDDOWN({0},0)</f>
      </c>
      <c r="AK2124" s="5"/>
      <c r="AL2124" s="2" t="s">
        <v>233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233</v>
      </c>
      <c r="AW2124" s="8" t="s">
        <v>233</v>
      </c>
      <c r="AX2124" s="4" t="s">
        <v>233</v>
      </c>
      <c r="AY2124" s="8" t="s">
        <v>233</v>
      </c>
      <c r="AZ2124" s="7" t="s">
        <v>233</v>
      </c>
      <c r="BA2124" s="7" t="s">
        <v>233</v>
      </c>
      <c r="BB2124" s="7" t="s">
        <v>233</v>
      </c>
      <c r="BC2124" s="4" t="s">
        <v>233</v>
      </c>
      <c r="BD2124" s="8" t="s">
        <v>233</v>
      </c>
      <c r="BE2124" s="4" t="s">
        <v>233</v>
      </c>
      <c r="BF2124" s="8" t="s">
        <v>233</v>
      </c>
      <c r="BG2124" s="7" t="s">
        <v>233</v>
      </c>
      <c r="BH2124" s="7" t="s">
        <v>233</v>
      </c>
      <c r="BI2124" s="7"/>
      <c r="BJ2124" s="4"/>
      <c r="BK2124" s="8"/>
      <c r="BL2124" s="2" t="s">
        <v>233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9556</v>
      </c>
      <c r="BV2124" s="2" t="s">
        <v>233</v>
      </c>
      <c r="BW2124" s="2" t="s">
        <v>233</v>
      </c>
      <c r="BX2124" s="2" t="s">
        <v>243</v>
      </c>
      <c r="BY2124" s="2" t="s">
        <v>280</v>
      </c>
      <c r="BZ2124" s="2" t="s">
        <v>245</v>
      </c>
      <c r="CA2124" s="2" t="s">
        <v>2467</v>
      </c>
      <c r="CB2124" s="2" t="s">
        <v>233</v>
      </c>
      <c r="CC2124" s="2" t="s">
        <v>246</v>
      </c>
      <c r="CD2124" s="2" t="s">
        <v>233</v>
      </c>
      <c r="CE2124" s="4"/>
      <c r="CF2124" s="4"/>
      <c r="CG2124" s="4"/>
      <c r="CH2124" s="4"/>
      <c r="CI2124" s="4">
        <v>156</v>
      </c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>
        <v>188</v>
      </c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>
        <v>92</v>
      </c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>
        <v>212</v>
      </c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>
        <v>12</v>
      </c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/>
      <c r="GV2124" s="4"/>
      <c r="GW2124" s="4"/>
      <c r="GX2124" s="4"/>
      <c r="GY2124" s="4"/>
      <c r="GZ2124" s="4"/>
      <c r="HA2124" s="4"/>
      <c r="HB2124" s="4"/>
      <c r="HC2124" s="4"/>
      <c r="HD2124" s="4"/>
      <c r="HE2124" s="4"/>
      <c r="HF2124" s="4"/>
      <c r="HG2124" s="4"/>
      <c r="HH2124" s="4"/>
      <c r="HI2124" s="4"/>
      <c r="HJ2124" s="4"/>
      <c r="HK2124" s="4"/>
      <c r="HL2124" s="4"/>
      <c r="HM2124" s="4"/>
      <c r="HN2124" s="4"/>
      <c r="HO2124" s="4"/>
      <c r="HP2124" s="4"/>
      <c r="HQ2124" s="4"/>
      <c r="HR2124" s="4"/>
    </row>
    <row r="2125">
      <c r="A2125" s="2" t="s">
        <v>9557</v>
      </c>
      <c r="B2125" s="2" t="s">
        <v>1242</v>
      </c>
      <c r="C2125" s="2" t="s">
        <v>2145</v>
      </c>
      <c r="D2125" s="2" t="s">
        <v>969</v>
      </c>
      <c r="E2125" s="2" t="s">
        <v>970</v>
      </c>
      <c r="F2125" s="2" t="s">
        <v>9518</v>
      </c>
      <c r="G2125" s="2" t="s">
        <v>9519</v>
      </c>
      <c r="H2125" s="2" t="s">
        <v>9520</v>
      </c>
      <c r="I2125" s="2" t="s">
        <v>9521</v>
      </c>
      <c r="J2125" s="2" t="s">
        <v>1142</v>
      </c>
      <c r="K2125" s="2" t="s">
        <v>552</v>
      </c>
      <c r="L2125" s="3">
        <v>28.57</v>
      </c>
      <c r="M2125" s="3">
        <v>30</v>
      </c>
      <c r="N2125" s="3">
        <v>59.99</v>
      </c>
      <c r="O2125" s="2" t="s">
        <v>245</v>
      </c>
      <c r="P2125" s="2" t="s">
        <v>238</v>
      </c>
      <c r="Q2125" s="2" t="s">
        <v>239</v>
      </c>
      <c r="R2125" s="2" t="s">
        <v>233</v>
      </c>
      <c r="S2125" s="2" t="s">
        <v>9549</v>
      </c>
      <c r="T2125" s="2" t="s">
        <v>395</v>
      </c>
      <c r="U2125" s="2" t="s">
        <v>475</v>
      </c>
      <c r="V2125" s="2" t="s">
        <v>241</v>
      </c>
      <c r="W2125" s="2" t="s">
        <v>275</v>
      </c>
      <c r="X2125" s="2" t="s">
        <v>397</v>
      </c>
      <c r="Y2125" s="2" t="s">
        <v>3199</v>
      </c>
      <c r="Z2125" s="4">
        <v>271</v>
      </c>
      <c r="AA2125" s="4">
        <f>=ROUNDDOWN({0},0)</f>
      </c>
      <c r="AB2125" s="5"/>
      <c r="AC2125" s="2" t="s">
        <v>2388</v>
      </c>
      <c r="AD2125" s="4">
        <v>285</v>
      </c>
      <c r="AE2125" s="4">
        <v>1782</v>
      </c>
      <c r="AF2125" s="6">
        <v>63</v>
      </c>
      <c r="AG2125" s="6">
        <v>46</v>
      </c>
      <c r="AH2125" s="7">
        <v>1</v>
      </c>
      <c r="AI2125" s="4"/>
      <c r="AJ2125" s="4">
        <f>=ROUNDDOWN({0},0)</f>
      </c>
      <c r="AK2125" s="5"/>
      <c r="AL2125" s="2" t="s">
        <v>233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233</v>
      </c>
      <c r="AW2125" s="8" t="s">
        <v>233</v>
      </c>
      <c r="AX2125" s="4" t="s">
        <v>233</v>
      </c>
      <c r="AY2125" s="8" t="s">
        <v>233</v>
      </c>
      <c r="AZ2125" s="7" t="s">
        <v>233</v>
      </c>
      <c r="BA2125" s="7" t="s">
        <v>233</v>
      </c>
      <c r="BB2125" s="7" t="s">
        <v>233</v>
      </c>
      <c r="BC2125" s="4" t="s">
        <v>233</v>
      </c>
      <c r="BD2125" s="8" t="s">
        <v>233</v>
      </c>
      <c r="BE2125" s="4" t="s">
        <v>233</v>
      </c>
      <c r="BF2125" s="8" t="s">
        <v>233</v>
      </c>
      <c r="BG2125" s="7" t="s">
        <v>233</v>
      </c>
      <c r="BH2125" s="7" t="s">
        <v>233</v>
      </c>
      <c r="BI2125" s="7"/>
      <c r="BJ2125" s="4"/>
      <c r="BK2125" s="8"/>
      <c r="BL2125" s="2" t="s">
        <v>233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9558</v>
      </c>
      <c r="BV2125" s="2" t="s">
        <v>233</v>
      </c>
      <c r="BW2125" s="2" t="s">
        <v>233</v>
      </c>
      <c r="BX2125" s="2" t="s">
        <v>243</v>
      </c>
      <c r="BY2125" s="2" t="s">
        <v>280</v>
      </c>
      <c r="BZ2125" s="2" t="s">
        <v>245</v>
      </c>
      <c r="CA2125" s="2" t="s">
        <v>350</v>
      </c>
      <c r="CB2125" s="2" t="s">
        <v>233</v>
      </c>
      <c r="CC2125" s="2" t="s">
        <v>246</v>
      </c>
      <c r="CD2125" s="2" t="s">
        <v>233</v>
      </c>
      <c r="CE2125" s="4"/>
      <c r="CF2125" s="4"/>
      <c r="CG2125" s="4"/>
      <c r="CH2125" s="4"/>
      <c r="CI2125" s="4">
        <v>271</v>
      </c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>
        <v>285</v>
      </c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>
        <v>153</v>
      </c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>
        <v>354</v>
      </c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>
        <v>990</v>
      </c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4"/>
      <c r="HE2125" s="4"/>
      <c r="HF2125" s="4"/>
      <c r="HG2125" s="4"/>
      <c r="HH2125" s="4"/>
      <c r="HI2125" s="4"/>
      <c r="HJ2125" s="4"/>
      <c r="HK2125" s="4"/>
      <c r="HL2125" s="4"/>
      <c r="HM2125" s="4"/>
      <c r="HN2125" s="4"/>
      <c r="HO2125" s="4"/>
      <c r="HP2125" s="4"/>
      <c r="HQ2125" s="4"/>
      <c r="HR2125" s="4"/>
    </row>
    <row r="2126">
      <c r="A2126" s="2" t="s">
        <v>9559</v>
      </c>
      <c r="B2126" s="2" t="s">
        <v>1242</v>
      </c>
      <c r="C2126" s="2" t="s">
        <v>2145</v>
      </c>
      <c r="D2126" s="2" t="s">
        <v>912</v>
      </c>
      <c r="E2126" s="2" t="s">
        <v>1139</v>
      </c>
      <c r="F2126" s="2" t="s">
        <v>9518</v>
      </c>
      <c r="G2126" s="2" t="s">
        <v>9519</v>
      </c>
      <c r="H2126" s="2" t="s">
        <v>9520</v>
      </c>
      <c r="I2126" s="2" t="s">
        <v>9525</v>
      </c>
      <c r="J2126" s="2" t="s">
        <v>1142</v>
      </c>
      <c r="K2126" s="2" t="s">
        <v>552</v>
      </c>
      <c r="L2126" s="3">
        <v>22.61</v>
      </c>
      <c r="M2126" s="3">
        <v>23.74</v>
      </c>
      <c r="N2126" s="3">
        <v>47.49</v>
      </c>
      <c r="O2126" s="2" t="s">
        <v>245</v>
      </c>
      <c r="P2126" s="2" t="s">
        <v>238</v>
      </c>
      <c r="Q2126" s="2" t="s">
        <v>239</v>
      </c>
      <c r="R2126" s="2" t="s">
        <v>233</v>
      </c>
      <c r="S2126" s="2" t="s">
        <v>9549</v>
      </c>
      <c r="T2126" s="2" t="s">
        <v>395</v>
      </c>
      <c r="U2126" s="2" t="s">
        <v>475</v>
      </c>
      <c r="V2126" s="2" t="s">
        <v>241</v>
      </c>
      <c r="W2126" s="2" t="s">
        <v>275</v>
      </c>
      <c r="X2126" s="2" t="s">
        <v>397</v>
      </c>
      <c r="Y2126" s="2" t="s">
        <v>2467</v>
      </c>
      <c r="Z2126" s="4">
        <v>191</v>
      </c>
      <c r="AA2126" s="4">
        <f>=ROUNDDOWN(63.6666666666667,0)</f>
      </c>
      <c r="AB2126" s="5">
        <v>3</v>
      </c>
      <c r="AC2126" s="2" t="s">
        <v>2388</v>
      </c>
      <c r="AD2126" s="4">
        <v>208</v>
      </c>
      <c r="AE2126" s="4">
        <v>520</v>
      </c>
      <c r="AF2126" s="6">
        <v>63</v>
      </c>
      <c r="AG2126" s="6">
        <v>46</v>
      </c>
      <c r="AH2126" s="7">
        <v>1</v>
      </c>
      <c r="AI2126" s="4"/>
      <c r="AJ2126" s="4">
        <f>=ROUNDDOWN({0},0)</f>
      </c>
      <c r="AK2126" s="5"/>
      <c r="AL2126" s="2" t="s">
        <v>233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233</v>
      </c>
      <c r="AW2126" s="8" t="s">
        <v>233</v>
      </c>
      <c r="AX2126" s="4" t="s">
        <v>233</v>
      </c>
      <c r="AY2126" s="8" t="s">
        <v>233</v>
      </c>
      <c r="AZ2126" s="7" t="s">
        <v>233</v>
      </c>
      <c r="BA2126" s="7" t="s">
        <v>233</v>
      </c>
      <c r="BB2126" s="7" t="s">
        <v>233</v>
      </c>
      <c r="BC2126" s="4" t="s">
        <v>233</v>
      </c>
      <c r="BD2126" s="8" t="s">
        <v>233</v>
      </c>
      <c r="BE2126" s="4" t="s">
        <v>233</v>
      </c>
      <c r="BF2126" s="8" t="s">
        <v>233</v>
      </c>
      <c r="BG2126" s="7" t="s">
        <v>233</v>
      </c>
      <c r="BH2126" s="7" t="s">
        <v>233</v>
      </c>
      <c r="BI2126" s="7"/>
      <c r="BJ2126" s="4"/>
      <c r="BK2126" s="8"/>
      <c r="BL2126" s="2" t="s">
        <v>233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9560</v>
      </c>
      <c r="BV2126" s="2" t="s">
        <v>233</v>
      </c>
      <c r="BW2126" s="2" t="s">
        <v>233</v>
      </c>
      <c r="BX2126" s="2" t="s">
        <v>243</v>
      </c>
      <c r="BY2126" s="2" t="s">
        <v>280</v>
      </c>
      <c r="BZ2126" s="2" t="s">
        <v>245</v>
      </c>
      <c r="CA2126" s="2" t="s">
        <v>2467</v>
      </c>
      <c r="CB2126" s="2" t="s">
        <v>233</v>
      </c>
      <c r="CC2126" s="2" t="s">
        <v>246</v>
      </c>
      <c r="CD2126" s="2" t="s">
        <v>233</v>
      </c>
      <c r="CE2126" s="4"/>
      <c r="CF2126" s="4"/>
      <c r="CG2126" s="4"/>
      <c r="CH2126" s="4"/>
      <c r="CI2126" s="4">
        <v>191</v>
      </c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>
        <v>208</v>
      </c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>
        <v>88</v>
      </c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>
        <v>200</v>
      </c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>
        <v>24</v>
      </c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4"/>
      <c r="HE2126" s="4"/>
      <c r="HF2126" s="4"/>
      <c r="HG2126" s="4"/>
      <c r="HH2126" s="4"/>
      <c r="HI2126" s="4"/>
      <c r="HJ2126" s="4"/>
      <c r="HK2126" s="4"/>
      <c r="HL2126" s="4"/>
      <c r="HM2126" s="4"/>
      <c r="HN2126" s="4"/>
      <c r="HO2126" s="4"/>
      <c r="HP2126" s="4"/>
      <c r="HQ2126" s="4"/>
      <c r="HR2126" s="4"/>
    </row>
    <row r="2127">
      <c r="A2127" s="2" t="s">
        <v>9561</v>
      </c>
      <c r="B2127" s="2" t="s">
        <v>1242</v>
      </c>
      <c r="C2127" s="2" t="s">
        <v>2145</v>
      </c>
      <c r="D2127" s="2" t="s">
        <v>969</v>
      </c>
      <c r="E2127" s="2" t="s">
        <v>970</v>
      </c>
      <c r="F2127" s="2" t="s">
        <v>9518</v>
      </c>
      <c r="G2127" s="2" t="s">
        <v>9519</v>
      </c>
      <c r="H2127" s="2" t="s">
        <v>9520</v>
      </c>
      <c r="I2127" s="2" t="s">
        <v>9521</v>
      </c>
      <c r="J2127" s="2" t="s">
        <v>918</v>
      </c>
      <c r="K2127" s="2" t="s">
        <v>255</v>
      </c>
      <c r="L2127" s="3">
        <v>21.42</v>
      </c>
      <c r="M2127" s="3">
        <v>22.49</v>
      </c>
      <c r="N2127" s="3">
        <v>44.99</v>
      </c>
      <c r="O2127" s="2" t="s">
        <v>245</v>
      </c>
      <c r="P2127" s="2" t="s">
        <v>272</v>
      </c>
      <c r="Q2127" s="2" t="s">
        <v>239</v>
      </c>
      <c r="R2127" s="2" t="s">
        <v>233</v>
      </c>
      <c r="S2127" s="2" t="s">
        <v>9562</v>
      </c>
      <c r="T2127" s="2" t="s">
        <v>395</v>
      </c>
      <c r="U2127" s="2" t="s">
        <v>491</v>
      </c>
      <c r="V2127" s="2" t="s">
        <v>241</v>
      </c>
      <c r="W2127" s="2" t="s">
        <v>275</v>
      </c>
      <c r="X2127" s="2" t="s">
        <v>397</v>
      </c>
      <c r="Y2127" s="2" t="s">
        <v>761</v>
      </c>
      <c r="Z2127" s="4">
        <v>579</v>
      </c>
      <c r="AA2127" s="4">
        <f>=ROUNDDOWN(38.6,0)</f>
      </c>
      <c r="AB2127" s="5">
        <v>15</v>
      </c>
      <c r="AC2127" s="2" t="s">
        <v>813</v>
      </c>
      <c r="AD2127" s="4">
        <v>267</v>
      </c>
      <c r="AE2127" s="4">
        <v>468</v>
      </c>
      <c r="AF2127" s="6">
        <v>63</v>
      </c>
      <c r="AG2127" s="6">
        <v>46</v>
      </c>
      <c r="AH2127" s="7">
        <v>1</v>
      </c>
      <c r="AI2127" s="4"/>
      <c r="AJ2127" s="4">
        <f>=ROUNDDOWN({0},0)</f>
      </c>
      <c r="AK2127" s="5"/>
      <c r="AL2127" s="2" t="s">
        <v>233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/>
      <c r="AW2127" s="8"/>
      <c r="AX2127" s="4"/>
      <c r="AY2127" s="8"/>
      <c r="AZ2127" s="7"/>
      <c r="BA2127" s="7"/>
      <c r="BB2127" s="7"/>
      <c r="BC2127" s="4" t="s">
        <v>233</v>
      </c>
      <c r="BD2127" s="8" t="s">
        <v>233</v>
      </c>
      <c r="BE2127" s="4" t="s">
        <v>233</v>
      </c>
      <c r="BF2127" s="8" t="s">
        <v>233</v>
      </c>
      <c r="BG2127" s="7" t="s">
        <v>233</v>
      </c>
      <c r="BH2127" s="7" t="s">
        <v>233</v>
      </c>
      <c r="BI2127" s="7"/>
      <c r="BJ2127" s="4">
        <v>37</v>
      </c>
      <c r="BK2127" s="8">
        <v>872.94</v>
      </c>
      <c r="BL2127" s="2" t="s">
        <v>9563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9564</v>
      </c>
      <c r="BV2127" s="2" t="s">
        <v>233</v>
      </c>
      <c r="BW2127" s="2" t="s">
        <v>233</v>
      </c>
      <c r="BX2127" s="2" t="s">
        <v>6794</v>
      </c>
      <c r="BY2127" s="2" t="s">
        <v>280</v>
      </c>
      <c r="BZ2127" s="2" t="s">
        <v>245</v>
      </c>
      <c r="CA2127" s="2" t="s">
        <v>1009</v>
      </c>
      <c r="CB2127" s="2" t="s">
        <v>3042</v>
      </c>
      <c r="CC2127" s="2" t="s">
        <v>246</v>
      </c>
      <c r="CD2127" s="2" t="s">
        <v>233</v>
      </c>
      <c r="CE2127" s="4">
        <v>222</v>
      </c>
      <c r="CF2127" s="4"/>
      <c r="CG2127" s="4"/>
      <c r="CH2127" s="4"/>
      <c r="CI2127" s="4">
        <v>126</v>
      </c>
      <c r="CJ2127" s="4"/>
      <c r="CK2127" s="4"/>
      <c r="CL2127" s="4">
        <v>72</v>
      </c>
      <c r="CM2127" s="4"/>
      <c r="CN2127" s="4"/>
      <c r="CO2127" s="4"/>
      <c r="CP2127" s="4">
        <v>159</v>
      </c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>
        <v>267</v>
      </c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>
        <v>90</v>
      </c>
      <c r="FN2127" s="4"/>
      <c r="FO2127" s="4"/>
      <c r="FP2127" s="4"/>
      <c r="FQ2127" s="4"/>
      <c r="FR2127" s="4"/>
      <c r="FS2127" s="4"/>
      <c r="FT2127" s="4"/>
      <c r="FU2127" s="4">
        <v>30</v>
      </c>
      <c r="FV2127" s="4"/>
      <c r="FW2127" s="4"/>
      <c r="FX2127" s="4"/>
      <c r="FY2127" s="4"/>
      <c r="FZ2127" s="4"/>
      <c r="GA2127" s="4">
        <v>60</v>
      </c>
      <c r="GB2127" s="4"/>
      <c r="GC2127" s="4">
        <v>21</v>
      </c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/>
      <c r="GS2127" s="4"/>
      <c r="GT2127" s="4"/>
      <c r="GU2127" s="4"/>
      <c r="GV2127" s="4"/>
      <c r="GW2127" s="4"/>
      <c r="GX2127" s="4"/>
      <c r="GY2127" s="4"/>
      <c r="GZ2127" s="4"/>
      <c r="HA2127" s="4"/>
      <c r="HB2127" s="4"/>
      <c r="HC2127" s="4"/>
      <c r="HD2127" s="4"/>
      <c r="HE2127" s="4"/>
      <c r="HF2127" s="4"/>
      <c r="HG2127" s="4"/>
      <c r="HH2127" s="4"/>
      <c r="HI2127" s="4"/>
      <c r="HJ2127" s="4"/>
      <c r="HK2127" s="4"/>
      <c r="HL2127" s="4"/>
      <c r="HM2127" s="4"/>
      <c r="HN2127" s="4"/>
      <c r="HO2127" s="4"/>
      <c r="HP2127" s="4"/>
      <c r="HQ2127" s="4"/>
      <c r="HR2127" s="4"/>
    </row>
    <row r="2128">
      <c r="A2128" s="2" t="s">
        <v>9565</v>
      </c>
      <c r="B2128" s="2" t="s">
        <v>1242</v>
      </c>
      <c r="C2128" s="2" t="s">
        <v>2145</v>
      </c>
      <c r="D2128" s="2" t="s">
        <v>912</v>
      </c>
      <c r="E2128" s="2" t="s">
        <v>1139</v>
      </c>
      <c r="F2128" s="2" t="s">
        <v>9518</v>
      </c>
      <c r="G2128" s="2" t="s">
        <v>9519</v>
      </c>
      <c r="H2128" s="2" t="s">
        <v>9520</v>
      </c>
      <c r="I2128" s="2" t="s">
        <v>9525</v>
      </c>
      <c r="J2128" s="2" t="s">
        <v>918</v>
      </c>
      <c r="K2128" s="2" t="s">
        <v>6366</v>
      </c>
      <c r="L2128" s="3">
        <v>15.47</v>
      </c>
      <c r="M2128" s="3">
        <v>16.24</v>
      </c>
      <c r="N2128" s="3">
        <v>32.49</v>
      </c>
      <c r="O2128" s="2" t="s">
        <v>245</v>
      </c>
      <c r="P2128" s="2" t="s">
        <v>272</v>
      </c>
      <c r="Q2128" s="2" t="s">
        <v>239</v>
      </c>
      <c r="R2128" s="2" t="s">
        <v>233</v>
      </c>
      <c r="S2128" s="2" t="s">
        <v>9566</v>
      </c>
      <c r="T2128" s="2" t="s">
        <v>395</v>
      </c>
      <c r="U2128" s="2" t="s">
        <v>491</v>
      </c>
      <c r="V2128" s="2" t="s">
        <v>241</v>
      </c>
      <c r="W2128" s="2" t="s">
        <v>275</v>
      </c>
      <c r="X2128" s="2" t="s">
        <v>397</v>
      </c>
      <c r="Y2128" s="2" t="s">
        <v>761</v>
      </c>
      <c r="Z2128" s="4">
        <v>66</v>
      </c>
      <c r="AA2128" s="4">
        <f>=ROUNDDOWN(1.69230769230769,0)</f>
      </c>
      <c r="AB2128" s="5">
        <v>39</v>
      </c>
      <c r="AC2128" s="2" t="s">
        <v>319</v>
      </c>
      <c r="AD2128" s="4">
        <v>212</v>
      </c>
      <c r="AE2128" s="4">
        <v>2472</v>
      </c>
      <c r="AF2128" s="6">
        <v>63</v>
      </c>
      <c r="AG2128" s="6">
        <v>46</v>
      </c>
      <c r="AH2128" s="7">
        <v>0.0968</v>
      </c>
      <c r="AI2128" s="4"/>
      <c r="AJ2128" s="4">
        <f>=ROUNDDOWN({0},0)</f>
      </c>
      <c r="AK2128" s="5"/>
      <c r="AL2128" s="2" t="s">
        <v>233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/>
      <c r="AW2128" s="8"/>
      <c r="AX2128" s="4"/>
      <c r="AY2128" s="8"/>
      <c r="AZ2128" s="7"/>
      <c r="BA2128" s="7"/>
      <c r="BB2128" s="7"/>
      <c r="BC2128" s="4" t="s">
        <v>233</v>
      </c>
      <c r="BD2128" s="8" t="s">
        <v>233</v>
      </c>
      <c r="BE2128" s="4" t="s">
        <v>233</v>
      </c>
      <c r="BF2128" s="8" t="s">
        <v>233</v>
      </c>
      <c r="BG2128" s="7" t="s">
        <v>233</v>
      </c>
      <c r="BH2128" s="7" t="s">
        <v>233</v>
      </c>
      <c r="BI2128" s="7"/>
      <c r="BJ2128" s="4">
        <v>82</v>
      </c>
      <c r="BK2128" s="8">
        <v>1434.62</v>
      </c>
      <c r="BL2128" s="2" t="s">
        <v>3646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9567</v>
      </c>
      <c r="BV2128" s="2" t="s">
        <v>233</v>
      </c>
      <c r="BW2128" s="2" t="s">
        <v>233</v>
      </c>
      <c r="BX2128" s="2" t="s">
        <v>6794</v>
      </c>
      <c r="BY2128" s="2" t="s">
        <v>280</v>
      </c>
      <c r="BZ2128" s="2" t="s">
        <v>245</v>
      </c>
      <c r="CA2128" s="2" t="s">
        <v>1009</v>
      </c>
      <c r="CB2128" s="2" t="s">
        <v>3746</v>
      </c>
      <c r="CC2128" s="2" t="s">
        <v>246</v>
      </c>
      <c r="CD2128" s="2" t="s">
        <v>233</v>
      </c>
      <c r="CE2128" s="4">
        <v>64</v>
      </c>
      <c r="CF2128" s="4"/>
      <c r="CG2128" s="4"/>
      <c r="CH2128" s="4"/>
      <c r="CI2128" s="4">
        <v>2</v>
      </c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>
        <v>212</v>
      </c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>
        <v>108</v>
      </c>
      <c r="EV2128" s="4"/>
      <c r="EW2128" s="4">
        <v>300</v>
      </c>
      <c r="EX2128" s="4"/>
      <c r="EY2128" s="4"/>
      <c r="EZ2128" s="4"/>
      <c r="FA2128" s="4"/>
      <c r="FB2128" s="4"/>
      <c r="FC2128" s="4"/>
      <c r="FD2128" s="4">
        <v>800</v>
      </c>
      <c r="FE2128" s="4"/>
      <c r="FF2128" s="4"/>
      <c r="FG2128" s="4"/>
      <c r="FH2128" s="4"/>
      <c r="FI2128" s="4"/>
      <c r="FJ2128" s="4"/>
      <c r="FK2128" s="4"/>
      <c r="FL2128" s="4"/>
      <c r="FM2128" s="4">
        <v>632</v>
      </c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>
        <v>420</v>
      </c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/>
      <c r="GV2128" s="4"/>
      <c r="GW2128" s="4"/>
      <c r="GX2128" s="4"/>
      <c r="GY2128" s="4"/>
      <c r="GZ2128" s="4"/>
      <c r="HA2128" s="4"/>
      <c r="HB2128" s="4"/>
      <c r="HC2128" s="4"/>
      <c r="HD2128" s="4"/>
      <c r="HE2128" s="4"/>
      <c r="HF2128" s="4"/>
      <c r="HG2128" s="4"/>
      <c r="HH2128" s="4"/>
      <c r="HI2128" s="4"/>
      <c r="HJ2128" s="4"/>
      <c r="HK2128" s="4"/>
      <c r="HL2128" s="4"/>
      <c r="HM2128" s="4"/>
      <c r="HN2128" s="4"/>
      <c r="HO2128" s="4"/>
      <c r="HP2128" s="4"/>
      <c r="HQ2128" s="4"/>
      <c r="HR2128" s="4"/>
    </row>
    <row r="2129">
      <c r="A2129" s="2" t="s">
        <v>9568</v>
      </c>
      <c r="B2129" s="2" t="s">
        <v>1242</v>
      </c>
      <c r="C2129" s="2" t="s">
        <v>2145</v>
      </c>
      <c r="D2129" s="2" t="s">
        <v>969</v>
      </c>
      <c r="E2129" s="2" t="s">
        <v>970</v>
      </c>
      <c r="F2129" s="2" t="s">
        <v>9518</v>
      </c>
      <c r="G2129" s="2" t="s">
        <v>9519</v>
      </c>
      <c r="H2129" s="2" t="s">
        <v>9520</v>
      </c>
      <c r="I2129" s="2" t="s">
        <v>9521</v>
      </c>
      <c r="J2129" s="2" t="s">
        <v>918</v>
      </c>
      <c r="K2129" s="2" t="s">
        <v>2158</v>
      </c>
      <c r="L2129" s="3">
        <v>21.42</v>
      </c>
      <c r="M2129" s="3">
        <v>22.49</v>
      </c>
      <c r="N2129" s="3">
        <v>44.99</v>
      </c>
      <c r="O2129" s="2" t="s">
        <v>245</v>
      </c>
      <c r="P2129" s="2" t="s">
        <v>238</v>
      </c>
      <c r="Q2129" s="2" t="s">
        <v>239</v>
      </c>
      <c r="R2129" s="2" t="s">
        <v>233</v>
      </c>
      <c r="S2129" s="2" t="s">
        <v>9569</v>
      </c>
      <c r="T2129" s="2" t="s">
        <v>395</v>
      </c>
      <c r="U2129" s="2" t="s">
        <v>491</v>
      </c>
      <c r="V2129" s="2" t="s">
        <v>241</v>
      </c>
      <c r="W2129" s="2" t="s">
        <v>275</v>
      </c>
      <c r="X2129" s="2" t="s">
        <v>397</v>
      </c>
      <c r="Y2129" s="2" t="s">
        <v>350</v>
      </c>
      <c r="Z2129" s="4">
        <v>108</v>
      </c>
      <c r="AA2129" s="4">
        <f>=ROUNDDOWN({0},0)</f>
      </c>
      <c r="AB2129" s="5"/>
      <c r="AC2129" s="2" t="s">
        <v>2388</v>
      </c>
      <c r="AD2129" s="4">
        <v>120</v>
      </c>
      <c r="AE2129" s="4">
        <v>351</v>
      </c>
      <c r="AF2129" s="6">
        <v>63</v>
      </c>
      <c r="AG2129" s="6">
        <v>46</v>
      </c>
      <c r="AH2129" s="7">
        <v>0</v>
      </c>
      <c r="AI2129" s="4"/>
      <c r="AJ2129" s="4">
        <f>=ROUNDDOWN({0},0)</f>
      </c>
      <c r="AK2129" s="5"/>
      <c r="AL2129" s="2" t="s">
        <v>233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233</v>
      </c>
      <c r="AW2129" s="8" t="s">
        <v>233</v>
      </c>
      <c r="AX2129" s="4" t="s">
        <v>233</v>
      </c>
      <c r="AY2129" s="8" t="s">
        <v>233</v>
      </c>
      <c r="AZ2129" s="7" t="s">
        <v>233</v>
      </c>
      <c r="BA2129" s="7" t="s">
        <v>233</v>
      </c>
      <c r="BB2129" s="7" t="s">
        <v>233</v>
      </c>
      <c r="BC2129" s="4" t="s">
        <v>233</v>
      </c>
      <c r="BD2129" s="8" t="s">
        <v>233</v>
      </c>
      <c r="BE2129" s="4" t="s">
        <v>233</v>
      </c>
      <c r="BF2129" s="8" t="s">
        <v>233</v>
      </c>
      <c r="BG2129" s="7" t="s">
        <v>233</v>
      </c>
      <c r="BH2129" s="7" t="s">
        <v>233</v>
      </c>
      <c r="BI2129" s="7"/>
      <c r="BJ2129" s="4"/>
      <c r="BK2129" s="8"/>
      <c r="BL2129" s="2" t="s">
        <v>233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9570</v>
      </c>
      <c r="BV2129" s="2" t="s">
        <v>233</v>
      </c>
      <c r="BW2129" s="2" t="s">
        <v>233</v>
      </c>
      <c r="BX2129" s="2" t="s">
        <v>243</v>
      </c>
      <c r="BY2129" s="2" t="s">
        <v>280</v>
      </c>
      <c r="BZ2129" s="2" t="s">
        <v>245</v>
      </c>
      <c r="CA2129" s="2" t="s">
        <v>3257</v>
      </c>
      <c r="CB2129" s="2" t="s">
        <v>233</v>
      </c>
      <c r="CC2129" s="2" t="s">
        <v>246</v>
      </c>
      <c r="CD2129" s="2" t="s">
        <v>233</v>
      </c>
      <c r="CE2129" s="4"/>
      <c r="CF2129" s="4"/>
      <c r="CG2129" s="4"/>
      <c r="CH2129" s="4"/>
      <c r="CI2129" s="4">
        <v>108</v>
      </c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>
        <v>120</v>
      </c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>
        <v>66</v>
      </c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>
        <v>150</v>
      </c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>
        <v>15</v>
      </c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/>
      <c r="GV2129" s="4"/>
      <c r="GW2129" s="4"/>
      <c r="GX2129" s="4"/>
      <c r="GY2129" s="4"/>
      <c r="GZ2129" s="4"/>
      <c r="HA2129" s="4"/>
      <c r="HB2129" s="4"/>
      <c r="HC2129" s="4"/>
      <c r="HD2129" s="4"/>
      <c r="HE2129" s="4"/>
      <c r="HF2129" s="4"/>
      <c r="HG2129" s="4"/>
      <c r="HH2129" s="4"/>
      <c r="HI2129" s="4"/>
      <c r="HJ2129" s="4"/>
      <c r="HK2129" s="4"/>
      <c r="HL2129" s="4"/>
      <c r="HM2129" s="4"/>
      <c r="HN2129" s="4"/>
      <c r="HO2129" s="4"/>
      <c r="HP2129" s="4"/>
      <c r="HQ2129" s="4"/>
      <c r="HR2129" s="4"/>
    </row>
    <row r="2130">
      <c r="A2130" s="2" t="s">
        <v>9571</v>
      </c>
      <c r="B2130" s="2" t="s">
        <v>1242</v>
      </c>
      <c r="C2130" s="2" t="s">
        <v>2145</v>
      </c>
      <c r="D2130" s="2" t="s">
        <v>912</v>
      </c>
      <c r="E2130" s="2" t="s">
        <v>1139</v>
      </c>
      <c r="F2130" s="2" t="s">
        <v>9518</v>
      </c>
      <c r="G2130" s="2" t="s">
        <v>9519</v>
      </c>
      <c r="H2130" s="2" t="s">
        <v>9520</v>
      </c>
      <c r="I2130" s="2" t="s">
        <v>9525</v>
      </c>
      <c r="J2130" s="2" t="s">
        <v>918</v>
      </c>
      <c r="K2130" s="2" t="s">
        <v>2158</v>
      </c>
      <c r="L2130" s="3">
        <v>15.47</v>
      </c>
      <c r="M2130" s="3">
        <v>16.24</v>
      </c>
      <c r="N2130" s="3">
        <v>32.49</v>
      </c>
      <c r="O2130" s="2" t="s">
        <v>245</v>
      </c>
      <c r="P2130" s="2" t="s">
        <v>238</v>
      </c>
      <c r="Q2130" s="2" t="s">
        <v>239</v>
      </c>
      <c r="R2130" s="2" t="s">
        <v>233</v>
      </c>
      <c r="S2130" s="2" t="s">
        <v>9569</v>
      </c>
      <c r="T2130" s="2" t="s">
        <v>395</v>
      </c>
      <c r="U2130" s="2" t="s">
        <v>491</v>
      </c>
      <c r="V2130" s="2" t="s">
        <v>241</v>
      </c>
      <c r="W2130" s="2" t="s">
        <v>275</v>
      </c>
      <c r="X2130" s="2" t="s">
        <v>397</v>
      </c>
      <c r="Y2130" s="2" t="s">
        <v>2467</v>
      </c>
      <c r="Z2130" s="4">
        <v>55</v>
      </c>
      <c r="AA2130" s="4">
        <f>=ROUNDDOWN({0},0)</f>
      </c>
      <c r="AB2130" s="5"/>
      <c r="AC2130" s="2" t="s">
        <v>2388</v>
      </c>
      <c r="AD2130" s="4">
        <v>68</v>
      </c>
      <c r="AE2130" s="4">
        <v>160</v>
      </c>
      <c r="AF2130" s="6">
        <v>63</v>
      </c>
      <c r="AG2130" s="6">
        <v>46</v>
      </c>
      <c r="AH2130" s="7">
        <v>1</v>
      </c>
      <c r="AI2130" s="4"/>
      <c r="AJ2130" s="4">
        <f>=ROUNDDOWN({0},0)</f>
      </c>
      <c r="AK2130" s="5"/>
      <c r="AL2130" s="2" t="s">
        <v>233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233</v>
      </c>
      <c r="AW2130" s="8" t="s">
        <v>233</v>
      </c>
      <c r="AX2130" s="4" t="s">
        <v>233</v>
      </c>
      <c r="AY2130" s="8" t="s">
        <v>233</v>
      </c>
      <c r="AZ2130" s="7" t="s">
        <v>233</v>
      </c>
      <c r="BA2130" s="7" t="s">
        <v>233</v>
      </c>
      <c r="BB2130" s="7" t="s">
        <v>233</v>
      </c>
      <c r="BC2130" s="4" t="s">
        <v>233</v>
      </c>
      <c r="BD2130" s="8" t="s">
        <v>233</v>
      </c>
      <c r="BE2130" s="4" t="s">
        <v>233</v>
      </c>
      <c r="BF2130" s="8" t="s">
        <v>233</v>
      </c>
      <c r="BG2130" s="7" t="s">
        <v>233</v>
      </c>
      <c r="BH2130" s="7" t="s">
        <v>233</v>
      </c>
      <c r="BI2130" s="7"/>
      <c r="BJ2130" s="4"/>
      <c r="BK2130" s="8"/>
      <c r="BL2130" s="2" t="s">
        <v>233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9572</v>
      </c>
      <c r="BV2130" s="2" t="s">
        <v>233</v>
      </c>
      <c r="BW2130" s="2" t="s">
        <v>233</v>
      </c>
      <c r="BX2130" s="2" t="s">
        <v>243</v>
      </c>
      <c r="BY2130" s="2" t="s">
        <v>280</v>
      </c>
      <c r="BZ2130" s="2" t="s">
        <v>245</v>
      </c>
      <c r="CA2130" s="2" t="s">
        <v>2467</v>
      </c>
      <c r="CB2130" s="2" t="s">
        <v>521</v>
      </c>
      <c r="CC2130" s="2" t="s">
        <v>246</v>
      </c>
      <c r="CD2130" s="2" t="s">
        <v>233</v>
      </c>
      <c r="CE2130" s="4"/>
      <c r="CF2130" s="4"/>
      <c r="CG2130" s="4"/>
      <c r="CH2130" s="4"/>
      <c r="CI2130" s="4">
        <v>55</v>
      </c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>
        <v>68</v>
      </c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>
        <v>28</v>
      </c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>
        <v>64</v>
      </c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/>
      <c r="GV2130" s="4"/>
      <c r="GW2130" s="4"/>
      <c r="GX2130" s="4"/>
      <c r="GY2130" s="4"/>
      <c r="GZ2130" s="4"/>
      <c r="HA2130" s="4"/>
      <c r="HB2130" s="4"/>
      <c r="HC2130" s="4"/>
      <c r="HD2130" s="4"/>
      <c r="HE2130" s="4"/>
      <c r="HF2130" s="4"/>
      <c r="HG2130" s="4"/>
      <c r="HH2130" s="4"/>
      <c r="HI2130" s="4"/>
      <c r="HJ2130" s="4"/>
      <c r="HK2130" s="4"/>
      <c r="HL2130" s="4"/>
      <c r="HM2130" s="4"/>
      <c r="HN2130" s="4"/>
      <c r="HO2130" s="4"/>
      <c r="HP2130" s="4"/>
      <c r="HQ2130" s="4"/>
      <c r="HR2130" s="4"/>
    </row>
    <row r="2131">
      <c r="A2131" s="2" t="s">
        <v>9573</v>
      </c>
      <c r="B2131" s="2" t="s">
        <v>1242</v>
      </c>
      <c r="C2131" s="2" t="s">
        <v>2145</v>
      </c>
      <c r="D2131" s="2" t="s">
        <v>969</v>
      </c>
      <c r="E2131" s="2" t="s">
        <v>970</v>
      </c>
      <c r="F2131" s="2" t="s">
        <v>9518</v>
      </c>
      <c r="G2131" s="2" t="s">
        <v>9519</v>
      </c>
      <c r="H2131" s="2" t="s">
        <v>9520</v>
      </c>
      <c r="I2131" s="2" t="s">
        <v>9521</v>
      </c>
      <c r="J2131" s="2" t="s">
        <v>981</v>
      </c>
      <c r="K2131" s="2" t="s">
        <v>2158</v>
      </c>
      <c r="L2131" s="3">
        <v>26.19</v>
      </c>
      <c r="M2131" s="3">
        <v>27.5</v>
      </c>
      <c r="N2131" s="3">
        <v>54.99</v>
      </c>
      <c r="O2131" s="2" t="s">
        <v>245</v>
      </c>
      <c r="P2131" s="2" t="s">
        <v>238</v>
      </c>
      <c r="Q2131" s="2" t="s">
        <v>239</v>
      </c>
      <c r="R2131" s="2" t="s">
        <v>233</v>
      </c>
      <c r="S2131" s="2" t="s">
        <v>9569</v>
      </c>
      <c r="T2131" s="2" t="s">
        <v>395</v>
      </c>
      <c r="U2131" s="2" t="s">
        <v>475</v>
      </c>
      <c r="V2131" s="2" t="s">
        <v>241</v>
      </c>
      <c r="W2131" s="2" t="s">
        <v>275</v>
      </c>
      <c r="X2131" s="2" t="s">
        <v>397</v>
      </c>
      <c r="Y2131" s="2" t="s">
        <v>3199</v>
      </c>
      <c r="Z2131" s="4">
        <v>397</v>
      </c>
      <c r="AA2131" s="4">
        <f>=ROUNDDOWN({0},0)</f>
      </c>
      <c r="AB2131" s="5"/>
      <c r="AC2131" s="2" t="s">
        <v>2388</v>
      </c>
      <c r="AD2131" s="4">
        <v>450</v>
      </c>
      <c r="AE2131" s="4">
        <v>1662</v>
      </c>
      <c r="AF2131" s="6">
        <v>63</v>
      </c>
      <c r="AG2131" s="6">
        <v>46</v>
      </c>
      <c r="AH2131" s="7">
        <v>1</v>
      </c>
      <c r="AI2131" s="4"/>
      <c r="AJ2131" s="4">
        <f>=ROUNDDOWN({0},0)</f>
      </c>
      <c r="AK2131" s="5"/>
      <c r="AL2131" s="2" t="s">
        <v>233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233</v>
      </c>
      <c r="AW2131" s="8" t="s">
        <v>233</v>
      </c>
      <c r="AX2131" s="4" t="s">
        <v>233</v>
      </c>
      <c r="AY2131" s="8" t="s">
        <v>233</v>
      </c>
      <c r="AZ2131" s="7" t="s">
        <v>233</v>
      </c>
      <c r="BA2131" s="7" t="s">
        <v>233</v>
      </c>
      <c r="BB2131" s="7" t="s">
        <v>233</v>
      </c>
      <c r="BC2131" s="4" t="s">
        <v>233</v>
      </c>
      <c r="BD2131" s="8" t="s">
        <v>233</v>
      </c>
      <c r="BE2131" s="4" t="s">
        <v>233</v>
      </c>
      <c r="BF2131" s="8" t="s">
        <v>233</v>
      </c>
      <c r="BG2131" s="7" t="s">
        <v>233</v>
      </c>
      <c r="BH2131" s="7" t="s">
        <v>233</v>
      </c>
      <c r="BI2131" s="7"/>
      <c r="BJ2131" s="4"/>
      <c r="BK2131" s="8"/>
      <c r="BL2131" s="2" t="s">
        <v>233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9574</v>
      </c>
      <c r="BV2131" s="2" t="s">
        <v>233</v>
      </c>
      <c r="BW2131" s="2" t="s">
        <v>233</v>
      </c>
      <c r="BX2131" s="2" t="s">
        <v>243</v>
      </c>
      <c r="BY2131" s="2" t="s">
        <v>280</v>
      </c>
      <c r="BZ2131" s="2" t="s">
        <v>245</v>
      </c>
      <c r="CA2131" s="2" t="s">
        <v>3257</v>
      </c>
      <c r="CB2131" s="2" t="s">
        <v>1136</v>
      </c>
      <c r="CC2131" s="2" t="s">
        <v>246</v>
      </c>
      <c r="CD2131" s="2" t="s">
        <v>233</v>
      </c>
      <c r="CE2131" s="4"/>
      <c r="CF2131" s="4"/>
      <c r="CG2131" s="4"/>
      <c r="CH2131" s="4"/>
      <c r="CI2131" s="4">
        <v>397</v>
      </c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>
        <v>450</v>
      </c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>
        <v>255</v>
      </c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>
        <v>591</v>
      </c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>
        <v>366</v>
      </c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/>
      <c r="GV2131" s="4"/>
      <c r="GW2131" s="4"/>
      <c r="GX2131" s="4"/>
      <c r="GY2131" s="4"/>
      <c r="GZ2131" s="4"/>
      <c r="HA2131" s="4"/>
      <c r="HB2131" s="4"/>
      <c r="HC2131" s="4"/>
      <c r="HD2131" s="4"/>
      <c r="HE2131" s="4"/>
      <c r="HF2131" s="4"/>
      <c r="HG2131" s="4"/>
      <c r="HH2131" s="4"/>
      <c r="HI2131" s="4"/>
      <c r="HJ2131" s="4"/>
      <c r="HK2131" s="4"/>
      <c r="HL2131" s="4"/>
      <c r="HM2131" s="4"/>
      <c r="HN2131" s="4"/>
      <c r="HO2131" s="4"/>
      <c r="HP2131" s="4"/>
      <c r="HQ2131" s="4"/>
      <c r="HR2131" s="4"/>
    </row>
    <row r="2132">
      <c r="A2132" s="2" t="s">
        <v>9575</v>
      </c>
      <c r="B2132" s="2" t="s">
        <v>1242</v>
      </c>
      <c r="C2132" s="2" t="s">
        <v>2145</v>
      </c>
      <c r="D2132" s="2" t="s">
        <v>912</v>
      </c>
      <c r="E2132" s="2" t="s">
        <v>1139</v>
      </c>
      <c r="F2132" s="2" t="s">
        <v>9518</v>
      </c>
      <c r="G2132" s="2" t="s">
        <v>9519</v>
      </c>
      <c r="H2132" s="2" t="s">
        <v>9520</v>
      </c>
      <c r="I2132" s="2" t="s">
        <v>9525</v>
      </c>
      <c r="J2132" s="2" t="s">
        <v>981</v>
      </c>
      <c r="K2132" s="2" t="s">
        <v>2158</v>
      </c>
      <c r="L2132" s="3">
        <v>20.23</v>
      </c>
      <c r="M2132" s="3">
        <v>21.24</v>
      </c>
      <c r="N2132" s="3">
        <v>42.49</v>
      </c>
      <c r="O2132" s="2" t="s">
        <v>245</v>
      </c>
      <c r="P2132" s="2" t="s">
        <v>238</v>
      </c>
      <c r="Q2132" s="2" t="s">
        <v>239</v>
      </c>
      <c r="R2132" s="2" t="s">
        <v>233</v>
      </c>
      <c r="S2132" s="2" t="s">
        <v>9569</v>
      </c>
      <c r="T2132" s="2" t="s">
        <v>395</v>
      </c>
      <c r="U2132" s="2" t="s">
        <v>475</v>
      </c>
      <c r="V2132" s="2" t="s">
        <v>241</v>
      </c>
      <c r="W2132" s="2" t="s">
        <v>275</v>
      </c>
      <c r="X2132" s="2" t="s">
        <v>397</v>
      </c>
      <c r="Y2132" s="2" t="s">
        <v>2467</v>
      </c>
      <c r="Z2132" s="4">
        <v>287</v>
      </c>
      <c r="AA2132" s="4">
        <f>=ROUNDDOWN(287,0)</f>
      </c>
      <c r="AB2132" s="5">
        <v>1</v>
      </c>
      <c r="AC2132" s="2" t="s">
        <v>2388</v>
      </c>
      <c r="AD2132" s="4">
        <v>364</v>
      </c>
      <c r="AE2132" s="4">
        <v>920</v>
      </c>
      <c r="AF2132" s="6">
        <v>63</v>
      </c>
      <c r="AG2132" s="6">
        <v>46</v>
      </c>
      <c r="AH2132" s="7">
        <v>1</v>
      </c>
      <c r="AI2132" s="4"/>
      <c r="AJ2132" s="4">
        <f>=ROUNDDOWN({0},0)</f>
      </c>
      <c r="AK2132" s="5"/>
      <c r="AL2132" s="2" t="s">
        <v>233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233</v>
      </c>
      <c r="AW2132" s="8" t="s">
        <v>233</v>
      </c>
      <c r="AX2132" s="4" t="s">
        <v>233</v>
      </c>
      <c r="AY2132" s="8" t="s">
        <v>233</v>
      </c>
      <c r="AZ2132" s="7" t="s">
        <v>233</v>
      </c>
      <c r="BA2132" s="7" t="s">
        <v>233</v>
      </c>
      <c r="BB2132" s="7" t="s">
        <v>233</v>
      </c>
      <c r="BC2132" s="4" t="s">
        <v>233</v>
      </c>
      <c r="BD2132" s="8" t="s">
        <v>233</v>
      </c>
      <c r="BE2132" s="4" t="s">
        <v>233</v>
      </c>
      <c r="BF2132" s="8" t="s">
        <v>233</v>
      </c>
      <c r="BG2132" s="7" t="s">
        <v>233</v>
      </c>
      <c r="BH2132" s="7" t="s">
        <v>233</v>
      </c>
      <c r="BI2132" s="7"/>
      <c r="BJ2132" s="4"/>
      <c r="BK2132" s="8"/>
      <c r="BL2132" s="2" t="s">
        <v>233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9576</v>
      </c>
      <c r="BV2132" s="2" t="s">
        <v>233</v>
      </c>
      <c r="BW2132" s="2" t="s">
        <v>233</v>
      </c>
      <c r="BX2132" s="2" t="s">
        <v>243</v>
      </c>
      <c r="BY2132" s="2" t="s">
        <v>280</v>
      </c>
      <c r="BZ2132" s="2" t="s">
        <v>245</v>
      </c>
      <c r="CA2132" s="2" t="s">
        <v>2467</v>
      </c>
      <c r="CB2132" s="2" t="s">
        <v>233</v>
      </c>
      <c r="CC2132" s="2" t="s">
        <v>246</v>
      </c>
      <c r="CD2132" s="2" t="s">
        <v>233</v>
      </c>
      <c r="CE2132" s="4"/>
      <c r="CF2132" s="4"/>
      <c r="CG2132" s="4"/>
      <c r="CH2132" s="4"/>
      <c r="CI2132" s="4">
        <v>287</v>
      </c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>
        <v>364</v>
      </c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>
        <v>164</v>
      </c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>
        <v>380</v>
      </c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>
        <v>12</v>
      </c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/>
      <c r="GV2132" s="4"/>
      <c r="GW2132" s="4"/>
      <c r="GX2132" s="4"/>
      <c r="GY2132" s="4"/>
      <c r="GZ2132" s="4"/>
      <c r="HA2132" s="4"/>
      <c r="HB2132" s="4"/>
      <c r="HC2132" s="4"/>
      <c r="HD2132" s="4"/>
      <c r="HE2132" s="4"/>
      <c r="HF2132" s="4"/>
      <c r="HG2132" s="4"/>
      <c r="HH2132" s="4"/>
      <c r="HI2132" s="4"/>
      <c r="HJ2132" s="4"/>
      <c r="HK2132" s="4"/>
      <c r="HL2132" s="4"/>
      <c r="HM2132" s="4"/>
      <c r="HN2132" s="4"/>
      <c r="HO2132" s="4"/>
      <c r="HP2132" s="4"/>
      <c r="HQ2132" s="4"/>
      <c r="HR2132" s="4"/>
    </row>
    <row r="2133">
      <c r="A2133" s="2" t="s">
        <v>9577</v>
      </c>
      <c r="B2133" s="2" t="s">
        <v>1242</v>
      </c>
      <c r="C2133" s="2" t="s">
        <v>2145</v>
      </c>
      <c r="D2133" s="2" t="s">
        <v>969</v>
      </c>
      <c r="E2133" s="2" t="s">
        <v>970</v>
      </c>
      <c r="F2133" s="2" t="s">
        <v>9518</v>
      </c>
      <c r="G2133" s="2" t="s">
        <v>9519</v>
      </c>
      <c r="H2133" s="2" t="s">
        <v>9520</v>
      </c>
      <c r="I2133" s="2" t="s">
        <v>9521</v>
      </c>
      <c r="J2133" s="2" t="s">
        <v>1142</v>
      </c>
      <c r="K2133" s="2" t="s">
        <v>2158</v>
      </c>
      <c r="L2133" s="3">
        <v>28.57</v>
      </c>
      <c r="M2133" s="3">
        <v>30</v>
      </c>
      <c r="N2133" s="3">
        <v>59.99</v>
      </c>
      <c r="O2133" s="2" t="s">
        <v>245</v>
      </c>
      <c r="P2133" s="2" t="s">
        <v>238</v>
      </c>
      <c r="Q2133" s="2" t="s">
        <v>239</v>
      </c>
      <c r="R2133" s="2" t="s">
        <v>233</v>
      </c>
      <c r="S2133" s="2" t="s">
        <v>9569</v>
      </c>
      <c r="T2133" s="2" t="s">
        <v>395</v>
      </c>
      <c r="U2133" s="2" t="s">
        <v>475</v>
      </c>
      <c r="V2133" s="2" t="s">
        <v>241</v>
      </c>
      <c r="W2133" s="2" t="s">
        <v>275</v>
      </c>
      <c r="X2133" s="2" t="s">
        <v>397</v>
      </c>
      <c r="Y2133" s="2" t="s">
        <v>350</v>
      </c>
      <c r="Z2133" s="4">
        <v>424</v>
      </c>
      <c r="AA2133" s="4">
        <f>=ROUNDDOWN({0},0)</f>
      </c>
      <c r="AB2133" s="5"/>
      <c r="AC2133" s="2" t="s">
        <v>2388</v>
      </c>
      <c r="AD2133" s="4">
        <v>447</v>
      </c>
      <c r="AE2133" s="4">
        <v>2169</v>
      </c>
      <c r="AF2133" s="6">
        <v>63</v>
      </c>
      <c r="AG2133" s="6">
        <v>46</v>
      </c>
      <c r="AH2133" s="7">
        <v>0</v>
      </c>
      <c r="AI2133" s="4"/>
      <c r="AJ2133" s="4">
        <f>=ROUNDDOWN({0},0)</f>
      </c>
      <c r="AK2133" s="5"/>
      <c r="AL2133" s="2" t="s">
        <v>233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233</v>
      </c>
      <c r="AW2133" s="8" t="s">
        <v>233</v>
      </c>
      <c r="AX2133" s="4" t="s">
        <v>233</v>
      </c>
      <c r="AY2133" s="8" t="s">
        <v>233</v>
      </c>
      <c r="AZ2133" s="7" t="s">
        <v>233</v>
      </c>
      <c r="BA2133" s="7" t="s">
        <v>233</v>
      </c>
      <c r="BB2133" s="7" t="s">
        <v>233</v>
      </c>
      <c r="BC2133" s="4" t="s">
        <v>233</v>
      </c>
      <c r="BD2133" s="8" t="s">
        <v>233</v>
      </c>
      <c r="BE2133" s="4" t="s">
        <v>233</v>
      </c>
      <c r="BF2133" s="8" t="s">
        <v>233</v>
      </c>
      <c r="BG2133" s="7" t="s">
        <v>233</v>
      </c>
      <c r="BH2133" s="7" t="s">
        <v>233</v>
      </c>
      <c r="BI2133" s="7"/>
      <c r="BJ2133" s="4"/>
      <c r="BK2133" s="8"/>
      <c r="BL2133" s="2" t="s">
        <v>233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9578</v>
      </c>
      <c r="BV2133" s="2" t="s">
        <v>233</v>
      </c>
      <c r="BW2133" s="2" t="s">
        <v>233</v>
      </c>
      <c r="BX2133" s="2" t="s">
        <v>243</v>
      </c>
      <c r="BY2133" s="2" t="s">
        <v>280</v>
      </c>
      <c r="BZ2133" s="2" t="s">
        <v>245</v>
      </c>
      <c r="CA2133" s="2" t="s">
        <v>350</v>
      </c>
      <c r="CB2133" s="2" t="s">
        <v>233</v>
      </c>
      <c r="CC2133" s="2" t="s">
        <v>246</v>
      </c>
      <c r="CD2133" s="2" t="s">
        <v>233</v>
      </c>
      <c r="CE2133" s="4"/>
      <c r="CF2133" s="4"/>
      <c r="CG2133" s="4"/>
      <c r="CH2133" s="4"/>
      <c r="CI2133" s="4">
        <v>424</v>
      </c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>
        <v>447</v>
      </c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>
        <v>219</v>
      </c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>
        <v>513</v>
      </c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>
        <v>990</v>
      </c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/>
      <c r="GV2133" s="4"/>
      <c r="GW2133" s="4"/>
      <c r="GX2133" s="4"/>
      <c r="GY2133" s="4"/>
      <c r="GZ2133" s="4"/>
      <c r="HA2133" s="4"/>
      <c r="HB2133" s="4"/>
      <c r="HC2133" s="4"/>
      <c r="HD2133" s="4"/>
      <c r="HE2133" s="4"/>
      <c r="HF2133" s="4"/>
      <c r="HG2133" s="4"/>
      <c r="HH2133" s="4"/>
      <c r="HI2133" s="4"/>
      <c r="HJ2133" s="4"/>
      <c r="HK2133" s="4"/>
      <c r="HL2133" s="4"/>
      <c r="HM2133" s="4"/>
      <c r="HN2133" s="4"/>
      <c r="HO2133" s="4"/>
      <c r="HP2133" s="4"/>
      <c r="HQ2133" s="4"/>
      <c r="HR2133" s="4"/>
    </row>
    <row r="2134">
      <c r="A2134" s="2" t="s">
        <v>9579</v>
      </c>
      <c r="B2134" s="2" t="s">
        <v>1242</v>
      </c>
      <c r="C2134" s="2" t="s">
        <v>2145</v>
      </c>
      <c r="D2134" s="2" t="s">
        <v>912</v>
      </c>
      <c r="E2134" s="2" t="s">
        <v>1139</v>
      </c>
      <c r="F2134" s="2" t="s">
        <v>9518</v>
      </c>
      <c r="G2134" s="2" t="s">
        <v>9519</v>
      </c>
      <c r="H2134" s="2" t="s">
        <v>9520</v>
      </c>
      <c r="I2134" s="2" t="s">
        <v>9525</v>
      </c>
      <c r="J2134" s="2" t="s">
        <v>1142</v>
      </c>
      <c r="K2134" s="2" t="s">
        <v>2158</v>
      </c>
      <c r="L2134" s="3">
        <v>22.61</v>
      </c>
      <c r="M2134" s="3">
        <v>23.74</v>
      </c>
      <c r="N2134" s="3">
        <v>47.49</v>
      </c>
      <c r="O2134" s="2" t="s">
        <v>245</v>
      </c>
      <c r="P2134" s="2" t="s">
        <v>238</v>
      </c>
      <c r="Q2134" s="2" t="s">
        <v>239</v>
      </c>
      <c r="R2134" s="2" t="s">
        <v>233</v>
      </c>
      <c r="S2134" s="2" t="s">
        <v>9569</v>
      </c>
      <c r="T2134" s="2" t="s">
        <v>395</v>
      </c>
      <c r="U2134" s="2" t="s">
        <v>475</v>
      </c>
      <c r="V2134" s="2" t="s">
        <v>241</v>
      </c>
      <c r="W2134" s="2" t="s">
        <v>275</v>
      </c>
      <c r="X2134" s="2" t="s">
        <v>397</v>
      </c>
      <c r="Y2134" s="2" t="s">
        <v>2467</v>
      </c>
      <c r="Z2134" s="4">
        <v>331</v>
      </c>
      <c r="AA2134" s="4">
        <f>=ROUNDDOWN(331,0)</f>
      </c>
      <c r="AB2134" s="5">
        <v>1</v>
      </c>
      <c r="AC2134" s="2" t="s">
        <v>2388</v>
      </c>
      <c r="AD2134" s="4">
        <v>360</v>
      </c>
      <c r="AE2134" s="4">
        <v>812</v>
      </c>
      <c r="AF2134" s="6">
        <v>63</v>
      </c>
      <c r="AG2134" s="6">
        <v>46</v>
      </c>
      <c r="AH2134" s="7">
        <v>1</v>
      </c>
      <c r="AI2134" s="4"/>
      <c r="AJ2134" s="4">
        <f>=ROUNDDOWN({0},0)</f>
      </c>
      <c r="AK2134" s="5"/>
      <c r="AL2134" s="2" t="s">
        <v>233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233</v>
      </c>
      <c r="AW2134" s="8" t="s">
        <v>233</v>
      </c>
      <c r="AX2134" s="4" t="s">
        <v>233</v>
      </c>
      <c r="AY2134" s="8" t="s">
        <v>233</v>
      </c>
      <c r="AZ2134" s="7" t="s">
        <v>233</v>
      </c>
      <c r="BA2134" s="7" t="s">
        <v>233</v>
      </c>
      <c r="BB2134" s="7" t="s">
        <v>233</v>
      </c>
      <c r="BC2134" s="4" t="s">
        <v>233</v>
      </c>
      <c r="BD2134" s="8" t="s">
        <v>233</v>
      </c>
      <c r="BE2134" s="4" t="s">
        <v>233</v>
      </c>
      <c r="BF2134" s="8" t="s">
        <v>233</v>
      </c>
      <c r="BG2134" s="7" t="s">
        <v>233</v>
      </c>
      <c r="BH2134" s="7" t="s">
        <v>233</v>
      </c>
      <c r="BI2134" s="7"/>
      <c r="BJ2134" s="4"/>
      <c r="BK2134" s="8"/>
      <c r="BL2134" s="2" t="s">
        <v>233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9580</v>
      </c>
      <c r="BV2134" s="2" t="s">
        <v>233</v>
      </c>
      <c r="BW2134" s="2" t="s">
        <v>233</v>
      </c>
      <c r="BX2134" s="2" t="s">
        <v>243</v>
      </c>
      <c r="BY2134" s="2" t="s">
        <v>280</v>
      </c>
      <c r="BZ2134" s="2" t="s">
        <v>245</v>
      </c>
      <c r="CA2134" s="2" t="s">
        <v>2467</v>
      </c>
      <c r="CB2134" s="2" t="s">
        <v>233</v>
      </c>
      <c r="CC2134" s="2" t="s">
        <v>246</v>
      </c>
      <c r="CD2134" s="2" t="s">
        <v>233</v>
      </c>
      <c r="CE2134" s="4"/>
      <c r="CF2134" s="4"/>
      <c r="CG2134" s="4"/>
      <c r="CH2134" s="4"/>
      <c r="CI2134" s="4">
        <v>331</v>
      </c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>
        <v>360</v>
      </c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>
        <v>128</v>
      </c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>
        <v>300</v>
      </c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>
        <v>24</v>
      </c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/>
      <c r="GV2134" s="4"/>
      <c r="GW2134" s="4"/>
      <c r="GX2134" s="4"/>
      <c r="GY2134" s="4"/>
      <c r="GZ2134" s="4"/>
      <c r="HA2134" s="4"/>
      <c r="HB2134" s="4"/>
      <c r="HC2134" s="4"/>
      <c r="HD2134" s="4"/>
      <c r="HE2134" s="4"/>
      <c r="HF2134" s="4"/>
      <c r="HG2134" s="4"/>
      <c r="HH2134" s="4"/>
      <c r="HI2134" s="4"/>
      <c r="HJ2134" s="4"/>
      <c r="HK2134" s="4"/>
      <c r="HL2134" s="4"/>
      <c r="HM2134" s="4"/>
      <c r="HN2134" s="4"/>
      <c r="HO2134" s="4"/>
      <c r="HP2134" s="4"/>
      <c r="HQ2134" s="4"/>
      <c r="HR2134" s="4"/>
    </row>
    <row r="2135">
      <c r="A2135" s="2" t="s">
        <v>9581</v>
      </c>
      <c r="B2135" s="2" t="s">
        <v>1242</v>
      </c>
      <c r="C2135" s="2" t="s">
        <v>2145</v>
      </c>
      <c r="D2135" s="2" t="s">
        <v>969</v>
      </c>
      <c r="E2135" s="2" t="s">
        <v>970</v>
      </c>
      <c r="F2135" s="2" t="s">
        <v>9518</v>
      </c>
      <c r="G2135" s="2" t="s">
        <v>9519</v>
      </c>
      <c r="H2135" s="2" t="s">
        <v>9520</v>
      </c>
      <c r="I2135" s="2" t="s">
        <v>9521</v>
      </c>
      <c r="J2135" s="2" t="s">
        <v>918</v>
      </c>
      <c r="K2135" s="2" t="s">
        <v>297</v>
      </c>
      <c r="L2135" s="3">
        <v>21.42</v>
      </c>
      <c r="M2135" s="3">
        <v>22.49</v>
      </c>
      <c r="N2135" s="3">
        <v>44.99</v>
      </c>
      <c r="O2135" s="2" t="s">
        <v>245</v>
      </c>
      <c r="P2135" s="2" t="s">
        <v>272</v>
      </c>
      <c r="Q2135" s="2" t="s">
        <v>239</v>
      </c>
      <c r="R2135" s="2" t="s">
        <v>233</v>
      </c>
      <c r="S2135" s="2" t="s">
        <v>9582</v>
      </c>
      <c r="T2135" s="2" t="s">
        <v>395</v>
      </c>
      <c r="U2135" s="2" t="s">
        <v>491</v>
      </c>
      <c r="V2135" s="2" t="s">
        <v>241</v>
      </c>
      <c r="W2135" s="2" t="s">
        <v>275</v>
      </c>
      <c r="X2135" s="2" t="s">
        <v>397</v>
      </c>
      <c r="Y2135" s="2" t="s">
        <v>1009</v>
      </c>
      <c r="Z2135" s="4">
        <v>124</v>
      </c>
      <c r="AA2135" s="4">
        <f>=ROUNDDOWN(7.29411764705882,0)</f>
      </c>
      <c r="AB2135" s="5">
        <v>17</v>
      </c>
      <c r="AC2135" s="2" t="s">
        <v>2533</v>
      </c>
      <c r="AD2135" s="4">
        <v>150</v>
      </c>
      <c r="AE2135" s="4">
        <v>594</v>
      </c>
      <c r="AF2135" s="6">
        <v>63</v>
      </c>
      <c r="AG2135" s="6">
        <v>46</v>
      </c>
      <c r="AH2135" s="7">
        <v>1</v>
      </c>
      <c r="AI2135" s="4"/>
      <c r="AJ2135" s="4">
        <f>=ROUNDDOWN({0},0)</f>
      </c>
      <c r="AK2135" s="5"/>
      <c r="AL2135" s="2" t="s">
        <v>233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233</v>
      </c>
      <c r="AW2135" s="8" t="s">
        <v>233</v>
      </c>
      <c r="AX2135" s="4" t="s">
        <v>233</v>
      </c>
      <c r="AY2135" s="8" t="s">
        <v>233</v>
      </c>
      <c r="AZ2135" s="7" t="s">
        <v>233</v>
      </c>
      <c r="BA2135" s="7" t="s">
        <v>233</v>
      </c>
      <c r="BB2135" s="7" t="s">
        <v>233</v>
      </c>
      <c r="BC2135" s="4" t="s">
        <v>233</v>
      </c>
      <c r="BD2135" s="8" t="s">
        <v>233</v>
      </c>
      <c r="BE2135" s="4" t="s">
        <v>233</v>
      </c>
      <c r="BF2135" s="8" t="s">
        <v>233</v>
      </c>
      <c r="BG2135" s="7" t="s">
        <v>233</v>
      </c>
      <c r="BH2135" s="7" t="s">
        <v>233</v>
      </c>
      <c r="BI2135" s="7"/>
      <c r="BJ2135" s="4">
        <v>43</v>
      </c>
      <c r="BK2135" s="8">
        <v>976.29</v>
      </c>
      <c r="BL2135" s="2" t="s">
        <v>9583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9584</v>
      </c>
      <c r="BV2135" s="2" t="s">
        <v>233</v>
      </c>
      <c r="BW2135" s="2" t="s">
        <v>233</v>
      </c>
      <c r="BX2135" s="2" t="s">
        <v>6794</v>
      </c>
      <c r="BY2135" s="2" t="s">
        <v>280</v>
      </c>
      <c r="BZ2135" s="2" t="s">
        <v>245</v>
      </c>
      <c r="CA2135" s="2" t="s">
        <v>6086</v>
      </c>
      <c r="CB2135" s="2" t="s">
        <v>9585</v>
      </c>
      <c r="CC2135" s="2" t="s">
        <v>246</v>
      </c>
      <c r="CD2135" s="2" t="s">
        <v>233</v>
      </c>
      <c r="CE2135" s="4">
        <v>5</v>
      </c>
      <c r="CF2135" s="4"/>
      <c r="CG2135" s="4"/>
      <c r="CH2135" s="4"/>
      <c r="CI2135" s="4">
        <v>119</v>
      </c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>
        <v>150</v>
      </c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>
        <v>36</v>
      </c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>
        <v>84</v>
      </c>
      <c r="EV2135" s="4"/>
      <c r="EW2135" s="4">
        <v>84</v>
      </c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>
        <v>90</v>
      </c>
      <c r="FN2135" s="4"/>
      <c r="FO2135" s="4"/>
      <c r="FP2135" s="4"/>
      <c r="FQ2135" s="4"/>
      <c r="FR2135" s="4"/>
      <c r="FS2135" s="4"/>
      <c r="FT2135" s="4"/>
      <c r="FU2135" s="4">
        <v>18</v>
      </c>
      <c r="FV2135" s="4"/>
      <c r="FW2135" s="4"/>
      <c r="FX2135" s="4"/>
      <c r="FY2135" s="4"/>
      <c r="FZ2135" s="4">
        <v>60</v>
      </c>
      <c r="GA2135" s="4">
        <v>60</v>
      </c>
      <c r="GB2135" s="4"/>
      <c r="GC2135" s="4">
        <v>12</v>
      </c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/>
      <c r="GV2135" s="4"/>
      <c r="GW2135" s="4"/>
      <c r="GX2135" s="4"/>
      <c r="GY2135" s="4"/>
      <c r="GZ2135" s="4"/>
      <c r="HA2135" s="4"/>
      <c r="HB2135" s="4"/>
      <c r="HC2135" s="4"/>
      <c r="HD2135" s="4"/>
      <c r="HE2135" s="4"/>
      <c r="HF2135" s="4"/>
      <c r="HG2135" s="4"/>
      <c r="HH2135" s="4"/>
      <c r="HI2135" s="4"/>
      <c r="HJ2135" s="4"/>
      <c r="HK2135" s="4"/>
      <c r="HL2135" s="4"/>
      <c r="HM2135" s="4"/>
      <c r="HN2135" s="4"/>
      <c r="HO2135" s="4"/>
      <c r="HP2135" s="4"/>
      <c r="HQ2135" s="4"/>
      <c r="HR2135" s="4"/>
    </row>
    <row r="2136">
      <c r="A2136" s="2" t="s">
        <v>9586</v>
      </c>
      <c r="B2136" s="2" t="s">
        <v>1242</v>
      </c>
      <c r="C2136" s="2" t="s">
        <v>2145</v>
      </c>
      <c r="D2136" s="2" t="s">
        <v>912</v>
      </c>
      <c r="E2136" s="2" t="s">
        <v>1139</v>
      </c>
      <c r="F2136" s="2" t="s">
        <v>9518</v>
      </c>
      <c r="G2136" s="2" t="s">
        <v>9519</v>
      </c>
      <c r="H2136" s="2" t="s">
        <v>9520</v>
      </c>
      <c r="I2136" s="2" t="s">
        <v>9525</v>
      </c>
      <c r="J2136" s="2" t="s">
        <v>918</v>
      </c>
      <c r="K2136" s="2" t="s">
        <v>297</v>
      </c>
      <c r="L2136" s="3">
        <v>15.47</v>
      </c>
      <c r="M2136" s="3">
        <v>16.24</v>
      </c>
      <c r="N2136" s="3">
        <v>32.49</v>
      </c>
      <c r="O2136" s="2" t="s">
        <v>245</v>
      </c>
      <c r="P2136" s="2" t="s">
        <v>272</v>
      </c>
      <c r="Q2136" s="2" t="s">
        <v>239</v>
      </c>
      <c r="R2136" s="2" t="s">
        <v>233</v>
      </c>
      <c r="S2136" s="2" t="s">
        <v>9582</v>
      </c>
      <c r="T2136" s="2" t="s">
        <v>395</v>
      </c>
      <c r="U2136" s="2" t="s">
        <v>491</v>
      </c>
      <c r="V2136" s="2" t="s">
        <v>241</v>
      </c>
      <c r="W2136" s="2" t="s">
        <v>275</v>
      </c>
      <c r="X2136" s="2" t="s">
        <v>397</v>
      </c>
      <c r="Y2136" s="2" t="s">
        <v>1009</v>
      </c>
      <c r="Z2136" s="4">
        <v>92</v>
      </c>
      <c r="AA2136" s="4">
        <f>=ROUNDDOWN(10.2222222222222,0)</f>
      </c>
      <c r="AB2136" s="5">
        <v>9</v>
      </c>
      <c r="AC2136" s="2" t="s">
        <v>2533</v>
      </c>
      <c r="AD2136" s="4">
        <v>60</v>
      </c>
      <c r="AE2136" s="4">
        <v>412</v>
      </c>
      <c r="AF2136" s="6">
        <v>63</v>
      </c>
      <c r="AG2136" s="6">
        <v>46</v>
      </c>
      <c r="AH2136" s="7">
        <v>1</v>
      </c>
      <c r="AI2136" s="4"/>
      <c r="AJ2136" s="4">
        <f>=ROUNDDOWN({0},0)</f>
      </c>
      <c r="AK2136" s="5"/>
      <c r="AL2136" s="2" t="s">
        <v>233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233</v>
      </c>
      <c r="AW2136" s="8" t="s">
        <v>233</v>
      </c>
      <c r="AX2136" s="4" t="s">
        <v>233</v>
      </c>
      <c r="AY2136" s="8" t="s">
        <v>233</v>
      </c>
      <c r="AZ2136" s="7" t="s">
        <v>233</v>
      </c>
      <c r="BA2136" s="7" t="s">
        <v>233</v>
      </c>
      <c r="BB2136" s="7" t="s">
        <v>233</v>
      </c>
      <c r="BC2136" s="4" t="s">
        <v>233</v>
      </c>
      <c r="BD2136" s="8" t="s">
        <v>233</v>
      </c>
      <c r="BE2136" s="4" t="s">
        <v>233</v>
      </c>
      <c r="BF2136" s="8" t="s">
        <v>233</v>
      </c>
      <c r="BG2136" s="7" t="s">
        <v>233</v>
      </c>
      <c r="BH2136" s="7" t="s">
        <v>233</v>
      </c>
      <c r="BI2136" s="7"/>
      <c r="BJ2136" s="4">
        <v>23</v>
      </c>
      <c r="BK2136" s="8">
        <v>415.37</v>
      </c>
      <c r="BL2136" s="2" t="s">
        <v>9587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9588</v>
      </c>
      <c r="BV2136" s="2" t="s">
        <v>233</v>
      </c>
      <c r="BW2136" s="2" t="s">
        <v>233</v>
      </c>
      <c r="BX2136" s="2" t="s">
        <v>6794</v>
      </c>
      <c r="BY2136" s="2" t="s">
        <v>280</v>
      </c>
      <c r="BZ2136" s="2" t="s">
        <v>245</v>
      </c>
      <c r="CA2136" s="2" t="s">
        <v>1009</v>
      </c>
      <c r="CB2136" s="2" t="s">
        <v>3042</v>
      </c>
      <c r="CC2136" s="2" t="s">
        <v>246</v>
      </c>
      <c r="CD2136" s="2" t="s">
        <v>233</v>
      </c>
      <c r="CE2136" s="4">
        <v>59</v>
      </c>
      <c r="CF2136" s="4"/>
      <c r="CG2136" s="4"/>
      <c r="CH2136" s="4"/>
      <c r="CI2136" s="4">
        <v>33</v>
      </c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>
        <v>60</v>
      </c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>
        <v>24</v>
      </c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>
        <v>68</v>
      </c>
      <c r="EV2136" s="4"/>
      <c r="EW2136" s="4"/>
      <c r="EX2136" s="4"/>
      <c r="EY2136" s="4"/>
      <c r="EZ2136" s="4"/>
      <c r="FA2136" s="4"/>
      <c r="FB2136" s="4"/>
      <c r="FC2136" s="4"/>
      <c r="FD2136" s="4">
        <v>100</v>
      </c>
      <c r="FE2136" s="4"/>
      <c r="FF2136" s="4"/>
      <c r="FG2136" s="4"/>
      <c r="FH2136" s="4"/>
      <c r="FI2136" s="4"/>
      <c r="FJ2136" s="4"/>
      <c r="FK2136" s="4"/>
      <c r="FL2136" s="4"/>
      <c r="FM2136" s="4">
        <v>48</v>
      </c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>
        <v>80</v>
      </c>
      <c r="GA2136" s="4">
        <v>32</v>
      </c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/>
      <c r="GV2136" s="4"/>
      <c r="GW2136" s="4"/>
      <c r="GX2136" s="4"/>
      <c r="GY2136" s="4"/>
      <c r="GZ2136" s="4"/>
      <c r="HA2136" s="4"/>
      <c r="HB2136" s="4"/>
      <c r="HC2136" s="4"/>
      <c r="HD2136" s="4"/>
      <c r="HE2136" s="4"/>
      <c r="HF2136" s="4"/>
      <c r="HG2136" s="4"/>
      <c r="HH2136" s="4"/>
      <c r="HI2136" s="4"/>
      <c r="HJ2136" s="4"/>
      <c r="HK2136" s="4"/>
      <c r="HL2136" s="4"/>
      <c r="HM2136" s="4"/>
      <c r="HN2136" s="4"/>
      <c r="HO2136" s="4"/>
      <c r="HP2136" s="4"/>
      <c r="HQ2136" s="4"/>
      <c r="HR2136" s="4"/>
    </row>
    <row r="2137">
      <c r="A2137" s="2" t="s">
        <v>9589</v>
      </c>
      <c r="B2137" s="2" t="s">
        <v>910</v>
      </c>
      <c r="C2137" s="2" t="s">
        <v>1266</v>
      </c>
      <c r="D2137" s="2" t="s">
        <v>912</v>
      </c>
      <c r="E2137" s="2" t="s">
        <v>1139</v>
      </c>
      <c r="F2137" s="2" t="s">
        <v>9590</v>
      </c>
      <c r="G2137" s="2" t="s">
        <v>6993</v>
      </c>
      <c r="H2137" s="2" t="s">
        <v>9591</v>
      </c>
      <c r="I2137" s="2" t="s">
        <v>3252</v>
      </c>
      <c r="J2137" s="2" t="s">
        <v>918</v>
      </c>
      <c r="K2137" s="2" t="s">
        <v>9592</v>
      </c>
      <c r="L2137" s="3">
        <v>23.8</v>
      </c>
      <c r="M2137" s="3">
        <v>24.99</v>
      </c>
      <c r="N2137" s="3">
        <v>49.99</v>
      </c>
      <c r="O2137" s="2" t="s">
        <v>245</v>
      </c>
      <c r="P2137" s="2" t="s">
        <v>272</v>
      </c>
      <c r="Q2137" s="2" t="s">
        <v>239</v>
      </c>
      <c r="R2137" s="2" t="s">
        <v>233</v>
      </c>
      <c r="S2137" s="2" t="s">
        <v>9593</v>
      </c>
      <c r="T2137" s="2" t="s">
        <v>976</v>
      </c>
      <c r="U2137" s="2" t="s">
        <v>491</v>
      </c>
      <c r="V2137" s="2" t="s">
        <v>9594</v>
      </c>
      <c r="W2137" s="2" t="s">
        <v>397</v>
      </c>
      <c r="X2137" s="2" t="s">
        <v>275</v>
      </c>
      <c r="Y2137" s="2" t="s">
        <v>7072</v>
      </c>
      <c r="Z2137" s="4">
        <v>38</v>
      </c>
      <c r="AA2137" s="4">
        <f>=ROUNDDOWN(18.0952380952381,0)</f>
      </c>
      <c r="AB2137" s="5">
        <v>2.1</v>
      </c>
      <c r="AC2137" s="2" t="s">
        <v>2183</v>
      </c>
      <c r="AD2137" s="4">
        <v>200</v>
      </c>
      <c r="AE2137" s="4">
        <v>200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233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/>
      <c r="AW2137" s="8"/>
      <c r="AX2137" s="4"/>
      <c r="AY2137" s="8"/>
      <c r="AZ2137" s="7"/>
      <c r="BA2137" s="7"/>
      <c r="BB2137" s="7"/>
      <c r="BC2137" s="4"/>
      <c r="BD2137" s="8"/>
      <c r="BE2137" s="4"/>
      <c r="BF2137" s="8"/>
      <c r="BG2137" s="7"/>
      <c r="BH2137" s="7"/>
      <c r="BI2137" s="7"/>
      <c r="BJ2137" s="4">
        <v>33</v>
      </c>
      <c r="BK2137" s="8">
        <v>899</v>
      </c>
      <c r="BL2137" s="2" t="s">
        <v>8626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9595</v>
      </c>
      <c r="BV2137" s="2" t="s">
        <v>233</v>
      </c>
      <c r="BW2137" s="2" t="s">
        <v>233</v>
      </c>
      <c r="BX2137" s="2" t="s">
        <v>243</v>
      </c>
      <c r="BY2137" s="2" t="s">
        <v>280</v>
      </c>
      <c r="BZ2137" s="2" t="s">
        <v>245</v>
      </c>
      <c r="CA2137" s="2" t="s">
        <v>2845</v>
      </c>
      <c r="CB2137" s="2" t="s">
        <v>233</v>
      </c>
      <c r="CC2137" s="2" t="s">
        <v>246</v>
      </c>
      <c r="CD2137" s="2" t="s">
        <v>233</v>
      </c>
      <c r="CE2137" s="4">
        <v>38</v>
      </c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>
        <v>200</v>
      </c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/>
      <c r="GV2137" s="4"/>
      <c r="GW2137" s="4"/>
      <c r="GX2137" s="4"/>
      <c r="GY2137" s="4"/>
      <c r="GZ2137" s="4"/>
      <c r="HA2137" s="4"/>
      <c r="HB2137" s="4"/>
      <c r="HC2137" s="4"/>
      <c r="HD2137" s="4"/>
      <c r="HE2137" s="4"/>
      <c r="HF2137" s="4"/>
      <c r="HG2137" s="4"/>
      <c r="HH2137" s="4"/>
      <c r="HI2137" s="4"/>
      <c r="HJ2137" s="4"/>
      <c r="HK2137" s="4"/>
      <c r="HL2137" s="4"/>
      <c r="HM2137" s="4"/>
      <c r="HN2137" s="4"/>
      <c r="HO2137" s="4"/>
      <c r="HP2137" s="4"/>
      <c r="HQ2137" s="4"/>
      <c r="HR2137" s="4"/>
    </row>
    <row r="2138">
      <c r="A2138" s="2" t="s">
        <v>9596</v>
      </c>
      <c r="B2138" s="2" t="s">
        <v>333</v>
      </c>
      <c r="C2138" s="2" t="s">
        <v>1266</v>
      </c>
      <c r="D2138" s="2" t="s">
        <v>335</v>
      </c>
      <c r="E2138" s="2" t="s">
        <v>336</v>
      </c>
      <c r="F2138" s="2" t="s">
        <v>9597</v>
      </c>
      <c r="G2138" s="2" t="s">
        <v>9597</v>
      </c>
      <c r="H2138" s="2" t="s">
        <v>9597</v>
      </c>
      <c r="I2138" s="2" t="s">
        <v>9598</v>
      </c>
      <c r="J2138" s="2" t="s">
        <v>270</v>
      </c>
      <c r="K2138" s="2" t="s">
        <v>9599</v>
      </c>
      <c r="L2138" s="3">
        <v>12.88</v>
      </c>
      <c r="M2138" s="3">
        <v>13.52</v>
      </c>
      <c r="N2138" s="3">
        <v>27.99</v>
      </c>
      <c r="O2138" s="2" t="s">
        <v>245</v>
      </c>
      <c r="P2138" s="2" t="s">
        <v>311</v>
      </c>
      <c r="Q2138" s="2" t="s">
        <v>239</v>
      </c>
      <c r="R2138" s="2" t="s">
        <v>233</v>
      </c>
      <c r="S2138" s="2" t="s">
        <v>9600</v>
      </c>
      <c r="T2138" s="2" t="s">
        <v>395</v>
      </c>
      <c r="U2138" s="2" t="s">
        <v>233</v>
      </c>
      <c r="V2138" s="2" t="s">
        <v>3951</v>
      </c>
      <c r="W2138" s="2" t="s">
        <v>275</v>
      </c>
      <c r="X2138" s="2" t="s">
        <v>233</v>
      </c>
      <c r="Y2138" s="2" t="s">
        <v>5651</v>
      </c>
      <c r="Z2138" s="4">
        <v>29</v>
      </c>
      <c r="AA2138" s="4">
        <f>=ROUNDDOWN(2.63636363636364,0)</f>
      </c>
      <c r="AB2138" s="5">
        <v>11</v>
      </c>
      <c r="AC2138" s="2" t="s">
        <v>233</v>
      </c>
      <c r="AD2138" s="4"/>
      <c r="AE2138" s="4"/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233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/>
      <c r="AW2138" s="8"/>
      <c r="AX2138" s="4"/>
      <c r="AY2138" s="8"/>
      <c r="AZ2138" s="7"/>
      <c r="BA2138" s="7"/>
      <c r="BB2138" s="7"/>
      <c r="BC2138" s="4" t="s">
        <v>233</v>
      </c>
      <c r="BD2138" s="8" t="s">
        <v>233</v>
      </c>
      <c r="BE2138" s="4" t="s">
        <v>233</v>
      </c>
      <c r="BF2138" s="8" t="s">
        <v>233</v>
      </c>
      <c r="BG2138" s="7" t="s">
        <v>233</v>
      </c>
      <c r="BH2138" s="7" t="s">
        <v>233</v>
      </c>
      <c r="BI2138" s="7"/>
      <c r="BJ2138" s="4">
        <v>27</v>
      </c>
      <c r="BK2138" s="8">
        <v>382.86</v>
      </c>
      <c r="BL2138" s="2" t="s">
        <v>9601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9602</v>
      </c>
      <c r="BV2138" s="2" t="s">
        <v>233</v>
      </c>
      <c r="BW2138" s="2" t="s">
        <v>233</v>
      </c>
      <c r="BX2138" s="2" t="s">
        <v>233</v>
      </c>
      <c r="BY2138" s="2" t="s">
        <v>280</v>
      </c>
      <c r="BZ2138" s="2" t="s">
        <v>245</v>
      </c>
      <c r="CA2138" s="2" t="s">
        <v>648</v>
      </c>
      <c r="CB2138" s="2" t="s">
        <v>2637</v>
      </c>
      <c r="CC2138" s="2" t="s">
        <v>246</v>
      </c>
      <c r="CD2138" s="2" t="s">
        <v>233</v>
      </c>
      <c r="CE2138" s="4">
        <v>29</v>
      </c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/>
      <c r="GV2138" s="4"/>
      <c r="GW2138" s="4"/>
      <c r="GX2138" s="4"/>
      <c r="GY2138" s="4"/>
      <c r="GZ2138" s="4"/>
      <c r="HA2138" s="4"/>
      <c r="HB2138" s="4"/>
      <c r="HC2138" s="4"/>
      <c r="HD2138" s="4"/>
      <c r="HE2138" s="4"/>
      <c r="HF2138" s="4"/>
      <c r="HG2138" s="4"/>
      <c r="HH2138" s="4"/>
      <c r="HI2138" s="4"/>
      <c r="HJ2138" s="4"/>
      <c r="HK2138" s="4"/>
      <c r="HL2138" s="4"/>
      <c r="HM2138" s="4"/>
      <c r="HN2138" s="4"/>
      <c r="HO2138" s="4"/>
      <c r="HP2138" s="4"/>
      <c r="HQ2138" s="4"/>
      <c r="HR2138" s="4"/>
    </row>
    <row r="2139">
      <c r="A2139" s="2" t="s">
        <v>9603</v>
      </c>
      <c r="B2139" s="2" t="s">
        <v>333</v>
      </c>
      <c r="C2139" s="2" t="s">
        <v>1266</v>
      </c>
      <c r="D2139" s="2" t="s">
        <v>335</v>
      </c>
      <c r="E2139" s="2" t="s">
        <v>336</v>
      </c>
      <c r="F2139" s="2" t="s">
        <v>9597</v>
      </c>
      <c r="G2139" s="2" t="s">
        <v>9597</v>
      </c>
      <c r="H2139" s="2" t="s">
        <v>9597</v>
      </c>
      <c r="I2139" s="2" t="s">
        <v>9598</v>
      </c>
      <c r="J2139" s="2" t="s">
        <v>348</v>
      </c>
      <c r="K2139" s="2" t="s">
        <v>9604</v>
      </c>
      <c r="L2139" s="3">
        <v>15.51</v>
      </c>
      <c r="M2139" s="3">
        <v>16.29</v>
      </c>
      <c r="N2139" s="3">
        <v>32.99</v>
      </c>
      <c r="O2139" s="2" t="s">
        <v>245</v>
      </c>
      <c r="P2139" s="2" t="s">
        <v>311</v>
      </c>
      <c r="Q2139" s="2" t="s">
        <v>239</v>
      </c>
      <c r="R2139" s="2" t="s">
        <v>233</v>
      </c>
      <c r="S2139" s="2" t="s">
        <v>9605</v>
      </c>
      <c r="T2139" s="2" t="s">
        <v>395</v>
      </c>
      <c r="U2139" s="2" t="s">
        <v>342</v>
      </c>
      <c r="V2139" s="2" t="s">
        <v>3951</v>
      </c>
      <c r="W2139" s="2" t="s">
        <v>275</v>
      </c>
      <c r="X2139" s="2" t="s">
        <v>776</v>
      </c>
      <c r="Y2139" s="2" t="s">
        <v>5485</v>
      </c>
      <c r="Z2139" s="4">
        <v>62</v>
      </c>
      <c r="AA2139" s="4">
        <f>=ROUNDDOWN(14.7619047619048,0)</f>
      </c>
      <c r="AB2139" s="5">
        <v>4.2</v>
      </c>
      <c r="AC2139" s="2" t="s">
        <v>233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233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/>
      <c r="AW2139" s="8"/>
      <c r="AX2139" s="4"/>
      <c r="AY2139" s="8"/>
      <c r="AZ2139" s="7"/>
      <c r="BA2139" s="7"/>
      <c r="BB2139" s="7"/>
      <c r="BC2139" s="4" t="s">
        <v>233</v>
      </c>
      <c r="BD2139" s="8" t="s">
        <v>233</v>
      </c>
      <c r="BE2139" s="4" t="s">
        <v>233</v>
      </c>
      <c r="BF2139" s="8" t="s">
        <v>233</v>
      </c>
      <c r="BG2139" s="7" t="s">
        <v>233</v>
      </c>
      <c r="BH2139" s="7" t="s">
        <v>233</v>
      </c>
      <c r="BI2139" s="7"/>
      <c r="BJ2139" s="4">
        <v>18</v>
      </c>
      <c r="BK2139" s="8">
        <v>309.21</v>
      </c>
      <c r="BL2139" s="2" t="s">
        <v>9606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9607</v>
      </c>
      <c r="BV2139" s="2" t="s">
        <v>233</v>
      </c>
      <c r="BW2139" s="2" t="s">
        <v>233</v>
      </c>
      <c r="BX2139" s="2" t="s">
        <v>233</v>
      </c>
      <c r="BY2139" s="2" t="s">
        <v>280</v>
      </c>
      <c r="BZ2139" s="2" t="s">
        <v>245</v>
      </c>
      <c r="CA2139" s="2" t="s">
        <v>5256</v>
      </c>
      <c r="CB2139" s="2" t="s">
        <v>2059</v>
      </c>
      <c r="CC2139" s="2" t="s">
        <v>246</v>
      </c>
      <c r="CD2139" s="2" t="s">
        <v>233</v>
      </c>
      <c r="CE2139" s="4">
        <v>62</v>
      </c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  <c r="HF2139" s="4"/>
      <c r="HG2139" s="4"/>
      <c r="HH2139" s="4"/>
      <c r="HI2139" s="4"/>
      <c r="HJ2139" s="4"/>
      <c r="HK2139" s="4"/>
      <c r="HL2139" s="4"/>
      <c r="HM2139" s="4"/>
      <c r="HN2139" s="4"/>
      <c r="HO2139" s="4"/>
      <c r="HP2139" s="4"/>
      <c r="HQ2139" s="4"/>
      <c r="HR2139" s="4"/>
    </row>
    <row r="2140">
      <c r="A2140" s="2" t="s">
        <v>9608</v>
      </c>
      <c r="B2140" s="2" t="s">
        <v>333</v>
      </c>
      <c r="C2140" s="2" t="s">
        <v>1266</v>
      </c>
      <c r="D2140" s="2" t="s">
        <v>335</v>
      </c>
      <c r="E2140" s="2" t="s">
        <v>336</v>
      </c>
      <c r="F2140" s="2" t="s">
        <v>9597</v>
      </c>
      <c r="G2140" s="2" t="s">
        <v>9597</v>
      </c>
      <c r="H2140" s="2" t="s">
        <v>9597</v>
      </c>
      <c r="I2140" s="2" t="s">
        <v>9598</v>
      </c>
      <c r="J2140" s="2" t="s">
        <v>270</v>
      </c>
      <c r="K2140" s="2" t="s">
        <v>9609</v>
      </c>
      <c r="L2140" s="3">
        <v>12.88</v>
      </c>
      <c r="M2140" s="3">
        <v>13.52</v>
      </c>
      <c r="N2140" s="3">
        <v>27.99</v>
      </c>
      <c r="O2140" s="2" t="s">
        <v>245</v>
      </c>
      <c r="P2140" s="2" t="s">
        <v>311</v>
      </c>
      <c r="Q2140" s="2" t="s">
        <v>239</v>
      </c>
      <c r="R2140" s="2" t="s">
        <v>233</v>
      </c>
      <c r="S2140" s="2" t="s">
        <v>9610</v>
      </c>
      <c r="T2140" s="2" t="s">
        <v>395</v>
      </c>
      <c r="U2140" s="2" t="s">
        <v>475</v>
      </c>
      <c r="V2140" s="2" t="s">
        <v>3951</v>
      </c>
      <c r="W2140" s="2" t="s">
        <v>275</v>
      </c>
      <c r="X2140" s="2" t="s">
        <v>776</v>
      </c>
      <c r="Y2140" s="2" t="s">
        <v>5485</v>
      </c>
      <c r="Z2140" s="4">
        <v>173</v>
      </c>
      <c r="AA2140" s="4">
        <f>=ROUNDDOWN(57.6666666666667,0)</f>
      </c>
      <c r="AB2140" s="5">
        <v>3</v>
      </c>
      <c r="AC2140" s="2" t="s">
        <v>233</v>
      </c>
      <c r="AD2140" s="4"/>
      <c r="AE2140" s="4"/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233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233</v>
      </c>
      <c r="AW2140" s="8" t="s">
        <v>233</v>
      </c>
      <c r="AX2140" s="4" t="s">
        <v>233</v>
      </c>
      <c r="AY2140" s="8" t="s">
        <v>233</v>
      </c>
      <c r="AZ2140" s="7" t="s">
        <v>233</v>
      </c>
      <c r="BA2140" s="7" t="s">
        <v>233</v>
      </c>
      <c r="BB2140" s="7"/>
      <c r="BC2140" s="4" t="s">
        <v>233</v>
      </c>
      <c r="BD2140" s="8" t="s">
        <v>233</v>
      </c>
      <c r="BE2140" s="4" t="s">
        <v>233</v>
      </c>
      <c r="BF2140" s="8" t="s">
        <v>233</v>
      </c>
      <c r="BG2140" s="7" t="s">
        <v>233</v>
      </c>
      <c r="BH2140" s="7" t="s">
        <v>233</v>
      </c>
      <c r="BI2140" s="7"/>
      <c r="BJ2140" s="4">
        <v>10</v>
      </c>
      <c r="BK2140" s="8">
        <v>135.22</v>
      </c>
      <c r="BL2140" s="2" t="s">
        <v>3519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9611</v>
      </c>
      <c r="BV2140" s="2" t="s">
        <v>233</v>
      </c>
      <c r="BW2140" s="2" t="s">
        <v>233</v>
      </c>
      <c r="BX2140" s="2" t="s">
        <v>233</v>
      </c>
      <c r="BY2140" s="2" t="s">
        <v>280</v>
      </c>
      <c r="BZ2140" s="2" t="s">
        <v>245</v>
      </c>
      <c r="CA2140" s="2" t="s">
        <v>997</v>
      </c>
      <c r="CB2140" s="2" t="s">
        <v>1816</v>
      </c>
      <c r="CC2140" s="2" t="s">
        <v>246</v>
      </c>
      <c r="CD2140" s="2" t="s">
        <v>233</v>
      </c>
      <c r="CE2140" s="4">
        <v>173</v>
      </c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  <c r="HF2140" s="4"/>
      <c r="HG2140" s="4"/>
      <c r="HH2140" s="4"/>
      <c r="HI2140" s="4"/>
      <c r="HJ2140" s="4"/>
      <c r="HK2140" s="4"/>
      <c r="HL2140" s="4"/>
      <c r="HM2140" s="4"/>
      <c r="HN2140" s="4"/>
      <c r="HO2140" s="4"/>
      <c r="HP2140" s="4"/>
      <c r="HQ2140" s="4"/>
      <c r="HR2140" s="4"/>
    </row>
    <row r="2141">
      <c r="A2141" s="2" t="s">
        <v>9612</v>
      </c>
      <c r="B2141" s="2" t="s">
        <v>333</v>
      </c>
      <c r="C2141" s="2" t="s">
        <v>1266</v>
      </c>
      <c r="D2141" s="2" t="s">
        <v>335</v>
      </c>
      <c r="E2141" s="2" t="s">
        <v>336</v>
      </c>
      <c r="F2141" s="2" t="s">
        <v>9597</v>
      </c>
      <c r="G2141" s="2" t="s">
        <v>9597</v>
      </c>
      <c r="H2141" s="2" t="s">
        <v>9597</v>
      </c>
      <c r="I2141" s="2" t="s">
        <v>9598</v>
      </c>
      <c r="J2141" s="2" t="s">
        <v>348</v>
      </c>
      <c r="K2141" s="2" t="s">
        <v>9609</v>
      </c>
      <c r="L2141" s="3">
        <v>15.51</v>
      </c>
      <c r="M2141" s="3">
        <v>16.29</v>
      </c>
      <c r="N2141" s="3">
        <v>32.99</v>
      </c>
      <c r="O2141" s="2" t="s">
        <v>245</v>
      </c>
      <c r="P2141" s="2" t="s">
        <v>311</v>
      </c>
      <c r="Q2141" s="2" t="s">
        <v>239</v>
      </c>
      <c r="R2141" s="2" t="s">
        <v>233</v>
      </c>
      <c r="S2141" s="2" t="s">
        <v>9610</v>
      </c>
      <c r="T2141" s="2" t="s">
        <v>395</v>
      </c>
      <c r="U2141" s="2" t="s">
        <v>342</v>
      </c>
      <c r="V2141" s="2" t="s">
        <v>3951</v>
      </c>
      <c r="W2141" s="2" t="s">
        <v>275</v>
      </c>
      <c r="X2141" s="2" t="s">
        <v>776</v>
      </c>
      <c r="Y2141" s="2" t="s">
        <v>5485</v>
      </c>
      <c r="Z2141" s="4">
        <v>134</v>
      </c>
      <c r="AA2141" s="4">
        <f>=ROUNDDOWN(53.6,0)</f>
      </c>
      <c r="AB2141" s="5">
        <v>2.5</v>
      </c>
      <c r="AC2141" s="2" t="s">
        <v>233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233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233</v>
      </c>
      <c r="AW2141" s="8" t="s">
        <v>233</v>
      </c>
      <c r="AX2141" s="4" t="s">
        <v>233</v>
      </c>
      <c r="AY2141" s="8" t="s">
        <v>233</v>
      </c>
      <c r="AZ2141" s="7" t="s">
        <v>233</v>
      </c>
      <c r="BA2141" s="7" t="s">
        <v>233</v>
      </c>
      <c r="BB2141" s="7"/>
      <c r="BC2141" s="4" t="s">
        <v>233</v>
      </c>
      <c r="BD2141" s="8" t="s">
        <v>233</v>
      </c>
      <c r="BE2141" s="4" t="s">
        <v>233</v>
      </c>
      <c r="BF2141" s="8" t="s">
        <v>233</v>
      </c>
      <c r="BG2141" s="7" t="s">
        <v>233</v>
      </c>
      <c r="BH2141" s="7" t="s">
        <v>233</v>
      </c>
      <c r="BI2141" s="7"/>
      <c r="BJ2141" s="4">
        <v>9</v>
      </c>
      <c r="BK2141" s="8">
        <v>155.86</v>
      </c>
      <c r="BL2141" s="2" t="s">
        <v>9613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9614</v>
      </c>
      <c r="BV2141" s="2" t="s">
        <v>233</v>
      </c>
      <c r="BW2141" s="2" t="s">
        <v>233</v>
      </c>
      <c r="BX2141" s="2" t="s">
        <v>233</v>
      </c>
      <c r="BY2141" s="2" t="s">
        <v>280</v>
      </c>
      <c r="BZ2141" s="2" t="s">
        <v>245</v>
      </c>
      <c r="CA2141" s="2" t="s">
        <v>5256</v>
      </c>
      <c r="CB2141" s="2" t="s">
        <v>3247</v>
      </c>
      <c r="CC2141" s="2" t="s">
        <v>246</v>
      </c>
      <c r="CD2141" s="2" t="s">
        <v>233</v>
      </c>
      <c r="CE2141" s="4">
        <v>134</v>
      </c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/>
      <c r="GM2141" s="4"/>
      <c r="GN2141" s="4"/>
      <c r="GO2141" s="4"/>
      <c r="GP2141" s="4"/>
      <c r="GQ2141" s="4"/>
      <c r="GR2141" s="4"/>
      <c r="GS2141" s="4"/>
      <c r="GT2141" s="4"/>
      <c r="GU2141" s="4"/>
      <c r="GV2141" s="4"/>
      <c r="GW2141" s="4"/>
      <c r="GX2141" s="4"/>
      <c r="GY2141" s="4"/>
      <c r="GZ2141" s="4"/>
      <c r="HA2141" s="4"/>
      <c r="HB2141" s="4"/>
      <c r="HC2141" s="4"/>
      <c r="HD2141" s="4"/>
      <c r="HE2141" s="4"/>
      <c r="HF2141" s="4"/>
      <c r="HG2141" s="4"/>
      <c r="HH2141" s="4"/>
      <c r="HI2141" s="4"/>
      <c r="HJ2141" s="4"/>
      <c r="HK2141" s="4"/>
      <c r="HL2141" s="4"/>
      <c r="HM2141" s="4"/>
      <c r="HN2141" s="4"/>
      <c r="HO2141" s="4"/>
      <c r="HP2141" s="4"/>
      <c r="HQ2141" s="4"/>
      <c r="HR2141" s="4"/>
    </row>
    <row r="2142">
      <c r="A2142" s="2" t="s">
        <v>9615</v>
      </c>
      <c r="B2142" s="2" t="s">
        <v>333</v>
      </c>
      <c r="C2142" s="2" t="s">
        <v>911</v>
      </c>
      <c r="D2142" s="2" t="s">
        <v>335</v>
      </c>
      <c r="E2142" s="2" t="s">
        <v>336</v>
      </c>
      <c r="F2142" s="2" t="s">
        <v>9616</v>
      </c>
      <c r="G2142" s="2" t="s">
        <v>9616</v>
      </c>
      <c r="H2142" s="2" t="s">
        <v>9616</v>
      </c>
      <c r="I2142" s="2" t="s">
        <v>338</v>
      </c>
      <c r="J2142" s="2" t="s">
        <v>270</v>
      </c>
      <c r="K2142" s="2" t="s">
        <v>9617</v>
      </c>
      <c r="L2142" s="3">
        <v>11.95</v>
      </c>
      <c r="M2142" s="3">
        <v>12.55</v>
      </c>
      <c r="N2142" s="3">
        <v>24.99</v>
      </c>
      <c r="O2142" s="2" t="s">
        <v>245</v>
      </c>
      <c r="P2142" s="2" t="s">
        <v>238</v>
      </c>
      <c r="Q2142" s="2" t="s">
        <v>239</v>
      </c>
      <c r="R2142" s="2" t="s">
        <v>233</v>
      </c>
      <c r="S2142" s="2" t="s">
        <v>9618</v>
      </c>
      <c r="T2142" s="2" t="s">
        <v>395</v>
      </c>
      <c r="U2142" s="2" t="s">
        <v>475</v>
      </c>
      <c r="V2142" s="2" t="s">
        <v>1658</v>
      </c>
      <c r="W2142" s="2" t="s">
        <v>275</v>
      </c>
      <c r="X2142" s="2" t="s">
        <v>233</v>
      </c>
      <c r="Y2142" s="2" t="s">
        <v>5614</v>
      </c>
      <c r="Z2142" s="4"/>
      <c r="AA2142" s="4">
        <f>=ROUNDDOWN({0},0)</f>
      </c>
      <c r="AB2142" s="5"/>
      <c r="AC2142" s="2" t="s">
        <v>1839</v>
      </c>
      <c r="AD2142" s="4">
        <v>70</v>
      </c>
      <c r="AE2142" s="4">
        <v>130</v>
      </c>
      <c r="AF2142" s="6">
        <v>65</v>
      </c>
      <c r="AG2142" s="6"/>
      <c r="AH2142" s="7">
        <v>0</v>
      </c>
      <c r="AI2142" s="4"/>
      <c r="AJ2142" s="4">
        <f>=ROUNDDOWN({0},0)</f>
      </c>
      <c r="AK2142" s="5"/>
      <c r="AL2142" s="2" t="s">
        <v>233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233</v>
      </c>
      <c r="AW2142" s="8" t="s">
        <v>233</v>
      </c>
      <c r="AX2142" s="4" t="s">
        <v>233</v>
      </c>
      <c r="AY2142" s="8" t="s">
        <v>233</v>
      </c>
      <c r="AZ2142" s="7" t="s">
        <v>233</v>
      </c>
      <c r="BA2142" s="7" t="s">
        <v>233</v>
      </c>
      <c r="BB2142" s="7"/>
      <c r="BC2142" s="4" t="s">
        <v>233</v>
      </c>
      <c r="BD2142" s="8" t="s">
        <v>233</v>
      </c>
      <c r="BE2142" s="4" t="s">
        <v>233</v>
      </c>
      <c r="BF2142" s="8" t="s">
        <v>233</v>
      </c>
      <c r="BG2142" s="7" t="s">
        <v>233</v>
      </c>
      <c r="BH2142" s="7" t="s">
        <v>233</v>
      </c>
      <c r="BI2142" s="7"/>
      <c r="BJ2142" s="4"/>
      <c r="BK2142" s="8"/>
      <c r="BL2142" s="2" t="s">
        <v>233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243</v>
      </c>
      <c r="BV2142" s="2" t="s">
        <v>233</v>
      </c>
      <c r="BW2142" s="2" t="s">
        <v>233</v>
      </c>
      <c r="BX2142" s="2" t="s">
        <v>243</v>
      </c>
      <c r="BY2142" s="2" t="s">
        <v>244</v>
      </c>
      <c r="BZ2142" s="2" t="s">
        <v>245</v>
      </c>
      <c r="CA2142" s="2" t="s">
        <v>233</v>
      </c>
      <c r="CB2142" s="2" t="s">
        <v>233</v>
      </c>
      <c r="CC2142" s="2" t="s">
        <v>246</v>
      </c>
      <c r="CD2142" s="2" t="s">
        <v>233</v>
      </c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>
        <v>70</v>
      </c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>
        <v>60</v>
      </c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/>
      <c r="GM2142" s="4"/>
      <c r="GN2142" s="4"/>
      <c r="GO2142" s="4"/>
      <c r="GP2142" s="4"/>
      <c r="GQ2142" s="4"/>
      <c r="GR2142" s="4"/>
      <c r="GS2142" s="4"/>
      <c r="GT2142" s="4"/>
      <c r="GU2142" s="4"/>
      <c r="GV2142" s="4"/>
      <c r="GW2142" s="4"/>
      <c r="GX2142" s="4"/>
      <c r="GY2142" s="4"/>
      <c r="GZ2142" s="4"/>
      <c r="HA2142" s="4"/>
      <c r="HB2142" s="4"/>
      <c r="HC2142" s="4"/>
      <c r="HD2142" s="4"/>
      <c r="HE2142" s="4"/>
      <c r="HF2142" s="4"/>
      <c r="HG2142" s="4"/>
      <c r="HH2142" s="4"/>
      <c r="HI2142" s="4"/>
      <c r="HJ2142" s="4"/>
      <c r="HK2142" s="4"/>
      <c r="HL2142" s="4"/>
      <c r="HM2142" s="4"/>
      <c r="HN2142" s="4"/>
      <c r="HO2142" s="4"/>
      <c r="HP2142" s="4"/>
      <c r="HQ2142" s="4"/>
      <c r="HR2142" s="4"/>
    </row>
    <row r="2143">
      <c r="A2143" s="2" t="s">
        <v>9619</v>
      </c>
      <c r="B2143" s="2" t="s">
        <v>333</v>
      </c>
      <c r="C2143" s="2" t="s">
        <v>911</v>
      </c>
      <c r="D2143" s="2" t="s">
        <v>335</v>
      </c>
      <c r="E2143" s="2" t="s">
        <v>336</v>
      </c>
      <c r="F2143" s="2" t="s">
        <v>9616</v>
      </c>
      <c r="G2143" s="2" t="s">
        <v>9616</v>
      </c>
      <c r="H2143" s="2" t="s">
        <v>9616</v>
      </c>
      <c r="I2143" s="2" t="s">
        <v>338</v>
      </c>
      <c r="J2143" s="2" t="s">
        <v>290</v>
      </c>
      <c r="K2143" s="2" t="s">
        <v>9617</v>
      </c>
      <c r="L2143" s="3">
        <v>13.55</v>
      </c>
      <c r="M2143" s="3">
        <v>14.23</v>
      </c>
      <c r="N2143" s="3">
        <v>27.99</v>
      </c>
      <c r="O2143" s="2" t="s">
        <v>245</v>
      </c>
      <c r="P2143" s="2" t="s">
        <v>238</v>
      </c>
      <c r="Q2143" s="2" t="s">
        <v>239</v>
      </c>
      <c r="R2143" s="2" t="s">
        <v>233</v>
      </c>
      <c r="S2143" s="2" t="s">
        <v>9618</v>
      </c>
      <c r="T2143" s="2" t="s">
        <v>395</v>
      </c>
      <c r="U2143" s="2" t="s">
        <v>342</v>
      </c>
      <c r="V2143" s="2" t="s">
        <v>1658</v>
      </c>
      <c r="W2143" s="2" t="s">
        <v>275</v>
      </c>
      <c r="X2143" s="2" t="s">
        <v>233</v>
      </c>
      <c r="Y2143" s="2" t="s">
        <v>5614</v>
      </c>
      <c r="Z2143" s="4"/>
      <c r="AA2143" s="4">
        <f>=ROUNDDOWN({0},0)</f>
      </c>
      <c r="AB2143" s="5"/>
      <c r="AC2143" s="2" t="s">
        <v>1839</v>
      </c>
      <c r="AD2143" s="4">
        <v>60</v>
      </c>
      <c r="AE2143" s="4">
        <v>120</v>
      </c>
      <c r="AF2143" s="6">
        <v>65</v>
      </c>
      <c r="AG2143" s="6"/>
      <c r="AH2143" s="7">
        <v>0</v>
      </c>
      <c r="AI2143" s="4"/>
      <c r="AJ2143" s="4">
        <f>=ROUNDDOWN({0},0)</f>
      </c>
      <c r="AK2143" s="5"/>
      <c r="AL2143" s="2" t="s">
        <v>233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233</v>
      </c>
      <c r="AW2143" s="8" t="s">
        <v>233</v>
      </c>
      <c r="AX2143" s="4" t="s">
        <v>233</v>
      </c>
      <c r="AY2143" s="8" t="s">
        <v>233</v>
      </c>
      <c r="AZ2143" s="7" t="s">
        <v>233</v>
      </c>
      <c r="BA2143" s="7" t="s">
        <v>233</v>
      </c>
      <c r="BB2143" s="7"/>
      <c r="BC2143" s="4" t="s">
        <v>233</v>
      </c>
      <c r="BD2143" s="8" t="s">
        <v>233</v>
      </c>
      <c r="BE2143" s="4" t="s">
        <v>233</v>
      </c>
      <c r="BF2143" s="8" t="s">
        <v>233</v>
      </c>
      <c r="BG2143" s="7" t="s">
        <v>233</v>
      </c>
      <c r="BH2143" s="7" t="s">
        <v>233</v>
      </c>
      <c r="BI2143" s="7"/>
      <c r="BJ2143" s="4"/>
      <c r="BK2143" s="8"/>
      <c r="BL2143" s="2" t="s">
        <v>233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243</v>
      </c>
      <c r="BV2143" s="2" t="s">
        <v>233</v>
      </c>
      <c r="BW2143" s="2" t="s">
        <v>233</v>
      </c>
      <c r="BX2143" s="2" t="s">
        <v>243</v>
      </c>
      <c r="BY2143" s="2" t="s">
        <v>244</v>
      </c>
      <c r="BZ2143" s="2" t="s">
        <v>245</v>
      </c>
      <c r="CA2143" s="2" t="s">
        <v>233</v>
      </c>
      <c r="CB2143" s="2" t="s">
        <v>233</v>
      </c>
      <c r="CC2143" s="2" t="s">
        <v>246</v>
      </c>
      <c r="CD2143" s="2" t="s">
        <v>233</v>
      </c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>
        <v>60</v>
      </c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>
        <v>60</v>
      </c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  <c r="GL2143" s="4"/>
      <c r="GM2143" s="4"/>
      <c r="GN2143" s="4"/>
      <c r="GO2143" s="4"/>
      <c r="GP2143" s="4"/>
      <c r="GQ2143" s="4"/>
      <c r="GR2143" s="4"/>
      <c r="GS2143" s="4"/>
      <c r="GT2143" s="4"/>
      <c r="GU2143" s="4"/>
      <c r="GV2143" s="4"/>
      <c r="GW2143" s="4"/>
      <c r="GX2143" s="4"/>
      <c r="GY2143" s="4"/>
      <c r="GZ2143" s="4"/>
      <c r="HA2143" s="4"/>
      <c r="HB2143" s="4"/>
      <c r="HC2143" s="4"/>
      <c r="HD2143" s="4"/>
      <c r="HE2143" s="4"/>
      <c r="HF2143" s="4"/>
      <c r="HG2143" s="4"/>
      <c r="HH2143" s="4"/>
      <c r="HI2143" s="4"/>
      <c r="HJ2143" s="4"/>
      <c r="HK2143" s="4"/>
      <c r="HL2143" s="4"/>
      <c r="HM2143" s="4"/>
      <c r="HN2143" s="4"/>
      <c r="HO2143" s="4"/>
      <c r="HP2143" s="4"/>
      <c r="HQ2143" s="4"/>
      <c r="HR2143" s="4"/>
    </row>
    <row r="2144">
      <c r="A2144" s="2" t="s">
        <v>9620</v>
      </c>
      <c r="B2144" s="2" t="s">
        <v>333</v>
      </c>
      <c r="C2144" s="2" t="s">
        <v>911</v>
      </c>
      <c r="D2144" s="2" t="s">
        <v>335</v>
      </c>
      <c r="E2144" s="2" t="s">
        <v>336</v>
      </c>
      <c r="F2144" s="2" t="s">
        <v>9616</v>
      </c>
      <c r="G2144" s="2" t="s">
        <v>9616</v>
      </c>
      <c r="H2144" s="2" t="s">
        <v>9616</v>
      </c>
      <c r="I2144" s="2" t="s">
        <v>338</v>
      </c>
      <c r="J2144" s="2" t="s">
        <v>348</v>
      </c>
      <c r="K2144" s="2" t="s">
        <v>9617</v>
      </c>
      <c r="L2144" s="3">
        <v>14.75</v>
      </c>
      <c r="M2144" s="3">
        <v>15.49</v>
      </c>
      <c r="N2144" s="3">
        <v>29.99</v>
      </c>
      <c r="O2144" s="2" t="s">
        <v>245</v>
      </c>
      <c r="P2144" s="2" t="s">
        <v>238</v>
      </c>
      <c r="Q2144" s="2" t="s">
        <v>239</v>
      </c>
      <c r="R2144" s="2" t="s">
        <v>233</v>
      </c>
      <c r="S2144" s="2" t="s">
        <v>9618</v>
      </c>
      <c r="T2144" s="2" t="s">
        <v>395</v>
      </c>
      <c r="U2144" s="2" t="s">
        <v>342</v>
      </c>
      <c r="V2144" s="2" t="s">
        <v>1658</v>
      </c>
      <c r="W2144" s="2" t="s">
        <v>275</v>
      </c>
      <c r="X2144" s="2" t="s">
        <v>233</v>
      </c>
      <c r="Y2144" s="2" t="s">
        <v>5614</v>
      </c>
      <c r="Z2144" s="4"/>
      <c r="AA2144" s="4">
        <f>=ROUNDDOWN({0},0)</f>
      </c>
      <c r="AB2144" s="5"/>
      <c r="AC2144" s="2" t="s">
        <v>1839</v>
      </c>
      <c r="AD2144" s="4">
        <v>130</v>
      </c>
      <c r="AE2144" s="4">
        <v>250</v>
      </c>
      <c r="AF2144" s="6">
        <v>65</v>
      </c>
      <c r="AG2144" s="6"/>
      <c r="AH2144" s="7">
        <v>0</v>
      </c>
      <c r="AI2144" s="4"/>
      <c r="AJ2144" s="4">
        <f>=ROUNDDOWN({0},0)</f>
      </c>
      <c r="AK2144" s="5"/>
      <c r="AL2144" s="2" t="s">
        <v>233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233</v>
      </c>
      <c r="AW2144" s="8" t="s">
        <v>233</v>
      </c>
      <c r="AX2144" s="4" t="s">
        <v>233</v>
      </c>
      <c r="AY2144" s="8" t="s">
        <v>233</v>
      </c>
      <c r="AZ2144" s="7" t="s">
        <v>233</v>
      </c>
      <c r="BA2144" s="7" t="s">
        <v>233</v>
      </c>
      <c r="BB2144" s="7"/>
      <c r="BC2144" s="4" t="s">
        <v>233</v>
      </c>
      <c r="BD2144" s="8" t="s">
        <v>233</v>
      </c>
      <c r="BE2144" s="4" t="s">
        <v>233</v>
      </c>
      <c r="BF2144" s="8" t="s">
        <v>233</v>
      </c>
      <c r="BG2144" s="7" t="s">
        <v>233</v>
      </c>
      <c r="BH2144" s="7" t="s">
        <v>233</v>
      </c>
      <c r="BI2144" s="7"/>
      <c r="BJ2144" s="4"/>
      <c r="BK2144" s="8"/>
      <c r="BL2144" s="2" t="s">
        <v>233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243</v>
      </c>
      <c r="BV2144" s="2" t="s">
        <v>233</v>
      </c>
      <c r="BW2144" s="2" t="s">
        <v>233</v>
      </c>
      <c r="BX2144" s="2" t="s">
        <v>243</v>
      </c>
      <c r="BY2144" s="2" t="s">
        <v>244</v>
      </c>
      <c r="BZ2144" s="2" t="s">
        <v>245</v>
      </c>
      <c r="CA2144" s="2" t="s">
        <v>233</v>
      </c>
      <c r="CB2144" s="2" t="s">
        <v>233</v>
      </c>
      <c r="CC2144" s="2" t="s">
        <v>246</v>
      </c>
      <c r="CD2144" s="2" t="s">
        <v>233</v>
      </c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>
        <v>130</v>
      </c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>
        <v>120</v>
      </c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  <c r="GL2144" s="4"/>
      <c r="GM2144" s="4"/>
      <c r="GN2144" s="4"/>
      <c r="GO2144" s="4"/>
      <c r="GP2144" s="4"/>
      <c r="GQ2144" s="4"/>
      <c r="GR2144" s="4"/>
      <c r="GS2144" s="4"/>
      <c r="GT2144" s="4"/>
      <c r="GU2144" s="4"/>
      <c r="GV2144" s="4"/>
      <c r="GW2144" s="4"/>
      <c r="GX2144" s="4"/>
      <c r="GY2144" s="4"/>
      <c r="GZ2144" s="4"/>
      <c r="HA2144" s="4"/>
      <c r="HB2144" s="4"/>
      <c r="HC2144" s="4"/>
      <c r="HD2144" s="4"/>
      <c r="HE2144" s="4"/>
      <c r="HF2144" s="4"/>
      <c r="HG2144" s="4"/>
      <c r="HH2144" s="4"/>
      <c r="HI2144" s="4"/>
      <c r="HJ2144" s="4"/>
      <c r="HK2144" s="4"/>
      <c r="HL2144" s="4"/>
      <c r="HM2144" s="4"/>
      <c r="HN2144" s="4"/>
      <c r="HO2144" s="4"/>
      <c r="HP2144" s="4"/>
      <c r="HQ2144" s="4"/>
      <c r="HR2144" s="4"/>
    </row>
    <row r="2145">
      <c r="A2145" s="2" t="s">
        <v>9621</v>
      </c>
      <c r="B2145" s="2" t="s">
        <v>333</v>
      </c>
      <c r="C2145" s="2" t="s">
        <v>911</v>
      </c>
      <c r="D2145" s="2" t="s">
        <v>335</v>
      </c>
      <c r="E2145" s="2" t="s">
        <v>336</v>
      </c>
      <c r="F2145" s="2" t="s">
        <v>9616</v>
      </c>
      <c r="G2145" s="2" t="s">
        <v>9616</v>
      </c>
      <c r="H2145" s="2" t="s">
        <v>9616</v>
      </c>
      <c r="I2145" s="2" t="s">
        <v>338</v>
      </c>
      <c r="J2145" s="2" t="s">
        <v>328</v>
      </c>
      <c r="K2145" s="2" t="s">
        <v>9617</v>
      </c>
      <c r="L2145" s="3">
        <v>16.35</v>
      </c>
      <c r="M2145" s="3">
        <v>17.17</v>
      </c>
      <c r="N2145" s="3">
        <v>34.99</v>
      </c>
      <c r="O2145" s="2" t="s">
        <v>245</v>
      </c>
      <c r="P2145" s="2" t="s">
        <v>238</v>
      </c>
      <c r="Q2145" s="2" t="s">
        <v>239</v>
      </c>
      <c r="R2145" s="2" t="s">
        <v>233</v>
      </c>
      <c r="S2145" s="2" t="s">
        <v>9618</v>
      </c>
      <c r="T2145" s="2" t="s">
        <v>395</v>
      </c>
      <c r="U2145" s="2" t="s">
        <v>342</v>
      </c>
      <c r="V2145" s="2" t="s">
        <v>1658</v>
      </c>
      <c r="W2145" s="2" t="s">
        <v>275</v>
      </c>
      <c r="X2145" s="2" t="s">
        <v>233</v>
      </c>
      <c r="Y2145" s="2" t="s">
        <v>5614</v>
      </c>
      <c r="Z2145" s="4"/>
      <c r="AA2145" s="4">
        <f>=ROUNDDOWN({0},0)</f>
      </c>
      <c r="AB2145" s="5"/>
      <c r="AC2145" s="2" t="s">
        <v>1839</v>
      </c>
      <c r="AD2145" s="4">
        <v>50</v>
      </c>
      <c r="AE2145" s="4">
        <v>100</v>
      </c>
      <c r="AF2145" s="6">
        <v>65</v>
      </c>
      <c r="AG2145" s="6"/>
      <c r="AH2145" s="7">
        <v>0</v>
      </c>
      <c r="AI2145" s="4"/>
      <c r="AJ2145" s="4">
        <f>=ROUNDDOWN({0},0)</f>
      </c>
      <c r="AK2145" s="5"/>
      <c r="AL2145" s="2" t="s">
        <v>233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 t="s">
        <v>233</v>
      </c>
      <c r="AW2145" s="8" t="s">
        <v>233</v>
      </c>
      <c r="AX2145" s="4" t="s">
        <v>233</v>
      </c>
      <c r="AY2145" s="8" t="s">
        <v>233</v>
      </c>
      <c r="AZ2145" s="7" t="s">
        <v>233</v>
      </c>
      <c r="BA2145" s="7" t="s">
        <v>233</v>
      </c>
      <c r="BB2145" s="7"/>
      <c r="BC2145" s="4" t="s">
        <v>233</v>
      </c>
      <c r="BD2145" s="8" t="s">
        <v>233</v>
      </c>
      <c r="BE2145" s="4" t="s">
        <v>233</v>
      </c>
      <c r="BF2145" s="8" t="s">
        <v>233</v>
      </c>
      <c r="BG2145" s="7" t="s">
        <v>233</v>
      </c>
      <c r="BH2145" s="7" t="s">
        <v>233</v>
      </c>
      <c r="BI2145" s="7"/>
      <c r="BJ2145" s="4"/>
      <c r="BK2145" s="8"/>
      <c r="BL2145" s="2" t="s">
        <v>233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243</v>
      </c>
      <c r="BV2145" s="2" t="s">
        <v>233</v>
      </c>
      <c r="BW2145" s="2" t="s">
        <v>233</v>
      </c>
      <c r="BX2145" s="2" t="s">
        <v>243</v>
      </c>
      <c r="BY2145" s="2" t="s">
        <v>244</v>
      </c>
      <c r="BZ2145" s="2" t="s">
        <v>245</v>
      </c>
      <c r="CA2145" s="2" t="s">
        <v>233</v>
      </c>
      <c r="CB2145" s="2" t="s">
        <v>233</v>
      </c>
      <c r="CC2145" s="2" t="s">
        <v>246</v>
      </c>
      <c r="CD2145" s="2" t="s">
        <v>233</v>
      </c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>
        <v>50</v>
      </c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>
        <v>50</v>
      </c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  <c r="HF2145" s="4"/>
      <c r="HG2145" s="4"/>
      <c r="HH2145" s="4"/>
      <c r="HI2145" s="4"/>
      <c r="HJ2145" s="4"/>
      <c r="HK2145" s="4"/>
      <c r="HL2145" s="4"/>
      <c r="HM2145" s="4"/>
      <c r="HN2145" s="4"/>
      <c r="HO2145" s="4"/>
      <c r="HP2145" s="4"/>
      <c r="HQ2145" s="4"/>
      <c r="HR2145" s="4"/>
    </row>
    <row r="2146">
      <c r="A2146" s="2" t="s">
        <v>9622</v>
      </c>
      <c r="B2146" s="2" t="s">
        <v>333</v>
      </c>
      <c r="C2146" s="2" t="s">
        <v>911</v>
      </c>
      <c r="D2146" s="2" t="s">
        <v>335</v>
      </c>
      <c r="E2146" s="2" t="s">
        <v>336</v>
      </c>
      <c r="F2146" s="2" t="s">
        <v>9616</v>
      </c>
      <c r="G2146" s="2" t="s">
        <v>9616</v>
      </c>
      <c r="H2146" s="2" t="s">
        <v>9616</v>
      </c>
      <c r="I2146" s="2" t="s">
        <v>338</v>
      </c>
      <c r="J2146" s="2" t="s">
        <v>290</v>
      </c>
      <c r="K2146" s="2" t="s">
        <v>9623</v>
      </c>
      <c r="L2146" s="3">
        <v>13.55</v>
      </c>
      <c r="M2146" s="3">
        <v>14.23</v>
      </c>
      <c r="N2146" s="3">
        <v>27.99</v>
      </c>
      <c r="O2146" s="2" t="s">
        <v>245</v>
      </c>
      <c r="P2146" s="2" t="s">
        <v>272</v>
      </c>
      <c r="Q2146" s="2" t="s">
        <v>239</v>
      </c>
      <c r="R2146" s="2" t="s">
        <v>233</v>
      </c>
      <c r="S2146" s="2" t="s">
        <v>9624</v>
      </c>
      <c r="T2146" s="2" t="s">
        <v>395</v>
      </c>
      <c r="U2146" s="2" t="s">
        <v>342</v>
      </c>
      <c r="V2146" s="2" t="s">
        <v>1272</v>
      </c>
      <c r="W2146" s="2" t="s">
        <v>275</v>
      </c>
      <c r="X2146" s="2" t="s">
        <v>233</v>
      </c>
      <c r="Y2146" s="2" t="s">
        <v>3535</v>
      </c>
      <c r="Z2146" s="4">
        <v>68</v>
      </c>
      <c r="AA2146" s="4">
        <f>=ROUNDDOWN(8.5,0)</f>
      </c>
      <c r="AB2146" s="5">
        <v>8</v>
      </c>
      <c r="AC2146" s="2" t="s">
        <v>547</v>
      </c>
      <c r="AD2146" s="4">
        <v>110</v>
      </c>
      <c r="AE2146" s="4">
        <v>220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233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 t="s">
        <v>233</v>
      </c>
      <c r="AW2146" s="8" t="s">
        <v>233</v>
      </c>
      <c r="AX2146" s="4" t="s">
        <v>233</v>
      </c>
      <c r="AY2146" s="8" t="s">
        <v>233</v>
      </c>
      <c r="AZ2146" s="7" t="s">
        <v>233</v>
      </c>
      <c r="BA2146" s="7" t="s">
        <v>233</v>
      </c>
      <c r="BB2146" s="7"/>
      <c r="BC2146" s="4" t="s">
        <v>233</v>
      </c>
      <c r="BD2146" s="8" t="s">
        <v>233</v>
      </c>
      <c r="BE2146" s="4" t="s">
        <v>233</v>
      </c>
      <c r="BF2146" s="8" t="s">
        <v>233</v>
      </c>
      <c r="BG2146" s="7" t="s">
        <v>233</v>
      </c>
      <c r="BH2146" s="7" t="s">
        <v>233</v>
      </c>
      <c r="BI2146" s="7"/>
      <c r="BJ2146" s="4">
        <v>30</v>
      </c>
      <c r="BK2146" s="8">
        <v>436.19</v>
      </c>
      <c r="BL2146" s="2" t="s">
        <v>3928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9625</v>
      </c>
      <c r="BV2146" s="2" t="s">
        <v>233</v>
      </c>
      <c r="BW2146" s="2" t="s">
        <v>233</v>
      </c>
      <c r="BX2146" s="2" t="s">
        <v>233</v>
      </c>
      <c r="BY2146" s="2" t="s">
        <v>280</v>
      </c>
      <c r="BZ2146" s="2" t="s">
        <v>245</v>
      </c>
      <c r="CA2146" s="2" t="s">
        <v>364</v>
      </c>
      <c r="CB2146" s="2" t="s">
        <v>233</v>
      </c>
      <c r="CC2146" s="2" t="s">
        <v>246</v>
      </c>
      <c r="CD2146" s="2" t="s">
        <v>233</v>
      </c>
      <c r="CE2146" s="4">
        <v>68</v>
      </c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>
        <v>110</v>
      </c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>
        <v>60</v>
      </c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>
        <v>50</v>
      </c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  <c r="HF2146" s="4"/>
      <c r="HG2146" s="4"/>
      <c r="HH2146" s="4"/>
      <c r="HI2146" s="4"/>
      <c r="HJ2146" s="4"/>
      <c r="HK2146" s="4"/>
      <c r="HL2146" s="4"/>
      <c r="HM2146" s="4"/>
      <c r="HN2146" s="4"/>
      <c r="HO2146" s="4"/>
      <c r="HP2146" s="4"/>
      <c r="HQ2146" s="4"/>
      <c r="HR2146" s="4"/>
    </row>
    <row r="2147">
      <c r="A2147" s="2" t="s">
        <v>9626</v>
      </c>
      <c r="B2147" s="2" t="s">
        <v>333</v>
      </c>
      <c r="C2147" s="2" t="s">
        <v>911</v>
      </c>
      <c r="D2147" s="2" t="s">
        <v>335</v>
      </c>
      <c r="E2147" s="2" t="s">
        <v>336</v>
      </c>
      <c r="F2147" s="2" t="s">
        <v>9616</v>
      </c>
      <c r="G2147" s="2" t="s">
        <v>9616</v>
      </c>
      <c r="H2147" s="2" t="s">
        <v>9616</v>
      </c>
      <c r="I2147" s="2" t="s">
        <v>338</v>
      </c>
      <c r="J2147" s="2" t="s">
        <v>328</v>
      </c>
      <c r="K2147" s="2" t="s">
        <v>9623</v>
      </c>
      <c r="L2147" s="3">
        <v>16.35</v>
      </c>
      <c r="M2147" s="3">
        <v>17.17</v>
      </c>
      <c r="N2147" s="3">
        <v>34.99</v>
      </c>
      <c r="O2147" s="2" t="s">
        <v>245</v>
      </c>
      <c r="P2147" s="2" t="s">
        <v>272</v>
      </c>
      <c r="Q2147" s="2" t="s">
        <v>239</v>
      </c>
      <c r="R2147" s="2" t="s">
        <v>233</v>
      </c>
      <c r="S2147" s="2" t="s">
        <v>9624</v>
      </c>
      <c r="T2147" s="2" t="s">
        <v>395</v>
      </c>
      <c r="U2147" s="2" t="s">
        <v>342</v>
      </c>
      <c r="V2147" s="2" t="s">
        <v>1272</v>
      </c>
      <c r="W2147" s="2" t="s">
        <v>275</v>
      </c>
      <c r="X2147" s="2" t="s">
        <v>233</v>
      </c>
      <c r="Y2147" s="2" t="s">
        <v>3535</v>
      </c>
      <c r="Z2147" s="4"/>
      <c r="AA2147" s="4">
        <f>=ROUNDDOWN({0},0)</f>
      </c>
      <c r="AB2147" s="5">
        <v>8</v>
      </c>
      <c r="AC2147" s="2" t="s">
        <v>547</v>
      </c>
      <c r="AD2147" s="4">
        <v>40</v>
      </c>
      <c r="AE2147" s="4">
        <v>190</v>
      </c>
      <c r="AF2147" s="6">
        <v>65</v>
      </c>
      <c r="AG2147" s="6"/>
      <c r="AH2147" s="7">
        <v>0.9677</v>
      </c>
      <c r="AI2147" s="4"/>
      <c r="AJ2147" s="4">
        <f>=ROUNDDOWN({0},0)</f>
      </c>
      <c r="AK2147" s="5"/>
      <c r="AL2147" s="2" t="s">
        <v>233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233</v>
      </c>
      <c r="AW2147" s="8" t="s">
        <v>233</v>
      </c>
      <c r="AX2147" s="4" t="s">
        <v>233</v>
      </c>
      <c r="AY2147" s="8" t="s">
        <v>233</v>
      </c>
      <c r="AZ2147" s="7" t="s">
        <v>233</v>
      </c>
      <c r="BA2147" s="7" t="s">
        <v>233</v>
      </c>
      <c r="BB2147" s="7"/>
      <c r="BC2147" s="4" t="s">
        <v>233</v>
      </c>
      <c r="BD2147" s="8" t="s">
        <v>233</v>
      </c>
      <c r="BE2147" s="4" t="s">
        <v>233</v>
      </c>
      <c r="BF2147" s="8" t="s">
        <v>233</v>
      </c>
      <c r="BG2147" s="7" t="s">
        <v>233</v>
      </c>
      <c r="BH2147" s="7" t="s">
        <v>233</v>
      </c>
      <c r="BI2147" s="7"/>
      <c r="BJ2147" s="4">
        <v>66</v>
      </c>
      <c r="BK2147" s="8">
        <v>1229.74</v>
      </c>
      <c r="BL2147" s="2" t="s">
        <v>9627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9628</v>
      </c>
      <c r="BV2147" s="2" t="s">
        <v>233</v>
      </c>
      <c r="BW2147" s="2" t="s">
        <v>233</v>
      </c>
      <c r="BX2147" s="2" t="s">
        <v>233</v>
      </c>
      <c r="BY2147" s="2" t="s">
        <v>280</v>
      </c>
      <c r="BZ2147" s="2" t="s">
        <v>245</v>
      </c>
      <c r="CA2147" s="2" t="s">
        <v>364</v>
      </c>
      <c r="CB2147" s="2" t="s">
        <v>233</v>
      </c>
      <c r="CC2147" s="2" t="s">
        <v>246</v>
      </c>
      <c r="CD2147" s="2" t="s">
        <v>233</v>
      </c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>
        <v>40</v>
      </c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>
        <v>80</v>
      </c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>
        <v>70</v>
      </c>
      <c r="GF2147" s="4"/>
      <c r="GG2147" s="4"/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/>
      <c r="HB2147" s="4"/>
      <c r="HC2147" s="4"/>
      <c r="HD2147" s="4"/>
      <c r="HE2147" s="4"/>
      <c r="HF2147" s="4"/>
      <c r="HG2147" s="4"/>
      <c r="HH2147" s="4"/>
      <c r="HI2147" s="4"/>
      <c r="HJ2147" s="4"/>
      <c r="HK2147" s="4"/>
      <c r="HL2147" s="4"/>
      <c r="HM2147" s="4"/>
      <c r="HN2147" s="4"/>
      <c r="HO2147" s="4"/>
      <c r="HP2147" s="4"/>
      <c r="HQ2147" s="4"/>
      <c r="HR2147" s="4"/>
    </row>
    <row r="2148">
      <c r="A2148" s="2" t="s">
        <v>9629</v>
      </c>
      <c r="B2148" s="2" t="s">
        <v>333</v>
      </c>
      <c r="C2148" s="2" t="s">
        <v>911</v>
      </c>
      <c r="D2148" s="2" t="s">
        <v>335</v>
      </c>
      <c r="E2148" s="2" t="s">
        <v>336</v>
      </c>
      <c r="F2148" s="2" t="s">
        <v>9616</v>
      </c>
      <c r="G2148" s="2" t="s">
        <v>9616</v>
      </c>
      <c r="H2148" s="2" t="s">
        <v>9616</v>
      </c>
      <c r="I2148" s="2" t="s">
        <v>338</v>
      </c>
      <c r="J2148" s="2" t="s">
        <v>270</v>
      </c>
      <c r="K2148" s="2" t="s">
        <v>9630</v>
      </c>
      <c r="L2148" s="3">
        <v>11.95</v>
      </c>
      <c r="M2148" s="3">
        <v>12.55</v>
      </c>
      <c r="N2148" s="3">
        <v>24.99</v>
      </c>
      <c r="O2148" s="2" t="s">
        <v>245</v>
      </c>
      <c r="P2148" s="2" t="s">
        <v>272</v>
      </c>
      <c r="Q2148" s="2" t="s">
        <v>239</v>
      </c>
      <c r="R2148" s="2" t="s">
        <v>233</v>
      </c>
      <c r="S2148" s="2" t="s">
        <v>9631</v>
      </c>
      <c r="T2148" s="2" t="s">
        <v>395</v>
      </c>
      <c r="U2148" s="2" t="s">
        <v>475</v>
      </c>
      <c r="V2148" s="2" t="s">
        <v>3390</v>
      </c>
      <c r="W2148" s="2" t="s">
        <v>275</v>
      </c>
      <c r="X2148" s="2" t="s">
        <v>233</v>
      </c>
      <c r="Y2148" s="2" t="s">
        <v>3535</v>
      </c>
      <c r="Z2148" s="4">
        <v>97</v>
      </c>
      <c r="AA2148" s="4">
        <f>=ROUNDDOWN(24.25,0)</f>
      </c>
      <c r="AB2148" s="5">
        <v>4</v>
      </c>
      <c r="AC2148" s="2" t="s">
        <v>873</v>
      </c>
      <c r="AD2148" s="4">
        <v>40</v>
      </c>
      <c r="AE2148" s="4">
        <v>130</v>
      </c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233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233</v>
      </c>
      <c r="AW2148" s="8" t="s">
        <v>233</v>
      </c>
      <c r="AX2148" s="4" t="s">
        <v>233</v>
      </c>
      <c r="AY2148" s="8" t="s">
        <v>233</v>
      </c>
      <c r="AZ2148" s="7" t="s">
        <v>233</v>
      </c>
      <c r="BA2148" s="7" t="s">
        <v>233</v>
      </c>
      <c r="BB2148" s="7"/>
      <c r="BC2148" s="4" t="s">
        <v>233</v>
      </c>
      <c r="BD2148" s="8" t="s">
        <v>233</v>
      </c>
      <c r="BE2148" s="4" t="s">
        <v>233</v>
      </c>
      <c r="BF2148" s="8" t="s">
        <v>233</v>
      </c>
      <c r="BG2148" s="7" t="s">
        <v>233</v>
      </c>
      <c r="BH2148" s="7" t="s">
        <v>233</v>
      </c>
      <c r="BI2148" s="7"/>
      <c r="BJ2148" s="4">
        <v>10</v>
      </c>
      <c r="BK2148" s="8">
        <v>127.94</v>
      </c>
      <c r="BL2148" s="2" t="s">
        <v>6306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9632</v>
      </c>
      <c r="BV2148" s="2" t="s">
        <v>233</v>
      </c>
      <c r="BW2148" s="2" t="s">
        <v>233</v>
      </c>
      <c r="BX2148" s="2" t="s">
        <v>233</v>
      </c>
      <c r="BY2148" s="2" t="s">
        <v>280</v>
      </c>
      <c r="BZ2148" s="2" t="s">
        <v>245</v>
      </c>
      <c r="CA2148" s="2" t="s">
        <v>364</v>
      </c>
      <c r="CB2148" s="2" t="s">
        <v>3856</v>
      </c>
      <c r="CC2148" s="2" t="s">
        <v>246</v>
      </c>
      <c r="CD2148" s="2" t="s">
        <v>233</v>
      </c>
      <c r="CE2148" s="4">
        <v>97</v>
      </c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>
        <v>40</v>
      </c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  <c r="GI2148" s="4"/>
      <c r="GJ2148" s="4"/>
      <c r="GK2148" s="4"/>
      <c r="GL2148" s="4"/>
      <c r="GM2148" s="4"/>
      <c r="GN2148" s="4"/>
      <c r="GO2148" s="4"/>
      <c r="GP2148" s="4"/>
      <c r="GQ2148" s="4"/>
      <c r="GR2148" s="4"/>
      <c r="GS2148" s="4"/>
      <c r="GT2148" s="4"/>
      <c r="GU2148" s="4"/>
      <c r="GV2148" s="4"/>
      <c r="GW2148" s="4"/>
      <c r="GX2148" s="4"/>
      <c r="GY2148" s="4"/>
      <c r="GZ2148" s="4"/>
      <c r="HA2148" s="4"/>
      <c r="HB2148" s="4"/>
      <c r="HC2148" s="4"/>
      <c r="HD2148" s="4"/>
      <c r="HE2148" s="4">
        <v>90</v>
      </c>
      <c r="HF2148" s="4"/>
      <c r="HG2148" s="4"/>
      <c r="HH2148" s="4"/>
      <c r="HI2148" s="4"/>
      <c r="HJ2148" s="4"/>
      <c r="HK2148" s="4"/>
      <c r="HL2148" s="4"/>
      <c r="HM2148" s="4"/>
      <c r="HN2148" s="4"/>
      <c r="HO2148" s="4"/>
      <c r="HP2148" s="4"/>
      <c r="HQ2148" s="4"/>
      <c r="HR2148" s="4"/>
    </row>
    <row r="2149">
      <c r="A2149" s="2" t="s">
        <v>9633</v>
      </c>
      <c r="B2149" s="2" t="s">
        <v>333</v>
      </c>
      <c r="C2149" s="2" t="s">
        <v>911</v>
      </c>
      <c r="D2149" s="2" t="s">
        <v>335</v>
      </c>
      <c r="E2149" s="2" t="s">
        <v>336</v>
      </c>
      <c r="F2149" s="2" t="s">
        <v>9616</v>
      </c>
      <c r="G2149" s="2" t="s">
        <v>9616</v>
      </c>
      <c r="H2149" s="2" t="s">
        <v>9616</v>
      </c>
      <c r="I2149" s="2" t="s">
        <v>338</v>
      </c>
      <c r="J2149" s="2" t="s">
        <v>348</v>
      </c>
      <c r="K2149" s="2" t="s">
        <v>9630</v>
      </c>
      <c r="L2149" s="3">
        <v>14.75</v>
      </c>
      <c r="M2149" s="3">
        <v>15.49</v>
      </c>
      <c r="N2149" s="3">
        <v>29.99</v>
      </c>
      <c r="O2149" s="2" t="s">
        <v>245</v>
      </c>
      <c r="P2149" s="2" t="s">
        <v>272</v>
      </c>
      <c r="Q2149" s="2" t="s">
        <v>239</v>
      </c>
      <c r="R2149" s="2" t="s">
        <v>233</v>
      </c>
      <c r="S2149" s="2" t="s">
        <v>9631</v>
      </c>
      <c r="T2149" s="2" t="s">
        <v>395</v>
      </c>
      <c r="U2149" s="2" t="s">
        <v>342</v>
      </c>
      <c r="V2149" s="2" t="s">
        <v>3390</v>
      </c>
      <c r="W2149" s="2" t="s">
        <v>275</v>
      </c>
      <c r="X2149" s="2" t="s">
        <v>233</v>
      </c>
      <c r="Y2149" s="2" t="s">
        <v>3535</v>
      </c>
      <c r="Z2149" s="4">
        <v>99</v>
      </c>
      <c r="AA2149" s="4">
        <f>=ROUNDDOWN(14.1428571428571,0)</f>
      </c>
      <c r="AB2149" s="5">
        <v>7</v>
      </c>
      <c r="AC2149" s="2" t="s">
        <v>873</v>
      </c>
      <c r="AD2149" s="4">
        <v>100</v>
      </c>
      <c r="AE2149" s="4">
        <v>230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233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233</v>
      </c>
      <c r="AW2149" s="8" t="s">
        <v>233</v>
      </c>
      <c r="AX2149" s="4" t="s">
        <v>233</v>
      </c>
      <c r="AY2149" s="8" t="s">
        <v>233</v>
      </c>
      <c r="AZ2149" s="7" t="s">
        <v>233</v>
      </c>
      <c r="BA2149" s="7" t="s">
        <v>233</v>
      </c>
      <c r="BB2149" s="7"/>
      <c r="BC2149" s="4" t="s">
        <v>233</v>
      </c>
      <c r="BD2149" s="8" t="s">
        <v>233</v>
      </c>
      <c r="BE2149" s="4" t="s">
        <v>233</v>
      </c>
      <c r="BF2149" s="8" t="s">
        <v>233</v>
      </c>
      <c r="BG2149" s="7" t="s">
        <v>233</v>
      </c>
      <c r="BH2149" s="7" t="s">
        <v>233</v>
      </c>
      <c r="BI2149" s="7"/>
      <c r="BJ2149" s="4">
        <v>26</v>
      </c>
      <c r="BK2149" s="8">
        <v>424.77</v>
      </c>
      <c r="BL2149" s="2" t="s">
        <v>6306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9634</v>
      </c>
      <c r="BV2149" s="2" t="s">
        <v>233</v>
      </c>
      <c r="BW2149" s="2" t="s">
        <v>233</v>
      </c>
      <c r="BX2149" s="2" t="s">
        <v>233</v>
      </c>
      <c r="BY2149" s="2" t="s">
        <v>280</v>
      </c>
      <c r="BZ2149" s="2" t="s">
        <v>245</v>
      </c>
      <c r="CA2149" s="2" t="s">
        <v>364</v>
      </c>
      <c r="CB2149" s="2" t="s">
        <v>233</v>
      </c>
      <c r="CC2149" s="2" t="s">
        <v>246</v>
      </c>
      <c r="CD2149" s="2" t="s">
        <v>233</v>
      </c>
      <c r="CE2149" s="4">
        <v>99</v>
      </c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>
        <v>100</v>
      </c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  <c r="GI2149" s="4"/>
      <c r="GJ2149" s="4"/>
      <c r="GK2149" s="4"/>
      <c r="GL2149" s="4"/>
      <c r="GM2149" s="4"/>
      <c r="GN2149" s="4"/>
      <c r="GO2149" s="4"/>
      <c r="GP2149" s="4"/>
      <c r="GQ2149" s="4"/>
      <c r="GR2149" s="4"/>
      <c r="GS2149" s="4"/>
      <c r="GT2149" s="4"/>
      <c r="GU2149" s="4"/>
      <c r="GV2149" s="4"/>
      <c r="GW2149" s="4"/>
      <c r="GX2149" s="4"/>
      <c r="GY2149" s="4"/>
      <c r="GZ2149" s="4"/>
      <c r="HA2149" s="4"/>
      <c r="HB2149" s="4"/>
      <c r="HC2149" s="4"/>
      <c r="HD2149" s="4"/>
      <c r="HE2149" s="4">
        <v>130</v>
      </c>
      <c r="HF2149" s="4"/>
      <c r="HG2149" s="4"/>
      <c r="HH2149" s="4"/>
      <c r="HI2149" s="4"/>
      <c r="HJ2149" s="4"/>
      <c r="HK2149" s="4"/>
      <c r="HL2149" s="4"/>
      <c r="HM2149" s="4"/>
      <c r="HN2149" s="4"/>
      <c r="HO2149" s="4"/>
      <c r="HP2149" s="4"/>
      <c r="HQ2149" s="4"/>
      <c r="HR2149" s="4"/>
    </row>
    <row r="2150">
      <c r="A2150" s="2" t="s">
        <v>9635</v>
      </c>
      <c r="B2150" s="2" t="s">
        <v>333</v>
      </c>
      <c r="C2150" s="2" t="s">
        <v>911</v>
      </c>
      <c r="D2150" s="2" t="s">
        <v>335</v>
      </c>
      <c r="E2150" s="2" t="s">
        <v>336</v>
      </c>
      <c r="F2150" s="2" t="s">
        <v>9616</v>
      </c>
      <c r="G2150" s="2" t="s">
        <v>9616</v>
      </c>
      <c r="H2150" s="2" t="s">
        <v>9616</v>
      </c>
      <c r="I2150" s="2" t="s">
        <v>338</v>
      </c>
      <c r="J2150" s="2" t="s">
        <v>328</v>
      </c>
      <c r="K2150" s="2" t="s">
        <v>9630</v>
      </c>
      <c r="L2150" s="3">
        <v>16.35</v>
      </c>
      <c r="M2150" s="3">
        <v>17.17</v>
      </c>
      <c r="N2150" s="3">
        <v>34.99</v>
      </c>
      <c r="O2150" s="2" t="s">
        <v>245</v>
      </c>
      <c r="P2150" s="2" t="s">
        <v>272</v>
      </c>
      <c r="Q2150" s="2" t="s">
        <v>239</v>
      </c>
      <c r="R2150" s="2" t="s">
        <v>233</v>
      </c>
      <c r="S2150" s="2" t="s">
        <v>9631</v>
      </c>
      <c r="T2150" s="2" t="s">
        <v>395</v>
      </c>
      <c r="U2150" s="2" t="s">
        <v>342</v>
      </c>
      <c r="V2150" s="2" t="s">
        <v>3390</v>
      </c>
      <c r="W2150" s="2" t="s">
        <v>275</v>
      </c>
      <c r="X2150" s="2" t="s">
        <v>233</v>
      </c>
      <c r="Y2150" s="2" t="s">
        <v>3535</v>
      </c>
      <c r="Z2150" s="4">
        <v>29</v>
      </c>
      <c r="AA2150" s="4">
        <f>=ROUNDDOWN(7.25,0)</f>
      </c>
      <c r="AB2150" s="5">
        <v>4</v>
      </c>
      <c r="AC2150" s="2" t="s">
        <v>873</v>
      </c>
      <c r="AD2150" s="4">
        <v>90</v>
      </c>
      <c r="AE2150" s="4">
        <v>190</v>
      </c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233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233</v>
      </c>
      <c r="AW2150" s="8" t="s">
        <v>233</v>
      </c>
      <c r="AX2150" s="4" t="s">
        <v>233</v>
      </c>
      <c r="AY2150" s="8" t="s">
        <v>233</v>
      </c>
      <c r="AZ2150" s="7" t="s">
        <v>233</v>
      </c>
      <c r="BA2150" s="7" t="s">
        <v>233</v>
      </c>
      <c r="BB2150" s="7"/>
      <c r="BC2150" s="4" t="s">
        <v>233</v>
      </c>
      <c r="BD2150" s="8" t="s">
        <v>233</v>
      </c>
      <c r="BE2150" s="4" t="s">
        <v>233</v>
      </c>
      <c r="BF2150" s="8" t="s">
        <v>233</v>
      </c>
      <c r="BG2150" s="7" t="s">
        <v>233</v>
      </c>
      <c r="BH2150" s="7" t="s">
        <v>233</v>
      </c>
      <c r="BI2150" s="7"/>
      <c r="BJ2150" s="4">
        <v>17</v>
      </c>
      <c r="BK2150" s="8">
        <v>311.8</v>
      </c>
      <c r="BL2150" s="2" t="s">
        <v>9636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9637</v>
      </c>
      <c r="BV2150" s="2" t="s">
        <v>233</v>
      </c>
      <c r="BW2150" s="2" t="s">
        <v>233</v>
      </c>
      <c r="BX2150" s="2" t="s">
        <v>233</v>
      </c>
      <c r="BY2150" s="2" t="s">
        <v>280</v>
      </c>
      <c r="BZ2150" s="2" t="s">
        <v>245</v>
      </c>
      <c r="CA2150" s="2" t="s">
        <v>364</v>
      </c>
      <c r="CB2150" s="2" t="s">
        <v>9585</v>
      </c>
      <c r="CC2150" s="2" t="s">
        <v>246</v>
      </c>
      <c r="CD2150" s="2" t="s">
        <v>233</v>
      </c>
      <c r="CE2150" s="4">
        <v>29</v>
      </c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>
        <v>90</v>
      </c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4"/>
      <c r="HE2150" s="4">
        <v>100</v>
      </c>
      <c r="HF2150" s="4"/>
      <c r="HG2150" s="4"/>
      <c r="HH2150" s="4"/>
      <c r="HI2150" s="4"/>
      <c r="HJ2150" s="4"/>
      <c r="HK2150" s="4"/>
      <c r="HL2150" s="4"/>
      <c r="HM2150" s="4"/>
      <c r="HN2150" s="4"/>
      <c r="HO2150" s="4"/>
      <c r="HP2150" s="4"/>
      <c r="HQ2150" s="4"/>
      <c r="HR2150" s="4"/>
    </row>
    <row r="2151">
      <c r="A2151" s="2" t="s">
        <v>9638</v>
      </c>
      <c r="B2151" s="2" t="s">
        <v>333</v>
      </c>
      <c r="C2151" s="2" t="s">
        <v>911</v>
      </c>
      <c r="D2151" s="2" t="s">
        <v>335</v>
      </c>
      <c r="E2151" s="2" t="s">
        <v>336</v>
      </c>
      <c r="F2151" s="2" t="s">
        <v>9616</v>
      </c>
      <c r="G2151" s="2" t="s">
        <v>9616</v>
      </c>
      <c r="H2151" s="2" t="s">
        <v>9616</v>
      </c>
      <c r="I2151" s="2" t="s">
        <v>338</v>
      </c>
      <c r="J2151" s="2" t="s">
        <v>270</v>
      </c>
      <c r="K2151" s="2" t="s">
        <v>9639</v>
      </c>
      <c r="L2151" s="3">
        <v>11.95</v>
      </c>
      <c r="M2151" s="3">
        <v>12.55</v>
      </c>
      <c r="N2151" s="3">
        <v>24.99</v>
      </c>
      <c r="O2151" s="2" t="s">
        <v>245</v>
      </c>
      <c r="P2151" s="2" t="s">
        <v>238</v>
      </c>
      <c r="Q2151" s="2" t="s">
        <v>239</v>
      </c>
      <c r="R2151" s="2" t="s">
        <v>233</v>
      </c>
      <c r="S2151" s="2" t="s">
        <v>9640</v>
      </c>
      <c r="T2151" s="2" t="s">
        <v>395</v>
      </c>
      <c r="U2151" s="2" t="s">
        <v>475</v>
      </c>
      <c r="V2151" s="2" t="s">
        <v>921</v>
      </c>
      <c r="W2151" s="2" t="s">
        <v>275</v>
      </c>
      <c r="X2151" s="2" t="s">
        <v>233</v>
      </c>
      <c r="Y2151" s="2" t="s">
        <v>5614</v>
      </c>
      <c r="Z2151" s="4"/>
      <c r="AA2151" s="4">
        <f>=ROUNDDOWN({0},0)</f>
      </c>
      <c r="AB2151" s="5"/>
      <c r="AC2151" s="2" t="s">
        <v>1839</v>
      </c>
      <c r="AD2151" s="4">
        <v>70</v>
      </c>
      <c r="AE2151" s="4">
        <v>130</v>
      </c>
      <c r="AF2151" s="6">
        <v>65</v>
      </c>
      <c r="AG2151" s="6"/>
      <c r="AH2151" s="7">
        <v>0</v>
      </c>
      <c r="AI2151" s="4"/>
      <c r="AJ2151" s="4">
        <f>=ROUNDDOWN({0},0)</f>
      </c>
      <c r="AK2151" s="5"/>
      <c r="AL2151" s="2" t="s">
        <v>233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233</v>
      </c>
      <c r="AW2151" s="8" t="s">
        <v>233</v>
      </c>
      <c r="AX2151" s="4" t="s">
        <v>233</v>
      </c>
      <c r="AY2151" s="8" t="s">
        <v>233</v>
      </c>
      <c r="AZ2151" s="7" t="s">
        <v>233</v>
      </c>
      <c r="BA2151" s="7" t="s">
        <v>233</v>
      </c>
      <c r="BB2151" s="7"/>
      <c r="BC2151" s="4" t="s">
        <v>233</v>
      </c>
      <c r="BD2151" s="8" t="s">
        <v>233</v>
      </c>
      <c r="BE2151" s="4" t="s">
        <v>233</v>
      </c>
      <c r="BF2151" s="8" t="s">
        <v>233</v>
      </c>
      <c r="BG2151" s="7" t="s">
        <v>233</v>
      </c>
      <c r="BH2151" s="7" t="s">
        <v>233</v>
      </c>
      <c r="BI2151" s="7"/>
      <c r="BJ2151" s="4"/>
      <c r="BK2151" s="8"/>
      <c r="BL2151" s="2" t="s">
        <v>233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243</v>
      </c>
      <c r="BV2151" s="2" t="s">
        <v>233</v>
      </c>
      <c r="BW2151" s="2" t="s">
        <v>233</v>
      </c>
      <c r="BX2151" s="2" t="s">
        <v>243</v>
      </c>
      <c r="BY2151" s="2" t="s">
        <v>244</v>
      </c>
      <c r="BZ2151" s="2" t="s">
        <v>245</v>
      </c>
      <c r="CA2151" s="2" t="s">
        <v>233</v>
      </c>
      <c r="CB2151" s="2" t="s">
        <v>233</v>
      </c>
      <c r="CC2151" s="2" t="s">
        <v>246</v>
      </c>
      <c r="CD2151" s="2" t="s">
        <v>233</v>
      </c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>
        <v>70</v>
      </c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>
        <v>60</v>
      </c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4"/>
      <c r="HE2151" s="4"/>
      <c r="HF2151" s="4"/>
      <c r="HG2151" s="4"/>
      <c r="HH2151" s="4"/>
      <c r="HI2151" s="4"/>
      <c r="HJ2151" s="4"/>
      <c r="HK2151" s="4"/>
      <c r="HL2151" s="4"/>
      <c r="HM2151" s="4"/>
      <c r="HN2151" s="4"/>
      <c r="HO2151" s="4"/>
      <c r="HP2151" s="4"/>
      <c r="HQ2151" s="4"/>
      <c r="HR2151" s="4"/>
    </row>
    <row r="2152">
      <c r="A2152" s="2" t="s">
        <v>9641</v>
      </c>
      <c r="B2152" s="2" t="s">
        <v>333</v>
      </c>
      <c r="C2152" s="2" t="s">
        <v>911</v>
      </c>
      <c r="D2152" s="2" t="s">
        <v>335</v>
      </c>
      <c r="E2152" s="2" t="s">
        <v>336</v>
      </c>
      <c r="F2152" s="2" t="s">
        <v>9616</v>
      </c>
      <c r="G2152" s="2" t="s">
        <v>9616</v>
      </c>
      <c r="H2152" s="2" t="s">
        <v>9616</v>
      </c>
      <c r="I2152" s="2" t="s">
        <v>338</v>
      </c>
      <c r="J2152" s="2" t="s">
        <v>290</v>
      </c>
      <c r="K2152" s="2" t="s">
        <v>9639</v>
      </c>
      <c r="L2152" s="3">
        <v>13.55</v>
      </c>
      <c r="M2152" s="3">
        <v>14.23</v>
      </c>
      <c r="N2152" s="3">
        <v>27.99</v>
      </c>
      <c r="O2152" s="2" t="s">
        <v>245</v>
      </c>
      <c r="P2152" s="2" t="s">
        <v>238</v>
      </c>
      <c r="Q2152" s="2" t="s">
        <v>239</v>
      </c>
      <c r="R2152" s="2" t="s">
        <v>233</v>
      </c>
      <c r="S2152" s="2" t="s">
        <v>9640</v>
      </c>
      <c r="T2152" s="2" t="s">
        <v>395</v>
      </c>
      <c r="U2152" s="2" t="s">
        <v>342</v>
      </c>
      <c r="V2152" s="2" t="s">
        <v>921</v>
      </c>
      <c r="W2152" s="2" t="s">
        <v>275</v>
      </c>
      <c r="X2152" s="2" t="s">
        <v>233</v>
      </c>
      <c r="Y2152" s="2" t="s">
        <v>5614</v>
      </c>
      <c r="Z2152" s="4"/>
      <c r="AA2152" s="4">
        <f>=ROUNDDOWN({0},0)</f>
      </c>
      <c r="AB2152" s="5"/>
      <c r="AC2152" s="2" t="s">
        <v>1839</v>
      </c>
      <c r="AD2152" s="4">
        <v>60</v>
      </c>
      <c r="AE2152" s="4">
        <v>120</v>
      </c>
      <c r="AF2152" s="6">
        <v>65</v>
      </c>
      <c r="AG2152" s="6"/>
      <c r="AH2152" s="7">
        <v>0</v>
      </c>
      <c r="AI2152" s="4"/>
      <c r="AJ2152" s="4">
        <f>=ROUNDDOWN({0},0)</f>
      </c>
      <c r="AK2152" s="5"/>
      <c r="AL2152" s="2" t="s">
        <v>233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233</v>
      </c>
      <c r="AW2152" s="8" t="s">
        <v>233</v>
      </c>
      <c r="AX2152" s="4" t="s">
        <v>233</v>
      </c>
      <c r="AY2152" s="8" t="s">
        <v>233</v>
      </c>
      <c r="AZ2152" s="7" t="s">
        <v>233</v>
      </c>
      <c r="BA2152" s="7" t="s">
        <v>233</v>
      </c>
      <c r="BB2152" s="7"/>
      <c r="BC2152" s="4" t="s">
        <v>233</v>
      </c>
      <c r="BD2152" s="8" t="s">
        <v>233</v>
      </c>
      <c r="BE2152" s="4" t="s">
        <v>233</v>
      </c>
      <c r="BF2152" s="8" t="s">
        <v>233</v>
      </c>
      <c r="BG2152" s="7" t="s">
        <v>233</v>
      </c>
      <c r="BH2152" s="7" t="s">
        <v>233</v>
      </c>
      <c r="BI2152" s="7"/>
      <c r="BJ2152" s="4"/>
      <c r="BK2152" s="8"/>
      <c r="BL2152" s="2" t="s">
        <v>233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243</v>
      </c>
      <c r="BV2152" s="2" t="s">
        <v>233</v>
      </c>
      <c r="BW2152" s="2" t="s">
        <v>233</v>
      </c>
      <c r="BX2152" s="2" t="s">
        <v>243</v>
      </c>
      <c r="BY2152" s="2" t="s">
        <v>244</v>
      </c>
      <c r="BZ2152" s="2" t="s">
        <v>245</v>
      </c>
      <c r="CA2152" s="2" t="s">
        <v>233</v>
      </c>
      <c r="CB2152" s="2" t="s">
        <v>233</v>
      </c>
      <c r="CC2152" s="2" t="s">
        <v>246</v>
      </c>
      <c r="CD2152" s="2" t="s">
        <v>233</v>
      </c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>
        <v>60</v>
      </c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>
        <v>60</v>
      </c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/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  <c r="HF2152" s="4"/>
      <c r="HG2152" s="4"/>
      <c r="HH2152" s="4"/>
      <c r="HI2152" s="4"/>
      <c r="HJ2152" s="4"/>
      <c r="HK2152" s="4"/>
      <c r="HL2152" s="4"/>
      <c r="HM2152" s="4"/>
      <c r="HN2152" s="4"/>
      <c r="HO2152" s="4"/>
      <c r="HP2152" s="4"/>
      <c r="HQ2152" s="4"/>
      <c r="HR2152" s="4"/>
    </row>
    <row r="2153">
      <c r="A2153" s="2" t="s">
        <v>9642</v>
      </c>
      <c r="B2153" s="2" t="s">
        <v>333</v>
      </c>
      <c r="C2153" s="2" t="s">
        <v>911</v>
      </c>
      <c r="D2153" s="2" t="s">
        <v>335</v>
      </c>
      <c r="E2153" s="2" t="s">
        <v>336</v>
      </c>
      <c r="F2153" s="2" t="s">
        <v>9616</v>
      </c>
      <c r="G2153" s="2" t="s">
        <v>9616</v>
      </c>
      <c r="H2153" s="2" t="s">
        <v>9616</v>
      </c>
      <c r="I2153" s="2" t="s">
        <v>338</v>
      </c>
      <c r="J2153" s="2" t="s">
        <v>348</v>
      </c>
      <c r="K2153" s="2" t="s">
        <v>9639</v>
      </c>
      <c r="L2153" s="3">
        <v>14.75</v>
      </c>
      <c r="M2153" s="3">
        <v>15.49</v>
      </c>
      <c r="N2153" s="3">
        <v>29.99</v>
      </c>
      <c r="O2153" s="2" t="s">
        <v>245</v>
      </c>
      <c r="P2153" s="2" t="s">
        <v>238</v>
      </c>
      <c r="Q2153" s="2" t="s">
        <v>239</v>
      </c>
      <c r="R2153" s="2" t="s">
        <v>233</v>
      </c>
      <c r="S2153" s="2" t="s">
        <v>9640</v>
      </c>
      <c r="T2153" s="2" t="s">
        <v>395</v>
      </c>
      <c r="U2153" s="2" t="s">
        <v>342</v>
      </c>
      <c r="V2153" s="2" t="s">
        <v>921</v>
      </c>
      <c r="W2153" s="2" t="s">
        <v>275</v>
      </c>
      <c r="X2153" s="2" t="s">
        <v>233</v>
      </c>
      <c r="Y2153" s="2" t="s">
        <v>5614</v>
      </c>
      <c r="Z2153" s="4"/>
      <c r="AA2153" s="4">
        <f>=ROUNDDOWN({0},0)</f>
      </c>
      <c r="AB2153" s="5"/>
      <c r="AC2153" s="2" t="s">
        <v>1839</v>
      </c>
      <c r="AD2153" s="4">
        <v>130</v>
      </c>
      <c r="AE2153" s="4">
        <v>250</v>
      </c>
      <c r="AF2153" s="6">
        <v>65</v>
      </c>
      <c r="AG2153" s="6"/>
      <c r="AH2153" s="7">
        <v>0</v>
      </c>
      <c r="AI2153" s="4"/>
      <c r="AJ2153" s="4">
        <f>=ROUNDDOWN({0},0)</f>
      </c>
      <c r="AK2153" s="5"/>
      <c r="AL2153" s="2" t="s">
        <v>233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233</v>
      </c>
      <c r="AW2153" s="8" t="s">
        <v>233</v>
      </c>
      <c r="AX2153" s="4" t="s">
        <v>233</v>
      </c>
      <c r="AY2153" s="8" t="s">
        <v>233</v>
      </c>
      <c r="AZ2153" s="7" t="s">
        <v>233</v>
      </c>
      <c r="BA2153" s="7" t="s">
        <v>233</v>
      </c>
      <c r="BB2153" s="7"/>
      <c r="BC2153" s="4" t="s">
        <v>233</v>
      </c>
      <c r="BD2153" s="8" t="s">
        <v>233</v>
      </c>
      <c r="BE2153" s="4" t="s">
        <v>233</v>
      </c>
      <c r="BF2153" s="8" t="s">
        <v>233</v>
      </c>
      <c r="BG2153" s="7" t="s">
        <v>233</v>
      </c>
      <c r="BH2153" s="7" t="s">
        <v>233</v>
      </c>
      <c r="BI2153" s="7"/>
      <c r="BJ2153" s="4"/>
      <c r="BK2153" s="8"/>
      <c r="BL2153" s="2" t="s">
        <v>233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243</v>
      </c>
      <c r="BV2153" s="2" t="s">
        <v>233</v>
      </c>
      <c r="BW2153" s="2" t="s">
        <v>233</v>
      </c>
      <c r="BX2153" s="2" t="s">
        <v>243</v>
      </c>
      <c r="BY2153" s="2" t="s">
        <v>244</v>
      </c>
      <c r="BZ2153" s="2" t="s">
        <v>245</v>
      </c>
      <c r="CA2153" s="2" t="s">
        <v>233</v>
      </c>
      <c r="CB2153" s="2" t="s">
        <v>233</v>
      </c>
      <c r="CC2153" s="2" t="s">
        <v>246</v>
      </c>
      <c r="CD2153" s="2" t="s">
        <v>233</v>
      </c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>
        <v>130</v>
      </c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>
        <v>120</v>
      </c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/>
      <c r="GX2153" s="4"/>
      <c r="GY2153" s="4"/>
      <c r="GZ2153" s="4"/>
      <c r="HA2153" s="4"/>
      <c r="HB2153" s="4"/>
      <c r="HC2153" s="4"/>
      <c r="HD2153" s="4"/>
      <c r="HE2153" s="4"/>
      <c r="HF2153" s="4"/>
      <c r="HG2153" s="4"/>
      <c r="HH2153" s="4"/>
      <c r="HI2153" s="4"/>
      <c r="HJ2153" s="4"/>
      <c r="HK2153" s="4"/>
      <c r="HL2153" s="4"/>
      <c r="HM2153" s="4"/>
      <c r="HN2153" s="4"/>
      <c r="HO2153" s="4"/>
      <c r="HP2153" s="4"/>
      <c r="HQ2153" s="4"/>
      <c r="HR2153" s="4"/>
    </row>
    <row r="2154">
      <c r="A2154" s="2" t="s">
        <v>9643</v>
      </c>
      <c r="B2154" s="2" t="s">
        <v>333</v>
      </c>
      <c r="C2154" s="2" t="s">
        <v>911</v>
      </c>
      <c r="D2154" s="2" t="s">
        <v>335</v>
      </c>
      <c r="E2154" s="2" t="s">
        <v>336</v>
      </c>
      <c r="F2154" s="2" t="s">
        <v>9616</v>
      </c>
      <c r="G2154" s="2" t="s">
        <v>9616</v>
      </c>
      <c r="H2154" s="2" t="s">
        <v>9616</v>
      </c>
      <c r="I2154" s="2" t="s">
        <v>338</v>
      </c>
      <c r="J2154" s="2" t="s">
        <v>328</v>
      </c>
      <c r="K2154" s="2" t="s">
        <v>9639</v>
      </c>
      <c r="L2154" s="3">
        <v>16.35</v>
      </c>
      <c r="M2154" s="3">
        <v>17.17</v>
      </c>
      <c r="N2154" s="3">
        <v>34.99</v>
      </c>
      <c r="O2154" s="2" t="s">
        <v>245</v>
      </c>
      <c r="P2154" s="2" t="s">
        <v>238</v>
      </c>
      <c r="Q2154" s="2" t="s">
        <v>239</v>
      </c>
      <c r="R2154" s="2" t="s">
        <v>233</v>
      </c>
      <c r="S2154" s="2" t="s">
        <v>9640</v>
      </c>
      <c r="T2154" s="2" t="s">
        <v>395</v>
      </c>
      <c r="U2154" s="2" t="s">
        <v>342</v>
      </c>
      <c r="V2154" s="2" t="s">
        <v>921</v>
      </c>
      <c r="W2154" s="2" t="s">
        <v>275</v>
      </c>
      <c r="X2154" s="2" t="s">
        <v>233</v>
      </c>
      <c r="Y2154" s="2" t="s">
        <v>5614</v>
      </c>
      <c r="Z2154" s="4"/>
      <c r="AA2154" s="4">
        <f>=ROUNDDOWN({0},0)</f>
      </c>
      <c r="AB2154" s="5"/>
      <c r="AC2154" s="2" t="s">
        <v>1839</v>
      </c>
      <c r="AD2154" s="4">
        <v>50</v>
      </c>
      <c r="AE2154" s="4">
        <v>100</v>
      </c>
      <c r="AF2154" s="6">
        <v>65</v>
      </c>
      <c r="AG2154" s="6"/>
      <c r="AH2154" s="7">
        <v>0</v>
      </c>
      <c r="AI2154" s="4"/>
      <c r="AJ2154" s="4">
        <f>=ROUNDDOWN({0},0)</f>
      </c>
      <c r="AK2154" s="5"/>
      <c r="AL2154" s="2" t="s">
        <v>233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233</v>
      </c>
      <c r="AW2154" s="8" t="s">
        <v>233</v>
      </c>
      <c r="AX2154" s="4" t="s">
        <v>233</v>
      </c>
      <c r="AY2154" s="8" t="s">
        <v>233</v>
      </c>
      <c r="AZ2154" s="7" t="s">
        <v>233</v>
      </c>
      <c r="BA2154" s="7" t="s">
        <v>233</v>
      </c>
      <c r="BB2154" s="7"/>
      <c r="BC2154" s="4" t="s">
        <v>233</v>
      </c>
      <c r="BD2154" s="8" t="s">
        <v>233</v>
      </c>
      <c r="BE2154" s="4" t="s">
        <v>233</v>
      </c>
      <c r="BF2154" s="8" t="s">
        <v>233</v>
      </c>
      <c r="BG2154" s="7" t="s">
        <v>233</v>
      </c>
      <c r="BH2154" s="7" t="s">
        <v>233</v>
      </c>
      <c r="BI2154" s="7"/>
      <c r="BJ2154" s="4"/>
      <c r="BK2154" s="8"/>
      <c r="BL2154" s="2" t="s">
        <v>233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243</v>
      </c>
      <c r="BV2154" s="2" t="s">
        <v>233</v>
      </c>
      <c r="BW2154" s="2" t="s">
        <v>233</v>
      </c>
      <c r="BX2154" s="2" t="s">
        <v>243</v>
      </c>
      <c r="BY2154" s="2" t="s">
        <v>244</v>
      </c>
      <c r="BZ2154" s="2" t="s">
        <v>245</v>
      </c>
      <c r="CA2154" s="2" t="s">
        <v>233</v>
      </c>
      <c r="CB2154" s="2" t="s">
        <v>233</v>
      </c>
      <c r="CC2154" s="2" t="s">
        <v>246</v>
      </c>
      <c r="CD2154" s="2" t="s">
        <v>233</v>
      </c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>
        <v>50</v>
      </c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>
        <v>50</v>
      </c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  <c r="HF2154" s="4"/>
      <c r="HG2154" s="4"/>
      <c r="HH2154" s="4"/>
      <c r="HI2154" s="4"/>
      <c r="HJ2154" s="4"/>
      <c r="HK2154" s="4"/>
      <c r="HL2154" s="4"/>
      <c r="HM2154" s="4"/>
      <c r="HN2154" s="4"/>
      <c r="HO2154" s="4"/>
      <c r="HP2154" s="4"/>
      <c r="HQ2154" s="4"/>
      <c r="HR2154" s="4"/>
    </row>
    <row r="2155">
      <c r="A2155" s="2" t="s">
        <v>9644</v>
      </c>
      <c r="B2155" s="2" t="s">
        <v>228</v>
      </c>
      <c r="C2155" s="2" t="s">
        <v>3846</v>
      </c>
      <c r="D2155" s="2" t="s">
        <v>3847</v>
      </c>
      <c r="E2155" s="2" t="s">
        <v>6221</v>
      </c>
      <c r="F2155" s="2" t="s">
        <v>9645</v>
      </c>
      <c r="G2155" s="2" t="s">
        <v>9645</v>
      </c>
      <c r="H2155" s="2" t="s">
        <v>9645</v>
      </c>
      <c r="I2155" s="2" t="s">
        <v>9646</v>
      </c>
      <c r="J2155" s="2" t="s">
        <v>1736</v>
      </c>
      <c r="K2155" s="2" t="s">
        <v>255</v>
      </c>
      <c r="L2155" s="3">
        <v>33.38</v>
      </c>
      <c r="M2155" s="3">
        <v>35.05</v>
      </c>
      <c r="N2155" s="3">
        <v>64.99</v>
      </c>
      <c r="O2155" s="2" t="s">
        <v>245</v>
      </c>
      <c r="P2155" s="2" t="s">
        <v>311</v>
      </c>
      <c r="Q2155" s="2" t="s">
        <v>239</v>
      </c>
      <c r="R2155" s="2" t="s">
        <v>233</v>
      </c>
      <c r="S2155" s="2" t="s">
        <v>9647</v>
      </c>
      <c r="T2155" s="2" t="s">
        <v>1622</v>
      </c>
      <c r="U2155" s="2" t="s">
        <v>396</v>
      </c>
      <c r="V2155" s="2" t="s">
        <v>1085</v>
      </c>
      <c r="W2155" s="2" t="s">
        <v>275</v>
      </c>
      <c r="X2155" s="2" t="s">
        <v>451</v>
      </c>
      <c r="Y2155" s="2" t="s">
        <v>5990</v>
      </c>
      <c r="Z2155" s="4">
        <v>682</v>
      </c>
      <c r="AA2155" s="4">
        <f>=ROUNDDOWN(52.4615384615385,0)</f>
      </c>
      <c r="AB2155" s="5">
        <v>13</v>
      </c>
      <c r="AC2155" s="2" t="s">
        <v>233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233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 t="s">
        <v>233</v>
      </c>
      <c r="BD2155" s="8" t="s">
        <v>233</v>
      </c>
      <c r="BE2155" s="4" t="s">
        <v>233</v>
      </c>
      <c r="BF2155" s="8" t="s">
        <v>233</v>
      </c>
      <c r="BG2155" s="7" t="s">
        <v>233</v>
      </c>
      <c r="BH2155" s="7" t="s">
        <v>233</v>
      </c>
      <c r="BI2155" s="7"/>
      <c r="BJ2155" s="4">
        <v>18</v>
      </c>
      <c r="BK2155" s="8">
        <v>642.66</v>
      </c>
      <c r="BL2155" s="2" t="s">
        <v>9648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9649</v>
      </c>
      <c r="BV2155" s="2" t="s">
        <v>233</v>
      </c>
      <c r="BW2155" s="2" t="s">
        <v>233</v>
      </c>
      <c r="BX2155" s="2" t="s">
        <v>595</v>
      </c>
      <c r="BY2155" s="2" t="s">
        <v>280</v>
      </c>
      <c r="BZ2155" s="2" t="s">
        <v>245</v>
      </c>
      <c r="CA2155" s="2" t="s">
        <v>1775</v>
      </c>
      <c r="CB2155" s="2" t="s">
        <v>5382</v>
      </c>
      <c r="CC2155" s="2" t="s">
        <v>246</v>
      </c>
      <c r="CD2155" s="2" t="s">
        <v>233</v>
      </c>
      <c r="CE2155" s="4">
        <v>682</v>
      </c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  <c r="HF2155" s="4"/>
      <c r="HG2155" s="4"/>
      <c r="HH2155" s="4"/>
      <c r="HI2155" s="4"/>
      <c r="HJ2155" s="4"/>
      <c r="HK2155" s="4"/>
      <c r="HL2155" s="4"/>
      <c r="HM2155" s="4"/>
      <c r="HN2155" s="4"/>
      <c r="HO2155" s="4"/>
      <c r="HP2155" s="4"/>
      <c r="HQ2155" s="4"/>
      <c r="HR2155" s="4"/>
    </row>
    <row r="2156">
      <c r="A2156" s="2" t="s">
        <v>9650</v>
      </c>
      <c r="B2156" s="2" t="s">
        <v>228</v>
      </c>
      <c r="C2156" s="2" t="s">
        <v>3846</v>
      </c>
      <c r="D2156" s="2" t="s">
        <v>3847</v>
      </c>
      <c r="E2156" s="2" t="s">
        <v>6221</v>
      </c>
      <c r="F2156" s="2" t="s">
        <v>9645</v>
      </c>
      <c r="G2156" s="2" t="s">
        <v>9645</v>
      </c>
      <c r="H2156" s="2" t="s">
        <v>9645</v>
      </c>
      <c r="I2156" s="2" t="s">
        <v>9646</v>
      </c>
      <c r="J2156" s="2" t="s">
        <v>1736</v>
      </c>
      <c r="K2156" s="2" t="s">
        <v>1201</v>
      </c>
      <c r="L2156" s="3">
        <v>33.38</v>
      </c>
      <c r="M2156" s="3">
        <v>35.05</v>
      </c>
      <c r="N2156" s="3">
        <v>64.99</v>
      </c>
      <c r="O2156" s="2" t="s">
        <v>245</v>
      </c>
      <c r="P2156" s="2" t="s">
        <v>311</v>
      </c>
      <c r="Q2156" s="2" t="s">
        <v>239</v>
      </c>
      <c r="R2156" s="2" t="s">
        <v>233</v>
      </c>
      <c r="S2156" s="2" t="s">
        <v>9651</v>
      </c>
      <c r="T2156" s="2" t="s">
        <v>1622</v>
      </c>
      <c r="U2156" s="2" t="s">
        <v>396</v>
      </c>
      <c r="V2156" s="2" t="s">
        <v>1085</v>
      </c>
      <c r="W2156" s="2" t="s">
        <v>275</v>
      </c>
      <c r="X2156" s="2" t="s">
        <v>451</v>
      </c>
      <c r="Y2156" s="2" t="s">
        <v>5990</v>
      </c>
      <c r="Z2156" s="4">
        <v>464</v>
      </c>
      <c r="AA2156" s="4">
        <f>=ROUNDDOWN(77.3333333333333,0)</f>
      </c>
      <c r="AB2156" s="5">
        <v>6</v>
      </c>
      <c r="AC2156" s="2" t="s">
        <v>233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233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 t="s">
        <v>233</v>
      </c>
      <c r="BD2156" s="8" t="s">
        <v>233</v>
      </c>
      <c r="BE2156" s="4" t="s">
        <v>233</v>
      </c>
      <c r="BF2156" s="8" t="s">
        <v>233</v>
      </c>
      <c r="BG2156" s="7" t="s">
        <v>233</v>
      </c>
      <c r="BH2156" s="7" t="s">
        <v>233</v>
      </c>
      <c r="BI2156" s="7"/>
      <c r="BJ2156" s="4">
        <v>4</v>
      </c>
      <c r="BK2156" s="8">
        <v>145.37</v>
      </c>
      <c r="BL2156" s="2" t="s">
        <v>9652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9653</v>
      </c>
      <c r="BV2156" s="2" t="s">
        <v>233</v>
      </c>
      <c r="BW2156" s="2" t="s">
        <v>233</v>
      </c>
      <c r="BX2156" s="2" t="s">
        <v>595</v>
      </c>
      <c r="BY2156" s="2" t="s">
        <v>280</v>
      </c>
      <c r="BZ2156" s="2" t="s">
        <v>245</v>
      </c>
      <c r="CA2156" s="2" t="s">
        <v>1775</v>
      </c>
      <c r="CB2156" s="2" t="s">
        <v>7543</v>
      </c>
      <c r="CC2156" s="2" t="s">
        <v>246</v>
      </c>
      <c r="CD2156" s="2" t="s">
        <v>233</v>
      </c>
      <c r="CE2156" s="4">
        <v>464</v>
      </c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  <c r="HF2156" s="4"/>
      <c r="HG2156" s="4"/>
      <c r="HH2156" s="4"/>
      <c r="HI2156" s="4"/>
      <c r="HJ2156" s="4"/>
      <c r="HK2156" s="4"/>
      <c r="HL2156" s="4"/>
      <c r="HM2156" s="4"/>
      <c r="HN2156" s="4"/>
      <c r="HO2156" s="4"/>
      <c r="HP2156" s="4"/>
      <c r="HQ2156" s="4"/>
      <c r="HR2156" s="4"/>
    </row>
    <row r="2157">
      <c r="A2157" s="2" t="s">
        <v>9654</v>
      </c>
      <c r="B2157" s="2" t="s">
        <v>333</v>
      </c>
      <c r="C2157" s="2" t="s">
        <v>334</v>
      </c>
      <c r="D2157" s="2" t="s">
        <v>335</v>
      </c>
      <c r="E2157" s="2" t="s">
        <v>336</v>
      </c>
      <c r="F2157" s="2" t="s">
        <v>9655</v>
      </c>
      <c r="G2157" s="2" t="s">
        <v>9655</v>
      </c>
      <c r="H2157" s="2" t="s">
        <v>9655</v>
      </c>
      <c r="I2157" s="2" t="s">
        <v>338</v>
      </c>
      <c r="J2157" s="2" t="s">
        <v>270</v>
      </c>
      <c r="K2157" s="2" t="s">
        <v>9656</v>
      </c>
      <c r="L2157" s="3">
        <v>15</v>
      </c>
      <c r="M2157" s="3">
        <v>15.75</v>
      </c>
      <c r="N2157" s="3">
        <v>29.99</v>
      </c>
      <c r="O2157" s="2" t="s">
        <v>245</v>
      </c>
      <c r="P2157" s="2" t="s">
        <v>272</v>
      </c>
      <c r="Q2157" s="2" t="s">
        <v>239</v>
      </c>
      <c r="R2157" s="2" t="s">
        <v>233</v>
      </c>
      <c r="S2157" s="2" t="s">
        <v>9657</v>
      </c>
      <c r="T2157" s="2" t="s">
        <v>9658</v>
      </c>
      <c r="U2157" s="2" t="s">
        <v>475</v>
      </c>
      <c r="V2157" s="2" t="s">
        <v>1658</v>
      </c>
      <c r="W2157" s="2" t="s">
        <v>705</v>
      </c>
      <c r="X2157" s="2" t="s">
        <v>275</v>
      </c>
      <c r="Y2157" s="2" t="s">
        <v>9659</v>
      </c>
      <c r="Z2157" s="4">
        <v>43</v>
      </c>
      <c r="AA2157" s="4">
        <f>=ROUNDDOWN(10.75,0)</f>
      </c>
      <c r="AB2157" s="5">
        <v>4</v>
      </c>
      <c r="AC2157" s="2" t="s">
        <v>1514</v>
      </c>
      <c r="AD2157" s="4">
        <v>50</v>
      </c>
      <c r="AE2157" s="4">
        <v>110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233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233</v>
      </c>
      <c r="AW2157" s="8" t="s">
        <v>233</v>
      </c>
      <c r="AX2157" s="4" t="s">
        <v>233</v>
      </c>
      <c r="AY2157" s="8" t="s">
        <v>233</v>
      </c>
      <c r="AZ2157" s="7" t="s">
        <v>233</v>
      </c>
      <c r="BA2157" s="7" t="s">
        <v>233</v>
      </c>
      <c r="BB2157" s="7"/>
      <c r="BC2157" s="4" t="s">
        <v>233</v>
      </c>
      <c r="BD2157" s="8" t="s">
        <v>233</v>
      </c>
      <c r="BE2157" s="4" t="s">
        <v>233</v>
      </c>
      <c r="BF2157" s="8" t="s">
        <v>233</v>
      </c>
      <c r="BG2157" s="7" t="s">
        <v>233</v>
      </c>
      <c r="BH2157" s="7" t="s">
        <v>233</v>
      </c>
      <c r="BI2157" s="7"/>
      <c r="BJ2157" s="4">
        <v>11</v>
      </c>
      <c r="BK2157" s="8">
        <v>178.02</v>
      </c>
      <c r="BL2157" s="2" t="s">
        <v>465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9660</v>
      </c>
      <c r="BV2157" s="2" t="s">
        <v>233</v>
      </c>
      <c r="BW2157" s="2" t="s">
        <v>233</v>
      </c>
      <c r="BX2157" s="2" t="s">
        <v>243</v>
      </c>
      <c r="BY2157" s="2" t="s">
        <v>280</v>
      </c>
      <c r="BZ2157" s="2" t="s">
        <v>245</v>
      </c>
      <c r="CA2157" s="2" t="s">
        <v>1109</v>
      </c>
      <c r="CB2157" s="2" t="s">
        <v>2799</v>
      </c>
      <c r="CC2157" s="2" t="s">
        <v>246</v>
      </c>
      <c r="CD2157" s="2" t="s">
        <v>233</v>
      </c>
      <c r="CE2157" s="4">
        <v>43</v>
      </c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>
        <v>50</v>
      </c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>
        <v>60</v>
      </c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  <c r="HG2157" s="4"/>
      <c r="HH2157" s="4"/>
      <c r="HI2157" s="4"/>
      <c r="HJ2157" s="4"/>
      <c r="HK2157" s="4"/>
      <c r="HL2157" s="4"/>
      <c r="HM2157" s="4"/>
      <c r="HN2157" s="4"/>
      <c r="HO2157" s="4"/>
      <c r="HP2157" s="4"/>
      <c r="HQ2157" s="4"/>
      <c r="HR2157" s="4"/>
    </row>
    <row r="2158">
      <c r="A2158" s="2" t="s">
        <v>9661</v>
      </c>
      <c r="B2158" s="2" t="s">
        <v>333</v>
      </c>
      <c r="C2158" s="2" t="s">
        <v>334</v>
      </c>
      <c r="D2158" s="2" t="s">
        <v>335</v>
      </c>
      <c r="E2158" s="2" t="s">
        <v>336</v>
      </c>
      <c r="F2158" s="2" t="s">
        <v>9655</v>
      </c>
      <c r="G2158" s="2" t="s">
        <v>9655</v>
      </c>
      <c r="H2158" s="2" t="s">
        <v>9655</v>
      </c>
      <c r="I2158" s="2" t="s">
        <v>338</v>
      </c>
      <c r="J2158" s="2" t="s">
        <v>290</v>
      </c>
      <c r="K2158" s="2" t="s">
        <v>9656</v>
      </c>
      <c r="L2158" s="3">
        <v>16.5</v>
      </c>
      <c r="M2158" s="3">
        <v>17.33</v>
      </c>
      <c r="N2158" s="3">
        <v>32.99</v>
      </c>
      <c r="O2158" s="2" t="s">
        <v>245</v>
      </c>
      <c r="P2158" s="2" t="s">
        <v>272</v>
      </c>
      <c r="Q2158" s="2" t="s">
        <v>239</v>
      </c>
      <c r="R2158" s="2" t="s">
        <v>233</v>
      </c>
      <c r="S2158" s="2" t="s">
        <v>9657</v>
      </c>
      <c r="T2158" s="2" t="s">
        <v>9658</v>
      </c>
      <c r="U2158" s="2" t="s">
        <v>342</v>
      </c>
      <c r="V2158" s="2" t="s">
        <v>1658</v>
      </c>
      <c r="W2158" s="2" t="s">
        <v>705</v>
      </c>
      <c r="X2158" s="2" t="s">
        <v>275</v>
      </c>
      <c r="Y2158" s="2" t="s">
        <v>9659</v>
      </c>
      <c r="Z2158" s="4">
        <v>50</v>
      </c>
      <c r="AA2158" s="4">
        <f>=ROUNDDOWN(8.33333333333333,0)</f>
      </c>
      <c r="AB2158" s="5">
        <v>6</v>
      </c>
      <c r="AC2158" s="2" t="s">
        <v>1514</v>
      </c>
      <c r="AD2158" s="4">
        <v>70</v>
      </c>
      <c r="AE2158" s="4">
        <v>160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233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233</v>
      </c>
      <c r="AW2158" s="8" t="s">
        <v>233</v>
      </c>
      <c r="AX2158" s="4" t="s">
        <v>233</v>
      </c>
      <c r="AY2158" s="8" t="s">
        <v>233</v>
      </c>
      <c r="AZ2158" s="7" t="s">
        <v>233</v>
      </c>
      <c r="BA2158" s="7" t="s">
        <v>233</v>
      </c>
      <c r="BB2158" s="7"/>
      <c r="BC2158" s="4" t="s">
        <v>233</v>
      </c>
      <c r="BD2158" s="8" t="s">
        <v>233</v>
      </c>
      <c r="BE2158" s="4" t="s">
        <v>233</v>
      </c>
      <c r="BF2158" s="8" t="s">
        <v>233</v>
      </c>
      <c r="BG2158" s="7" t="s">
        <v>233</v>
      </c>
      <c r="BH2158" s="7" t="s">
        <v>233</v>
      </c>
      <c r="BI2158" s="7"/>
      <c r="BJ2158" s="4">
        <v>14</v>
      </c>
      <c r="BK2158" s="8">
        <v>253.61</v>
      </c>
      <c r="BL2158" s="2" t="s">
        <v>501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9662</v>
      </c>
      <c r="BV2158" s="2" t="s">
        <v>233</v>
      </c>
      <c r="BW2158" s="2" t="s">
        <v>233</v>
      </c>
      <c r="BX2158" s="2" t="s">
        <v>243</v>
      </c>
      <c r="BY2158" s="2" t="s">
        <v>280</v>
      </c>
      <c r="BZ2158" s="2" t="s">
        <v>245</v>
      </c>
      <c r="CA2158" s="2" t="s">
        <v>1109</v>
      </c>
      <c r="CB2158" s="2" t="s">
        <v>2799</v>
      </c>
      <c r="CC2158" s="2" t="s">
        <v>246</v>
      </c>
      <c r="CD2158" s="2" t="s">
        <v>233</v>
      </c>
      <c r="CE2158" s="4">
        <v>50</v>
      </c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>
        <v>70</v>
      </c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>
        <v>90</v>
      </c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  <c r="HF2158" s="4"/>
      <c r="HG2158" s="4"/>
      <c r="HH2158" s="4"/>
      <c r="HI2158" s="4"/>
      <c r="HJ2158" s="4"/>
      <c r="HK2158" s="4"/>
      <c r="HL2158" s="4"/>
      <c r="HM2158" s="4"/>
      <c r="HN2158" s="4"/>
      <c r="HO2158" s="4"/>
      <c r="HP2158" s="4"/>
      <c r="HQ2158" s="4"/>
      <c r="HR2158" s="4"/>
    </row>
    <row r="2159">
      <c r="A2159" s="2" t="s">
        <v>9663</v>
      </c>
      <c r="B2159" s="2" t="s">
        <v>333</v>
      </c>
      <c r="C2159" s="2" t="s">
        <v>334</v>
      </c>
      <c r="D2159" s="2" t="s">
        <v>335</v>
      </c>
      <c r="E2159" s="2" t="s">
        <v>336</v>
      </c>
      <c r="F2159" s="2" t="s">
        <v>9655</v>
      </c>
      <c r="G2159" s="2" t="s">
        <v>9655</v>
      </c>
      <c r="H2159" s="2" t="s">
        <v>9655</v>
      </c>
      <c r="I2159" s="2" t="s">
        <v>338</v>
      </c>
      <c r="J2159" s="2" t="s">
        <v>270</v>
      </c>
      <c r="K2159" s="2" t="s">
        <v>9664</v>
      </c>
      <c r="L2159" s="3">
        <v>15</v>
      </c>
      <c r="M2159" s="3">
        <v>15.75</v>
      </c>
      <c r="N2159" s="3">
        <v>29.99</v>
      </c>
      <c r="O2159" s="2" t="s">
        <v>245</v>
      </c>
      <c r="P2159" s="2" t="s">
        <v>272</v>
      </c>
      <c r="Q2159" s="2" t="s">
        <v>239</v>
      </c>
      <c r="R2159" s="2" t="s">
        <v>233</v>
      </c>
      <c r="S2159" s="2" t="s">
        <v>9665</v>
      </c>
      <c r="T2159" s="2" t="s">
        <v>9658</v>
      </c>
      <c r="U2159" s="2" t="s">
        <v>475</v>
      </c>
      <c r="V2159" s="2" t="s">
        <v>2225</v>
      </c>
      <c r="W2159" s="2" t="s">
        <v>705</v>
      </c>
      <c r="X2159" s="2" t="s">
        <v>275</v>
      </c>
      <c r="Y2159" s="2" t="s">
        <v>9666</v>
      </c>
      <c r="Z2159" s="4">
        <v>104</v>
      </c>
      <c r="AA2159" s="4">
        <f>=ROUNDDOWN(17.3333333333333,0)</f>
      </c>
      <c r="AB2159" s="5">
        <v>6</v>
      </c>
      <c r="AC2159" s="2" t="s">
        <v>1514</v>
      </c>
      <c r="AD2159" s="4">
        <v>40</v>
      </c>
      <c r="AE2159" s="4">
        <v>120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233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233</v>
      </c>
      <c r="AW2159" s="8" t="s">
        <v>233</v>
      </c>
      <c r="AX2159" s="4" t="s">
        <v>233</v>
      </c>
      <c r="AY2159" s="8" t="s">
        <v>233</v>
      </c>
      <c r="AZ2159" s="7" t="s">
        <v>233</v>
      </c>
      <c r="BA2159" s="7" t="s">
        <v>233</v>
      </c>
      <c r="BB2159" s="7"/>
      <c r="BC2159" s="4" t="s">
        <v>233</v>
      </c>
      <c r="BD2159" s="8" t="s">
        <v>233</v>
      </c>
      <c r="BE2159" s="4" t="s">
        <v>233</v>
      </c>
      <c r="BF2159" s="8" t="s">
        <v>233</v>
      </c>
      <c r="BG2159" s="7" t="s">
        <v>233</v>
      </c>
      <c r="BH2159" s="7" t="s">
        <v>233</v>
      </c>
      <c r="BI2159" s="7"/>
      <c r="BJ2159" s="4">
        <v>24</v>
      </c>
      <c r="BK2159" s="8">
        <v>386.49</v>
      </c>
      <c r="BL2159" s="2" t="s">
        <v>4476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9667</v>
      </c>
      <c r="BV2159" s="2" t="s">
        <v>233</v>
      </c>
      <c r="BW2159" s="2" t="s">
        <v>233</v>
      </c>
      <c r="BX2159" s="2" t="s">
        <v>233</v>
      </c>
      <c r="BY2159" s="2" t="s">
        <v>280</v>
      </c>
      <c r="BZ2159" s="2" t="s">
        <v>245</v>
      </c>
      <c r="CA2159" s="2" t="s">
        <v>4777</v>
      </c>
      <c r="CB2159" s="2" t="s">
        <v>1109</v>
      </c>
      <c r="CC2159" s="2" t="s">
        <v>246</v>
      </c>
      <c r="CD2159" s="2" t="s">
        <v>233</v>
      </c>
      <c r="CE2159" s="4">
        <v>104</v>
      </c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>
        <v>40</v>
      </c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>
        <v>80</v>
      </c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  <c r="HF2159" s="4"/>
      <c r="HG2159" s="4"/>
      <c r="HH2159" s="4"/>
      <c r="HI2159" s="4"/>
      <c r="HJ2159" s="4"/>
      <c r="HK2159" s="4"/>
      <c r="HL2159" s="4"/>
      <c r="HM2159" s="4"/>
      <c r="HN2159" s="4"/>
      <c r="HO2159" s="4"/>
      <c r="HP2159" s="4"/>
      <c r="HQ2159" s="4"/>
      <c r="HR2159" s="4"/>
    </row>
    <row r="2160">
      <c r="A2160" s="2" t="s">
        <v>9668</v>
      </c>
      <c r="B2160" s="2" t="s">
        <v>333</v>
      </c>
      <c r="C2160" s="2" t="s">
        <v>334</v>
      </c>
      <c r="D2160" s="2" t="s">
        <v>335</v>
      </c>
      <c r="E2160" s="2" t="s">
        <v>336</v>
      </c>
      <c r="F2160" s="2" t="s">
        <v>9655</v>
      </c>
      <c r="G2160" s="2" t="s">
        <v>9655</v>
      </c>
      <c r="H2160" s="2" t="s">
        <v>9655</v>
      </c>
      <c r="I2160" s="2" t="s">
        <v>338</v>
      </c>
      <c r="J2160" s="2" t="s">
        <v>290</v>
      </c>
      <c r="K2160" s="2" t="s">
        <v>9664</v>
      </c>
      <c r="L2160" s="3">
        <v>16.5</v>
      </c>
      <c r="M2160" s="3">
        <v>17.33</v>
      </c>
      <c r="N2160" s="3">
        <v>32.99</v>
      </c>
      <c r="O2160" s="2" t="s">
        <v>245</v>
      </c>
      <c r="P2160" s="2" t="s">
        <v>272</v>
      </c>
      <c r="Q2160" s="2" t="s">
        <v>239</v>
      </c>
      <c r="R2160" s="2" t="s">
        <v>233</v>
      </c>
      <c r="S2160" s="2" t="s">
        <v>9665</v>
      </c>
      <c r="T2160" s="2" t="s">
        <v>9658</v>
      </c>
      <c r="U2160" s="2" t="s">
        <v>342</v>
      </c>
      <c r="V2160" s="2" t="s">
        <v>2225</v>
      </c>
      <c r="W2160" s="2" t="s">
        <v>705</v>
      </c>
      <c r="X2160" s="2" t="s">
        <v>275</v>
      </c>
      <c r="Y2160" s="2" t="s">
        <v>9666</v>
      </c>
      <c r="Z2160" s="4">
        <v>52</v>
      </c>
      <c r="AA2160" s="4">
        <f>=ROUNDDOWN(6.5,0)</f>
      </c>
      <c r="AB2160" s="5">
        <v>8</v>
      </c>
      <c r="AC2160" s="2" t="s">
        <v>1514</v>
      </c>
      <c r="AD2160" s="4">
        <v>40</v>
      </c>
      <c r="AE2160" s="4">
        <v>90</v>
      </c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233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233</v>
      </c>
      <c r="AW2160" s="8" t="s">
        <v>233</v>
      </c>
      <c r="AX2160" s="4" t="s">
        <v>233</v>
      </c>
      <c r="AY2160" s="8" t="s">
        <v>233</v>
      </c>
      <c r="AZ2160" s="7" t="s">
        <v>233</v>
      </c>
      <c r="BA2160" s="7" t="s">
        <v>233</v>
      </c>
      <c r="BB2160" s="7"/>
      <c r="BC2160" s="4" t="s">
        <v>233</v>
      </c>
      <c r="BD2160" s="8" t="s">
        <v>233</v>
      </c>
      <c r="BE2160" s="4" t="s">
        <v>233</v>
      </c>
      <c r="BF2160" s="8" t="s">
        <v>233</v>
      </c>
      <c r="BG2160" s="7" t="s">
        <v>233</v>
      </c>
      <c r="BH2160" s="7" t="s">
        <v>233</v>
      </c>
      <c r="BI2160" s="7"/>
      <c r="BJ2160" s="4">
        <v>19</v>
      </c>
      <c r="BK2160" s="8">
        <v>390.09</v>
      </c>
      <c r="BL2160" s="2" t="s">
        <v>9669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9670</v>
      </c>
      <c r="BV2160" s="2" t="s">
        <v>233</v>
      </c>
      <c r="BW2160" s="2" t="s">
        <v>233</v>
      </c>
      <c r="BX2160" s="2" t="s">
        <v>233</v>
      </c>
      <c r="BY2160" s="2" t="s">
        <v>280</v>
      </c>
      <c r="BZ2160" s="2" t="s">
        <v>245</v>
      </c>
      <c r="CA2160" s="2" t="s">
        <v>4777</v>
      </c>
      <c r="CB2160" s="2" t="s">
        <v>4929</v>
      </c>
      <c r="CC2160" s="2" t="s">
        <v>246</v>
      </c>
      <c r="CD2160" s="2" t="s">
        <v>233</v>
      </c>
      <c r="CE2160" s="4">
        <v>52</v>
      </c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>
        <v>40</v>
      </c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>
        <v>50</v>
      </c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4"/>
      <c r="HG2160" s="4"/>
      <c r="HH2160" s="4"/>
      <c r="HI2160" s="4"/>
      <c r="HJ2160" s="4"/>
      <c r="HK2160" s="4"/>
      <c r="HL2160" s="4"/>
      <c r="HM2160" s="4"/>
      <c r="HN2160" s="4"/>
      <c r="HO2160" s="4"/>
      <c r="HP2160" s="4"/>
      <c r="HQ2160" s="4"/>
      <c r="HR2160" s="4"/>
    </row>
    <row r="2161">
      <c r="A2161" s="2" t="s">
        <v>9671</v>
      </c>
      <c r="B2161" s="2" t="s">
        <v>886</v>
      </c>
      <c r="C2161" s="2" t="s">
        <v>947</v>
      </c>
      <c r="D2161" s="2" t="s">
        <v>1167</v>
      </c>
      <c r="E2161" s="2" t="s">
        <v>1168</v>
      </c>
      <c r="F2161" s="2" t="s">
        <v>9672</v>
      </c>
      <c r="G2161" s="2" t="s">
        <v>9672</v>
      </c>
      <c r="H2161" s="2" t="s">
        <v>9672</v>
      </c>
      <c r="I2161" s="2" t="s">
        <v>9673</v>
      </c>
      <c r="J2161" s="2" t="s">
        <v>892</v>
      </c>
      <c r="K2161" s="2" t="s">
        <v>9674</v>
      </c>
      <c r="L2161" s="3">
        <v>90</v>
      </c>
      <c r="M2161" s="3">
        <v>94.5</v>
      </c>
      <c r="N2161" s="3">
        <v>189.99</v>
      </c>
      <c r="O2161" s="2" t="s">
        <v>245</v>
      </c>
      <c r="P2161" s="2" t="s">
        <v>238</v>
      </c>
      <c r="Q2161" s="2" t="s">
        <v>239</v>
      </c>
      <c r="R2161" s="2" t="s">
        <v>233</v>
      </c>
      <c r="S2161" s="2" t="s">
        <v>233</v>
      </c>
      <c r="T2161" s="2" t="s">
        <v>233</v>
      </c>
      <c r="U2161" s="2" t="s">
        <v>491</v>
      </c>
      <c r="V2161" s="2" t="s">
        <v>893</v>
      </c>
      <c r="W2161" s="2" t="s">
        <v>5825</v>
      </c>
      <c r="X2161" s="2" t="s">
        <v>233</v>
      </c>
      <c r="Y2161" s="2" t="s">
        <v>9675</v>
      </c>
      <c r="Z2161" s="4">
        <v>86</v>
      </c>
      <c r="AA2161" s="4">
        <f>=ROUNDDOWN(21.5,0)</f>
      </c>
      <c r="AB2161" s="5">
        <v>4</v>
      </c>
      <c r="AC2161" s="2" t="s">
        <v>233</v>
      </c>
      <c r="AD2161" s="4"/>
      <c r="AE2161" s="4"/>
      <c r="AF2161" s="6">
        <v>63</v>
      </c>
      <c r="AG2161" s="6"/>
      <c r="AH2161" s="7">
        <v>1</v>
      </c>
      <c r="AI2161" s="4"/>
      <c r="AJ2161" s="4">
        <f>=ROUNDDOWN({0},0)</f>
      </c>
      <c r="AK2161" s="5"/>
      <c r="AL2161" s="2" t="s">
        <v>233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/>
      <c r="AW2161" s="8"/>
      <c r="AX2161" s="4"/>
      <c r="AY2161" s="8"/>
      <c r="AZ2161" s="7"/>
      <c r="BA2161" s="7"/>
      <c r="BB2161" s="7"/>
      <c r="BC2161" s="4"/>
      <c r="BD2161" s="8"/>
      <c r="BE2161" s="4"/>
      <c r="BF2161" s="8"/>
      <c r="BG2161" s="7"/>
      <c r="BH2161" s="7"/>
      <c r="BI2161" s="7"/>
      <c r="BJ2161" s="4">
        <v>1</v>
      </c>
      <c r="BK2161" s="8">
        <v>105.84</v>
      </c>
      <c r="BL2161" s="2" t="s">
        <v>469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9676</v>
      </c>
      <c r="BV2161" s="2" t="s">
        <v>233</v>
      </c>
      <c r="BW2161" s="2" t="s">
        <v>233</v>
      </c>
      <c r="BX2161" s="2" t="s">
        <v>243</v>
      </c>
      <c r="BY2161" s="2" t="s">
        <v>280</v>
      </c>
      <c r="BZ2161" s="2" t="s">
        <v>245</v>
      </c>
      <c r="CA2161" s="2" t="s">
        <v>9677</v>
      </c>
      <c r="CB2161" s="2" t="s">
        <v>233</v>
      </c>
      <c r="CC2161" s="2" t="s">
        <v>246</v>
      </c>
      <c r="CD2161" s="2" t="s">
        <v>233</v>
      </c>
      <c r="CE2161" s="4"/>
      <c r="CF2161" s="4">
        <v>86</v>
      </c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4"/>
      <c r="HG2161" s="4"/>
      <c r="HH2161" s="4"/>
      <c r="HI2161" s="4"/>
      <c r="HJ2161" s="4"/>
      <c r="HK2161" s="4"/>
      <c r="HL2161" s="4"/>
      <c r="HM2161" s="4"/>
      <c r="HN2161" s="4"/>
      <c r="HO2161" s="4"/>
      <c r="HP2161" s="4"/>
      <c r="HQ2161" s="4"/>
      <c r="HR2161" s="4"/>
    </row>
    <row r="2162">
      <c r="A2162" s="2" t="s">
        <v>9678</v>
      </c>
      <c r="B2162" s="2" t="s">
        <v>1242</v>
      </c>
      <c r="C2162" s="2" t="s">
        <v>530</v>
      </c>
      <c r="D2162" s="2" t="s">
        <v>1862</v>
      </c>
      <c r="E2162" s="2" t="s">
        <v>1863</v>
      </c>
      <c r="F2162" s="2" t="s">
        <v>9679</v>
      </c>
      <c r="G2162" s="2" t="s">
        <v>9680</v>
      </c>
      <c r="H2162" s="2" t="s">
        <v>9681</v>
      </c>
      <c r="I2162" s="2" t="s">
        <v>3109</v>
      </c>
      <c r="J2162" s="2" t="s">
        <v>918</v>
      </c>
      <c r="K2162" s="2" t="s">
        <v>255</v>
      </c>
      <c r="L2162" s="3">
        <v>26.9</v>
      </c>
      <c r="M2162" s="3">
        <v>28.24</v>
      </c>
      <c r="N2162" s="3">
        <v>54.99</v>
      </c>
      <c r="O2162" s="2" t="s">
        <v>245</v>
      </c>
      <c r="P2162" s="2" t="s">
        <v>272</v>
      </c>
      <c r="Q2162" s="2" t="s">
        <v>239</v>
      </c>
      <c r="R2162" s="2" t="s">
        <v>233</v>
      </c>
      <c r="S2162" s="2" t="s">
        <v>9682</v>
      </c>
      <c r="T2162" s="2" t="s">
        <v>233</v>
      </c>
      <c r="U2162" s="2" t="s">
        <v>491</v>
      </c>
      <c r="V2162" s="2" t="s">
        <v>241</v>
      </c>
      <c r="W2162" s="2" t="s">
        <v>451</v>
      </c>
      <c r="X2162" s="2" t="s">
        <v>275</v>
      </c>
      <c r="Y2162" s="2" t="s">
        <v>276</v>
      </c>
      <c r="Z2162" s="4">
        <v>120</v>
      </c>
      <c r="AA2162" s="4">
        <f>=ROUNDDOWN(24,0)</f>
      </c>
      <c r="AB2162" s="5">
        <v>5</v>
      </c>
      <c r="AC2162" s="2" t="s">
        <v>2533</v>
      </c>
      <c r="AD2162" s="4">
        <v>30</v>
      </c>
      <c r="AE2162" s="4">
        <v>100</v>
      </c>
      <c r="AF2162" s="6">
        <v>65</v>
      </c>
      <c r="AG2162" s="6">
        <v>48</v>
      </c>
      <c r="AH2162" s="7">
        <v>1</v>
      </c>
      <c r="AI2162" s="4"/>
      <c r="AJ2162" s="4">
        <f>=ROUNDDOWN({0},0)</f>
      </c>
      <c r="AK2162" s="5"/>
      <c r="AL2162" s="2" t="s">
        <v>233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/>
      <c r="AW2162" s="8"/>
      <c r="AX2162" s="4"/>
      <c r="AY2162" s="8"/>
      <c r="AZ2162" s="7"/>
      <c r="BA2162" s="7"/>
      <c r="BB2162" s="7"/>
      <c r="BC2162" s="4" t="s">
        <v>233</v>
      </c>
      <c r="BD2162" s="8" t="s">
        <v>233</v>
      </c>
      <c r="BE2162" s="4" t="s">
        <v>233</v>
      </c>
      <c r="BF2162" s="8" t="s">
        <v>233</v>
      </c>
      <c r="BG2162" s="7" t="s">
        <v>233</v>
      </c>
      <c r="BH2162" s="7" t="s">
        <v>233</v>
      </c>
      <c r="BI2162" s="7"/>
      <c r="BJ2162" s="4">
        <v>25</v>
      </c>
      <c r="BK2162" s="8">
        <v>712.45</v>
      </c>
      <c r="BL2162" s="2" t="s">
        <v>9683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9684</v>
      </c>
      <c r="BV2162" s="2" t="s">
        <v>233</v>
      </c>
      <c r="BW2162" s="2" t="s">
        <v>233</v>
      </c>
      <c r="BX2162" s="2" t="s">
        <v>233</v>
      </c>
      <c r="BY2162" s="2" t="s">
        <v>280</v>
      </c>
      <c r="BZ2162" s="2" t="s">
        <v>245</v>
      </c>
      <c r="CA2162" s="2" t="s">
        <v>281</v>
      </c>
      <c r="CB2162" s="2" t="s">
        <v>1540</v>
      </c>
      <c r="CC2162" s="2" t="s">
        <v>246</v>
      </c>
      <c r="CD2162" s="2" t="s">
        <v>233</v>
      </c>
      <c r="CE2162" s="4">
        <v>52</v>
      </c>
      <c r="CF2162" s="4"/>
      <c r="CG2162" s="4"/>
      <c r="CH2162" s="4"/>
      <c r="CI2162" s="4">
        <v>68</v>
      </c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>
        <v>30</v>
      </c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>
        <v>30</v>
      </c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  <c r="GL2162" s="4"/>
      <c r="GM2162" s="4"/>
      <c r="GN2162" s="4"/>
      <c r="GO2162" s="4"/>
      <c r="GP2162" s="4"/>
      <c r="GQ2162" s="4"/>
      <c r="GR2162" s="4"/>
      <c r="GS2162" s="4"/>
      <c r="GT2162" s="4"/>
      <c r="GU2162" s="4"/>
      <c r="GV2162" s="4"/>
      <c r="GW2162" s="4">
        <v>40</v>
      </c>
      <c r="GX2162" s="4"/>
      <c r="GY2162" s="4"/>
      <c r="GZ2162" s="4"/>
      <c r="HA2162" s="4"/>
      <c r="HB2162" s="4"/>
      <c r="HC2162" s="4"/>
      <c r="HD2162" s="4"/>
      <c r="HE2162" s="4"/>
      <c r="HF2162" s="4"/>
      <c r="HG2162" s="4"/>
      <c r="HH2162" s="4"/>
      <c r="HI2162" s="4"/>
      <c r="HJ2162" s="4"/>
      <c r="HK2162" s="4"/>
      <c r="HL2162" s="4"/>
      <c r="HM2162" s="4"/>
      <c r="HN2162" s="4"/>
      <c r="HO2162" s="4"/>
      <c r="HP2162" s="4"/>
      <c r="HQ2162" s="4"/>
      <c r="HR2162" s="4"/>
    </row>
    <row r="2163">
      <c r="A2163" s="2" t="s">
        <v>9685</v>
      </c>
      <c r="B2163" s="2" t="s">
        <v>1242</v>
      </c>
      <c r="C2163" s="2" t="s">
        <v>530</v>
      </c>
      <c r="D2163" s="2" t="s">
        <v>1862</v>
      </c>
      <c r="E2163" s="2" t="s">
        <v>1863</v>
      </c>
      <c r="F2163" s="2" t="s">
        <v>9679</v>
      </c>
      <c r="G2163" s="2" t="s">
        <v>9680</v>
      </c>
      <c r="H2163" s="2" t="s">
        <v>9681</v>
      </c>
      <c r="I2163" s="2" t="s">
        <v>3109</v>
      </c>
      <c r="J2163" s="2" t="s">
        <v>918</v>
      </c>
      <c r="K2163" s="2" t="s">
        <v>499</v>
      </c>
      <c r="L2163" s="3">
        <v>26.9</v>
      </c>
      <c r="M2163" s="3">
        <v>28.24</v>
      </c>
      <c r="N2163" s="3">
        <v>54.99</v>
      </c>
      <c r="O2163" s="2" t="s">
        <v>245</v>
      </c>
      <c r="P2163" s="2" t="s">
        <v>272</v>
      </c>
      <c r="Q2163" s="2" t="s">
        <v>239</v>
      </c>
      <c r="R2163" s="2" t="s">
        <v>233</v>
      </c>
      <c r="S2163" s="2" t="s">
        <v>9686</v>
      </c>
      <c r="T2163" s="2" t="s">
        <v>233</v>
      </c>
      <c r="U2163" s="2" t="s">
        <v>491</v>
      </c>
      <c r="V2163" s="2" t="s">
        <v>241</v>
      </c>
      <c r="W2163" s="2" t="s">
        <v>451</v>
      </c>
      <c r="X2163" s="2" t="s">
        <v>275</v>
      </c>
      <c r="Y2163" s="2" t="s">
        <v>276</v>
      </c>
      <c r="Z2163" s="4">
        <v>148</v>
      </c>
      <c r="AA2163" s="4">
        <f>=ROUNDDOWN(14.8,0)</f>
      </c>
      <c r="AB2163" s="5">
        <v>10</v>
      </c>
      <c r="AC2163" s="2" t="s">
        <v>1492</v>
      </c>
      <c r="AD2163" s="4">
        <v>50</v>
      </c>
      <c r="AE2163" s="4">
        <v>100</v>
      </c>
      <c r="AF2163" s="6">
        <v>65</v>
      </c>
      <c r="AG2163" s="6">
        <v>48</v>
      </c>
      <c r="AH2163" s="7">
        <v>1</v>
      </c>
      <c r="AI2163" s="4"/>
      <c r="AJ2163" s="4">
        <f>=ROUNDDOWN({0},0)</f>
      </c>
      <c r="AK2163" s="5"/>
      <c r="AL2163" s="2" t="s">
        <v>233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 t="s">
        <v>233</v>
      </c>
      <c r="BD2163" s="8" t="s">
        <v>233</v>
      </c>
      <c r="BE2163" s="4" t="s">
        <v>233</v>
      </c>
      <c r="BF2163" s="8" t="s">
        <v>233</v>
      </c>
      <c r="BG2163" s="7" t="s">
        <v>233</v>
      </c>
      <c r="BH2163" s="7" t="s">
        <v>233</v>
      </c>
      <c r="BI2163" s="7"/>
      <c r="BJ2163" s="4">
        <v>28</v>
      </c>
      <c r="BK2163" s="8">
        <v>809.31</v>
      </c>
      <c r="BL2163" s="2" t="s">
        <v>9687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9688</v>
      </c>
      <c r="BV2163" s="2" t="s">
        <v>233</v>
      </c>
      <c r="BW2163" s="2" t="s">
        <v>233</v>
      </c>
      <c r="BX2163" s="2" t="s">
        <v>233</v>
      </c>
      <c r="BY2163" s="2" t="s">
        <v>280</v>
      </c>
      <c r="BZ2163" s="2" t="s">
        <v>245</v>
      </c>
      <c r="CA2163" s="2" t="s">
        <v>281</v>
      </c>
      <c r="CB2163" s="2" t="s">
        <v>696</v>
      </c>
      <c r="CC2163" s="2" t="s">
        <v>246</v>
      </c>
      <c r="CD2163" s="2" t="s">
        <v>233</v>
      </c>
      <c r="CE2163" s="4">
        <v>66</v>
      </c>
      <c r="CF2163" s="4"/>
      <c r="CG2163" s="4"/>
      <c r="CH2163" s="4"/>
      <c r="CI2163" s="4">
        <v>82</v>
      </c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>
        <v>50</v>
      </c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>
        <v>50</v>
      </c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  <c r="GL2163" s="4"/>
      <c r="GM2163" s="4"/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  <c r="HF2163" s="4"/>
      <c r="HG2163" s="4"/>
      <c r="HH2163" s="4"/>
      <c r="HI2163" s="4"/>
      <c r="HJ2163" s="4"/>
      <c r="HK2163" s="4"/>
      <c r="HL2163" s="4"/>
      <c r="HM2163" s="4"/>
      <c r="HN2163" s="4"/>
      <c r="HO2163" s="4"/>
      <c r="HP2163" s="4"/>
      <c r="HQ2163" s="4"/>
      <c r="HR2163" s="4"/>
    </row>
    <row r="2164">
      <c r="A2164" s="2" t="s">
        <v>9689</v>
      </c>
      <c r="B2164" s="2" t="s">
        <v>228</v>
      </c>
      <c r="C2164" s="2" t="s">
        <v>701</v>
      </c>
      <c r="D2164" s="2" t="s">
        <v>9690</v>
      </c>
      <c r="E2164" s="2" t="s">
        <v>9691</v>
      </c>
      <c r="F2164" s="2" t="s">
        <v>9692</v>
      </c>
      <c r="G2164" s="2" t="s">
        <v>9692</v>
      </c>
      <c r="H2164" s="2" t="s">
        <v>9692</v>
      </c>
      <c r="I2164" s="2" t="s">
        <v>3850</v>
      </c>
      <c r="J2164" s="2" t="s">
        <v>270</v>
      </c>
      <c r="K2164" s="2" t="s">
        <v>255</v>
      </c>
      <c r="L2164" s="3">
        <v>64.79</v>
      </c>
      <c r="M2164" s="3">
        <v>68.03</v>
      </c>
      <c r="N2164" s="3">
        <v>119.99</v>
      </c>
      <c r="O2164" s="2" t="s">
        <v>237</v>
      </c>
      <c r="P2164" s="2" t="s">
        <v>311</v>
      </c>
      <c r="Q2164" s="2" t="s">
        <v>239</v>
      </c>
      <c r="R2164" s="2" t="s">
        <v>233</v>
      </c>
      <c r="S2164" s="2" t="s">
        <v>9693</v>
      </c>
      <c r="T2164" s="2" t="s">
        <v>1622</v>
      </c>
      <c r="U2164" s="2" t="s">
        <v>396</v>
      </c>
      <c r="V2164" s="2" t="s">
        <v>1085</v>
      </c>
      <c r="W2164" s="2" t="s">
        <v>275</v>
      </c>
      <c r="X2164" s="2" t="s">
        <v>451</v>
      </c>
      <c r="Y2164" s="2" t="s">
        <v>9694</v>
      </c>
      <c r="Z2164" s="4">
        <v>267</v>
      </c>
      <c r="AA2164" s="4">
        <f>=ROUNDDOWN(102.692307692308,0)</f>
      </c>
      <c r="AB2164" s="5">
        <v>2.6</v>
      </c>
      <c r="AC2164" s="2" t="s">
        <v>233</v>
      </c>
      <c r="AD2164" s="4"/>
      <c r="AE2164" s="4"/>
      <c r="AF2164" s="6">
        <v>58</v>
      </c>
      <c r="AG2164" s="6"/>
      <c r="AH2164" s="7">
        <v>1</v>
      </c>
      <c r="AI2164" s="4"/>
      <c r="AJ2164" s="4">
        <f>=ROUNDDOWN({0},0)</f>
      </c>
      <c r="AK2164" s="5"/>
      <c r="AL2164" s="2" t="s">
        <v>233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233</v>
      </c>
      <c r="AW2164" s="8" t="s">
        <v>233</v>
      </c>
      <c r="AX2164" s="4" t="s">
        <v>233</v>
      </c>
      <c r="AY2164" s="8" t="s">
        <v>233</v>
      </c>
      <c r="AZ2164" s="7" t="s">
        <v>233</v>
      </c>
      <c r="BA2164" s="7" t="s">
        <v>233</v>
      </c>
      <c r="BB2164" s="7"/>
      <c r="BC2164" s="4" t="s">
        <v>233</v>
      </c>
      <c r="BD2164" s="8" t="s">
        <v>233</v>
      </c>
      <c r="BE2164" s="4" t="s">
        <v>233</v>
      </c>
      <c r="BF2164" s="8" t="s">
        <v>233</v>
      </c>
      <c r="BG2164" s="7" t="s">
        <v>233</v>
      </c>
      <c r="BH2164" s="7" t="s">
        <v>233</v>
      </c>
      <c r="BI2164" s="7"/>
      <c r="BJ2164" s="4">
        <v>5</v>
      </c>
      <c r="BK2164" s="8">
        <v>316.69</v>
      </c>
      <c r="BL2164" s="2" t="s">
        <v>8444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9695</v>
      </c>
      <c r="BV2164" s="2" t="s">
        <v>233</v>
      </c>
      <c r="BW2164" s="2" t="s">
        <v>233</v>
      </c>
      <c r="BX2164" s="2" t="s">
        <v>233</v>
      </c>
      <c r="BY2164" s="2" t="s">
        <v>280</v>
      </c>
      <c r="BZ2164" s="2" t="s">
        <v>245</v>
      </c>
      <c r="CA2164" s="2" t="s">
        <v>9696</v>
      </c>
      <c r="CB2164" s="2" t="s">
        <v>6006</v>
      </c>
      <c r="CC2164" s="2" t="s">
        <v>246</v>
      </c>
      <c r="CD2164" s="2" t="s">
        <v>233</v>
      </c>
      <c r="CE2164" s="4">
        <v>267</v>
      </c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  <c r="GL2164" s="4"/>
      <c r="GM2164" s="4"/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  <c r="HF2164" s="4"/>
      <c r="HG2164" s="4"/>
      <c r="HH2164" s="4"/>
      <c r="HI2164" s="4"/>
      <c r="HJ2164" s="4"/>
      <c r="HK2164" s="4"/>
      <c r="HL2164" s="4"/>
      <c r="HM2164" s="4"/>
      <c r="HN2164" s="4"/>
      <c r="HO2164" s="4"/>
      <c r="HP2164" s="4"/>
      <c r="HQ2164" s="4"/>
      <c r="HR2164" s="4"/>
    </row>
    <row r="2165">
      <c r="A2165" s="2" t="s">
        <v>9697</v>
      </c>
      <c r="B2165" s="2" t="s">
        <v>228</v>
      </c>
      <c r="C2165" s="2" t="s">
        <v>701</v>
      </c>
      <c r="D2165" s="2" t="s">
        <v>9690</v>
      </c>
      <c r="E2165" s="2" t="s">
        <v>9691</v>
      </c>
      <c r="F2165" s="2" t="s">
        <v>9692</v>
      </c>
      <c r="G2165" s="2" t="s">
        <v>9692</v>
      </c>
      <c r="H2165" s="2" t="s">
        <v>9692</v>
      </c>
      <c r="I2165" s="2" t="s">
        <v>3850</v>
      </c>
      <c r="J2165" s="2" t="s">
        <v>290</v>
      </c>
      <c r="K2165" s="2" t="s">
        <v>255</v>
      </c>
      <c r="L2165" s="3">
        <v>70.19</v>
      </c>
      <c r="M2165" s="3">
        <v>73.7</v>
      </c>
      <c r="N2165" s="3">
        <v>129.99</v>
      </c>
      <c r="O2165" s="2" t="s">
        <v>237</v>
      </c>
      <c r="P2165" s="2" t="s">
        <v>311</v>
      </c>
      <c r="Q2165" s="2" t="s">
        <v>239</v>
      </c>
      <c r="R2165" s="2" t="s">
        <v>233</v>
      </c>
      <c r="S2165" s="2" t="s">
        <v>9693</v>
      </c>
      <c r="T2165" s="2" t="s">
        <v>1622</v>
      </c>
      <c r="U2165" s="2" t="s">
        <v>396</v>
      </c>
      <c r="V2165" s="2" t="s">
        <v>1085</v>
      </c>
      <c r="W2165" s="2" t="s">
        <v>275</v>
      </c>
      <c r="X2165" s="2" t="s">
        <v>451</v>
      </c>
      <c r="Y2165" s="2" t="s">
        <v>9694</v>
      </c>
      <c r="Z2165" s="4">
        <v>80</v>
      </c>
      <c r="AA2165" s="4">
        <f>=ROUNDDOWN(24.2424242424242,0)</f>
      </c>
      <c r="AB2165" s="5">
        <v>3.3</v>
      </c>
      <c r="AC2165" s="2" t="s">
        <v>233</v>
      </c>
      <c r="AD2165" s="4"/>
      <c r="AE2165" s="4"/>
      <c r="AF2165" s="6">
        <v>58</v>
      </c>
      <c r="AG2165" s="6"/>
      <c r="AH2165" s="7">
        <v>1</v>
      </c>
      <c r="AI2165" s="4"/>
      <c r="AJ2165" s="4">
        <f>=ROUNDDOWN({0},0)</f>
      </c>
      <c r="AK2165" s="5"/>
      <c r="AL2165" s="2" t="s">
        <v>233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233</v>
      </c>
      <c r="AW2165" s="8" t="s">
        <v>233</v>
      </c>
      <c r="AX2165" s="4" t="s">
        <v>233</v>
      </c>
      <c r="AY2165" s="8" t="s">
        <v>233</v>
      </c>
      <c r="AZ2165" s="7" t="s">
        <v>233</v>
      </c>
      <c r="BA2165" s="7" t="s">
        <v>233</v>
      </c>
      <c r="BB2165" s="7"/>
      <c r="BC2165" s="4" t="s">
        <v>233</v>
      </c>
      <c r="BD2165" s="8" t="s">
        <v>233</v>
      </c>
      <c r="BE2165" s="4" t="s">
        <v>233</v>
      </c>
      <c r="BF2165" s="8" t="s">
        <v>233</v>
      </c>
      <c r="BG2165" s="7" t="s">
        <v>233</v>
      </c>
      <c r="BH2165" s="7" t="s">
        <v>233</v>
      </c>
      <c r="BI2165" s="7"/>
      <c r="BJ2165" s="4">
        <v>5</v>
      </c>
      <c r="BK2165" s="8">
        <v>329.38</v>
      </c>
      <c r="BL2165" s="2" t="s">
        <v>8444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9698</v>
      </c>
      <c r="BV2165" s="2" t="s">
        <v>233</v>
      </c>
      <c r="BW2165" s="2" t="s">
        <v>233</v>
      </c>
      <c r="BX2165" s="2" t="s">
        <v>233</v>
      </c>
      <c r="BY2165" s="2" t="s">
        <v>280</v>
      </c>
      <c r="BZ2165" s="2" t="s">
        <v>245</v>
      </c>
      <c r="CA2165" s="2" t="s">
        <v>9696</v>
      </c>
      <c r="CB2165" s="2" t="s">
        <v>9699</v>
      </c>
      <c r="CC2165" s="2" t="s">
        <v>246</v>
      </c>
      <c r="CD2165" s="2" t="s">
        <v>233</v>
      </c>
      <c r="CE2165" s="4">
        <v>80</v>
      </c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/>
      <c r="HB2165" s="4"/>
      <c r="HC2165" s="4"/>
      <c r="HD2165" s="4"/>
      <c r="HE2165" s="4"/>
      <c r="HF2165" s="4"/>
      <c r="HG2165" s="4"/>
      <c r="HH2165" s="4"/>
      <c r="HI2165" s="4"/>
      <c r="HJ2165" s="4"/>
      <c r="HK2165" s="4"/>
      <c r="HL2165" s="4"/>
      <c r="HM2165" s="4"/>
      <c r="HN2165" s="4"/>
      <c r="HO2165" s="4"/>
      <c r="HP2165" s="4"/>
      <c r="HQ2165" s="4"/>
      <c r="HR2165" s="4"/>
    </row>
    <row r="2166">
      <c r="A2166" s="2" t="s">
        <v>9700</v>
      </c>
      <c r="B2166" s="2" t="s">
        <v>228</v>
      </c>
      <c r="C2166" s="2" t="s">
        <v>701</v>
      </c>
      <c r="D2166" s="2" t="s">
        <v>9690</v>
      </c>
      <c r="E2166" s="2" t="s">
        <v>9691</v>
      </c>
      <c r="F2166" s="2" t="s">
        <v>9692</v>
      </c>
      <c r="G2166" s="2" t="s">
        <v>9692</v>
      </c>
      <c r="H2166" s="2" t="s">
        <v>9692</v>
      </c>
      <c r="I2166" s="2" t="s">
        <v>3850</v>
      </c>
      <c r="J2166" s="2" t="s">
        <v>328</v>
      </c>
      <c r="K2166" s="2" t="s">
        <v>255</v>
      </c>
      <c r="L2166" s="3">
        <v>102.59</v>
      </c>
      <c r="M2166" s="3">
        <v>107.72</v>
      </c>
      <c r="N2166" s="3">
        <v>189.99</v>
      </c>
      <c r="O2166" s="2" t="s">
        <v>237</v>
      </c>
      <c r="P2166" s="2" t="s">
        <v>311</v>
      </c>
      <c r="Q2166" s="2" t="s">
        <v>239</v>
      </c>
      <c r="R2166" s="2" t="s">
        <v>233</v>
      </c>
      <c r="S2166" s="2" t="s">
        <v>9693</v>
      </c>
      <c r="T2166" s="2" t="s">
        <v>1622</v>
      </c>
      <c r="U2166" s="2" t="s">
        <v>396</v>
      </c>
      <c r="V2166" s="2" t="s">
        <v>1085</v>
      </c>
      <c r="W2166" s="2" t="s">
        <v>275</v>
      </c>
      <c r="X2166" s="2" t="s">
        <v>451</v>
      </c>
      <c r="Y2166" s="2" t="s">
        <v>9694</v>
      </c>
      <c r="Z2166" s="4"/>
      <c r="AA2166" s="4">
        <f>=ROUNDDOWN({0},0)</f>
      </c>
      <c r="AB2166" s="5">
        <v>22.2</v>
      </c>
      <c r="AC2166" s="2" t="s">
        <v>233</v>
      </c>
      <c r="AD2166" s="4"/>
      <c r="AE2166" s="4"/>
      <c r="AF2166" s="6">
        <v>58</v>
      </c>
      <c r="AG2166" s="6"/>
      <c r="AH2166" s="7">
        <v>0</v>
      </c>
      <c r="AI2166" s="4"/>
      <c r="AJ2166" s="4">
        <f>=ROUNDDOWN({0},0)</f>
      </c>
      <c r="AK2166" s="5"/>
      <c r="AL2166" s="2" t="s">
        <v>233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233</v>
      </c>
      <c r="AW2166" s="8" t="s">
        <v>233</v>
      </c>
      <c r="AX2166" s="4" t="s">
        <v>233</v>
      </c>
      <c r="AY2166" s="8" t="s">
        <v>233</v>
      </c>
      <c r="AZ2166" s="7" t="s">
        <v>233</v>
      </c>
      <c r="BA2166" s="7" t="s">
        <v>233</v>
      </c>
      <c r="BB2166" s="7"/>
      <c r="BC2166" s="4" t="s">
        <v>233</v>
      </c>
      <c r="BD2166" s="8" t="s">
        <v>233</v>
      </c>
      <c r="BE2166" s="4" t="s">
        <v>233</v>
      </c>
      <c r="BF2166" s="8" t="s">
        <v>233</v>
      </c>
      <c r="BG2166" s="7" t="s">
        <v>233</v>
      </c>
      <c r="BH2166" s="7" t="s">
        <v>233</v>
      </c>
      <c r="BI2166" s="7"/>
      <c r="BJ2166" s="4"/>
      <c r="BK2166" s="8"/>
      <c r="BL2166" s="2" t="s">
        <v>3380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9701</v>
      </c>
      <c r="BV2166" s="2" t="s">
        <v>233</v>
      </c>
      <c r="BW2166" s="2" t="s">
        <v>233</v>
      </c>
      <c r="BX2166" s="2" t="s">
        <v>233</v>
      </c>
      <c r="BY2166" s="2" t="s">
        <v>280</v>
      </c>
      <c r="BZ2166" s="2" t="s">
        <v>245</v>
      </c>
      <c r="CA2166" s="2" t="s">
        <v>9696</v>
      </c>
      <c r="CB2166" s="2" t="s">
        <v>9702</v>
      </c>
      <c r="CC2166" s="2" t="s">
        <v>246</v>
      </c>
      <c r="CD2166" s="2" t="s">
        <v>233</v>
      </c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  <c r="HF2166" s="4"/>
      <c r="HG2166" s="4"/>
      <c r="HH2166" s="4"/>
      <c r="HI2166" s="4"/>
      <c r="HJ2166" s="4"/>
      <c r="HK2166" s="4"/>
      <c r="HL2166" s="4"/>
      <c r="HM2166" s="4"/>
      <c r="HN2166" s="4"/>
      <c r="HO2166" s="4"/>
      <c r="HP2166" s="4"/>
      <c r="HQ2166" s="4"/>
      <c r="HR2166" s="4"/>
    </row>
    <row r="2167">
      <c r="A2167" s="2" t="s">
        <v>9703</v>
      </c>
      <c r="B2167" s="2" t="s">
        <v>228</v>
      </c>
      <c r="C2167" s="2" t="s">
        <v>701</v>
      </c>
      <c r="D2167" s="2" t="s">
        <v>9690</v>
      </c>
      <c r="E2167" s="2" t="s">
        <v>9691</v>
      </c>
      <c r="F2167" s="2" t="s">
        <v>9692</v>
      </c>
      <c r="G2167" s="2" t="s">
        <v>9692</v>
      </c>
      <c r="H2167" s="2" t="s">
        <v>9692</v>
      </c>
      <c r="I2167" s="2" t="s">
        <v>3850</v>
      </c>
      <c r="J2167" s="2" t="s">
        <v>270</v>
      </c>
      <c r="K2167" s="2" t="s">
        <v>257</v>
      </c>
      <c r="L2167" s="3">
        <v>64.79</v>
      </c>
      <c r="M2167" s="3">
        <v>68.03</v>
      </c>
      <c r="N2167" s="3">
        <v>119.99</v>
      </c>
      <c r="O2167" s="2" t="s">
        <v>237</v>
      </c>
      <c r="P2167" s="2" t="s">
        <v>311</v>
      </c>
      <c r="Q2167" s="2" t="s">
        <v>239</v>
      </c>
      <c r="R2167" s="2" t="s">
        <v>233</v>
      </c>
      <c r="S2167" s="2" t="s">
        <v>9704</v>
      </c>
      <c r="T2167" s="2" t="s">
        <v>1622</v>
      </c>
      <c r="U2167" s="2" t="s">
        <v>396</v>
      </c>
      <c r="V2167" s="2" t="s">
        <v>1085</v>
      </c>
      <c r="W2167" s="2" t="s">
        <v>275</v>
      </c>
      <c r="X2167" s="2" t="s">
        <v>451</v>
      </c>
      <c r="Y2167" s="2" t="s">
        <v>9694</v>
      </c>
      <c r="Z2167" s="4">
        <v>56</v>
      </c>
      <c r="AA2167" s="4">
        <f>=ROUNDDOWN(18.6666666666667,0)</f>
      </c>
      <c r="AB2167" s="5">
        <v>3</v>
      </c>
      <c r="AC2167" s="2" t="s">
        <v>233</v>
      </c>
      <c r="AD2167" s="4"/>
      <c r="AE2167" s="4"/>
      <c r="AF2167" s="6">
        <v>58</v>
      </c>
      <c r="AG2167" s="6"/>
      <c r="AH2167" s="7">
        <v>1</v>
      </c>
      <c r="AI2167" s="4"/>
      <c r="AJ2167" s="4">
        <f>=ROUNDDOWN({0},0)</f>
      </c>
      <c r="AK2167" s="5"/>
      <c r="AL2167" s="2" t="s">
        <v>233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233</v>
      </c>
      <c r="AW2167" s="8" t="s">
        <v>233</v>
      </c>
      <c r="AX2167" s="4" t="s">
        <v>233</v>
      </c>
      <c r="AY2167" s="8" t="s">
        <v>233</v>
      </c>
      <c r="AZ2167" s="7" t="s">
        <v>233</v>
      </c>
      <c r="BA2167" s="7" t="s">
        <v>233</v>
      </c>
      <c r="BB2167" s="7"/>
      <c r="BC2167" s="4" t="s">
        <v>233</v>
      </c>
      <c r="BD2167" s="8" t="s">
        <v>233</v>
      </c>
      <c r="BE2167" s="4" t="s">
        <v>233</v>
      </c>
      <c r="BF2167" s="8" t="s">
        <v>233</v>
      </c>
      <c r="BG2167" s="7" t="s">
        <v>233</v>
      </c>
      <c r="BH2167" s="7" t="s">
        <v>233</v>
      </c>
      <c r="BI2167" s="7"/>
      <c r="BJ2167" s="4">
        <v>5</v>
      </c>
      <c r="BK2167" s="8">
        <v>331.09</v>
      </c>
      <c r="BL2167" s="2" t="s">
        <v>9705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9706</v>
      </c>
      <c r="BV2167" s="2" t="s">
        <v>233</v>
      </c>
      <c r="BW2167" s="2" t="s">
        <v>233</v>
      </c>
      <c r="BX2167" s="2" t="s">
        <v>233</v>
      </c>
      <c r="BY2167" s="2" t="s">
        <v>280</v>
      </c>
      <c r="BZ2167" s="2" t="s">
        <v>245</v>
      </c>
      <c r="CA2167" s="2" t="s">
        <v>9696</v>
      </c>
      <c r="CB2167" s="2" t="s">
        <v>9707</v>
      </c>
      <c r="CC2167" s="2" t="s">
        <v>246</v>
      </c>
      <c r="CD2167" s="2" t="s">
        <v>233</v>
      </c>
      <c r="CE2167" s="4">
        <v>56</v>
      </c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  <c r="HF2167" s="4"/>
      <c r="HG2167" s="4"/>
      <c r="HH2167" s="4"/>
      <c r="HI2167" s="4"/>
      <c r="HJ2167" s="4"/>
      <c r="HK2167" s="4"/>
      <c r="HL2167" s="4"/>
      <c r="HM2167" s="4"/>
      <c r="HN2167" s="4"/>
      <c r="HO2167" s="4"/>
      <c r="HP2167" s="4"/>
      <c r="HQ2167" s="4"/>
      <c r="HR2167" s="4"/>
    </row>
    <row r="2168">
      <c r="A2168" s="2" t="s">
        <v>9708</v>
      </c>
      <c r="B2168" s="2" t="s">
        <v>228</v>
      </c>
      <c r="C2168" s="2" t="s">
        <v>701</v>
      </c>
      <c r="D2168" s="2" t="s">
        <v>9690</v>
      </c>
      <c r="E2168" s="2" t="s">
        <v>9691</v>
      </c>
      <c r="F2168" s="2" t="s">
        <v>9692</v>
      </c>
      <c r="G2168" s="2" t="s">
        <v>9692</v>
      </c>
      <c r="H2168" s="2" t="s">
        <v>9692</v>
      </c>
      <c r="I2168" s="2" t="s">
        <v>3850</v>
      </c>
      <c r="J2168" s="2" t="s">
        <v>290</v>
      </c>
      <c r="K2168" s="2" t="s">
        <v>257</v>
      </c>
      <c r="L2168" s="3">
        <v>70.19</v>
      </c>
      <c r="M2168" s="3">
        <v>73.7</v>
      </c>
      <c r="N2168" s="3">
        <v>129.99</v>
      </c>
      <c r="O2168" s="2" t="s">
        <v>237</v>
      </c>
      <c r="P2168" s="2" t="s">
        <v>311</v>
      </c>
      <c r="Q2168" s="2" t="s">
        <v>239</v>
      </c>
      <c r="R2168" s="2" t="s">
        <v>233</v>
      </c>
      <c r="S2168" s="2" t="s">
        <v>9704</v>
      </c>
      <c r="T2168" s="2" t="s">
        <v>1622</v>
      </c>
      <c r="U2168" s="2" t="s">
        <v>396</v>
      </c>
      <c r="V2168" s="2" t="s">
        <v>1085</v>
      </c>
      <c r="W2168" s="2" t="s">
        <v>275</v>
      </c>
      <c r="X2168" s="2" t="s">
        <v>451</v>
      </c>
      <c r="Y2168" s="2" t="s">
        <v>9694</v>
      </c>
      <c r="Z2168" s="4">
        <v>125</v>
      </c>
      <c r="AA2168" s="4">
        <f>=ROUNDDOWN(104.166666666667,0)</f>
      </c>
      <c r="AB2168" s="5">
        <v>1.2</v>
      </c>
      <c r="AC2168" s="2" t="s">
        <v>233</v>
      </c>
      <c r="AD2168" s="4"/>
      <c r="AE2168" s="4"/>
      <c r="AF2168" s="6">
        <v>58</v>
      </c>
      <c r="AG2168" s="6"/>
      <c r="AH2168" s="7">
        <v>1</v>
      </c>
      <c r="AI2168" s="4"/>
      <c r="AJ2168" s="4">
        <f>=ROUNDDOWN({0},0)</f>
      </c>
      <c r="AK2168" s="5"/>
      <c r="AL2168" s="2" t="s">
        <v>233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233</v>
      </c>
      <c r="AW2168" s="8" t="s">
        <v>233</v>
      </c>
      <c r="AX2168" s="4" t="s">
        <v>233</v>
      </c>
      <c r="AY2168" s="8" t="s">
        <v>233</v>
      </c>
      <c r="AZ2168" s="7" t="s">
        <v>233</v>
      </c>
      <c r="BA2168" s="7" t="s">
        <v>233</v>
      </c>
      <c r="BB2168" s="7"/>
      <c r="BC2168" s="4" t="s">
        <v>233</v>
      </c>
      <c r="BD2168" s="8" t="s">
        <v>233</v>
      </c>
      <c r="BE2168" s="4" t="s">
        <v>233</v>
      </c>
      <c r="BF2168" s="8" t="s">
        <v>233</v>
      </c>
      <c r="BG2168" s="7" t="s">
        <v>233</v>
      </c>
      <c r="BH2168" s="7" t="s">
        <v>233</v>
      </c>
      <c r="BI2168" s="7"/>
      <c r="BJ2168" s="4">
        <v>2</v>
      </c>
      <c r="BK2168" s="8">
        <v>152.13</v>
      </c>
      <c r="BL2168" s="2" t="s">
        <v>4380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9709</v>
      </c>
      <c r="BV2168" s="2" t="s">
        <v>233</v>
      </c>
      <c r="BW2168" s="2" t="s">
        <v>233</v>
      </c>
      <c r="BX2168" s="2" t="s">
        <v>233</v>
      </c>
      <c r="BY2168" s="2" t="s">
        <v>280</v>
      </c>
      <c r="BZ2168" s="2" t="s">
        <v>245</v>
      </c>
      <c r="CA2168" s="2" t="s">
        <v>9696</v>
      </c>
      <c r="CB2168" s="2" t="s">
        <v>806</v>
      </c>
      <c r="CC2168" s="2" t="s">
        <v>246</v>
      </c>
      <c r="CD2168" s="2" t="s">
        <v>233</v>
      </c>
      <c r="CE2168" s="4">
        <v>125</v>
      </c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  <c r="HF2168" s="4"/>
      <c r="HG2168" s="4"/>
      <c r="HH2168" s="4"/>
      <c r="HI2168" s="4"/>
      <c r="HJ2168" s="4"/>
      <c r="HK2168" s="4"/>
      <c r="HL2168" s="4"/>
      <c r="HM2168" s="4"/>
      <c r="HN2168" s="4"/>
      <c r="HO2168" s="4"/>
      <c r="HP2168" s="4"/>
      <c r="HQ2168" s="4"/>
      <c r="HR2168" s="4"/>
    </row>
    <row r="2169">
      <c r="A2169" s="2" t="s">
        <v>9710</v>
      </c>
      <c r="B2169" s="2" t="s">
        <v>228</v>
      </c>
      <c r="C2169" s="2" t="s">
        <v>701</v>
      </c>
      <c r="D2169" s="2" t="s">
        <v>9690</v>
      </c>
      <c r="E2169" s="2" t="s">
        <v>9691</v>
      </c>
      <c r="F2169" s="2" t="s">
        <v>9692</v>
      </c>
      <c r="G2169" s="2" t="s">
        <v>9692</v>
      </c>
      <c r="H2169" s="2" t="s">
        <v>9692</v>
      </c>
      <c r="I2169" s="2" t="s">
        <v>3850</v>
      </c>
      <c r="J2169" s="2" t="s">
        <v>328</v>
      </c>
      <c r="K2169" s="2" t="s">
        <v>257</v>
      </c>
      <c r="L2169" s="3">
        <v>102.59</v>
      </c>
      <c r="M2169" s="3">
        <v>107.72</v>
      </c>
      <c r="N2169" s="3">
        <v>189.99</v>
      </c>
      <c r="O2169" s="2" t="s">
        <v>237</v>
      </c>
      <c r="P2169" s="2" t="s">
        <v>311</v>
      </c>
      <c r="Q2169" s="2" t="s">
        <v>239</v>
      </c>
      <c r="R2169" s="2" t="s">
        <v>233</v>
      </c>
      <c r="S2169" s="2" t="s">
        <v>9704</v>
      </c>
      <c r="T2169" s="2" t="s">
        <v>1622</v>
      </c>
      <c r="U2169" s="2" t="s">
        <v>396</v>
      </c>
      <c r="V2169" s="2" t="s">
        <v>1085</v>
      </c>
      <c r="W2169" s="2" t="s">
        <v>275</v>
      </c>
      <c r="X2169" s="2" t="s">
        <v>451</v>
      </c>
      <c r="Y2169" s="2" t="s">
        <v>9694</v>
      </c>
      <c r="Z2169" s="4"/>
      <c r="AA2169" s="4">
        <f>=ROUNDDOWN({0},0)</f>
      </c>
      <c r="AB2169" s="5">
        <v>5.1</v>
      </c>
      <c r="AC2169" s="2" t="s">
        <v>233</v>
      </c>
      <c r="AD2169" s="4"/>
      <c r="AE2169" s="4"/>
      <c r="AF2169" s="6">
        <v>58</v>
      </c>
      <c r="AG2169" s="6"/>
      <c r="AH2169" s="7">
        <v>0</v>
      </c>
      <c r="AI2169" s="4"/>
      <c r="AJ2169" s="4">
        <f>=ROUNDDOWN({0},0)</f>
      </c>
      <c r="AK2169" s="5"/>
      <c r="AL2169" s="2" t="s">
        <v>233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233</v>
      </c>
      <c r="AW2169" s="8" t="s">
        <v>233</v>
      </c>
      <c r="AX2169" s="4" t="s">
        <v>233</v>
      </c>
      <c r="AY2169" s="8" t="s">
        <v>233</v>
      </c>
      <c r="AZ2169" s="7" t="s">
        <v>233</v>
      </c>
      <c r="BA2169" s="7" t="s">
        <v>233</v>
      </c>
      <c r="BB2169" s="7"/>
      <c r="BC2169" s="4" t="s">
        <v>233</v>
      </c>
      <c r="BD2169" s="8" t="s">
        <v>233</v>
      </c>
      <c r="BE2169" s="4" t="s">
        <v>233</v>
      </c>
      <c r="BF2169" s="8" t="s">
        <v>233</v>
      </c>
      <c r="BG2169" s="7" t="s">
        <v>233</v>
      </c>
      <c r="BH2169" s="7" t="s">
        <v>233</v>
      </c>
      <c r="BI2169" s="7"/>
      <c r="BJ2169" s="4"/>
      <c r="BK2169" s="8"/>
      <c r="BL2169" s="2" t="s">
        <v>8368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9711</v>
      </c>
      <c r="BV2169" s="2" t="s">
        <v>233</v>
      </c>
      <c r="BW2169" s="2" t="s">
        <v>233</v>
      </c>
      <c r="BX2169" s="2" t="s">
        <v>233</v>
      </c>
      <c r="BY2169" s="2" t="s">
        <v>280</v>
      </c>
      <c r="BZ2169" s="2" t="s">
        <v>245</v>
      </c>
      <c r="CA2169" s="2" t="s">
        <v>9696</v>
      </c>
      <c r="CB2169" s="2" t="s">
        <v>9712</v>
      </c>
      <c r="CC2169" s="2" t="s">
        <v>246</v>
      </c>
      <c r="CD2169" s="2" t="s">
        <v>233</v>
      </c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  <c r="HF2169" s="4"/>
      <c r="HG2169" s="4"/>
      <c r="HH2169" s="4"/>
      <c r="HI2169" s="4"/>
      <c r="HJ2169" s="4"/>
      <c r="HK2169" s="4"/>
      <c r="HL2169" s="4"/>
      <c r="HM2169" s="4"/>
      <c r="HN2169" s="4"/>
      <c r="HO2169" s="4"/>
      <c r="HP2169" s="4"/>
      <c r="HQ2169" s="4"/>
      <c r="HR2169" s="4"/>
    </row>
    <row r="2170">
      <c r="A2170" s="2" t="s">
        <v>9713</v>
      </c>
      <c r="B2170" s="2" t="s">
        <v>228</v>
      </c>
      <c r="C2170" s="2" t="s">
        <v>701</v>
      </c>
      <c r="D2170" s="2" t="s">
        <v>9690</v>
      </c>
      <c r="E2170" s="2" t="s">
        <v>9691</v>
      </c>
      <c r="F2170" s="2" t="s">
        <v>9692</v>
      </c>
      <c r="G2170" s="2" t="s">
        <v>9692</v>
      </c>
      <c r="H2170" s="2" t="s">
        <v>9692</v>
      </c>
      <c r="I2170" s="2" t="s">
        <v>3850</v>
      </c>
      <c r="J2170" s="2" t="s">
        <v>270</v>
      </c>
      <c r="K2170" s="2" t="s">
        <v>620</v>
      </c>
      <c r="L2170" s="3">
        <v>64.79</v>
      </c>
      <c r="M2170" s="3">
        <v>68.03</v>
      </c>
      <c r="N2170" s="3">
        <v>119.99</v>
      </c>
      <c r="O2170" s="2" t="s">
        <v>237</v>
      </c>
      <c r="P2170" s="2" t="s">
        <v>311</v>
      </c>
      <c r="Q2170" s="2" t="s">
        <v>239</v>
      </c>
      <c r="R2170" s="2" t="s">
        <v>233</v>
      </c>
      <c r="S2170" s="2" t="s">
        <v>9714</v>
      </c>
      <c r="T2170" s="2" t="s">
        <v>1622</v>
      </c>
      <c r="U2170" s="2" t="s">
        <v>396</v>
      </c>
      <c r="V2170" s="2" t="s">
        <v>1085</v>
      </c>
      <c r="W2170" s="2" t="s">
        <v>275</v>
      </c>
      <c r="X2170" s="2" t="s">
        <v>451</v>
      </c>
      <c r="Y2170" s="2" t="s">
        <v>9694</v>
      </c>
      <c r="Z2170" s="4"/>
      <c r="AA2170" s="4">
        <f>=ROUNDDOWN({0},0)</f>
      </c>
      <c r="AB2170" s="5">
        <v>8.4</v>
      </c>
      <c r="AC2170" s="2" t="s">
        <v>233</v>
      </c>
      <c r="AD2170" s="4"/>
      <c r="AE2170" s="4"/>
      <c r="AF2170" s="6">
        <v>58</v>
      </c>
      <c r="AG2170" s="6"/>
      <c r="AH2170" s="7">
        <v>0</v>
      </c>
      <c r="AI2170" s="4"/>
      <c r="AJ2170" s="4">
        <f>=ROUNDDOWN({0},0)</f>
      </c>
      <c r="AK2170" s="5"/>
      <c r="AL2170" s="2" t="s">
        <v>233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 t="s">
        <v>233</v>
      </c>
      <c r="BD2170" s="8" t="s">
        <v>233</v>
      </c>
      <c r="BE2170" s="4" t="s">
        <v>233</v>
      </c>
      <c r="BF2170" s="8" t="s">
        <v>233</v>
      </c>
      <c r="BG2170" s="7" t="s">
        <v>233</v>
      </c>
      <c r="BH2170" s="7" t="s">
        <v>233</v>
      </c>
      <c r="BI2170" s="7"/>
      <c r="BJ2170" s="4"/>
      <c r="BK2170" s="8"/>
      <c r="BL2170" s="2" t="s">
        <v>3646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9715</v>
      </c>
      <c r="BV2170" s="2" t="s">
        <v>233</v>
      </c>
      <c r="BW2170" s="2" t="s">
        <v>233</v>
      </c>
      <c r="BX2170" s="2" t="s">
        <v>233</v>
      </c>
      <c r="BY2170" s="2" t="s">
        <v>280</v>
      </c>
      <c r="BZ2170" s="2" t="s">
        <v>245</v>
      </c>
      <c r="CA2170" s="2" t="s">
        <v>9696</v>
      </c>
      <c r="CB2170" s="2" t="s">
        <v>9716</v>
      </c>
      <c r="CC2170" s="2" t="s">
        <v>246</v>
      </c>
      <c r="CD2170" s="2" t="s">
        <v>233</v>
      </c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  <c r="HF2170" s="4"/>
      <c r="HG2170" s="4"/>
      <c r="HH2170" s="4"/>
      <c r="HI2170" s="4"/>
      <c r="HJ2170" s="4"/>
      <c r="HK2170" s="4"/>
      <c r="HL2170" s="4"/>
      <c r="HM2170" s="4"/>
      <c r="HN2170" s="4"/>
      <c r="HO2170" s="4"/>
      <c r="HP2170" s="4"/>
      <c r="HQ2170" s="4"/>
      <c r="HR2170" s="4"/>
    </row>
    <row r="2171">
      <c r="A2171" s="2" t="s">
        <v>9717</v>
      </c>
      <c r="B2171" s="2" t="s">
        <v>1066</v>
      </c>
      <c r="C2171" s="2" t="s">
        <v>530</v>
      </c>
      <c r="D2171" s="2" t="s">
        <v>1067</v>
      </c>
      <c r="E2171" s="2" t="s">
        <v>1068</v>
      </c>
      <c r="F2171" s="2" t="s">
        <v>9718</v>
      </c>
      <c r="G2171" s="2" t="s">
        <v>5879</v>
      </c>
      <c r="H2171" s="2" t="s">
        <v>3249</v>
      </c>
      <c r="I2171" s="2" t="s">
        <v>9719</v>
      </c>
      <c r="J2171" s="2" t="s">
        <v>892</v>
      </c>
      <c r="K2171" s="2" t="s">
        <v>9720</v>
      </c>
      <c r="L2171" s="3">
        <v>171</v>
      </c>
      <c r="M2171" s="3">
        <v>179.55</v>
      </c>
      <c r="N2171" s="3">
        <v>369</v>
      </c>
      <c r="O2171" s="2" t="s">
        <v>245</v>
      </c>
      <c r="P2171" s="2" t="s">
        <v>272</v>
      </c>
      <c r="Q2171" s="2" t="s">
        <v>239</v>
      </c>
      <c r="R2171" s="2" t="s">
        <v>233</v>
      </c>
      <c r="S2171" s="2" t="s">
        <v>9721</v>
      </c>
      <c r="T2171" s="2" t="s">
        <v>233</v>
      </c>
      <c r="U2171" s="2" t="s">
        <v>396</v>
      </c>
      <c r="V2171" s="2" t="s">
        <v>241</v>
      </c>
      <c r="W2171" s="2" t="s">
        <v>451</v>
      </c>
      <c r="X2171" s="2" t="s">
        <v>233</v>
      </c>
      <c r="Y2171" s="2" t="s">
        <v>9722</v>
      </c>
      <c r="Z2171" s="4">
        <v>33</v>
      </c>
      <c r="AA2171" s="4">
        <f>=ROUNDDOWN(4.17721518987342,0)</f>
      </c>
      <c r="AB2171" s="5">
        <v>7.9</v>
      </c>
      <c r="AC2171" s="2" t="s">
        <v>2872</v>
      </c>
      <c r="AD2171" s="4">
        <v>100</v>
      </c>
      <c r="AE2171" s="4">
        <v>410</v>
      </c>
      <c r="AF2171" s="6">
        <v>74</v>
      </c>
      <c r="AG2171" s="6">
        <v>60</v>
      </c>
      <c r="AH2171" s="7">
        <v>1</v>
      </c>
      <c r="AI2171" s="4"/>
      <c r="AJ2171" s="4">
        <f>=ROUNDDOWN({0},0)</f>
      </c>
      <c r="AK2171" s="5"/>
      <c r="AL2171" s="2" t="s">
        <v>1514</v>
      </c>
      <c r="AM2171" s="4">
        <v>94</v>
      </c>
      <c r="AN2171" s="4">
        <v>94</v>
      </c>
      <c r="AO2171" s="7">
        <v>0</v>
      </c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/>
      <c r="BD2171" s="8"/>
      <c r="BE2171" s="4"/>
      <c r="BF2171" s="8"/>
      <c r="BG2171" s="7"/>
      <c r="BH2171" s="7"/>
      <c r="BI2171" s="7"/>
      <c r="BJ2171" s="4">
        <v>28</v>
      </c>
      <c r="BK2171" s="8">
        <v>4744.02</v>
      </c>
      <c r="BL2171" s="2" t="s">
        <v>9723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9724</v>
      </c>
      <c r="BV2171" s="2" t="s">
        <v>233</v>
      </c>
      <c r="BW2171" s="2" t="s">
        <v>233</v>
      </c>
      <c r="BX2171" s="2" t="s">
        <v>233</v>
      </c>
      <c r="BY2171" s="2" t="s">
        <v>280</v>
      </c>
      <c r="BZ2171" s="2" t="s">
        <v>245</v>
      </c>
      <c r="CA2171" s="2" t="s">
        <v>9725</v>
      </c>
      <c r="CB2171" s="2" t="s">
        <v>9726</v>
      </c>
      <c r="CC2171" s="2" t="s">
        <v>246</v>
      </c>
      <c r="CD2171" s="2" t="s">
        <v>233</v>
      </c>
      <c r="CE2171" s="4"/>
      <c r="CF2171" s="4">
        <v>33</v>
      </c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>
        <v>100</v>
      </c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>
        <v>150</v>
      </c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>
        <v>160</v>
      </c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  <c r="GL2171" s="4"/>
      <c r="GM2171" s="4"/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  <c r="HF2171" s="4"/>
      <c r="HG2171" s="4"/>
      <c r="HH2171" s="4"/>
      <c r="HI2171" s="4"/>
      <c r="HJ2171" s="4"/>
      <c r="HK2171" s="4"/>
      <c r="HL2171" s="4">
        <v>94</v>
      </c>
      <c r="HM2171" s="4"/>
      <c r="HN2171" s="4"/>
      <c r="HO2171" s="4"/>
      <c r="HP2171" s="4"/>
      <c r="HQ2171" s="4"/>
      <c r="HR2171" s="4"/>
    </row>
    <row r="2172">
      <c r="A2172" s="2" t="s">
        <v>9727</v>
      </c>
      <c r="B2172" s="2" t="s">
        <v>928</v>
      </c>
      <c r="C2172" s="2" t="s">
        <v>530</v>
      </c>
      <c r="D2172" s="2" t="s">
        <v>9728</v>
      </c>
      <c r="E2172" s="2" t="s">
        <v>9729</v>
      </c>
      <c r="F2172" s="2" t="s">
        <v>9730</v>
      </c>
      <c r="G2172" s="2" t="s">
        <v>9730</v>
      </c>
      <c r="H2172" s="2" t="s">
        <v>9730</v>
      </c>
      <c r="I2172" s="2" t="s">
        <v>9731</v>
      </c>
      <c r="J2172" s="2" t="s">
        <v>9732</v>
      </c>
      <c r="K2172" s="2" t="s">
        <v>9733</v>
      </c>
      <c r="L2172" s="3">
        <v>14.7</v>
      </c>
      <c r="M2172" s="3">
        <v>15.44</v>
      </c>
      <c r="N2172" s="3">
        <v>34.99</v>
      </c>
      <c r="O2172" s="2" t="s">
        <v>252</v>
      </c>
      <c r="P2172" s="2" t="s">
        <v>311</v>
      </c>
      <c r="Q2172" s="2" t="s">
        <v>239</v>
      </c>
      <c r="R2172" s="2" t="s">
        <v>233</v>
      </c>
      <c r="S2172" s="2" t="s">
        <v>233</v>
      </c>
      <c r="T2172" s="2" t="s">
        <v>233</v>
      </c>
      <c r="U2172" s="2" t="s">
        <v>396</v>
      </c>
      <c r="V2172" s="2" t="s">
        <v>2225</v>
      </c>
      <c r="W2172" s="2" t="s">
        <v>451</v>
      </c>
      <c r="X2172" s="2" t="s">
        <v>233</v>
      </c>
      <c r="Y2172" s="2" t="s">
        <v>5543</v>
      </c>
      <c r="Z2172" s="4">
        <v>16</v>
      </c>
      <c r="AA2172" s="4">
        <f>=ROUNDDOWN(32,0)</f>
      </c>
      <c r="AB2172" s="5">
        <v>0.5</v>
      </c>
      <c r="AC2172" s="2" t="s">
        <v>233</v>
      </c>
      <c r="AD2172" s="4"/>
      <c r="AE2172" s="4"/>
      <c r="AF2172" s="6"/>
      <c r="AG2172" s="6"/>
      <c r="AH2172" s="7">
        <v>0.1935</v>
      </c>
      <c r="AI2172" s="4"/>
      <c r="AJ2172" s="4">
        <f>=ROUNDDOWN({0},0)</f>
      </c>
      <c r="AK2172" s="5"/>
      <c r="AL2172" s="2" t="s">
        <v>233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/>
      <c r="BD2172" s="8"/>
      <c r="BE2172" s="4"/>
      <c r="BF2172" s="8"/>
      <c r="BG2172" s="7"/>
      <c r="BH2172" s="7"/>
      <c r="BI2172" s="7"/>
      <c r="BJ2172" s="4"/>
      <c r="BK2172" s="8"/>
      <c r="BL2172" s="2" t="s">
        <v>233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9734</v>
      </c>
      <c r="BV2172" s="2" t="s">
        <v>233</v>
      </c>
      <c r="BW2172" s="2" t="s">
        <v>233</v>
      </c>
      <c r="BX2172" s="2" t="s">
        <v>233</v>
      </c>
      <c r="BY2172" s="2" t="s">
        <v>280</v>
      </c>
      <c r="BZ2172" s="2" t="s">
        <v>245</v>
      </c>
      <c r="CA2172" s="2" t="s">
        <v>9735</v>
      </c>
      <c r="CB2172" s="2" t="s">
        <v>7306</v>
      </c>
      <c r="CC2172" s="2" t="s">
        <v>246</v>
      </c>
      <c r="CD2172" s="2" t="s">
        <v>233</v>
      </c>
      <c r="CE2172" s="4"/>
      <c r="CF2172" s="4">
        <v>16</v>
      </c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  <c r="HG2172" s="4"/>
      <c r="HH2172" s="4"/>
      <c r="HI2172" s="4"/>
      <c r="HJ2172" s="4"/>
      <c r="HK2172" s="4"/>
      <c r="HL2172" s="4"/>
      <c r="HM2172" s="4"/>
      <c r="HN2172" s="4"/>
      <c r="HO2172" s="4"/>
      <c r="HP2172" s="4"/>
      <c r="HQ2172" s="4"/>
      <c r="HR2172" s="4"/>
    </row>
    <row r="2173">
      <c r="A2173" s="2" t="s">
        <v>9736</v>
      </c>
      <c r="B2173" s="2" t="s">
        <v>928</v>
      </c>
      <c r="C2173" s="2" t="s">
        <v>530</v>
      </c>
      <c r="D2173" s="2" t="s">
        <v>1757</v>
      </c>
      <c r="E2173" s="2" t="s">
        <v>7319</v>
      </c>
      <c r="F2173" s="2" t="s">
        <v>9737</v>
      </c>
      <c r="G2173" s="2" t="s">
        <v>9737</v>
      </c>
      <c r="H2173" s="2" t="s">
        <v>9737</v>
      </c>
      <c r="I2173" s="2" t="s">
        <v>9738</v>
      </c>
      <c r="J2173" s="2" t="s">
        <v>892</v>
      </c>
      <c r="K2173" s="2" t="s">
        <v>1105</v>
      </c>
      <c r="L2173" s="3">
        <v>32.38</v>
      </c>
      <c r="M2173" s="3">
        <v>34</v>
      </c>
      <c r="N2173" s="3">
        <v>67.99</v>
      </c>
      <c r="O2173" s="2" t="s">
        <v>245</v>
      </c>
      <c r="P2173" s="2" t="s">
        <v>238</v>
      </c>
      <c r="Q2173" s="2" t="s">
        <v>239</v>
      </c>
      <c r="R2173" s="2" t="s">
        <v>233</v>
      </c>
      <c r="S2173" s="2" t="s">
        <v>233</v>
      </c>
      <c r="T2173" s="2" t="s">
        <v>233</v>
      </c>
      <c r="U2173" s="2" t="s">
        <v>491</v>
      </c>
      <c r="V2173" s="2" t="s">
        <v>893</v>
      </c>
      <c r="W2173" s="2" t="s">
        <v>705</v>
      </c>
      <c r="X2173" s="2" t="s">
        <v>397</v>
      </c>
      <c r="Y2173" s="2" t="s">
        <v>1106</v>
      </c>
      <c r="Z2173" s="4"/>
      <c r="AA2173" s="4">
        <f>=ROUNDDOWN({0},0)</f>
      </c>
      <c r="AB2173" s="5">
        <v>12</v>
      </c>
      <c r="AC2173" s="2" t="s">
        <v>1821</v>
      </c>
      <c r="AD2173" s="4">
        <v>240</v>
      </c>
      <c r="AE2173" s="4">
        <v>240</v>
      </c>
      <c r="AF2173" s="6">
        <v>65</v>
      </c>
      <c r="AG2173" s="6"/>
      <c r="AH2173" s="7">
        <v>0</v>
      </c>
      <c r="AI2173" s="4"/>
      <c r="AJ2173" s="4">
        <f>=ROUNDDOWN({0},0)</f>
      </c>
      <c r="AK2173" s="5"/>
      <c r="AL2173" s="2" t="s">
        <v>233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/>
      <c r="BD2173" s="8"/>
      <c r="BE2173" s="4"/>
      <c r="BF2173" s="8"/>
      <c r="BG2173" s="7"/>
      <c r="BH2173" s="7"/>
      <c r="BI2173" s="7"/>
      <c r="BJ2173" s="4">
        <v>1</v>
      </c>
      <c r="BK2173" s="8">
        <v>50.43</v>
      </c>
      <c r="BL2173" s="2" t="s">
        <v>744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9739</v>
      </c>
      <c r="BV2173" s="2" t="s">
        <v>233</v>
      </c>
      <c r="BW2173" s="2" t="s">
        <v>233</v>
      </c>
      <c r="BX2173" s="2" t="s">
        <v>243</v>
      </c>
      <c r="BY2173" s="2" t="s">
        <v>280</v>
      </c>
      <c r="BZ2173" s="2" t="s">
        <v>245</v>
      </c>
      <c r="CA2173" s="2" t="s">
        <v>908</v>
      </c>
      <c r="CB2173" s="2" t="s">
        <v>4324</v>
      </c>
      <c r="CC2173" s="2" t="s">
        <v>246</v>
      </c>
      <c r="CD2173" s="2" t="s">
        <v>233</v>
      </c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>
        <v>240</v>
      </c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  <c r="HG2173" s="4"/>
      <c r="HH2173" s="4"/>
      <c r="HI2173" s="4"/>
      <c r="HJ2173" s="4"/>
      <c r="HK2173" s="4"/>
      <c r="HL2173" s="4"/>
      <c r="HM2173" s="4"/>
      <c r="HN2173" s="4"/>
      <c r="HO2173" s="4"/>
      <c r="HP2173" s="4"/>
      <c r="HQ2173" s="4"/>
      <c r="HR2173" s="4"/>
    </row>
    <row r="2174">
      <c r="A2174" s="2" t="s">
        <v>9740</v>
      </c>
      <c r="B2174" s="2" t="s">
        <v>228</v>
      </c>
      <c r="C2174" s="2" t="s">
        <v>1050</v>
      </c>
      <c r="D2174" s="2" t="s">
        <v>3847</v>
      </c>
      <c r="E2174" s="2" t="s">
        <v>6221</v>
      </c>
      <c r="F2174" s="2" t="s">
        <v>9741</v>
      </c>
      <c r="G2174" s="2" t="s">
        <v>7694</v>
      </c>
      <c r="H2174" s="2" t="s">
        <v>9742</v>
      </c>
      <c r="I2174" s="2" t="s">
        <v>9743</v>
      </c>
      <c r="J2174" s="2" t="s">
        <v>1736</v>
      </c>
      <c r="K2174" s="2" t="s">
        <v>255</v>
      </c>
      <c r="L2174" s="3">
        <v>32.2</v>
      </c>
      <c r="M2174" s="3">
        <v>33.81</v>
      </c>
      <c r="N2174" s="3">
        <v>69.99</v>
      </c>
      <c r="O2174" s="2" t="s">
        <v>237</v>
      </c>
      <c r="P2174" s="2" t="s">
        <v>996</v>
      </c>
      <c r="Q2174" s="2" t="s">
        <v>239</v>
      </c>
      <c r="R2174" s="2" t="s">
        <v>233</v>
      </c>
      <c r="S2174" s="2" t="s">
        <v>9744</v>
      </c>
      <c r="T2174" s="2" t="s">
        <v>233</v>
      </c>
      <c r="U2174" s="2" t="s">
        <v>233</v>
      </c>
      <c r="V2174" s="2" t="s">
        <v>1085</v>
      </c>
      <c r="W2174" s="2" t="s">
        <v>705</v>
      </c>
      <c r="X2174" s="2" t="s">
        <v>233</v>
      </c>
      <c r="Y2174" s="2" t="s">
        <v>2657</v>
      </c>
      <c r="Z2174" s="4">
        <v>1187</v>
      </c>
      <c r="AA2174" s="4">
        <f>=ROUNDDOWN(107.909090909091,0)</f>
      </c>
      <c r="AB2174" s="5">
        <v>11</v>
      </c>
      <c r="AC2174" s="2" t="s">
        <v>233</v>
      </c>
      <c r="AD2174" s="4"/>
      <c r="AE2174" s="4"/>
      <c r="AF2174" s="6">
        <v>61</v>
      </c>
      <c r="AG2174" s="6"/>
      <c r="AH2174" s="7">
        <v>1</v>
      </c>
      <c r="AI2174" s="4"/>
      <c r="AJ2174" s="4">
        <f>=ROUNDDOWN({0},0)</f>
      </c>
      <c r="AK2174" s="5"/>
      <c r="AL2174" s="2" t="s">
        <v>233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 t="s">
        <v>233</v>
      </c>
      <c r="BD2174" s="8" t="s">
        <v>233</v>
      </c>
      <c r="BE2174" s="4" t="s">
        <v>233</v>
      </c>
      <c r="BF2174" s="8" t="s">
        <v>233</v>
      </c>
      <c r="BG2174" s="7" t="s">
        <v>233</v>
      </c>
      <c r="BH2174" s="7" t="s">
        <v>233</v>
      </c>
      <c r="BI2174" s="7"/>
      <c r="BJ2174" s="4">
        <v>12</v>
      </c>
      <c r="BK2174" s="8">
        <v>358.49</v>
      </c>
      <c r="BL2174" s="2" t="s">
        <v>9745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9746</v>
      </c>
      <c r="BV2174" s="2" t="s">
        <v>233</v>
      </c>
      <c r="BW2174" s="2" t="s">
        <v>233</v>
      </c>
      <c r="BX2174" s="2" t="s">
        <v>233</v>
      </c>
      <c r="BY2174" s="2" t="s">
        <v>280</v>
      </c>
      <c r="BZ2174" s="2" t="s">
        <v>245</v>
      </c>
      <c r="CA2174" s="2" t="s">
        <v>2201</v>
      </c>
      <c r="CB2174" s="2" t="s">
        <v>6381</v>
      </c>
      <c r="CC2174" s="2" t="s">
        <v>246</v>
      </c>
      <c r="CD2174" s="2" t="s">
        <v>233</v>
      </c>
      <c r="CE2174" s="4">
        <v>1187</v>
      </c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  <c r="HG2174" s="4"/>
      <c r="HH2174" s="4"/>
      <c r="HI2174" s="4"/>
      <c r="HJ2174" s="4"/>
      <c r="HK2174" s="4"/>
      <c r="HL2174" s="4"/>
      <c r="HM2174" s="4"/>
      <c r="HN2174" s="4"/>
      <c r="HO2174" s="4"/>
      <c r="HP2174" s="4"/>
      <c r="HQ2174" s="4"/>
      <c r="HR2174" s="4"/>
    </row>
    <row r="2175">
      <c r="A2175" s="2" t="s">
        <v>9747</v>
      </c>
      <c r="B2175" s="2" t="s">
        <v>910</v>
      </c>
      <c r="C2175" s="2" t="s">
        <v>911</v>
      </c>
      <c r="D2175" s="2" t="s">
        <v>912</v>
      </c>
      <c r="E2175" s="2" t="s">
        <v>913</v>
      </c>
      <c r="F2175" s="2" t="s">
        <v>9741</v>
      </c>
      <c r="G2175" s="2" t="s">
        <v>7694</v>
      </c>
      <c r="H2175" s="2" t="s">
        <v>9742</v>
      </c>
      <c r="I2175" s="2" t="s">
        <v>9748</v>
      </c>
      <c r="J2175" s="2" t="s">
        <v>918</v>
      </c>
      <c r="K2175" s="2" t="s">
        <v>9749</v>
      </c>
      <c r="L2175" s="3">
        <v>26.1</v>
      </c>
      <c r="M2175" s="3">
        <v>27.4</v>
      </c>
      <c r="N2175" s="3">
        <v>57.99</v>
      </c>
      <c r="O2175" s="2" t="s">
        <v>245</v>
      </c>
      <c r="P2175" s="2" t="s">
        <v>272</v>
      </c>
      <c r="Q2175" s="2" t="s">
        <v>239</v>
      </c>
      <c r="R2175" s="2" t="s">
        <v>233</v>
      </c>
      <c r="S2175" s="2" t="s">
        <v>9750</v>
      </c>
      <c r="T2175" s="2" t="s">
        <v>395</v>
      </c>
      <c r="U2175" s="2" t="s">
        <v>342</v>
      </c>
      <c r="V2175" s="2" t="s">
        <v>1085</v>
      </c>
      <c r="W2175" s="2" t="s">
        <v>397</v>
      </c>
      <c r="X2175" s="2" t="s">
        <v>705</v>
      </c>
      <c r="Y2175" s="2" t="s">
        <v>2884</v>
      </c>
      <c r="Z2175" s="4">
        <v>205</v>
      </c>
      <c r="AA2175" s="4">
        <f>=ROUNDDOWN(25.625,0)</f>
      </c>
      <c r="AB2175" s="5">
        <v>8</v>
      </c>
      <c r="AC2175" s="2" t="s">
        <v>361</v>
      </c>
      <c r="AD2175" s="4">
        <v>100</v>
      </c>
      <c r="AE2175" s="4">
        <v>210</v>
      </c>
      <c r="AF2175" s="6">
        <v>64</v>
      </c>
      <c r="AG2175" s="6"/>
      <c r="AH2175" s="7">
        <v>1</v>
      </c>
      <c r="AI2175" s="4"/>
      <c r="AJ2175" s="4">
        <f>=ROUNDDOWN({0},0)</f>
      </c>
      <c r="AK2175" s="5"/>
      <c r="AL2175" s="2" t="s">
        <v>233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233</v>
      </c>
      <c r="BD2175" s="8" t="s">
        <v>233</v>
      </c>
      <c r="BE2175" s="4" t="s">
        <v>233</v>
      </c>
      <c r="BF2175" s="8" t="s">
        <v>233</v>
      </c>
      <c r="BG2175" s="7" t="s">
        <v>233</v>
      </c>
      <c r="BH2175" s="7" t="s">
        <v>233</v>
      </c>
      <c r="BI2175" s="7"/>
      <c r="BJ2175" s="4">
        <v>7</v>
      </c>
      <c r="BK2175" s="8">
        <v>190.33</v>
      </c>
      <c r="BL2175" s="2" t="s">
        <v>9751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9752</v>
      </c>
      <c r="BV2175" s="2" t="s">
        <v>233</v>
      </c>
      <c r="BW2175" s="2" t="s">
        <v>233</v>
      </c>
      <c r="BX2175" s="2" t="s">
        <v>233</v>
      </c>
      <c r="BY2175" s="2" t="s">
        <v>280</v>
      </c>
      <c r="BZ2175" s="2" t="s">
        <v>245</v>
      </c>
      <c r="CA2175" s="2" t="s">
        <v>9753</v>
      </c>
      <c r="CB2175" s="2" t="s">
        <v>1155</v>
      </c>
      <c r="CC2175" s="2" t="s">
        <v>246</v>
      </c>
      <c r="CD2175" s="2" t="s">
        <v>233</v>
      </c>
      <c r="CE2175" s="4">
        <v>205</v>
      </c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>
        <v>100</v>
      </c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>
        <v>110</v>
      </c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  <c r="HG2175" s="4"/>
      <c r="HH2175" s="4"/>
      <c r="HI2175" s="4"/>
      <c r="HJ2175" s="4"/>
      <c r="HK2175" s="4"/>
      <c r="HL2175" s="4"/>
      <c r="HM2175" s="4"/>
      <c r="HN2175" s="4"/>
      <c r="HO2175" s="4"/>
      <c r="HP2175" s="4"/>
      <c r="HQ2175" s="4"/>
      <c r="HR2175" s="4"/>
    </row>
    <row r="2176">
      <c r="A2176" s="2" t="s">
        <v>9754</v>
      </c>
      <c r="B2176" s="2" t="s">
        <v>1174</v>
      </c>
      <c r="C2176" s="2" t="s">
        <v>911</v>
      </c>
      <c r="D2176" s="2" t="s">
        <v>1175</v>
      </c>
      <c r="E2176" s="2" t="s">
        <v>1448</v>
      </c>
      <c r="F2176" s="2" t="s">
        <v>9741</v>
      </c>
      <c r="G2176" s="2" t="s">
        <v>7694</v>
      </c>
      <c r="H2176" s="2" t="s">
        <v>9742</v>
      </c>
      <c r="I2176" s="2" t="s">
        <v>9755</v>
      </c>
      <c r="J2176" s="2" t="s">
        <v>5014</v>
      </c>
      <c r="K2176" s="2" t="s">
        <v>9756</v>
      </c>
      <c r="L2176" s="3">
        <v>19.2</v>
      </c>
      <c r="M2176" s="3">
        <v>20.16</v>
      </c>
      <c r="N2176" s="3">
        <v>39.99</v>
      </c>
      <c r="O2176" s="2" t="s">
        <v>245</v>
      </c>
      <c r="P2176" s="2" t="s">
        <v>311</v>
      </c>
      <c r="Q2176" s="2" t="s">
        <v>239</v>
      </c>
      <c r="R2176" s="2" t="s">
        <v>233</v>
      </c>
      <c r="S2176" s="2" t="s">
        <v>9757</v>
      </c>
      <c r="T2176" s="2" t="s">
        <v>233</v>
      </c>
      <c r="U2176" s="2" t="s">
        <v>233</v>
      </c>
      <c r="V2176" s="2" t="s">
        <v>1085</v>
      </c>
      <c r="W2176" s="2" t="s">
        <v>275</v>
      </c>
      <c r="X2176" s="2" t="s">
        <v>1457</v>
      </c>
      <c r="Y2176" s="2" t="s">
        <v>4192</v>
      </c>
      <c r="Z2176" s="4">
        <v>271</v>
      </c>
      <c r="AA2176" s="4">
        <f>=ROUNDDOWN(45.1666666666667,0)</f>
      </c>
      <c r="AB2176" s="5">
        <v>6</v>
      </c>
      <c r="AC2176" s="2" t="s">
        <v>233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233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233</v>
      </c>
      <c r="BD2176" s="8" t="s">
        <v>233</v>
      </c>
      <c r="BE2176" s="4" t="s">
        <v>233</v>
      </c>
      <c r="BF2176" s="8" t="s">
        <v>233</v>
      </c>
      <c r="BG2176" s="7" t="s">
        <v>233</v>
      </c>
      <c r="BH2176" s="7" t="s">
        <v>233</v>
      </c>
      <c r="BI2176" s="7"/>
      <c r="BJ2176" s="4">
        <v>12</v>
      </c>
      <c r="BK2176" s="8">
        <v>247.56</v>
      </c>
      <c r="BL2176" s="2" t="s">
        <v>9758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9759</v>
      </c>
      <c r="BV2176" s="2" t="s">
        <v>233</v>
      </c>
      <c r="BW2176" s="2" t="s">
        <v>233</v>
      </c>
      <c r="BX2176" s="2" t="s">
        <v>595</v>
      </c>
      <c r="BY2176" s="2" t="s">
        <v>280</v>
      </c>
      <c r="BZ2176" s="2" t="s">
        <v>245</v>
      </c>
      <c r="CA2176" s="2" t="s">
        <v>9760</v>
      </c>
      <c r="CB2176" s="2" t="s">
        <v>9761</v>
      </c>
      <c r="CC2176" s="2" t="s">
        <v>246</v>
      </c>
      <c r="CD2176" s="2" t="s">
        <v>233</v>
      </c>
      <c r="CE2176" s="4">
        <v>271</v>
      </c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  <c r="GL2176" s="4"/>
      <c r="GM2176" s="4"/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  <c r="HF2176" s="4"/>
      <c r="HG2176" s="4"/>
      <c r="HH2176" s="4"/>
      <c r="HI2176" s="4"/>
      <c r="HJ2176" s="4"/>
      <c r="HK2176" s="4"/>
      <c r="HL2176" s="4"/>
      <c r="HM2176" s="4"/>
      <c r="HN2176" s="4"/>
      <c r="HO2176" s="4"/>
      <c r="HP2176" s="4"/>
      <c r="HQ2176" s="4"/>
      <c r="HR2176" s="4"/>
    </row>
    <row r="2177">
      <c r="A2177" s="2" t="s">
        <v>9762</v>
      </c>
      <c r="B2177" s="2" t="s">
        <v>910</v>
      </c>
      <c r="C2177" s="2" t="s">
        <v>911</v>
      </c>
      <c r="D2177" s="2" t="s">
        <v>969</v>
      </c>
      <c r="E2177" s="2" t="s">
        <v>1078</v>
      </c>
      <c r="F2177" s="2" t="s">
        <v>9741</v>
      </c>
      <c r="G2177" s="2" t="s">
        <v>7694</v>
      </c>
      <c r="H2177" s="2" t="s">
        <v>9742</v>
      </c>
      <c r="I2177" s="2" t="s">
        <v>9763</v>
      </c>
      <c r="J2177" s="2" t="s">
        <v>918</v>
      </c>
      <c r="K2177" s="2" t="s">
        <v>7397</v>
      </c>
      <c r="L2177" s="3">
        <v>35.19</v>
      </c>
      <c r="M2177" s="3">
        <v>36.95</v>
      </c>
      <c r="N2177" s="3">
        <v>69.99</v>
      </c>
      <c r="O2177" s="2" t="s">
        <v>245</v>
      </c>
      <c r="P2177" s="2" t="s">
        <v>272</v>
      </c>
      <c r="Q2177" s="2" t="s">
        <v>239</v>
      </c>
      <c r="R2177" s="2" t="s">
        <v>233</v>
      </c>
      <c r="S2177" s="2" t="s">
        <v>9764</v>
      </c>
      <c r="T2177" s="2" t="s">
        <v>395</v>
      </c>
      <c r="U2177" s="2" t="s">
        <v>342</v>
      </c>
      <c r="V2177" s="2" t="s">
        <v>1085</v>
      </c>
      <c r="W2177" s="2" t="s">
        <v>397</v>
      </c>
      <c r="X2177" s="2" t="s">
        <v>705</v>
      </c>
      <c r="Y2177" s="2" t="s">
        <v>9765</v>
      </c>
      <c r="Z2177" s="4">
        <v>104</v>
      </c>
      <c r="AA2177" s="4">
        <f>=ROUNDDOWN(17.3333333333333,0)</f>
      </c>
      <c r="AB2177" s="5">
        <v>6</v>
      </c>
      <c r="AC2177" s="2" t="s">
        <v>1514</v>
      </c>
      <c r="AD2177" s="4">
        <v>90</v>
      </c>
      <c r="AE2177" s="4">
        <v>210</v>
      </c>
      <c r="AF2177" s="6">
        <v>64</v>
      </c>
      <c r="AG2177" s="6"/>
      <c r="AH2177" s="7">
        <v>1</v>
      </c>
      <c r="AI2177" s="4"/>
      <c r="AJ2177" s="4">
        <f>=ROUNDDOWN({0},0)</f>
      </c>
      <c r="AK2177" s="5"/>
      <c r="AL2177" s="2" t="s">
        <v>233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233</v>
      </c>
      <c r="BD2177" s="8" t="s">
        <v>233</v>
      </c>
      <c r="BE2177" s="4" t="s">
        <v>233</v>
      </c>
      <c r="BF2177" s="8" t="s">
        <v>233</v>
      </c>
      <c r="BG2177" s="7" t="s">
        <v>233</v>
      </c>
      <c r="BH2177" s="7" t="s">
        <v>233</v>
      </c>
      <c r="BI2177" s="7"/>
      <c r="BJ2177" s="4">
        <v>9</v>
      </c>
      <c r="BK2177" s="8">
        <v>390.12</v>
      </c>
      <c r="BL2177" s="2" t="s">
        <v>9766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9767</v>
      </c>
      <c r="BV2177" s="2" t="s">
        <v>233</v>
      </c>
      <c r="BW2177" s="2" t="s">
        <v>233</v>
      </c>
      <c r="BX2177" s="2" t="s">
        <v>233</v>
      </c>
      <c r="BY2177" s="2" t="s">
        <v>280</v>
      </c>
      <c r="BZ2177" s="2" t="s">
        <v>245</v>
      </c>
      <c r="CA2177" s="2" t="s">
        <v>9768</v>
      </c>
      <c r="CB2177" s="2" t="s">
        <v>4759</v>
      </c>
      <c r="CC2177" s="2" t="s">
        <v>246</v>
      </c>
      <c r="CD2177" s="2" t="s">
        <v>233</v>
      </c>
      <c r="CE2177" s="4">
        <v>104</v>
      </c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>
        <v>90</v>
      </c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>
        <v>60</v>
      </c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>
        <v>60</v>
      </c>
      <c r="GF2177" s="4"/>
      <c r="GG2177" s="4"/>
      <c r="GH2177" s="4"/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  <c r="HF2177" s="4"/>
      <c r="HG2177" s="4"/>
      <c r="HH2177" s="4"/>
      <c r="HI2177" s="4"/>
      <c r="HJ2177" s="4"/>
      <c r="HK2177" s="4"/>
      <c r="HL2177" s="4"/>
      <c r="HM2177" s="4"/>
      <c r="HN2177" s="4"/>
      <c r="HO2177" s="4"/>
      <c r="HP2177" s="4"/>
      <c r="HQ2177" s="4"/>
      <c r="HR2177" s="4"/>
    </row>
    <row r="2178">
      <c r="A2178" s="2" t="s">
        <v>9769</v>
      </c>
      <c r="B2178" s="2" t="s">
        <v>333</v>
      </c>
      <c r="C2178" s="2" t="s">
        <v>265</v>
      </c>
      <c r="D2178" s="2" t="s">
        <v>335</v>
      </c>
      <c r="E2178" s="2" t="s">
        <v>336</v>
      </c>
      <c r="F2178" s="2" t="s">
        <v>9770</v>
      </c>
      <c r="G2178" s="2" t="s">
        <v>9770</v>
      </c>
      <c r="H2178" s="2" t="s">
        <v>9770</v>
      </c>
      <c r="I2178" s="2" t="s">
        <v>7374</v>
      </c>
      <c r="J2178" s="2" t="s">
        <v>546</v>
      </c>
      <c r="K2178" s="2" t="s">
        <v>569</v>
      </c>
      <c r="L2178" s="3">
        <v>41.65</v>
      </c>
      <c r="M2178" s="3">
        <v>43.73</v>
      </c>
      <c r="N2178" s="3">
        <v>84.99</v>
      </c>
      <c r="O2178" s="2" t="s">
        <v>245</v>
      </c>
      <c r="P2178" s="2" t="s">
        <v>311</v>
      </c>
      <c r="Q2178" s="2" t="s">
        <v>239</v>
      </c>
      <c r="R2178" s="2" t="s">
        <v>233</v>
      </c>
      <c r="S2178" s="2" t="s">
        <v>9771</v>
      </c>
      <c r="T2178" s="2" t="s">
        <v>4995</v>
      </c>
      <c r="U2178" s="2" t="s">
        <v>342</v>
      </c>
      <c r="V2178" s="2" t="s">
        <v>241</v>
      </c>
      <c r="W2178" s="2" t="s">
        <v>275</v>
      </c>
      <c r="X2178" s="2" t="s">
        <v>397</v>
      </c>
      <c r="Y2178" s="2" t="s">
        <v>9707</v>
      </c>
      <c r="Z2178" s="4">
        <v>28</v>
      </c>
      <c r="AA2178" s="4">
        <f>=ROUNDDOWN(140,0)</f>
      </c>
      <c r="AB2178" s="5">
        <v>0.2</v>
      </c>
      <c r="AC2178" s="2" t="s">
        <v>233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233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233</v>
      </c>
      <c r="AW2178" s="8" t="s">
        <v>233</v>
      </c>
      <c r="AX2178" s="4" t="s">
        <v>233</v>
      </c>
      <c r="AY2178" s="8" t="s">
        <v>233</v>
      </c>
      <c r="AZ2178" s="7" t="s">
        <v>233</v>
      </c>
      <c r="BA2178" s="7" t="s">
        <v>233</v>
      </c>
      <c r="BB2178" s="7"/>
      <c r="BC2178" s="4" t="s">
        <v>233</v>
      </c>
      <c r="BD2178" s="8" t="s">
        <v>233</v>
      </c>
      <c r="BE2178" s="4" t="s">
        <v>233</v>
      </c>
      <c r="BF2178" s="8" t="s">
        <v>233</v>
      </c>
      <c r="BG2178" s="7" t="s">
        <v>233</v>
      </c>
      <c r="BH2178" s="7" t="s">
        <v>233</v>
      </c>
      <c r="BI2178" s="7"/>
      <c r="BJ2178" s="4">
        <v>1</v>
      </c>
      <c r="BK2178" s="8">
        <v>45.89</v>
      </c>
      <c r="BL2178" s="2" t="s">
        <v>9772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9773</v>
      </c>
      <c r="BV2178" s="2" t="s">
        <v>233</v>
      </c>
      <c r="BW2178" s="2" t="s">
        <v>233</v>
      </c>
      <c r="BX2178" s="2" t="s">
        <v>233</v>
      </c>
      <c r="BY2178" s="2" t="s">
        <v>280</v>
      </c>
      <c r="BZ2178" s="2" t="s">
        <v>245</v>
      </c>
      <c r="CA2178" s="2" t="s">
        <v>9774</v>
      </c>
      <c r="CB2178" s="2" t="s">
        <v>9125</v>
      </c>
      <c r="CC2178" s="2" t="s">
        <v>246</v>
      </c>
      <c r="CD2178" s="2" t="s">
        <v>233</v>
      </c>
      <c r="CE2178" s="4">
        <v>28</v>
      </c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4"/>
      <c r="HG2178" s="4"/>
      <c r="HH2178" s="4"/>
      <c r="HI2178" s="4"/>
      <c r="HJ2178" s="4"/>
      <c r="HK2178" s="4"/>
      <c r="HL2178" s="4"/>
      <c r="HM2178" s="4"/>
      <c r="HN2178" s="4"/>
      <c r="HO2178" s="4"/>
      <c r="HP2178" s="4"/>
      <c r="HQ2178" s="4"/>
      <c r="HR2178" s="4"/>
    </row>
    <row r="2179">
      <c r="A2179" s="2" t="s">
        <v>9775</v>
      </c>
      <c r="B2179" s="2" t="s">
        <v>264</v>
      </c>
      <c r="C2179" s="2" t="s">
        <v>265</v>
      </c>
      <c r="D2179" s="2" t="s">
        <v>1194</v>
      </c>
      <c r="E2179" s="2" t="s">
        <v>9776</v>
      </c>
      <c r="F2179" s="2" t="s">
        <v>9770</v>
      </c>
      <c r="G2179" s="2" t="s">
        <v>9770</v>
      </c>
      <c r="H2179" s="2" t="s">
        <v>9770</v>
      </c>
      <c r="I2179" s="2" t="s">
        <v>9777</v>
      </c>
      <c r="J2179" s="2" t="s">
        <v>9778</v>
      </c>
      <c r="K2179" s="2" t="s">
        <v>569</v>
      </c>
      <c r="L2179" s="3">
        <v>25.3</v>
      </c>
      <c r="M2179" s="3">
        <v>26.56</v>
      </c>
      <c r="N2179" s="3">
        <v>54.99</v>
      </c>
      <c r="O2179" s="2" t="s">
        <v>245</v>
      </c>
      <c r="P2179" s="2" t="s">
        <v>272</v>
      </c>
      <c r="Q2179" s="2" t="s">
        <v>239</v>
      </c>
      <c r="R2179" s="2" t="s">
        <v>233</v>
      </c>
      <c r="S2179" s="2" t="s">
        <v>9779</v>
      </c>
      <c r="T2179" s="2" t="s">
        <v>233</v>
      </c>
      <c r="U2179" s="2" t="s">
        <v>233</v>
      </c>
      <c r="V2179" s="2" t="s">
        <v>241</v>
      </c>
      <c r="W2179" s="2" t="s">
        <v>1235</v>
      </c>
      <c r="X2179" s="2" t="s">
        <v>233</v>
      </c>
      <c r="Y2179" s="2" t="s">
        <v>2442</v>
      </c>
      <c r="Z2179" s="4">
        <v>175</v>
      </c>
      <c r="AA2179" s="4">
        <f>=ROUNDDOWN(12.5,0)</f>
      </c>
      <c r="AB2179" s="5">
        <v>14</v>
      </c>
      <c r="AC2179" s="2" t="s">
        <v>319</v>
      </c>
      <c r="AD2179" s="4">
        <v>120</v>
      </c>
      <c r="AE2179" s="4">
        <v>220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233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233</v>
      </c>
      <c r="AW2179" s="8" t="s">
        <v>233</v>
      </c>
      <c r="AX2179" s="4" t="s">
        <v>233</v>
      </c>
      <c r="AY2179" s="8" t="s">
        <v>233</v>
      </c>
      <c r="AZ2179" s="7" t="s">
        <v>233</v>
      </c>
      <c r="BA2179" s="7" t="s">
        <v>233</v>
      </c>
      <c r="BB2179" s="7"/>
      <c r="BC2179" s="4" t="s">
        <v>233</v>
      </c>
      <c r="BD2179" s="8" t="s">
        <v>233</v>
      </c>
      <c r="BE2179" s="4" t="s">
        <v>233</v>
      </c>
      <c r="BF2179" s="8" t="s">
        <v>233</v>
      </c>
      <c r="BG2179" s="7" t="s">
        <v>233</v>
      </c>
      <c r="BH2179" s="7" t="s">
        <v>233</v>
      </c>
      <c r="BI2179" s="7"/>
      <c r="BJ2179" s="4">
        <v>66</v>
      </c>
      <c r="BK2179" s="8">
        <v>1732.95</v>
      </c>
      <c r="BL2179" s="2" t="s">
        <v>9780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9781</v>
      </c>
      <c r="BV2179" s="2" t="s">
        <v>233</v>
      </c>
      <c r="BW2179" s="2" t="s">
        <v>233</v>
      </c>
      <c r="BX2179" s="2" t="s">
        <v>233</v>
      </c>
      <c r="BY2179" s="2" t="s">
        <v>280</v>
      </c>
      <c r="BZ2179" s="2" t="s">
        <v>245</v>
      </c>
      <c r="CA2179" s="2" t="s">
        <v>9782</v>
      </c>
      <c r="CB2179" s="2" t="s">
        <v>9783</v>
      </c>
      <c r="CC2179" s="2" t="s">
        <v>246</v>
      </c>
      <c r="CD2179" s="2" t="s">
        <v>233</v>
      </c>
      <c r="CE2179" s="4">
        <v>175</v>
      </c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>
        <v>120</v>
      </c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>
        <v>100</v>
      </c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4"/>
      <c r="HG2179" s="4"/>
      <c r="HH2179" s="4"/>
      <c r="HI2179" s="4"/>
      <c r="HJ2179" s="4"/>
      <c r="HK2179" s="4"/>
      <c r="HL2179" s="4"/>
      <c r="HM2179" s="4"/>
      <c r="HN2179" s="4"/>
      <c r="HO2179" s="4"/>
      <c r="HP2179" s="4"/>
      <c r="HQ2179" s="4"/>
      <c r="HR2179" s="4"/>
    </row>
    <row r="2180">
      <c r="A2180" s="2" t="s">
        <v>9784</v>
      </c>
      <c r="B2180" s="2" t="s">
        <v>1066</v>
      </c>
      <c r="C2180" s="2" t="s">
        <v>947</v>
      </c>
      <c r="D2180" s="2" t="s">
        <v>1067</v>
      </c>
      <c r="E2180" s="2" t="s">
        <v>2543</v>
      </c>
      <c r="F2180" s="2" t="s">
        <v>9785</v>
      </c>
      <c r="G2180" s="2" t="s">
        <v>9785</v>
      </c>
      <c r="H2180" s="2" t="s">
        <v>9785</v>
      </c>
      <c r="I2180" s="2" t="s">
        <v>5527</v>
      </c>
      <c r="J2180" s="2" t="s">
        <v>892</v>
      </c>
      <c r="K2180" s="2" t="s">
        <v>9786</v>
      </c>
      <c r="L2180" s="3">
        <v>162.45</v>
      </c>
      <c r="M2180" s="3">
        <v>170.57</v>
      </c>
      <c r="N2180" s="3">
        <v>339</v>
      </c>
      <c r="O2180" s="2" t="s">
        <v>237</v>
      </c>
      <c r="P2180" s="2" t="s">
        <v>311</v>
      </c>
      <c r="Q2180" s="2" t="s">
        <v>239</v>
      </c>
      <c r="R2180" s="2" t="s">
        <v>233</v>
      </c>
      <c r="S2180" s="2" t="s">
        <v>233</v>
      </c>
      <c r="T2180" s="2" t="s">
        <v>233</v>
      </c>
      <c r="U2180" s="2" t="s">
        <v>396</v>
      </c>
      <c r="V2180" s="2" t="s">
        <v>241</v>
      </c>
      <c r="W2180" s="2" t="s">
        <v>397</v>
      </c>
      <c r="X2180" s="2" t="s">
        <v>1664</v>
      </c>
      <c r="Y2180" s="2" t="s">
        <v>1610</v>
      </c>
      <c r="Z2180" s="4">
        <v>77</v>
      </c>
      <c r="AA2180" s="4">
        <f>=ROUNDDOWN(28.5185185185185,0)</f>
      </c>
      <c r="AB2180" s="5">
        <v>2.7</v>
      </c>
      <c r="AC2180" s="2" t="s">
        <v>233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233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/>
      <c r="BD2180" s="8"/>
      <c r="BE2180" s="4"/>
      <c r="BF2180" s="8"/>
      <c r="BG2180" s="7"/>
      <c r="BH2180" s="7"/>
      <c r="BI2180" s="7"/>
      <c r="BJ2180" s="4">
        <v>3</v>
      </c>
      <c r="BK2180" s="8">
        <v>359.91</v>
      </c>
      <c r="BL2180" s="2" t="s">
        <v>1023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9787</v>
      </c>
      <c r="BV2180" s="2" t="s">
        <v>233</v>
      </c>
      <c r="BW2180" s="2" t="s">
        <v>233</v>
      </c>
      <c r="BX2180" s="2" t="s">
        <v>233</v>
      </c>
      <c r="BY2180" s="2" t="s">
        <v>280</v>
      </c>
      <c r="BZ2180" s="2" t="s">
        <v>245</v>
      </c>
      <c r="CA2180" s="2" t="s">
        <v>1910</v>
      </c>
      <c r="CB2180" s="2" t="s">
        <v>6886</v>
      </c>
      <c r="CC2180" s="2" t="s">
        <v>246</v>
      </c>
      <c r="CD2180" s="2" t="s">
        <v>233</v>
      </c>
      <c r="CE2180" s="4"/>
      <c r="CF2180" s="4">
        <v>77</v>
      </c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4"/>
      <c r="HG2180" s="4"/>
      <c r="HH2180" s="4"/>
      <c r="HI2180" s="4"/>
      <c r="HJ2180" s="4"/>
      <c r="HK2180" s="4"/>
      <c r="HL2180" s="4"/>
      <c r="HM2180" s="4"/>
      <c r="HN2180" s="4"/>
      <c r="HO2180" s="4"/>
      <c r="HP2180" s="4"/>
      <c r="HQ2180" s="4"/>
      <c r="HR2180" s="4"/>
    </row>
    <row r="2181">
      <c r="A2181" s="2" t="s">
        <v>9788</v>
      </c>
      <c r="B2181" s="2" t="s">
        <v>910</v>
      </c>
      <c r="C2181" s="2" t="s">
        <v>911</v>
      </c>
      <c r="D2181" s="2" t="s">
        <v>969</v>
      </c>
      <c r="E2181" s="2" t="s">
        <v>970</v>
      </c>
      <c r="F2181" s="2" t="s">
        <v>1146</v>
      </c>
      <c r="G2181" s="2" t="s">
        <v>9789</v>
      </c>
      <c r="H2181" s="2" t="s">
        <v>9790</v>
      </c>
      <c r="I2181" s="2" t="s">
        <v>9791</v>
      </c>
      <c r="J2181" s="2" t="s">
        <v>918</v>
      </c>
      <c r="K2181" s="2" t="s">
        <v>645</v>
      </c>
      <c r="L2181" s="3">
        <v>23.8</v>
      </c>
      <c r="M2181" s="3">
        <v>24.99</v>
      </c>
      <c r="N2181" s="3">
        <v>49.99</v>
      </c>
      <c r="O2181" s="2" t="s">
        <v>245</v>
      </c>
      <c r="P2181" s="2" t="s">
        <v>238</v>
      </c>
      <c r="Q2181" s="2" t="s">
        <v>239</v>
      </c>
      <c r="R2181" s="2" t="s">
        <v>233</v>
      </c>
      <c r="S2181" s="2" t="s">
        <v>9792</v>
      </c>
      <c r="T2181" s="2" t="s">
        <v>395</v>
      </c>
      <c r="U2181" s="2" t="s">
        <v>491</v>
      </c>
      <c r="V2181" s="2" t="s">
        <v>241</v>
      </c>
      <c r="W2181" s="2" t="s">
        <v>397</v>
      </c>
      <c r="X2181" s="2" t="s">
        <v>275</v>
      </c>
      <c r="Y2181" s="2" t="s">
        <v>2338</v>
      </c>
      <c r="Z2181" s="4">
        <v>166</v>
      </c>
      <c r="AA2181" s="4">
        <f>=ROUNDDOWN(150.909090909091,0)</f>
      </c>
      <c r="AB2181" s="5">
        <v>1.1</v>
      </c>
      <c r="AC2181" s="2" t="s">
        <v>2388</v>
      </c>
      <c r="AD2181" s="4">
        <v>160</v>
      </c>
      <c r="AE2181" s="4">
        <v>430</v>
      </c>
      <c r="AF2181" s="6">
        <v>64</v>
      </c>
      <c r="AG2181" s="6"/>
      <c r="AH2181" s="7">
        <v>1</v>
      </c>
      <c r="AI2181" s="4"/>
      <c r="AJ2181" s="4">
        <f>=ROUNDDOWN({0},0)</f>
      </c>
      <c r="AK2181" s="5"/>
      <c r="AL2181" s="2" t="s">
        <v>233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233</v>
      </c>
      <c r="AW2181" s="8" t="s">
        <v>233</v>
      </c>
      <c r="AX2181" s="4" t="s">
        <v>233</v>
      </c>
      <c r="AY2181" s="8" t="s">
        <v>233</v>
      </c>
      <c r="AZ2181" s="7" t="s">
        <v>233</v>
      </c>
      <c r="BA2181" s="7" t="s">
        <v>233</v>
      </c>
      <c r="BB2181" s="7"/>
      <c r="BC2181" s="4" t="s">
        <v>233</v>
      </c>
      <c r="BD2181" s="8" t="s">
        <v>233</v>
      </c>
      <c r="BE2181" s="4" t="s">
        <v>233</v>
      </c>
      <c r="BF2181" s="8" t="s">
        <v>233</v>
      </c>
      <c r="BG2181" s="7" t="s">
        <v>233</v>
      </c>
      <c r="BH2181" s="7" t="s">
        <v>233</v>
      </c>
      <c r="BI2181" s="7"/>
      <c r="BJ2181" s="4">
        <v>2</v>
      </c>
      <c r="BK2181" s="8">
        <v>51.98</v>
      </c>
      <c r="BL2181" s="2" t="s">
        <v>6389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9793</v>
      </c>
      <c r="BV2181" s="2" t="s">
        <v>233</v>
      </c>
      <c r="BW2181" s="2" t="s">
        <v>233</v>
      </c>
      <c r="BX2181" s="2" t="s">
        <v>243</v>
      </c>
      <c r="BY2181" s="2" t="s">
        <v>280</v>
      </c>
      <c r="BZ2181" s="2" t="s">
        <v>245</v>
      </c>
      <c r="CA2181" s="2" t="s">
        <v>3329</v>
      </c>
      <c r="CB2181" s="2" t="s">
        <v>233</v>
      </c>
      <c r="CC2181" s="2" t="s">
        <v>246</v>
      </c>
      <c r="CD2181" s="2" t="s">
        <v>233</v>
      </c>
      <c r="CE2181" s="4">
        <v>166</v>
      </c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>
        <v>160</v>
      </c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>
        <v>235</v>
      </c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>
        <v>35</v>
      </c>
      <c r="HC2181" s="4"/>
      <c r="HD2181" s="4"/>
      <c r="HE2181" s="4"/>
      <c r="HF2181" s="4"/>
      <c r="HG2181" s="4"/>
      <c r="HH2181" s="4"/>
      <c r="HI2181" s="4"/>
      <c r="HJ2181" s="4"/>
      <c r="HK2181" s="4"/>
      <c r="HL2181" s="4"/>
      <c r="HM2181" s="4"/>
      <c r="HN2181" s="4"/>
      <c r="HO2181" s="4"/>
      <c r="HP2181" s="4"/>
      <c r="HQ2181" s="4"/>
      <c r="HR2181" s="4"/>
    </row>
    <row r="2182">
      <c r="A2182" s="2" t="s">
        <v>9794</v>
      </c>
      <c r="B2182" s="2" t="s">
        <v>910</v>
      </c>
      <c r="C2182" s="2" t="s">
        <v>911</v>
      </c>
      <c r="D2182" s="2" t="s">
        <v>969</v>
      </c>
      <c r="E2182" s="2" t="s">
        <v>970</v>
      </c>
      <c r="F2182" s="2" t="s">
        <v>1146</v>
      </c>
      <c r="G2182" s="2" t="s">
        <v>9789</v>
      </c>
      <c r="H2182" s="2" t="s">
        <v>9790</v>
      </c>
      <c r="I2182" s="2" t="s">
        <v>9791</v>
      </c>
      <c r="J2182" s="2" t="s">
        <v>981</v>
      </c>
      <c r="K2182" s="2" t="s">
        <v>645</v>
      </c>
      <c r="L2182" s="3">
        <v>28.57</v>
      </c>
      <c r="M2182" s="3">
        <v>30</v>
      </c>
      <c r="N2182" s="3">
        <v>59.99</v>
      </c>
      <c r="O2182" s="2" t="s">
        <v>245</v>
      </c>
      <c r="P2182" s="2" t="s">
        <v>238</v>
      </c>
      <c r="Q2182" s="2" t="s">
        <v>239</v>
      </c>
      <c r="R2182" s="2" t="s">
        <v>233</v>
      </c>
      <c r="S2182" s="2" t="s">
        <v>9792</v>
      </c>
      <c r="T2182" s="2" t="s">
        <v>395</v>
      </c>
      <c r="U2182" s="2" t="s">
        <v>475</v>
      </c>
      <c r="V2182" s="2" t="s">
        <v>241</v>
      </c>
      <c r="W2182" s="2" t="s">
        <v>397</v>
      </c>
      <c r="X2182" s="2" t="s">
        <v>275</v>
      </c>
      <c r="Y2182" s="2" t="s">
        <v>2338</v>
      </c>
      <c r="Z2182" s="4">
        <v>268</v>
      </c>
      <c r="AA2182" s="4">
        <f>=ROUNDDOWN(43.2258064516129,0)</f>
      </c>
      <c r="AB2182" s="5">
        <v>6.2</v>
      </c>
      <c r="AC2182" s="2" t="s">
        <v>2388</v>
      </c>
      <c r="AD2182" s="4">
        <v>243</v>
      </c>
      <c r="AE2182" s="4">
        <v>773</v>
      </c>
      <c r="AF2182" s="6">
        <v>64</v>
      </c>
      <c r="AG2182" s="6"/>
      <c r="AH2182" s="7">
        <v>1</v>
      </c>
      <c r="AI2182" s="4"/>
      <c r="AJ2182" s="4">
        <f>=ROUNDDOWN({0},0)</f>
      </c>
      <c r="AK2182" s="5"/>
      <c r="AL2182" s="2" t="s">
        <v>233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233</v>
      </c>
      <c r="AW2182" s="8" t="s">
        <v>233</v>
      </c>
      <c r="AX2182" s="4" t="s">
        <v>233</v>
      </c>
      <c r="AY2182" s="8" t="s">
        <v>233</v>
      </c>
      <c r="AZ2182" s="7" t="s">
        <v>233</v>
      </c>
      <c r="BA2182" s="7" t="s">
        <v>233</v>
      </c>
      <c r="BB2182" s="7"/>
      <c r="BC2182" s="4" t="s">
        <v>233</v>
      </c>
      <c r="BD2182" s="8" t="s">
        <v>233</v>
      </c>
      <c r="BE2182" s="4" t="s">
        <v>233</v>
      </c>
      <c r="BF2182" s="8" t="s">
        <v>233</v>
      </c>
      <c r="BG2182" s="7" t="s">
        <v>233</v>
      </c>
      <c r="BH2182" s="7" t="s">
        <v>233</v>
      </c>
      <c r="BI2182" s="7"/>
      <c r="BJ2182" s="4">
        <v>3</v>
      </c>
      <c r="BK2182" s="8">
        <v>97.2</v>
      </c>
      <c r="BL2182" s="2" t="s">
        <v>2404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9795</v>
      </c>
      <c r="BV2182" s="2" t="s">
        <v>233</v>
      </c>
      <c r="BW2182" s="2" t="s">
        <v>233</v>
      </c>
      <c r="BX2182" s="2" t="s">
        <v>243</v>
      </c>
      <c r="BY2182" s="2" t="s">
        <v>280</v>
      </c>
      <c r="BZ2182" s="2" t="s">
        <v>245</v>
      </c>
      <c r="CA2182" s="2" t="s">
        <v>3329</v>
      </c>
      <c r="CB2182" s="2" t="s">
        <v>521</v>
      </c>
      <c r="CC2182" s="2" t="s">
        <v>246</v>
      </c>
      <c r="CD2182" s="2" t="s">
        <v>233</v>
      </c>
      <c r="CE2182" s="4">
        <v>268</v>
      </c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>
        <v>243</v>
      </c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>
        <v>365</v>
      </c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/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>
        <v>165</v>
      </c>
      <c r="HC2182" s="4"/>
      <c r="HD2182" s="4"/>
      <c r="HE2182" s="4"/>
      <c r="HF2182" s="4"/>
      <c r="HG2182" s="4"/>
      <c r="HH2182" s="4"/>
      <c r="HI2182" s="4"/>
      <c r="HJ2182" s="4"/>
      <c r="HK2182" s="4"/>
      <c r="HL2182" s="4"/>
      <c r="HM2182" s="4"/>
      <c r="HN2182" s="4"/>
      <c r="HO2182" s="4"/>
      <c r="HP2182" s="4"/>
      <c r="HQ2182" s="4"/>
      <c r="HR2182" s="4"/>
    </row>
    <row r="2183">
      <c r="A2183" s="2" t="s">
        <v>9796</v>
      </c>
      <c r="B2183" s="2" t="s">
        <v>910</v>
      </c>
      <c r="C2183" s="2" t="s">
        <v>911</v>
      </c>
      <c r="D2183" s="2" t="s">
        <v>969</v>
      </c>
      <c r="E2183" s="2" t="s">
        <v>970</v>
      </c>
      <c r="F2183" s="2" t="s">
        <v>1146</v>
      </c>
      <c r="G2183" s="2" t="s">
        <v>9789</v>
      </c>
      <c r="H2183" s="2" t="s">
        <v>9790</v>
      </c>
      <c r="I2183" s="2" t="s">
        <v>9791</v>
      </c>
      <c r="J2183" s="2" t="s">
        <v>918</v>
      </c>
      <c r="K2183" s="2" t="s">
        <v>236</v>
      </c>
      <c r="L2183" s="3">
        <v>23.8</v>
      </c>
      <c r="M2183" s="3">
        <v>24.99</v>
      </c>
      <c r="N2183" s="3">
        <v>49.99</v>
      </c>
      <c r="O2183" s="2" t="s">
        <v>245</v>
      </c>
      <c r="P2183" s="2" t="s">
        <v>238</v>
      </c>
      <c r="Q2183" s="2" t="s">
        <v>239</v>
      </c>
      <c r="R2183" s="2" t="s">
        <v>233</v>
      </c>
      <c r="S2183" s="2" t="s">
        <v>9797</v>
      </c>
      <c r="T2183" s="2" t="s">
        <v>395</v>
      </c>
      <c r="U2183" s="2" t="s">
        <v>491</v>
      </c>
      <c r="V2183" s="2" t="s">
        <v>241</v>
      </c>
      <c r="W2183" s="2" t="s">
        <v>397</v>
      </c>
      <c r="X2183" s="2" t="s">
        <v>275</v>
      </c>
      <c r="Y2183" s="2" t="s">
        <v>2338</v>
      </c>
      <c r="Z2183" s="4">
        <v>157</v>
      </c>
      <c r="AA2183" s="4">
        <f>=ROUNDDOWN(62.8,0)</f>
      </c>
      <c r="AB2183" s="5">
        <v>2.5</v>
      </c>
      <c r="AC2183" s="2" t="s">
        <v>2388</v>
      </c>
      <c r="AD2183" s="4">
        <v>141</v>
      </c>
      <c r="AE2183" s="4">
        <v>441</v>
      </c>
      <c r="AF2183" s="6">
        <v>64</v>
      </c>
      <c r="AG2183" s="6"/>
      <c r="AH2183" s="7">
        <v>1</v>
      </c>
      <c r="AI2183" s="4"/>
      <c r="AJ2183" s="4">
        <f>=ROUNDDOWN({0},0)</f>
      </c>
      <c r="AK2183" s="5"/>
      <c r="AL2183" s="2" t="s">
        <v>233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233</v>
      </c>
      <c r="AW2183" s="8" t="s">
        <v>233</v>
      </c>
      <c r="AX2183" s="4" t="s">
        <v>233</v>
      </c>
      <c r="AY2183" s="8" t="s">
        <v>233</v>
      </c>
      <c r="AZ2183" s="7" t="s">
        <v>233</v>
      </c>
      <c r="BA2183" s="7" t="s">
        <v>233</v>
      </c>
      <c r="BB2183" s="7"/>
      <c r="BC2183" s="4" t="s">
        <v>233</v>
      </c>
      <c r="BD2183" s="8" t="s">
        <v>233</v>
      </c>
      <c r="BE2183" s="4" t="s">
        <v>233</v>
      </c>
      <c r="BF2183" s="8" t="s">
        <v>233</v>
      </c>
      <c r="BG2183" s="7" t="s">
        <v>233</v>
      </c>
      <c r="BH2183" s="7" t="s">
        <v>233</v>
      </c>
      <c r="BI2183" s="7"/>
      <c r="BJ2183" s="4">
        <v>2</v>
      </c>
      <c r="BK2183" s="8">
        <v>53.98</v>
      </c>
      <c r="BL2183" s="2" t="s">
        <v>2404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9798</v>
      </c>
      <c r="BV2183" s="2" t="s">
        <v>233</v>
      </c>
      <c r="BW2183" s="2" t="s">
        <v>233</v>
      </c>
      <c r="BX2183" s="2" t="s">
        <v>243</v>
      </c>
      <c r="BY2183" s="2" t="s">
        <v>280</v>
      </c>
      <c r="BZ2183" s="2" t="s">
        <v>245</v>
      </c>
      <c r="CA2183" s="2" t="s">
        <v>3329</v>
      </c>
      <c r="CB2183" s="2" t="s">
        <v>233</v>
      </c>
      <c r="CC2183" s="2" t="s">
        <v>246</v>
      </c>
      <c r="CD2183" s="2" t="s">
        <v>233</v>
      </c>
      <c r="CE2183" s="4">
        <v>157</v>
      </c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>
        <v>141</v>
      </c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>
        <v>250</v>
      </c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>
        <v>50</v>
      </c>
      <c r="HC2183" s="4"/>
      <c r="HD2183" s="4"/>
      <c r="HE2183" s="4"/>
      <c r="HF2183" s="4"/>
      <c r="HG2183" s="4"/>
      <c r="HH2183" s="4"/>
      <c r="HI2183" s="4"/>
      <c r="HJ2183" s="4"/>
      <c r="HK2183" s="4"/>
      <c r="HL2183" s="4"/>
      <c r="HM2183" s="4"/>
      <c r="HN2183" s="4"/>
      <c r="HO2183" s="4"/>
      <c r="HP2183" s="4"/>
      <c r="HQ2183" s="4"/>
      <c r="HR2183" s="4"/>
    </row>
    <row r="2184">
      <c r="A2184" s="2" t="s">
        <v>9799</v>
      </c>
      <c r="B2184" s="2" t="s">
        <v>910</v>
      </c>
      <c r="C2184" s="2" t="s">
        <v>911</v>
      </c>
      <c r="D2184" s="2" t="s">
        <v>969</v>
      </c>
      <c r="E2184" s="2" t="s">
        <v>970</v>
      </c>
      <c r="F2184" s="2" t="s">
        <v>1146</v>
      </c>
      <c r="G2184" s="2" t="s">
        <v>9789</v>
      </c>
      <c r="H2184" s="2" t="s">
        <v>9790</v>
      </c>
      <c r="I2184" s="2" t="s">
        <v>9791</v>
      </c>
      <c r="J2184" s="2" t="s">
        <v>981</v>
      </c>
      <c r="K2184" s="2" t="s">
        <v>236</v>
      </c>
      <c r="L2184" s="3">
        <v>28.57</v>
      </c>
      <c r="M2184" s="3">
        <v>30</v>
      </c>
      <c r="N2184" s="3">
        <v>59.99</v>
      </c>
      <c r="O2184" s="2" t="s">
        <v>245</v>
      </c>
      <c r="P2184" s="2" t="s">
        <v>238</v>
      </c>
      <c r="Q2184" s="2" t="s">
        <v>239</v>
      </c>
      <c r="R2184" s="2" t="s">
        <v>233</v>
      </c>
      <c r="S2184" s="2" t="s">
        <v>9797</v>
      </c>
      <c r="T2184" s="2" t="s">
        <v>395</v>
      </c>
      <c r="U2184" s="2" t="s">
        <v>475</v>
      </c>
      <c r="V2184" s="2" t="s">
        <v>241</v>
      </c>
      <c r="W2184" s="2" t="s">
        <v>397</v>
      </c>
      <c r="X2184" s="2" t="s">
        <v>275</v>
      </c>
      <c r="Y2184" s="2" t="s">
        <v>6761</v>
      </c>
      <c r="Z2184" s="4">
        <v>232</v>
      </c>
      <c r="AA2184" s="4">
        <f>=ROUNDDOWN(22.7450980392157,0)</f>
      </c>
      <c r="AB2184" s="5">
        <v>10.2</v>
      </c>
      <c r="AC2184" s="2" t="s">
        <v>2388</v>
      </c>
      <c r="AD2184" s="4">
        <v>203</v>
      </c>
      <c r="AE2184" s="4">
        <v>703</v>
      </c>
      <c r="AF2184" s="6">
        <v>64</v>
      </c>
      <c r="AG2184" s="6"/>
      <c r="AH2184" s="7">
        <v>1</v>
      </c>
      <c r="AI2184" s="4"/>
      <c r="AJ2184" s="4">
        <f>=ROUNDDOWN({0},0)</f>
      </c>
      <c r="AK2184" s="5"/>
      <c r="AL2184" s="2" t="s">
        <v>233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233</v>
      </c>
      <c r="AW2184" s="8" t="s">
        <v>233</v>
      </c>
      <c r="AX2184" s="4" t="s">
        <v>233</v>
      </c>
      <c r="AY2184" s="8" t="s">
        <v>233</v>
      </c>
      <c r="AZ2184" s="7" t="s">
        <v>233</v>
      </c>
      <c r="BA2184" s="7" t="s">
        <v>233</v>
      </c>
      <c r="BB2184" s="7"/>
      <c r="BC2184" s="4" t="s">
        <v>233</v>
      </c>
      <c r="BD2184" s="8" t="s">
        <v>233</v>
      </c>
      <c r="BE2184" s="4" t="s">
        <v>233</v>
      </c>
      <c r="BF2184" s="8" t="s">
        <v>233</v>
      </c>
      <c r="BG2184" s="7" t="s">
        <v>233</v>
      </c>
      <c r="BH2184" s="7" t="s">
        <v>233</v>
      </c>
      <c r="BI2184" s="7"/>
      <c r="BJ2184" s="4">
        <v>1</v>
      </c>
      <c r="BK2184" s="8">
        <v>32.4</v>
      </c>
      <c r="BL2184" s="2" t="s">
        <v>2404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9800</v>
      </c>
      <c r="BV2184" s="2" t="s">
        <v>233</v>
      </c>
      <c r="BW2184" s="2" t="s">
        <v>233</v>
      </c>
      <c r="BX2184" s="2" t="s">
        <v>243</v>
      </c>
      <c r="BY2184" s="2" t="s">
        <v>280</v>
      </c>
      <c r="BZ2184" s="2" t="s">
        <v>245</v>
      </c>
      <c r="CA2184" s="2" t="s">
        <v>3329</v>
      </c>
      <c r="CB2184" s="2" t="s">
        <v>233</v>
      </c>
      <c r="CC2184" s="2" t="s">
        <v>246</v>
      </c>
      <c r="CD2184" s="2" t="s">
        <v>233</v>
      </c>
      <c r="CE2184" s="4">
        <v>232</v>
      </c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>
        <v>203</v>
      </c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>
        <v>350</v>
      </c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  <c r="GL2184" s="4"/>
      <c r="GM2184" s="4"/>
      <c r="GN2184" s="4"/>
      <c r="GO2184" s="4"/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>
        <v>150</v>
      </c>
      <c r="HC2184" s="4"/>
      <c r="HD2184" s="4"/>
      <c r="HE2184" s="4"/>
      <c r="HF2184" s="4"/>
      <c r="HG2184" s="4"/>
      <c r="HH2184" s="4"/>
      <c r="HI2184" s="4"/>
      <c r="HJ2184" s="4"/>
      <c r="HK2184" s="4"/>
      <c r="HL2184" s="4"/>
      <c r="HM2184" s="4"/>
      <c r="HN2184" s="4"/>
      <c r="HO2184" s="4"/>
      <c r="HP2184" s="4"/>
      <c r="HQ2184" s="4"/>
      <c r="HR2184" s="4"/>
    </row>
    <row r="2185">
      <c r="A2185" s="2" t="s">
        <v>9801</v>
      </c>
      <c r="B2185" s="2" t="s">
        <v>910</v>
      </c>
      <c r="C2185" s="2" t="s">
        <v>911</v>
      </c>
      <c r="D2185" s="2" t="s">
        <v>969</v>
      </c>
      <c r="E2185" s="2" t="s">
        <v>970</v>
      </c>
      <c r="F2185" s="2" t="s">
        <v>1146</v>
      </c>
      <c r="G2185" s="2" t="s">
        <v>9789</v>
      </c>
      <c r="H2185" s="2" t="s">
        <v>9790</v>
      </c>
      <c r="I2185" s="2" t="s">
        <v>9791</v>
      </c>
      <c r="J2185" s="2" t="s">
        <v>918</v>
      </c>
      <c r="K2185" s="2" t="s">
        <v>257</v>
      </c>
      <c r="L2185" s="3">
        <v>23.8</v>
      </c>
      <c r="M2185" s="3">
        <v>24.99</v>
      </c>
      <c r="N2185" s="3">
        <v>49.99</v>
      </c>
      <c r="O2185" s="2" t="s">
        <v>245</v>
      </c>
      <c r="P2185" s="2" t="s">
        <v>238</v>
      </c>
      <c r="Q2185" s="2" t="s">
        <v>239</v>
      </c>
      <c r="R2185" s="2" t="s">
        <v>233</v>
      </c>
      <c r="S2185" s="2" t="s">
        <v>9802</v>
      </c>
      <c r="T2185" s="2" t="s">
        <v>395</v>
      </c>
      <c r="U2185" s="2" t="s">
        <v>491</v>
      </c>
      <c r="V2185" s="2" t="s">
        <v>241</v>
      </c>
      <c r="W2185" s="2" t="s">
        <v>397</v>
      </c>
      <c r="X2185" s="2" t="s">
        <v>275</v>
      </c>
      <c r="Y2185" s="2" t="s">
        <v>2338</v>
      </c>
      <c r="Z2185" s="4">
        <v>174</v>
      </c>
      <c r="AA2185" s="4">
        <f>=ROUNDDOWN(25.9701492537313,0)</f>
      </c>
      <c r="AB2185" s="5">
        <v>6.7</v>
      </c>
      <c r="AC2185" s="2" t="s">
        <v>2388</v>
      </c>
      <c r="AD2185" s="4">
        <v>158</v>
      </c>
      <c r="AE2185" s="4">
        <v>158</v>
      </c>
      <c r="AF2185" s="6">
        <v>64</v>
      </c>
      <c r="AG2185" s="6"/>
      <c r="AH2185" s="7">
        <v>1</v>
      </c>
      <c r="AI2185" s="4"/>
      <c r="AJ2185" s="4">
        <f>=ROUNDDOWN({0},0)</f>
      </c>
      <c r="AK2185" s="5"/>
      <c r="AL2185" s="2" t="s">
        <v>233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233</v>
      </c>
      <c r="AW2185" s="8" t="s">
        <v>233</v>
      </c>
      <c r="AX2185" s="4" t="s">
        <v>233</v>
      </c>
      <c r="AY2185" s="8" t="s">
        <v>233</v>
      </c>
      <c r="AZ2185" s="7" t="s">
        <v>233</v>
      </c>
      <c r="BA2185" s="7" t="s">
        <v>233</v>
      </c>
      <c r="BB2185" s="7"/>
      <c r="BC2185" s="4" t="s">
        <v>233</v>
      </c>
      <c r="BD2185" s="8" t="s">
        <v>233</v>
      </c>
      <c r="BE2185" s="4" t="s">
        <v>233</v>
      </c>
      <c r="BF2185" s="8" t="s">
        <v>233</v>
      </c>
      <c r="BG2185" s="7" t="s">
        <v>233</v>
      </c>
      <c r="BH2185" s="7" t="s">
        <v>233</v>
      </c>
      <c r="BI2185" s="7"/>
      <c r="BJ2185" s="4">
        <v>1</v>
      </c>
      <c r="BK2185" s="8">
        <v>26.99</v>
      </c>
      <c r="BL2185" s="2" t="s">
        <v>2404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9803</v>
      </c>
      <c r="BV2185" s="2" t="s">
        <v>233</v>
      </c>
      <c r="BW2185" s="2" t="s">
        <v>233</v>
      </c>
      <c r="BX2185" s="2" t="s">
        <v>243</v>
      </c>
      <c r="BY2185" s="2" t="s">
        <v>280</v>
      </c>
      <c r="BZ2185" s="2" t="s">
        <v>245</v>
      </c>
      <c r="CA2185" s="2" t="s">
        <v>3329</v>
      </c>
      <c r="CB2185" s="2" t="s">
        <v>233</v>
      </c>
      <c r="CC2185" s="2" t="s">
        <v>246</v>
      </c>
      <c r="CD2185" s="2" t="s">
        <v>233</v>
      </c>
      <c r="CE2185" s="4">
        <v>174</v>
      </c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>
        <v>158</v>
      </c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  <c r="GL2185" s="4"/>
      <c r="GM2185" s="4"/>
      <c r="GN2185" s="4"/>
      <c r="GO2185" s="4"/>
      <c r="GP2185" s="4"/>
      <c r="GQ2185" s="4"/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  <c r="HF2185" s="4"/>
      <c r="HG2185" s="4"/>
      <c r="HH2185" s="4"/>
      <c r="HI2185" s="4"/>
      <c r="HJ2185" s="4"/>
      <c r="HK2185" s="4"/>
      <c r="HL2185" s="4"/>
      <c r="HM2185" s="4"/>
      <c r="HN2185" s="4"/>
      <c r="HO2185" s="4"/>
      <c r="HP2185" s="4"/>
      <c r="HQ2185" s="4"/>
      <c r="HR2185" s="4"/>
    </row>
    <row r="2186">
      <c r="A2186" s="2" t="s">
        <v>9804</v>
      </c>
      <c r="B2186" s="2" t="s">
        <v>910</v>
      </c>
      <c r="C2186" s="2" t="s">
        <v>911</v>
      </c>
      <c r="D2186" s="2" t="s">
        <v>969</v>
      </c>
      <c r="E2186" s="2" t="s">
        <v>970</v>
      </c>
      <c r="F2186" s="2" t="s">
        <v>1146</v>
      </c>
      <c r="G2186" s="2" t="s">
        <v>9789</v>
      </c>
      <c r="H2186" s="2" t="s">
        <v>9790</v>
      </c>
      <c r="I2186" s="2" t="s">
        <v>9791</v>
      </c>
      <c r="J2186" s="2" t="s">
        <v>981</v>
      </c>
      <c r="K2186" s="2" t="s">
        <v>257</v>
      </c>
      <c r="L2186" s="3">
        <v>28.57</v>
      </c>
      <c r="M2186" s="3">
        <v>30</v>
      </c>
      <c r="N2186" s="3">
        <v>59.99</v>
      </c>
      <c r="O2186" s="2" t="s">
        <v>245</v>
      </c>
      <c r="P2186" s="2" t="s">
        <v>238</v>
      </c>
      <c r="Q2186" s="2" t="s">
        <v>239</v>
      </c>
      <c r="R2186" s="2" t="s">
        <v>233</v>
      </c>
      <c r="S2186" s="2" t="s">
        <v>9802</v>
      </c>
      <c r="T2186" s="2" t="s">
        <v>395</v>
      </c>
      <c r="U2186" s="2" t="s">
        <v>475</v>
      </c>
      <c r="V2186" s="2" t="s">
        <v>241</v>
      </c>
      <c r="W2186" s="2" t="s">
        <v>397</v>
      </c>
      <c r="X2186" s="2" t="s">
        <v>275</v>
      </c>
      <c r="Y2186" s="2" t="s">
        <v>6761</v>
      </c>
      <c r="Z2186" s="4">
        <v>214</v>
      </c>
      <c r="AA2186" s="4">
        <f>=ROUNDDOWN(35.0819672131148,0)</f>
      </c>
      <c r="AB2186" s="5">
        <v>6.1</v>
      </c>
      <c r="AC2186" s="2" t="s">
        <v>2388</v>
      </c>
      <c r="AD2186" s="4">
        <v>386</v>
      </c>
      <c r="AE2186" s="4">
        <v>386</v>
      </c>
      <c r="AF2186" s="6">
        <v>64</v>
      </c>
      <c r="AG2186" s="6"/>
      <c r="AH2186" s="7">
        <v>1</v>
      </c>
      <c r="AI2186" s="4"/>
      <c r="AJ2186" s="4">
        <f>=ROUNDDOWN({0},0)</f>
      </c>
      <c r="AK2186" s="5"/>
      <c r="AL2186" s="2" t="s">
        <v>233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233</v>
      </c>
      <c r="AW2186" s="8" t="s">
        <v>233</v>
      </c>
      <c r="AX2186" s="4" t="s">
        <v>233</v>
      </c>
      <c r="AY2186" s="8" t="s">
        <v>233</v>
      </c>
      <c r="AZ2186" s="7" t="s">
        <v>233</v>
      </c>
      <c r="BA2186" s="7" t="s">
        <v>233</v>
      </c>
      <c r="BB2186" s="7"/>
      <c r="BC2186" s="4" t="s">
        <v>233</v>
      </c>
      <c r="BD2186" s="8" t="s">
        <v>233</v>
      </c>
      <c r="BE2186" s="4" t="s">
        <v>233</v>
      </c>
      <c r="BF2186" s="8" t="s">
        <v>233</v>
      </c>
      <c r="BG2186" s="7" t="s">
        <v>233</v>
      </c>
      <c r="BH2186" s="7" t="s">
        <v>233</v>
      </c>
      <c r="BI2186" s="7"/>
      <c r="BJ2186" s="4">
        <v>1</v>
      </c>
      <c r="BK2186" s="8">
        <v>30</v>
      </c>
      <c r="BL2186" s="2" t="s">
        <v>744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9805</v>
      </c>
      <c r="BV2186" s="2" t="s">
        <v>233</v>
      </c>
      <c r="BW2186" s="2" t="s">
        <v>233</v>
      </c>
      <c r="BX2186" s="2" t="s">
        <v>243</v>
      </c>
      <c r="BY2186" s="2" t="s">
        <v>280</v>
      </c>
      <c r="BZ2186" s="2" t="s">
        <v>245</v>
      </c>
      <c r="CA2186" s="2" t="s">
        <v>3329</v>
      </c>
      <c r="CB2186" s="2" t="s">
        <v>233</v>
      </c>
      <c r="CC2186" s="2" t="s">
        <v>246</v>
      </c>
      <c r="CD2186" s="2" t="s">
        <v>233</v>
      </c>
      <c r="CE2186" s="4">
        <v>214</v>
      </c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>
        <v>386</v>
      </c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/>
      <c r="GJ2186" s="4"/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  <c r="HF2186" s="4"/>
      <c r="HG2186" s="4"/>
      <c r="HH2186" s="4"/>
      <c r="HI2186" s="4"/>
      <c r="HJ2186" s="4"/>
      <c r="HK2186" s="4"/>
      <c r="HL2186" s="4"/>
      <c r="HM2186" s="4"/>
      <c r="HN2186" s="4"/>
      <c r="HO2186" s="4"/>
      <c r="HP2186" s="4"/>
      <c r="HQ2186" s="4"/>
      <c r="HR2186" s="4"/>
    </row>
    <row r="2187">
      <c r="A2187" s="2" t="s">
        <v>9806</v>
      </c>
      <c r="B2187" s="2" t="s">
        <v>886</v>
      </c>
      <c r="C2187" s="2" t="s">
        <v>901</v>
      </c>
      <c r="D2187" s="2" t="s">
        <v>888</v>
      </c>
      <c r="E2187" s="2" t="s">
        <v>889</v>
      </c>
      <c r="F2187" s="2" t="s">
        <v>9807</v>
      </c>
      <c r="G2187" s="2" t="s">
        <v>9807</v>
      </c>
      <c r="H2187" s="2" t="s">
        <v>9807</v>
      </c>
      <c r="I2187" s="2" t="s">
        <v>9808</v>
      </c>
      <c r="J2187" s="2" t="s">
        <v>892</v>
      </c>
      <c r="K2187" s="2" t="s">
        <v>525</v>
      </c>
      <c r="L2187" s="3">
        <v>85.5</v>
      </c>
      <c r="M2187" s="3">
        <v>89.78</v>
      </c>
      <c r="N2187" s="3">
        <v>199</v>
      </c>
      <c r="O2187" s="2" t="s">
        <v>245</v>
      </c>
      <c r="P2187" s="2" t="s">
        <v>311</v>
      </c>
      <c r="Q2187" s="2" t="s">
        <v>239</v>
      </c>
      <c r="R2187" s="2" t="s">
        <v>233</v>
      </c>
      <c r="S2187" s="2" t="s">
        <v>233</v>
      </c>
      <c r="T2187" s="2" t="s">
        <v>233</v>
      </c>
      <c r="U2187" s="2" t="s">
        <v>396</v>
      </c>
      <c r="V2187" s="2" t="s">
        <v>893</v>
      </c>
      <c r="W2187" s="2" t="s">
        <v>776</v>
      </c>
      <c r="X2187" s="2" t="s">
        <v>397</v>
      </c>
      <c r="Y2187" s="2" t="s">
        <v>905</v>
      </c>
      <c r="Z2187" s="4">
        <v>84</v>
      </c>
      <c r="AA2187" s="4">
        <f>=ROUNDDOWN(840,0)</f>
      </c>
      <c r="AB2187" s="5">
        <v>0.1</v>
      </c>
      <c r="AC2187" s="2" t="s">
        <v>233</v>
      </c>
      <c r="AD2187" s="4"/>
      <c r="AE2187" s="4"/>
      <c r="AF2187" s="6">
        <v>63</v>
      </c>
      <c r="AG2187" s="6"/>
      <c r="AH2187" s="7">
        <v>1</v>
      </c>
      <c r="AI2187" s="4"/>
      <c r="AJ2187" s="4">
        <f>=ROUNDDOWN({0},0)</f>
      </c>
      <c r="AK2187" s="5"/>
      <c r="AL2187" s="2" t="s">
        <v>233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/>
      <c r="AW2187" s="8"/>
      <c r="AX2187" s="4"/>
      <c r="AY2187" s="8"/>
      <c r="AZ2187" s="7"/>
      <c r="BA2187" s="7"/>
      <c r="BB2187" s="7"/>
      <c r="BC2187" s="4"/>
      <c r="BD2187" s="8"/>
      <c r="BE2187" s="4"/>
      <c r="BF2187" s="8"/>
      <c r="BG2187" s="7"/>
      <c r="BH2187" s="7"/>
      <c r="BI2187" s="7"/>
      <c r="BJ2187" s="4"/>
      <c r="BK2187" s="8"/>
      <c r="BL2187" s="2" t="s">
        <v>233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9809</v>
      </c>
      <c r="BV2187" s="2" t="s">
        <v>233</v>
      </c>
      <c r="BW2187" s="2" t="s">
        <v>233</v>
      </c>
      <c r="BX2187" s="2" t="s">
        <v>233</v>
      </c>
      <c r="BY2187" s="2" t="s">
        <v>280</v>
      </c>
      <c r="BZ2187" s="2" t="s">
        <v>245</v>
      </c>
      <c r="CA2187" s="2" t="s">
        <v>907</v>
      </c>
      <c r="CB2187" s="2" t="s">
        <v>233</v>
      </c>
      <c r="CC2187" s="2" t="s">
        <v>246</v>
      </c>
      <c r="CD2187" s="2" t="s">
        <v>233</v>
      </c>
      <c r="CE2187" s="4"/>
      <c r="CF2187" s="4">
        <v>84</v>
      </c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  <c r="HG2187" s="4"/>
      <c r="HH2187" s="4"/>
      <c r="HI2187" s="4"/>
      <c r="HJ2187" s="4"/>
      <c r="HK2187" s="4"/>
      <c r="HL2187" s="4"/>
      <c r="HM2187" s="4"/>
      <c r="HN2187" s="4"/>
      <c r="HO2187" s="4"/>
      <c r="HP2187" s="4"/>
      <c r="HQ2187" s="4"/>
      <c r="HR2187" s="4"/>
    </row>
    <row r="2188">
      <c r="A2188" s="2" t="s">
        <v>9810</v>
      </c>
      <c r="B2188" s="2" t="s">
        <v>1242</v>
      </c>
      <c r="C2188" s="2" t="s">
        <v>530</v>
      </c>
      <c r="D2188" s="2" t="s">
        <v>912</v>
      </c>
      <c r="E2188" s="2" t="s">
        <v>1139</v>
      </c>
      <c r="F2188" s="2" t="s">
        <v>9811</v>
      </c>
      <c r="G2188" s="2" t="s">
        <v>9812</v>
      </c>
      <c r="H2188" s="2" t="s">
        <v>9813</v>
      </c>
      <c r="I2188" s="2" t="s">
        <v>9814</v>
      </c>
      <c r="J2188" s="2" t="s">
        <v>981</v>
      </c>
      <c r="K2188" s="2" t="s">
        <v>9815</v>
      </c>
      <c r="L2188" s="3">
        <v>27.42</v>
      </c>
      <c r="M2188" s="3">
        <v>28.79</v>
      </c>
      <c r="N2188" s="3">
        <v>59.99</v>
      </c>
      <c r="O2188" s="2" t="s">
        <v>245</v>
      </c>
      <c r="P2188" s="2" t="s">
        <v>238</v>
      </c>
      <c r="Q2188" s="2" t="s">
        <v>239</v>
      </c>
      <c r="R2188" s="2" t="s">
        <v>233</v>
      </c>
      <c r="S2188" s="2" t="s">
        <v>9816</v>
      </c>
      <c r="T2188" s="2" t="s">
        <v>341</v>
      </c>
      <c r="U2188" s="2" t="s">
        <v>475</v>
      </c>
      <c r="V2188" s="2" t="s">
        <v>359</v>
      </c>
      <c r="W2188" s="2" t="s">
        <v>977</v>
      </c>
      <c r="X2188" s="2" t="s">
        <v>397</v>
      </c>
      <c r="Y2188" s="2" t="s">
        <v>9817</v>
      </c>
      <c r="Z2188" s="4">
        <v>116</v>
      </c>
      <c r="AA2188" s="4">
        <f>=ROUNDDOWN(29,0)</f>
      </c>
      <c r="AB2188" s="5">
        <v>4</v>
      </c>
      <c r="AC2188" s="2" t="s">
        <v>233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233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233</v>
      </c>
      <c r="AW2188" s="8" t="s">
        <v>233</v>
      </c>
      <c r="AX2188" s="4" t="s">
        <v>233</v>
      </c>
      <c r="AY2188" s="8" t="s">
        <v>233</v>
      </c>
      <c r="AZ2188" s="7" t="s">
        <v>233</v>
      </c>
      <c r="BA2188" s="7" t="s">
        <v>233</v>
      </c>
      <c r="BB2188" s="7"/>
      <c r="BC2188" s="4" t="s">
        <v>233</v>
      </c>
      <c r="BD2188" s="8" t="s">
        <v>233</v>
      </c>
      <c r="BE2188" s="4" t="s">
        <v>233</v>
      </c>
      <c r="BF2188" s="8" t="s">
        <v>233</v>
      </c>
      <c r="BG2188" s="7" t="s">
        <v>233</v>
      </c>
      <c r="BH2188" s="7" t="s">
        <v>233</v>
      </c>
      <c r="BI2188" s="7"/>
      <c r="BJ2188" s="4">
        <v>3</v>
      </c>
      <c r="BK2188" s="8">
        <v>93.27</v>
      </c>
      <c r="BL2188" s="2" t="s">
        <v>2404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9818</v>
      </c>
      <c r="BV2188" s="2" t="s">
        <v>233</v>
      </c>
      <c r="BW2188" s="2" t="s">
        <v>233</v>
      </c>
      <c r="BX2188" s="2" t="s">
        <v>243</v>
      </c>
      <c r="BY2188" s="2" t="s">
        <v>280</v>
      </c>
      <c r="BZ2188" s="2" t="s">
        <v>245</v>
      </c>
      <c r="CA2188" s="2" t="s">
        <v>2845</v>
      </c>
      <c r="CB2188" s="2" t="s">
        <v>233</v>
      </c>
      <c r="CC2188" s="2" t="s">
        <v>246</v>
      </c>
      <c r="CD2188" s="2" t="s">
        <v>233</v>
      </c>
      <c r="CE2188" s="4">
        <v>116</v>
      </c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4"/>
      <c r="HE2188" s="4"/>
      <c r="HF2188" s="4"/>
      <c r="HG2188" s="4"/>
      <c r="HH2188" s="4"/>
      <c r="HI2188" s="4"/>
      <c r="HJ2188" s="4"/>
      <c r="HK2188" s="4"/>
      <c r="HL2188" s="4"/>
      <c r="HM2188" s="4"/>
      <c r="HN2188" s="4"/>
      <c r="HO2188" s="4"/>
      <c r="HP2188" s="4"/>
      <c r="HQ2188" s="4"/>
      <c r="HR2188" s="4"/>
    </row>
    <row r="2189">
      <c r="A2189" s="2" t="s">
        <v>9819</v>
      </c>
      <c r="B2189" s="2" t="s">
        <v>1242</v>
      </c>
      <c r="C2189" s="2" t="s">
        <v>530</v>
      </c>
      <c r="D2189" s="2" t="s">
        <v>912</v>
      </c>
      <c r="E2189" s="2" t="s">
        <v>1139</v>
      </c>
      <c r="F2189" s="2" t="s">
        <v>9811</v>
      </c>
      <c r="G2189" s="2" t="s">
        <v>9812</v>
      </c>
      <c r="H2189" s="2" t="s">
        <v>9813</v>
      </c>
      <c r="I2189" s="2" t="s">
        <v>9814</v>
      </c>
      <c r="J2189" s="2" t="s">
        <v>1142</v>
      </c>
      <c r="K2189" s="2" t="s">
        <v>9815</v>
      </c>
      <c r="L2189" s="3">
        <v>32</v>
      </c>
      <c r="M2189" s="3">
        <v>33.6</v>
      </c>
      <c r="N2189" s="3">
        <v>69.99</v>
      </c>
      <c r="O2189" s="2" t="s">
        <v>245</v>
      </c>
      <c r="P2189" s="2" t="s">
        <v>238</v>
      </c>
      <c r="Q2189" s="2" t="s">
        <v>239</v>
      </c>
      <c r="R2189" s="2" t="s">
        <v>233</v>
      </c>
      <c r="S2189" s="2" t="s">
        <v>9816</v>
      </c>
      <c r="T2189" s="2" t="s">
        <v>341</v>
      </c>
      <c r="U2189" s="2" t="s">
        <v>475</v>
      </c>
      <c r="V2189" s="2" t="s">
        <v>359</v>
      </c>
      <c r="W2189" s="2" t="s">
        <v>977</v>
      </c>
      <c r="X2189" s="2" t="s">
        <v>397</v>
      </c>
      <c r="Y2189" s="2" t="s">
        <v>9817</v>
      </c>
      <c r="Z2189" s="4">
        <v>109</v>
      </c>
      <c r="AA2189" s="4">
        <f>=ROUNDDOWN({0},0)</f>
      </c>
      <c r="AB2189" s="5"/>
      <c r="AC2189" s="2" t="s">
        <v>233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233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 t="s">
        <v>233</v>
      </c>
      <c r="AW2189" s="8" t="s">
        <v>233</v>
      </c>
      <c r="AX2189" s="4" t="s">
        <v>233</v>
      </c>
      <c r="AY2189" s="8" t="s">
        <v>233</v>
      </c>
      <c r="AZ2189" s="7" t="s">
        <v>233</v>
      </c>
      <c r="BA2189" s="7" t="s">
        <v>233</v>
      </c>
      <c r="BB2189" s="7"/>
      <c r="BC2189" s="4" t="s">
        <v>233</v>
      </c>
      <c r="BD2189" s="8" t="s">
        <v>233</v>
      </c>
      <c r="BE2189" s="4" t="s">
        <v>233</v>
      </c>
      <c r="BF2189" s="8" t="s">
        <v>233</v>
      </c>
      <c r="BG2189" s="7" t="s">
        <v>233</v>
      </c>
      <c r="BH2189" s="7" t="s">
        <v>233</v>
      </c>
      <c r="BI2189" s="7"/>
      <c r="BJ2189" s="4">
        <v>1</v>
      </c>
      <c r="BK2189" s="8">
        <v>36.29</v>
      </c>
      <c r="BL2189" s="2" t="s">
        <v>2404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9820</v>
      </c>
      <c r="BV2189" s="2" t="s">
        <v>233</v>
      </c>
      <c r="BW2189" s="2" t="s">
        <v>233</v>
      </c>
      <c r="BX2189" s="2" t="s">
        <v>243</v>
      </c>
      <c r="BY2189" s="2" t="s">
        <v>280</v>
      </c>
      <c r="BZ2189" s="2" t="s">
        <v>245</v>
      </c>
      <c r="CA2189" s="2" t="s">
        <v>2845</v>
      </c>
      <c r="CB2189" s="2" t="s">
        <v>233</v>
      </c>
      <c r="CC2189" s="2" t="s">
        <v>246</v>
      </c>
      <c r="CD2189" s="2" t="s">
        <v>233</v>
      </c>
      <c r="CE2189" s="4">
        <v>109</v>
      </c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  <c r="HF2189" s="4"/>
      <c r="HG2189" s="4"/>
      <c r="HH2189" s="4"/>
      <c r="HI2189" s="4"/>
      <c r="HJ2189" s="4"/>
      <c r="HK2189" s="4"/>
      <c r="HL2189" s="4"/>
      <c r="HM2189" s="4"/>
      <c r="HN2189" s="4"/>
      <c r="HO2189" s="4"/>
      <c r="HP2189" s="4"/>
      <c r="HQ2189" s="4"/>
      <c r="HR2189" s="4"/>
    </row>
    <row r="2190">
      <c r="A2190" s="2" t="s">
        <v>9821</v>
      </c>
      <c r="B2190" s="2" t="s">
        <v>228</v>
      </c>
      <c r="C2190" s="2" t="s">
        <v>3846</v>
      </c>
      <c r="D2190" s="2" t="s">
        <v>3847</v>
      </c>
      <c r="E2190" s="2" t="s">
        <v>3848</v>
      </c>
      <c r="F2190" s="2" t="s">
        <v>9822</v>
      </c>
      <c r="G2190" s="2" t="s">
        <v>9822</v>
      </c>
      <c r="H2190" s="2" t="s">
        <v>9822</v>
      </c>
      <c r="I2190" s="2" t="s">
        <v>3850</v>
      </c>
      <c r="J2190" s="2" t="s">
        <v>270</v>
      </c>
      <c r="K2190" s="2" t="s">
        <v>271</v>
      </c>
      <c r="L2190" s="3">
        <v>44.51</v>
      </c>
      <c r="M2190" s="3">
        <v>46.74</v>
      </c>
      <c r="N2190" s="3">
        <v>89.99</v>
      </c>
      <c r="O2190" s="2" t="s">
        <v>237</v>
      </c>
      <c r="P2190" s="2" t="s">
        <v>996</v>
      </c>
      <c r="Q2190" s="2" t="s">
        <v>239</v>
      </c>
      <c r="R2190" s="2" t="s">
        <v>233</v>
      </c>
      <c r="S2190" s="2" t="s">
        <v>233</v>
      </c>
      <c r="T2190" s="2" t="s">
        <v>647</v>
      </c>
      <c r="U2190" s="2" t="s">
        <v>396</v>
      </c>
      <c r="V2190" s="2" t="s">
        <v>241</v>
      </c>
      <c r="W2190" s="2" t="s">
        <v>275</v>
      </c>
      <c r="X2190" s="2" t="s">
        <v>233</v>
      </c>
      <c r="Y2190" s="2" t="s">
        <v>9189</v>
      </c>
      <c r="Z2190" s="4">
        <v>41</v>
      </c>
      <c r="AA2190" s="4">
        <f>=ROUNDDOWN(41,0)</f>
      </c>
      <c r="AB2190" s="5">
        <v>1</v>
      </c>
      <c r="AC2190" s="2" t="s">
        <v>233</v>
      </c>
      <c r="AD2190" s="4"/>
      <c r="AE2190" s="4"/>
      <c r="AF2190" s="6">
        <v>58</v>
      </c>
      <c r="AG2190" s="6"/>
      <c r="AH2190" s="7">
        <v>1</v>
      </c>
      <c r="AI2190" s="4"/>
      <c r="AJ2190" s="4">
        <f>=ROUNDDOWN({0},0)</f>
      </c>
      <c r="AK2190" s="5"/>
      <c r="AL2190" s="2" t="s">
        <v>233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233</v>
      </c>
      <c r="BD2190" s="8" t="s">
        <v>233</v>
      </c>
      <c r="BE2190" s="4" t="s">
        <v>233</v>
      </c>
      <c r="BF2190" s="8" t="s">
        <v>233</v>
      </c>
      <c r="BG2190" s="7" t="s">
        <v>233</v>
      </c>
      <c r="BH2190" s="7" t="s">
        <v>233</v>
      </c>
      <c r="BI2190" s="7"/>
      <c r="BJ2190" s="4">
        <v>2</v>
      </c>
      <c r="BK2190" s="8">
        <v>95.7</v>
      </c>
      <c r="BL2190" s="2" t="s">
        <v>496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9823</v>
      </c>
      <c r="BV2190" s="2" t="s">
        <v>233</v>
      </c>
      <c r="BW2190" s="2" t="s">
        <v>233</v>
      </c>
      <c r="BX2190" s="2" t="s">
        <v>233</v>
      </c>
      <c r="BY2190" s="2" t="s">
        <v>280</v>
      </c>
      <c r="BZ2190" s="2" t="s">
        <v>245</v>
      </c>
      <c r="CA2190" s="2" t="s">
        <v>1778</v>
      </c>
      <c r="CB2190" s="2" t="s">
        <v>5835</v>
      </c>
      <c r="CC2190" s="2" t="s">
        <v>246</v>
      </c>
      <c r="CD2190" s="2" t="s">
        <v>233</v>
      </c>
      <c r="CE2190" s="4">
        <v>41</v>
      </c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  <c r="HF2190" s="4"/>
      <c r="HG2190" s="4"/>
      <c r="HH2190" s="4"/>
      <c r="HI2190" s="4"/>
      <c r="HJ2190" s="4"/>
      <c r="HK2190" s="4"/>
      <c r="HL2190" s="4"/>
      <c r="HM2190" s="4"/>
      <c r="HN2190" s="4"/>
      <c r="HO2190" s="4"/>
      <c r="HP2190" s="4"/>
      <c r="HQ2190" s="4"/>
      <c r="HR2190" s="4"/>
    </row>
    <row r="2191">
      <c r="A2191" s="2" t="s">
        <v>9824</v>
      </c>
      <c r="B2191" s="2" t="s">
        <v>228</v>
      </c>
      <c r="C2191" s="2" t="s">
        <v>3846</v>
      </c>
      <c r="D2191" s="2" t="s">
        <v>3847</v>
      </c>
      <c r="E2191" s="2" t="s">
        <v>3848</v>
      </c>
      <c r="F2191" s="2" t="s">
        <v>9822</v>
      </c>
      <c r="G2191" s="2" t="s">
        <v>9822</v>
      </c>
      <c r="H2191" s="2" t="s">
        <v>9822</v>
      </c>
      <c r="I2191" s="2" t="s">
        <v>3850</v>
      </c>
      <c r="J2191" s="2" t="s">
        <v>270</v>
      </c>
      <c r="K2191" s="2" t="s">
        <v>984</v>
      </c>
      <c r="L2191" s="3">
        <v>44.51</v>
      </c>
      <c r="M2191" s="3">
        <v>46.74</v>
      </c>
      <c r="N2191" s="3">
        <v>89.99</v>
      </c>
      <c r="O2191" s="2" t="s">
        <v>237</v>
      </c>
      <c r="P2191" s="2" t="s">
        <v>996</v>
      </c>
      <c r="Q2191" s="2" t="s">
        <v>239</v>
      </c>
      <c r="R2191" s="2" t="s">
        <v>233</v>
      </c>
      <c r="S2191" s="2" t="s">
        <v>233</v>
      </c>
      <c r="T2191" s="2" t="s">
        <v>647</v>
      </c>
      <c r="U2191" s="2" t="s">
        <v>396</v>
      </c>
      <c r="V2191" s="2" t="s">
        <v>241</v>
      </c>
      <c r="W2191" s="2" t="s">
        <v>275</v>
      </c>
      <c r="X2191" s="2" t="s">
        <v>233</v>
      </c>
      <c r="Y2191" s="2" t="s">
        <v>9189</v>
      </c>
      <c r="Z2191" s="4">
        <v>13</v>
      </c>
      <c r="AA2191" s="4">
        <f>=ROUNDDOWN(13,0)</f>
      </c>
      <c r="AB2191" s="5">
        <v>1</v>
      </c>
      <c r="AC2191" s="2" t="s">
        <v>233</v>
      </c>
      <c r="AD2191" s="4"/>
      <c r="AE2191" s="4"/>
      <c r="AF2191" s="6">
        <v>58</v>
      </c>
      <c r="AG2191" s="6"/>
      <c r="AH2191" s="7">
        <v>1</v>
      </c>
      <c r="AI2191" s="4"/>
      <c r="AJ2191" s="4">
        <f>=ROUNDDOWN({0},0)</f>
      </c>
      <c r="AK2191" s="5"/>
      <c r="AL2191" s="2" t="s">
        <v>233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233</v>
      </c>
      <c r="AW2191" s="8" t="s">
        <v>233</v>
      </c>
      <c r="AX2191" s="4" t="s">
        <v>233</v>
      </c>
      <c r="AY2191" s="8" t="s">
        <v>233</v>
      </c>
      <c r="AZ2191" s="7" t="s">
        <v>233</v>
      </c>
      <c r="BA2191" s="7" t="s">
        <v>233</v>
      </c>
      <c r="BB2191" s="7"/>
      <c r="BC2191" s="4" t="s">
        <v>233</v>
      </c>
      <c r="BD2191" s="8" t="s">
        <v>233</v>
      </c>
      <c r="BE2191" s="4" t="s">
        <v>233</v>
      </c>
      <c r="BF2191" s="8" t="s">
        <v>233</v>
      </c>
      <c r="BG2191" s="7" t="s">
        <v>233</v>
      </c>
      <c r="BH2191" s="7" t="s">
        <v>233</v>
      </c>
      <c r="BI2191" s="7"/>
      <c r="BJ2191" s="4">
        <v>1</v>
      </c>
      <c r="BK2191" s="8">
        <v>46.63</v>
      </c>
      <c r="BL2191" s="2" t="s">
        <v>9825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9826</v>
      </c>
      <c r="BV2191" s="2" t="s">
        <v>233</v>
      </c>
      <c r="BW2191" s="2" t="s">
        <v>233</v>
      </c>
      <c r="BX2191" s="2" t="s">
        <v>233</v>
      </c>
      <c r="BY2191" s="2" t="s">
        <v>280</v>
      </c>
      <c r="BZ2191" s="2" t="s">
        <v>245</v>
      </c>
      <c r="CA2191" s="2" t="s">
        <v>1778</v>
      </c>
      <c r="CB2191" s="2" t="s">
        <v>5835</v>
      </c>
      <c r="CC2191" s="2" t="s">
        <v>246</v>
      </c>
      <c r="CD2191" s="2" t="s">
        <v>233</v>
      </c>
      <c r="CE2191" s="4">
        <v>13</v>
      </c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/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  <c r="HF2191" s="4"/>
      <c r="HG2191" s="4"/>
      <c r="HH2191" s="4"/>
      <c r="HI2191" s="4"/>
      <c r="HJ2191" s="4"/>
      <c r="HK2191" s="4"/>
      <c r="HL2191" s="4"/>
      <c r="HM2191" s="4"/>
      <c r="HN2191" s="4"/>
      <c r="HO2191" s="4"/>
      <c r="HP2191" s="4"/>
      <c r="HQ2191" s="4"/>
      <c r="HR2191" s="4"/>
    </row>
    <row r="2192">
      <c r="A2192" s="2" t="s">
        <v>9827</v>
      </c>
      <c r="B2192" s="2" t="s">
        <v>228</v>
      </c>
      <c r="C2192" s="2" t="s">
        <v>3846</v>
      </c>
      <c r="D2192" s="2" t="s">
        <v>3847</v>
      </c>
      <c r="E2192" s="2" t="s">
        <v>3848</v>
      </c>
      <c r="F2192" s="2" t="s">
        <v>9822</v>
      </c>
      <c r="G2192" s="2" t="s">
        <v>9822</v>
      </c>
      <c r="H2192" s="2" t="s">
        <v>9822</v>
      </c>
      <c r="I2192" s="2" t="s">
        <v>3850</v>
      </c>
      <c r="J2192" s="2" t="s">
        <v>348</v>
      </c>
      <c r="K2192" s="2" t="s">
        <v>984</v>
      </c>
      <c r="L2192" s="3">
        <v>72.34</v>
      </c>
      <c r="M2192" s="3">
        <v>75.96</v>
      </c>
      <c r="N2192" s="3">
        <v>144.99</v>
      </c>
      <c r="O2192" s="2" t="s">
        <v>237</v>
      </c>
      <c r="P2192" s="2" t="s">
        <v>996</v>
      </c>
      <c r="Q2192" s="2" t="s">
        <v>239</v>
      </c>
      <c r="R2192" s="2" t="s">
        <v>233</v>
      </c>
      <c r="S2192" s="2" t="s">
        <v>233</v>
      </c>
      <c r="T2192" s="2" t="s">
        <v>647</v>
      </c>
      <c r="U2192" s="2" t="s">
        <v>396</v>
      </c>
      <c r="V2192" s="2" t="s">
        <v>241</v>
      </c>
      <c r="W2192" s="2" t="s">
        <v>275</v>
      </c>
      <c r="X2192" s="2" t="s">
        <v>233</v>
      </c>
      <c r="Y2192" s="2" t="s">
        <v>9189</v>
      </c>
      <c r="Z2192" s="4">
        <v>55</v>
      </c>
      <c r="AA2192" s="4">
        <f>=ROUNDDOWN(55,0)</f>
      </c>
      <c r="AB2192" s="5">
        <v>1</v>
      </c>
      <c r="AC2192" s="2" t="s">
        <v>233</v>
      </c>
      <c r="AD2192" s="4"/>
      <c r="AE2192" s="4"/>
      <c r="AF2192" s="6">
        <v>58</v>
      </c>
      <c r="AG2192" s="6"/>
      <c r="AH2192" s="7">
        <v>1</v>
      </c>
      <c r="AI2192" s="4"/>
      <c r="AJ2192" s="4">
        <f>=ROUNDDOWN({0},0)</f>
      </c>
      <c r="AK2192" s="5"/>
      <c r="AL2192" s="2" t="s">
        <v>233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 t="s">
        <v>233</v>
      </c>
      <c r="AW2192" s="8" t="s">
        <v>233</v>
      </c>
      <c r="AX2192" s="4" t="s">
        <v>233</v>
      </c>
      <c r="AY2192" s="8" t="s">
        <v>233</v>
      </c>
      <c r="AZ2192" s="7" t="s">
        <v>233</v>
      </c>
      <c r="BA2192" s="7" t="s">
        <v>233</v>
      </c>
      <c r="BB2192" s="7"/>
      <c r="BC2192" s="4" t="s">
        <v>233</v>
      </c>
      <c r="BD2192" s="8" t="s">
        <v>233</v>
      </c>
      <c r="BE2192" s="4" t="s">
        <v>233</v>
      </c>
      <c r="BF2192" s="8" t="s">
        <v>233</v>
      </c>
      <c r="BG2192" s="7" t="s">
        <v>233</v>
      </c>
      <c r="BH2192" s="7" t="s">
        <v>233</v>
      </c>
      <c r="BI2192" s="7"/>
      <c r="BJ2192" s="4">
        <v>1</v>
      </c>
      <c r="BK2192" s="8">
        <v>49.37</v>
      </c>
      <c r="BL2192" s="2" t="s">
        <v>662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9828</v>
      </c>
      <c r="BV2192" s="2" t="s">
        <v>233</v>
      </c>
      <c r="BW2192" s="2" t="s">
        <v>233</v>
      </c>
      <c r="BX2192" s="2" t="s">
        <v>233</v>
      </c>
      <c r="BY2192" s="2" t="s">
        <v>280</v>
      </c>
      <c r="BZ2192" s="2" t="s">
        <v>245</v>
      </c>
      <c r="CA2192" s="2" t="s">
        <v>1778</v>
      </c>
      <c r="CB2192" s="2" t="s">
        <v>5505</v>
      </c>
      <c r="CC2192" s="2" t="s">
        <v>246</v>
      </c>
      <c r="CD2192" s="2" t="s">
        <v>233</v>
      </c>
      <c r="CE2192" s="4">
        <v>55</v>
      </c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  <c r="HF2192" s="4"/>
      <c r="HG2192" s="4"/>
      <c r="HH2192" s="4"/>
      <c r="HI2192" s="4"/>
      <c r="HJ2192" s="4"/>
      <c r="HK2192" s="4"/>
      <c r="HL2192" s="4"/>
      <c r="HM2192" s="4"/>
      <c r="HN2192" s="4"/>
      <c r="HO2192" s="4"/>
      <c r="HP2192" s="4"/>
      <c r="HQ2192" s="4"/>
      <c r="HR2192" s="4"/>
    </row>
    <row r="2193">
      <c r="A2193" s="2" t="s">
        <v>9829</v>
      </c>
      <c r="B2193" s="2" t="s">
        <v>228</v>
      </c>
      <c r="C2193" s="2" t="s">
        <v>3846</v>
      </c>
      <c r="D2193" s="2" t="s">
        <v>3847</v>
      </c>
      <c r="E2193" s="2" t="s">
        <v>3848</v>
      </c>
      <c r="F2193" s="2" t="s">
        <v>9822</v>
      </c>
      <c r="G2193" s="2" t="s">
        <v>9822</v>
      </c>
      <c r="H2193" s="2" t="s">
        <v>9822</v>
      </c>
      <c r="I2193" s="2" t="s">
        <v>3850</v>
      </c>
      <c r="J2193" s="2" t="s">
        <v>290</v>
      </c>
      <c r="K2193" s="2" t="s">
        <v>1994</v>
      </c>
      <c r="L2193" s="3">
        <v>50.08</v>
      </c>
      <c r="M2193" s="3">
        <v>52.58</v>
      </c>
      <c r="N2193" s="3">
        <v>99.99</v>
      </c>
      <c r="O2193" s="2" t="s">
        <v>237</v>
      </c>
      <c r="P2193" s="2" t="s">
        <v>996</v>
      </c>
      <c r="Q2193" s="2" t="s">
        <v>239</v>
      </c>
      <c r="R2193" s="2" t="s">
        <v>233</v>
      </c>
      <c r="S2193" s="2" t="s">
        <v>233</v>
      </c>
      <c r="T2193" s="2" t="s">
        <v>647</v>
      </c>
      <c r="U2193" s="2" t="s">
        <v>396</v>
      </c>
      <c r="V2193" s="2" t="s">
        <v>241</v>
      </c>
      <c r="W2193" s="2" t="s">
        <v>275</v>
      </c>
      <c r="X2193" s="2" t="s">
        <v>233</v>
      </c>
      <c r="Y2193" s="2" t="s">
        <v>9189</v>
      </c>
      <c r="Z2193" s="4">
        <v>187</v>
      </c>
      <c r="AA2193" s="4">
        <f>=ROUNDDOWN({0},0)</f>
      </c>
      <c r="AB2193" s="5"/>
      <c r="AC2193" s="2" t="s">
        <v>233</v>
      </c>
      <c r="AD2193" s="4"/>
      <c r="AE2193" s="4"/>
      <c r="AF2193" s="6">
        <v>58</v>
      </c>
      <c r="AG2193" s="6"/>
      <c r="AH2193" s="7">
        <v>1</v>
      </c>
      <c r="AI2193" s="4"/>
      <c r="AJ2193" s="4">
        <f>=ROUNDDOWN({0},0)</f>
      </c>
      <c r="AK2193" s="5"/>
      <c r="AL2193" s="2" t="s">
        <v>233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 t="s">
        <v>233</v>
      </c>
      <c r="AW2193" s="8" t="s">
        <v>233</v>
      </c>
      <c r="AX2193" s="4" t="s">
        <v>233</v>
      </c>
      <c r="AY2193" s="8" t="s">
        <v>233</v>
      </c>
      <c r="AZ2193" s="7" t="s">
        <v>233</v>
      </c>
      <c r="BA2193" s="7" t="s">
        <v>233</v>
      </c>
      <c r="BB2193" s="7"/>
      <c r="BC2193" s="4" t="s">
        <v>233</v>
      </c>
      <c r="BD2193" s="8" t="s">
        <v>233</v>
      </c>
      <c r="BE2193" s="4" t="s">
        <v>233</v>
      </c>
      <c r="BF2193" s="8" t="s">
        <v>233</v>
      </c>
      <c r="BG2193" s="7" t="s">
        <v>233</v>
      </c>
      <c r="BH2193" s="7" t="s">
        <v>233</v>
      </c>
      <c r="BI2193" s="7"/>
      <c r="BJ2193" s="4"/>
      <c r="BK2193" s="8"/>
      <c r="BL2193" s="2" t="s">
        <v>469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9830</v>
      </c>
      <c r="BV2193" s="2" t="s">
        <v>233</v>
      </c>
      <c r="BW2193" s="2" t="s">
        <v>233</v>
      </c>
      <c r="BX2193" s="2" t="s">
        <v>233</v>
      </c>
      <c r="BY2193" s="2" t="s">
        <v>280</v>
      </c>
      <c r="BZ2193" s="2" t="s">
        <v>245</v>
      </c>
      <c r="CA2193" s="2" t="s">
        <v>1778</v>
      </c>
      <c r="CB2193" s="2" t="s">
        <v>5835</v>
      </c>
      <c r="CC2193" s="2" t="s">
        <v>246</v>
      </c>
      <c r="CD2193" s="2" t="s">
        <v>233</v>
      </c>
      <c r="CE2193" s="4">
        <v>187</v>
      </c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  <c r="HF2193" s="4"/>
      <c r="HG2193" s="4"/>
      <c r="HH2193" s="4"/>
      <c r="HI2193" s="4"/>
      <c r="HJ2193" s="4"/>
      <c r="HK2193" s="4"/>
      <c r="HL2193" s="4"/>
      <c r="HM2193" s="4"/>
      <c r="HN2193" s="4"/>
      <c r="HO2193" s="4"/>
      <c r="HP2193" s="4"/>
      <c r="HQ2193" s="4"/>
      <c r="HR2193" s="4"/>
    </row>
    <row r="2194">
      <c r="A2194" s="2" t="s">
        <v>9831</v>
      </c>
      <c r="B2194" s="2" t="s">
        <v>228</v>
      </c>
      <c r="C2194" s="2" t="s">
        <v>3846</v>
      </c>
      <c r="D2194" s="2" t="s">
        <v>3847</v>
      </c>
      <c r="E2194" s="2" t="s">
        <v>3848</v>
      </c>
      <c r="F2194" s="2" t="s">
        <v>9822</v>
      </c>
      <c r="G2194" s="2" t="s">
        <v>9822</v>
      </c>
      <c r="H2194" s="2" t="s">
        <v>9822</v>
      </c>
      <c r="I2194" s="2" t="s">
        <v>3850</v>
      </c>
      <c r="J2194" s="2" t="s">
        <v>348</v>
      </c>
      <c r="K2194" s="2" t="s">
        <v>1994</v>
      </c>
      <c r="L2194" s="3">
        <v>72.34</v>
      </c>
      <c r="M2194" s="3">
        <v>75.96</v>
      </c>
      <c r="N2194" s="3">
        <v>144.99</v>
      </c>
      <c r="O2194" s="2" t="s">
        <v>237</v>
      </c>
      <c r="P2194" s="2" t="s">
        <v>996</v>
      </c>
      <c r="Q2194" s="2" t="s">
        <v>239</v>
      </c>
      <c r="R2194" s="2" t="s">
        <v>233</v>
      </c>
      <c r="S2194" s="2" t="s">
        <v>233</v>
      </c>
      <c r="T2194" s="2" t="s">
        <v>647</v>
      </c>
      <c r="U2194" s="2" t="s">
        <v>396</v>
      </c>
      <c r="V2194" s="2" t="s">
        <v>241</v>
      </c>
      <c r="W2194" s="2" t="s">
        <v>275</v>
      </c>
      <c r="X2194" s="2" t="s">
        <v>233</v>
      </c>
      <c r="Y2194" s="2" t="s">
        <v>9189</v>
      </c>
      <c r="Z2194" s="4">
        <v>96</v>
      </c>
      <c r="AA2194" s="4">
        <f>=ROUNDDOWN(48,0)</f>
      </c>
      <c r="AB2194" s="5">
        <v>2</v>
      </c>
      <c r="AC2194" s="2" t="s">
        <v>233</v>
      </c>
      <c r="AD2194" s="4"/>
      <c r="AE2194" s="4"/>
      <c r="AF2194" s="6">
        <v>58</v>
      </c>
      <c r="AG2194" s="6"/>
      <c r="AH2194" s="7">
        <v>1</v>
      </c>
      <c r="AI2194" s="4"/>
      <c r="AJ2194" s="4">
        <f>=ROUNDDOWN({0},0)</f>
      </c>
      <c r="AK2194" s="5"/>
      <c r="AL2194" s="2" t="s">
        <v>233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 t="s">
        <v>233</v>
      </c>
      <c r="AW2194" s="8" t="s">
        <v>233</v>
      </c>
      <c r="AX2194" s="4" t="s">
        <v>233</v>
      </c>
      <c r="AY2194" s="8" t="s">
        <v>233</v>
      </c>
      <c r="AZ2194" s="7" t="s">
        <v>233</v>
      </c>
      <c r="BA2194" s="7" t="s">
        <v>233</v>
      </c>
      <c r="BB2194" s="7"/>
      <c r="BC2194" s="4" t="s">
        <v>233</v>
      </c>
      <c r="BD2194" s="8" t="s">
        <v>233</v>
      </c>
      <c r="BE2194" s="4" t="s">
        <v>233</v>
      </c>
      <c r="BF2194" s="8" t="s">
        <v>233</v>
      </c>
      <c r="BG2194" s="7" t="s">
        <v>233</v>
      </c>
      <c r="BH2194" s="7" t="s">
        <v>233</v>
      </c>
      <c r="BI2194" s="7"/>
      <c r="BJ2194" s="4"/>
      <c r="BK2194" s="8"/>
      <c r="BL2194" s="2" t="s">
        <v>9832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9833</v>
      </c>
      <c r="BV2194" s="2" t="s">
        <v>233</v>
      </c>
      <c r="BW2194" s="2" t="s">
        <v>233</v>
      </c>
      <c r="BX2194" s="2" t="s">
        <v>233</v>
      </c>
      <c r="BY2194" s="2" t="s">
        <v>280</v>
      </c>
      <c r="BZ2194" s="2" t="s">
        <v>245</v>
      </c>
      <c r="CA2194" s="2" t="s">
        <v>1778</v>
      </c>
      <c r="CB2194" s="2" t="s">
        <v>9834</v>
      </c>
      <c r="CC2194" s="2" t="s">
        <v>246</v>
      </c>
      <c r="CD2194" s="2" t="s">
        <v>233</v>
      </c>
      <c r="CE2194" s="4">
        <v>96</v>
      </c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  <c r="HF2194" s="4"/>
      <c r="HG2194" s="4"/>
      <c r="HH2194" s="4"/>
      <c r="HI2194" s="4"/>
      <c r="HJ2194" s="4"/>
      <c r="HK2194" s="4"/>
      <c r="HL2194" s="4"/>
      <c r="HM2194" s="4"/>
      <c r="HN2194" s="4"/>
      <c r="HO2194" s="4"/>
      <c r="HP2194" s="4"/>
      <c r="HQ2194" s="4"/>
      <c r="HR2194" s="4"/>
    </row>
    <row r="2195">
      <c r="A2195" s="2" t="s">
        <v>9835</v>
      </c>
      <c r="B2195" s="2" t="s">
        <v>228</v>
      </c>
      <c r="C2195" s="2" t="s">
        <v>3846</v>
      </c>
      <c r="D2195" s="2" t="s">
        <v>3847</v>
      </c>
      <c r="E2195" s="2" t="s">
        <v>3848</v>
      </c>
      <c r="F2195" s="2" t="s">
        <v>9822</v>
      </c>
      <c r="G2195" s="2" t="s">
        <v>9822</v>
      </c>
      <c r="H2195" s="2" t="s">
        <v>9822</v>
      </c>
      <c r="I2195" s="2" t="s">
        <v>3850</v>
      </c>
      <c r="J2195" s="2" t="s">
        <v>270</v>
      </c>
      <c r="K2195" s="2" t="s">
        <v>255</v>
      </c>
      <c r="L2195" s="3">
        <v>44.51</v>
      </c>
      <c r="M2195" s="3">
        <v>46.74</v>
      </c>
      <c r="N2195" s="3">
        <v>89.99</v>
      </c>
      <c r="O2195" s="2" t="s">
        <v>237</v>
      </c>
      <c r="P2195" s="2" t="s">
        <v>996</v>
      </c>
      <c r="Q2195" s="2" t="s">
        <v>239</v>
      </c>
      <c r="R2195" s="2" t="s">
        <v>233</v>
      </c>
      <c r="S2195" s="2" t="s">
        <v>233</v>
      </c>
      <c r="T2195" s="2" t="s">
        <v>647</v>
      </c>
      <c r="U2195" s="2" t="s">
        <v>396</v>
      </c>
      <c r="V2195" s="2" t="s">
        <v>241</v>
      </c>
      <c r="W2195" s="2" t="s">
        <v>275</v>
      </c>
      <c r="X2195" s="2" t="s">
        <v>233</v>
      </c>
      <c r="Y2195" s="2" t="s">
        <v>9189</v>
      </c>
      <c r="Z2195" s="4">
        <v>93</v>
      </c>
      <c r="AA2195" s="4">
        <f>=ROUNDDOWN(71.5384615384615,0)</f>
      </c>
      <c r="AB2195" s="5">
        <v>1.3</v>
      </c>
      <c r="AC2195" s="2" t="s">
        <v>233</v>
      </c>
      <c r="AD2195" s="4"/>
      <c r="AE2195" s="4"/>
      <c r="AF2195" s="6">
        <v>58</v>
      </c>
      <c r="AG2195" s="6"/>
      <c r="AH2195" s="7">
        <v>1</v>
      </c>
      <c r="AI2195" s="4"/>
      <c r="AJ2195" s="4">
        <f>=ROUNDDOWN({0},0)</f>
      </c>
      <c r="AK2195" s="5"/>
      <c r="AL2195" s="2" t="s">
        <v>233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 t="s">
        <v>233</v>
      </c>
      <c r="BD2195" s="8" t="s">
        <v>233</v>
      </c>
      <c r="BE2195" s="4" t="s">
        <v>233</v>
      </c>
      <c r="BF2195" s="8" t="s">
        <v>233</v>
      </c>
      <c r="BG2195" s="7" t="s">
        <v>233</v>
      </c>
      <c r="BH2195" s="7" t="s">
        <v>233</v>
      </c>
      <c r="BI2195" s="7"/>
      <c r="BJ2195" s="4">
        <v>2</v>
      </c>
      <c r="BK2195" s="8">
        <v>95.7</v>
      </c>
      <c r="BL2195" s="2" t="s">
        <v>496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9836</v>
      </c>
      <c r="BV2195" s="2" t="s">
        <v>233</v>
      </c>
      <c r="BW2195" s="2" t="s">
        <v>233</v>
      </c>
      <c r="BX2195" s="2" t="s">
        <v>233</v>
      </c>
      <c r="BY2195" s="2" t="s">
        <v>280</v>
      </c>
      <c r="BZ2195" s="2" t="s">
        <v>245</v>
      </c>
      <c r="CA2195" s="2" t="s">
        <v>1778</v>
      </c>
      <c r="CB2195" s="2" t="s">
        <v>5835</v>
      </c>
      <c r="CC2195" s="2" t="s">
        <v>246</v>
      </c>
      <c r="CD2195" s="2" t="s">
        <v>233</v>
      </c>
      <c r="CE2195" s="4">
        <v>93</v>
      </c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  <c r="HF2195" s="4"/>
      <c r="HG2195" s="4"/>
      <c r="HH2195" s="4"/>
      <c r="HI2195" s="4"/>
      <c r="HJ2195" s="4"/>
      <c r="HK2195" s="4"/>
      <c r="HL2195" s="4"/>
      <c r="HM2195" s="4"/>
      <c r="HN2195" s="4"/>
      <c r="HO2195" s="4"/>
      <c r="HP2195" s="4"/>
      <c r="HQ2195" s="4"/>
      <c r="HR2195" s="4"/>
    </row>
    <row r="2196">
      <c r="A2196" s="2" t="s">
        <v>9837</v>
      </c>
      <c r="B2196" s="2" t="s">
        <v>228</v>
      </c>
      <c r="C2196" s="2" t="s">
        <v>3846</v>
      </c>
      <c r="D2196" s="2" t="s">
        <v>3847</v>
      </c>
      <c r="E2196" s="2" t="s">
        <v>3848</v>
      </c>
      <c r="F2196" s="2" t="s">
        <v>9822</v>
      </c>
      <c r="G2196" s="2" t="s">
        <v>9822</v>
      </c>
      <c r="H2196" s="2" t="s">
        <v>9822</v>
      </c>
      <c r="I2196" s="2" t="s">
        <v>3850</v>
      </c>
      <c r="J2196" s="2" t="s">
        <v>270</v>
      </c>
      <c r="K2196" s="2" t="s">
        <v>569</v>
      </c>
      <c r="L2196" s="3">
        <v>44.51</v>
      </c>
      <c r="M2196" s="3">
        <v>46.74</v>
      </c>
      <c r="N2196" s="3">
        <v>89.99</v>
      </c>
      <c r="O2196" s="2" t="s">
        <v>237</v>
      </c>
      <c r="P2196" s="2" t="s">
        <v>996</v>
      </c>
      <c r="Q2196" s="2" t="s">
        <v>239</v>
      </c>
      <c r="R2196" s="2" t="s">
        <v>233</v>
      </c>
      <c r="S2196" s="2" t="s">
        <v>233</v>
      </c>
      <c r="T2196" s="2" t="s">
        <v>647</v>
      </c>
      <c r="U2196" s="2" t="s">
        <v>396</v>
      </c>
      <c r="V2196" s="2" t="s">
        <v>241</v>
      </c>
      <c r="W2196" s="2" t="s">
        <v>275</v>
      </c>
      <c r="X2196" s="2" t="s">
        <v>233</v>
      </c>
      <c r="Y2196" s="2" t="s">
        <v>5502</v>
      </c>
      <c r="Z2196" s="4">
        <v>140</v>
      </c>
      <c r="AA2196" s="4">
        <f>=ROUNDDOWN(93.3333333333333,0)</f>
      </c>
      <c r="AB2196" s="5">
        <v>1.5</v>
      </c>
      <c r="AC2196" s="2" t="s">
        <v>233</v>
      </c>
      <c r="AD2196" s="4"/>
      <c r="AE2196" s="4"/>
      <c r="AF2196" s="6">
        <v>58</v>
      </c>
      <c r="AG2196" s="6"/>
      <c r="AH2196" s="7">
        <v>1</v>
      </c>
      <c r="AI2196" s="4"/>
      <c r="AJ2196" s="4">
        <f>=ROUNDDOWN({0},0)</f>
      </c>
      <c r="AK2196" s="5"/>
      <c r="AL2196" s="2" t="s">
        <v>233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233</v>
      </c>
      <c r="AW2196" s="8" t="s">
        <v>233</v>
      </c>
      <c r="AX2196" s="4" t="s">
        <v>233</v>
      </c>
      <c r="AY2196" s="8" t="s">
        <v>233</v>
      </c>
      <c r="AZ2196" s="7" t="s">
        <v>233</v>
      </c>
      <c r="BA2196" s="7" t="s">
        <v>233</v>
      </c>
      <c r="BB2196" s="7"/>
      <c r="BC2196" s="4" t="s">
        <v>233</v>
      </c>
      <c r="BD2196" s="8" t="s">
        <v>233</v>
      </c>
      <c r="BE2196" s="4" t="s">
        <v>233</v>
      </c>
      <c r="BF2196" s="8" t="s">
        <v>233</v>
      </c>
      <c r="BG2196" s="7" t="s">
        <v>233</v>
      </c>
      <c r="BH2196" s="7" t="s">
        <v>233</v>
      </c>
      <c r="BI2196" s="7"/>
      <c r="BJ2196" s="4">
        <v>3</v>
      </c>
      <c r="BK2196" s="8">
        <v>109.81</v>
      </c>
      <c r="BL2196" s="2" t="s">
        <v>8504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9838</v>
      </c>
      <c r="BV2196" s="2" t="s">
        <v>233</v>
      </c>
      <c r="BW2196" s="2" t="s">
        <v>233</v>
      </c>
      <c r="BX2196" s="2" t="s">
        <v>233</v>
      </c>
      <c r="BY2196" s="2" t="s">
        <v>280</v>
      </c>
      <c r="BZ2196" s="2" t="s">
        <v>245</v>
      </c>
      <c r="CA2196" s="2" t="s">
        <v>1778</v>
      </c>
      <c r="CB2196" s="2" t="s">
        <v>5835</v>
      </c>
      <c r="CC2196" s="2" t="s">
        <v>246</v>
      </c>
      <c r="CD2196" s="2" t="s">
        <v>233</v>
      </c>
      <c r="CE2196" s="4">
        <v>140</v>
      </c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4"/>
      <c r="HG2196" s="4"/>
      <c r="HH2196" s="4"/>
      <c r="HI2196" s="4"/>
      <c r="HJ2196" s="4"/>
      <c r="HK2196" s="4"/>
      <c r="HL2196" s="4"/>
      <c r="HM2196" s="4"/>
      <c r="HN2196" s="4"/>
      <c r="HO2196" s="4"/>
      <c r="HP2196" s="4"/>
      <c r="HQ2196" s="4"/>
      <c r="HR2196" s="4"/>
    </row>
    <row r="2197">
      <c r="A2197" s="2" t="s">
        <v>9839</v>
      </c>
      <c r="B2197" s="2" t="s">
        <v>228</v>
      </c>
      <c r="C2197" s="2" t="s">
        <v>3846</v>
      </c>
      <c r="D2197" s="2" t="s">
        <v>3847</v>
      </c>
      <c r="E2197" s="2" t="s">
        <v>3848</v>
      </c>
      <c r="F2197" s="2" t="s">
        <v>9822</v>
      </c>
      <c r="G2197" s="2" t="s">
        <v>9822</v>
      </c>
      <c r="H2197" s="2" t="s">
        <v>9822</v>
      </c>
      <c r="I2197" s="2" t="s">
        <v>3850</v>
      </c>
      <c r="J2197" s="2" t="s">
        <v>290</v>
      </c>
      <c r="K2197" s="2" t="s">
        <v>569</v>
      </c>
      <c r="L2197" s="3">
        <v>50.08</v>
      </c>
      <c r="M2197" s="3">
        <v>52.58</v>
      </c>
      <c r="N2197" s="3">
        <v>99.99</v>
      </c>
      <c r="O2197" s="2" t="s">
        <v>237</v>
      </c>
      <c r="P2197" s="2" t="s">
        <v>996</v>
      </c>
      <c r="Q2197" s="2" t="s">
        <v>239</v>
      </c>
      <c r="R2197" s="2" t="s">
        <v>233</v>
      </c>
      <c r="S2197" s="2" t="s">
        <v>233</v>
      </c>
      <c r="T2197" s="2" t="s">
        <v>647</v>
      </c>
      <c r="U2197" s="2" t="s">
        <v>396</v>
      </c>
      <c r="V2197" s="2" t="s">
        <v>241</v>
      </c>
      <c r="W2197" s="2" t="s">
        <v>275</v>
      </c>
      <c r="X2197" s="2" t="s">
        <v>233</v>
      </c>
      <c r="Y2197" s="2" t="s">
        <v>5502</v>
      </c>
      <c r="Z2197" s="4">
        <v>42</v>
      </c>
      <c r="AA2197" s="4">
        <f>=ROUNDDOWN(14,0)</f>
      </c>
      <c r="AB2197" s="5">
        <v>3</v>
      </c>
      <c r="AC2197" s="2" t="s">
        <v>233</v>
      </c>
      <c r="AD2197" s="4"/>
      <c r="AE2197" s="4"/>
      <c r="AF2197" s="6">
        <v>58</v>
      </c>
      <c r="AG2197" s="6"/>
      <c r="AH2197" s="7">
        <v>1</v>
      </c>
      <c r="AI2197" s="4"/>
      <c r="AJ2197" s="4">
        <f>=ROUNDDOWN({0},0)</f>
      </c>
      <c r="AK2197" s="5"/>
      <c r="AL2197" s="2" t="s">
        <v>233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233</v>
      </c>
      <c r="AW2197" s="8" t="s">
        <v>233</v>
      </c>
      <c r="AX2197" s="4" t="s">
        <v>233</v>
      </c>
      <c r="AY2197" s="8" t="s">
        <v>233</v>
      </c>
      <c r="AZ2197" s="7" t="s">
        <v>233</v>
      </c>
      <c r="BA2197" s="7" t="s">
        <v>233</v>
      </c>
      <c r="BB2197" s="7"/>
      <c r="BC2197" s="4" t="s">
        <v>233</v>
      </c>
      <c r="BD2197" s="8" t="s">
        <v>233</v>
      </c>
      <c r="BE2197" s="4" t="s">
        <v>233</v>
      </c>
      <c r="BF2197" s="8" t="s">
        <v>233</v>
      </c>
      <c r="BG2197" s="7" t="s">
        <v>233</v>
      </c>
      <c r="BH2197" s="7" t="s">
        <v>233</v>
      </c>
      <c r="BI2197" s="7"/>
      <c r="BJ2197" s="4">
        <v>6</v>
      </c>
      <c r="BK2197" s="8">
        <v>296.48</v>
      </c>
      <c r="BL2197" s="2" t="s">
        <v>3768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9840</v>
      </c>
      <c r="BV2197" s="2" t="s">
        <v>233</v>
      </c>
      <c r="BW2197" s="2" t="s">
        <v>233</v>
      </c>
      <c r="BX2197" s="2" t="s">
        <v>233</v>
      </c>
      <c r="BY2197" s="2" t="s">
        <v>280</v>
      </c>
      <c r="BZ2197" s="2" t="s">
        <v>245</v>
      </c>
      <c r="CA2197" s="2" t="s">
        <v>1778</v>
      </c>
      <c r="CB2197" s="2" t="s">
        <v>5835</v>
      </c>
      <c r="CC2197" s="2" t="s">
        <v>246</v>
      </c>
      <c r="CD2197" s="2" t="s">
        <v>233</v>
      </c>
      <c r="CE2197" s="4">
        <v>42</v>
      </c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  <c r="HG2197" s="4"/>
      <c r="HH2197" s="4"/>
      <c r="HI2197" s="4"/>
      <c r="HJ2197" s="4"/>
      <c r="HK2197" s="4"/>
      <c r="HL2197" s="4"/>
      <c r="HM2197" s="4"/>
      <c r="HN2197" s="4"/>
      <c r="HO2197" s="4"/>
      <c r="HP2197" s="4"/>
      <c r="HQ2197" s="4"/>
      <c r="HR2197" s="4"/>
    </row>
    <row r="2198">
      <c r="A2198" s="2" t="s">
        <v>9841</v>
      </c>
      <c r="B2198" s="2" t="s">
        <v>228</v>
      </c>
      <c r="C2198" s="2" t="s">
        <v>3846</v>
      </c>
      <c r="D2198" s="2" t="s">
        <v>3847</v>
      </c>
      <c r="E2198" s="2" t="s">
        <v>3848</v>
      </c>
      <c r="F2198" s="2" t="s">
        <v>9822</v>
      </c>
      <c r="G2198" s="2" t="s">
        <v>9822</v>
      </c>
      <c r="H2198" s="2" t="s">
        <v>9822</v>
      </c>
      <c r="I2198" s="2" t="s">
        <v>3850</v>
      </c>
      <c r="J2198" s="2" t="s">
        <v>328</v>
      </c>
      <c r="K2198" s="2" t="s">
        <v>569</v>
      </c>
      <c r="L2198" s="3">
        <v>77.9</v>
      </c>
      <c r="M2198" s="3">
        <v>81.8</v>
      </c>
      <c r="N2198" s="3">
        <v>154.99</v>
      </c>
      <c r="O2198" s="2" t="s">
        <v>237</v>
      </c>
      <c r="P2198" s="2" t="s">
        <v>996</v>
      </c>
      <c r="Q2198" s="2" t="s">
        <v>239</v>
      </c>
      <c r="R2198" s="2" t="s">
        <v>233</v>
      </c>
      <c r="S2198" s="2" t="s">
        <v>233</v>
      </c>
      <c r="T2198" s="2" t="s">
        <v>647</v>
      </c>
      <c r="U2198" s="2" t="s">
        <v>396</v>
      </c>
      <c r="V2198" s="2" t="s">
        <v>241</v>
      </c>
      <c r="W2198" s="2" t="s">
        <v>275</v>
      </c>
      <c r="X2198" s="2" t="s">
        <v>233</v>
      </c>
      <c r="Y2198" s="2" t="s">
        <v>9842</v>
      </c>
      <c r="Z2198" s="4">
        <v>130</v>
      </c>
      <c r="AA2198" s="4">
        <f>=ROUNDDOWN(65,0)</f>
      </c>
      <c r="AB2198" s="5">
        <v>2</v>
      </c>
      <c r="AC2198" s="2" t="s">
        <v>233</v>
      </c>
      <c r="AD2198" s="4"/>
      <c r="AE2198" s="4"/>
      <c r="AF2198" s="6">
        <v>58</v>
      </c>
      <c r="AG2198" s="6"/>
      <c r="AH2198" s="7">
        <v>1</v>
      </c>
      <c r="AI2198" s="4"/>
      <c r="AJ2198" s="4">
        <f>=ROUNDDOWN({0},0)</f>
      </c>
      <c r="AK2198" s="5"/>
      <c r="AL2198" s="2" t="s">
        <v>233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233</v>
      </c>
      <c r="AW2198" s="8" t="s">
        <v>233</v>
      </c>
      <c r="AX2198" s="4" t="s">
        <v>233</v>
      </c>
      <c r="AY2198" s="8" t="s">
        <v>233</v>
      </c>
      <c r="AZ2198" s="7" t="s">
        <v>233</v>
      </c>
      <c r="BA2198" s="7" t="s">
        <v>233</v>
      </c>
      <c r="BB2198" s="7"/>
      <c r="BC2198" s="4" t="s">
        <v>233</v>
      </c>
      <c r="BD2198" s="8" t="s">
        <v>233</v>
      </c>
      <c r="BE2198" s="4" t="s">
        <v>233</v>
      </c>
      <c r="BF2198" s="8" t="s">
        <v>233</v>
      </c>
      <c r="BG2198" s="7" t="s">
        <v>233</v>
      </c>
      <c r="BH2198" s="7" t="s">
        <v>233</v>
      </c>
      <c r="BI2198" s="7"/>
      <c r="BJ2198" s="4">
        <v>3</v>
      </c>
      <c r="BK2198" s="8">
        <v>244.83</v>
      </c>
      <c r="BL2198" s="2" t="s">
        <v>3772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9843</v>
      </c>
      <c r="BV2198" s="2" t="s">
        <v>233</v>
      </c>
      <c r="BW2198" s="2" t="s">
        <v>233</v>
      </c>
      <c r="BX2198" s="2" t="s">
        <v>233</v>
      </c>
      <c r="BY2198" s="2" t="s">
        <v>280</v>
      </c>
      <c r="BZ2198" s="2" t="s">
        <v>245</v>
      </c>
      <c r="CA2198" s="2" t="s">
        <v>1778</v>
      </c>
      <c r="CB2198" s="2" t="s">
        <v>7986</v>
      </c>
      <c r="CC2198" s="2" t="s">
        <v>246</v>
      </c>
      <c r="CD2198" s="2" t="s">
        <v>233</v>
      </c>
      <c r="CE2198" s="4">
        <v>130</v>
      </c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/>
      <c r="GO2198" s="4"/>
      <c r="GP2198" s="4"/>
      <c r="GQ2198" s="4"/>
      <c r="GR2198" s="4"/>
      <c r="GS2198" s="4"/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  <c r="HF2198" s="4"/>
      <c r="HG2198" s="4"/>
      <c r="HH2198" s="4"/>
      <c r="HI2198" s="4"/>
      <c r="HJ2198" s="4"/>
      <c r="HK2198" s="4"/>
      <c r="HL2198" s="4"/>
      <c r="HM2198" s="4"/>
      <c r="HN2198" s="4"/>
      <c r="HO2198" s="4"/>
      <c r="HP2198" s="4"/>
      <c r="HQ2198" s="4"/>
      <c r="HR2198" s="4"/>
    </row>
    <row r="2199">
      <c r="A2199" s="2" t="s">
        <v>9844</v>
      </c>
      <c r="B2199" s="2" t="s">
        <v>228</v>
      </c>
      <c r="C2199" s="2" t="s">
        <v>3846</v>
      </c>
      <c r="D2199" s="2" t="s">
        <v>3847</v>
      </c>
      <c r="E2199" s="2" t="s">
        <v>3848</v>
      </c>
      <c r="F2199" s="2" t="s">
        <v>9822</v>
      </c>
      <c r="G2199" s="2" t="s">
        <v>9822</v>
      </c>
      <c r="H2199" s="2" t="s">
        <v>9822</v>
      </c>
      <c r="I2199" s="2" t="s">
        <v>3850</v>
      </c>
      <c r="J2199" s="2" t="s">
        <v>270</v>
      </c>
      <c r="K2199" s="2" t="s">
        <v>257</v>
      </c>
      <c r="L2199" s="3">
        <v>44.51</v>
      </c>
      <c r="M2199" s="3">
        <v>46.74</v>
      </c>
      <c r="N2199" s="3">
        <v>89.99</v>
      </c>
      <c r="O2199" s="2" t="s">
        <v>237</v>
      </c>
      <c r="P2199" s="2" t="s">
        <v>996</v>
      </c>
      <c r="Q2199" s="2" t="s">
        <v>239</v>
      </c>
      <c r="R2199" s="2" t="s">
        <v>233</v>
      </c>
      <c r="S2199" s="2" t="s">
        <v>233</v>
      </c>
      <c r="T2199" s="2" t="s">
        <v>647</v>
      </c>
      <c r="U2199" s="2" t="s">
        <v>396</v>
      </c>
      <c r="V2199" s="2" t="s">
        <v>241</v>
      </c>
      <c r="W2199" s="2" t="s">
        <v>275</v>
      </c>
      <c r="X2199" s="2" t="s">
        <v>233</v>
      </c>
      <c r="Y2199" s="2" t="s">
        <v>9842</v>
      </c>
      <c r="Z2199" s="4">
        <v>184</v>
      </c>
      <c r="AA2199" s="4">
        <f>=ROUNDDOWN(92,0)</f>
      </c>
      <c r="AB2199" s="5">
        <v>2</v>
      </c>
      <c r="AC2199" s="2" t="s">
        <v>233</v>
      </c>
      <c r="AD2199" s="4"/>
      <c r="AE2199" s="4"/>
      <c r="AF2199" s="6">
        <v>58</v>
      </c>
      <c r="AG2199" s="6"/>
      <c r="AH2199" s="7">
        <v>1</v>
      </c>
      <c r="AI2199" s="4"/>
      <c r="AJ2199" s="4">
        <f>=ROUNDDOWN({0},0)</f>
      </c>
      <c r="AK2199" s="5"/>
      <c r="AL2199" s="2" t="s">
        <v>233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233</v>
      </c>
      <c r="AW2199" s="8" t="s">
        <v>233</v>
      </c>
      <c r="AX2199" s="4" t="s">
        <v>233</v>
      </c>
      <c r="AY2199" s="8" t="s">
        <v>233</v>
      </c>
      <c r="AZ2199" s="7" t="s">
        <v>233</v>
      </c>
      <c r="BA2199" s="7" t="s">
        <v>233</v>
      </c>
      <c r="BB2199" s="7"/>
      <c r="BC2199" s="4" t="s">
        <v>233</v>
      </c>
      <c r="BD2199" s="8" t="s">
        <v>233</v>
      </c>
      <c r="BE2199" s="4" t="s">
        <v>233</v>
      </c>
      <c r="BF2199" s="8" t="s">
        <v>233</v>
      </c>
      <c r="BG2199" s="7" t="s">
        <v>233</v>
      </c>
      <c r="BH2199" s="7" t="s">
        <v>233</v>
      </c>
      <c r="BI2199" s="7"/>
      <c r="BJ2199" s="4">
        <v>2</v>
      </c>
      <c r="BK2199" s="8">
        <v>77</v>
      </c>
      <c r="BL2199" s="2" t="s">
        <v>3868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9845</v>
      </c>
      <c r="BV2199" s="2" t="s">
        <v>233</v>
      </c>
      <c r="BW2199" s="2" t="s">
        <v>233</v>
      </c>
      <c r="BX2199" s="2" t="s">
        <v>233</v>
      </c>
      <c r="BY2199" s="2" t="s">
        <v>280</v>
      </c>
      <c r="BZ2199" s="2" t="s">
        <v>245</v>
      </c>
      <c r="CA2199" s="2" t="s">
        <v>1778</v>
      </c>
      <c r="CB2199" s="2" t="s">
        <v>5835</v>
      </c>
      <c r="CC2199" s="2" t="s">
        <v>246</v>
      </c>
      <c r="CD2199" s="2" t="s">
        <v>233</v>
      </c>
      <c r="CE2199" s="4">
        <v>184</v>
      </c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/>
      <c r="HD2199" s="4"/>
      <c r="HE2199" s="4"/>
      <c r="HF2199" s="4"/>
      <c r="HG2199" s="4"/>
      <c r="HH2199" s="4"/>
      <c r="HI2199" s="4"/>
      <c r="HJ2199" s="4"/>
      <c r="HK2199" s="4"/>
      <c r="HL2199" s="4"/>
      <c r="HM2199" s="4"/>
      <c r="HN2199" s="4"/>
      <c r="HO2199" s="4"/>
      <c r="HP2199" s="4"/>
      <c r="HQ2199" s="4"/>
      <c r="HR2199" s="4"/>
    </row>
    <row r="2200">
      <c r="A2200" s="2" t="s">
        <v>9846</v>
      </c>
      <c r="B2200" s="2" t="s">
        <v>228</v>
      </c>
      <c r="C2200" s="2" t="s">
        <v>3846</v>
      </c>
      <c r="D2200" s="2" t="s">
        <v>3847</v>
      </c>
      <c r="E2200" s="2" t="s">
        <v>3848</v>
      </c>
      <c r="F2200" s="2" t="s">
        <v>9822</v>
      </c>
      <c r="G2200" s="2" t="s">
        <v>9822</v>
      </c>
      <c r="H2200" s="2" t="s">
        <v>9822</v>
      </c>
      <c r="I2200" s="2" t="s">
        <v>3850</v>
      </c>
      <c r="J2200" s="2" t="s">
        <v>290</v>
      </c>
      <c r="K2200" s="2" t="s">
        <v>257</v>
      </c>
      <c r="L2200" s="3">
        <v>50.08</v>
      </c>
      <c r="M2200" s="3">
        <v>52.58</v>
      </c>
      <c r="N2200" s="3">
        <v>99.99</v>
      </c>
      <c r="O2200" s="2" t="s">
        <v>237</v>
      </c>
      <c r="P2200" s="2" t="s">
        <v>996</v>
      </c>
      <c r="Q2200" s="2" t="s">
        <v>239</v>
      </c>
      <c r="R2200" s="2" t="s">
        <v>233</v>
      </c>
      <c r="S2200" s="2" t="s">
        <v>233</v>
      </c>
      <c r="T2200" s="2" t="s">
        <v>647</v>
      </c>
      <c r="U2200" s="2" t="s">
        <v>396</v>
      </c>
      <c r="V2200" s="2" t="s">
        <v>241</v>
      </c>
      <c r="W2200" s="2" t="s">
        <v>275</v>
      </c>
      <c r="X2200" s="2" t="s">
        <v>233</v>
      </c>
      <c r="Y2200" s="2" t="s">
        <v>9842</v>
      </c>
      <c r="Z2200" s="4">
        <v>153</v>
      </c>
      <c r="AA2200" s="4">
        <f>=ROUNDDOWN(76.5,0)</f>
      </c>
      <c r="AB2200" s="5">
        <v>2</v>
      </c>
      <c r="AC2200" s="2" t="s">
        <v>233</v>
      </c>
      <c r="AD2200" s="4"/>
      <c r="AE2200" s="4"/>
      <c r="AF2200" s="6">
        <v>58</v>
      </c>
      <c r="AG2200" s="6"/>
      <c r="AH2200" s="7">
        <v>1</v>
      </c>
      <c r="AI2200" s="4"/>
      <c r="AJ2200" s="4">
        <f>=ROUNDDOWN({0},0)</f>
      </c>
      <c r="AK2200" s="5"/>
      <c r="AL2200" s="2" t="s">
        <v>233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233</v>
      </c>
      <c r="AW2200" s="8" t="s">
        <v>233</v>
      </c>
      <c r="AX2200" s="4" t="s">
        <v>233</v>
      </c>
      <c r="AY2200" s="8" t="s">
        <v>233</v>
      </c>
      <c r="AZ2200" s="7" t="s">
        <v>233</v>
      </c>
      <c r="BA2200" s="7" t="s">
        <v>233</v>
      </c>
      <c r="BB2200" s="7"/>
      <c r="BC2200" s="4" t="s">
        <v>233</v>
      </c>
      <c r="BD2200" s="8" t="s">
        <v>233</v>
      </c>
      <c r="BE2200" s="4" t="s">
        <v>233</v>
      </c>
      <c r="BF2200" s="8" t="s">
        <v>233</v>
      </c>
      <c r="BG2200" s="7" t="s">
        <v>233</v>
      </c>
      <c r="BH2200" s="7" t="s">
        <v>233</v>
      </c>
      <c r="BI2200" s="7"/>
      <c r="BJ2200" s="4">
        <v>1</v>
      </c>
      <c r="BK2200" s="8">
        <v>52.46</v>
      </c>
      <c r="BL2200" s="2" t="s">
        <v>492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9847</v>
      </c>
      <c r="BV2200" s="2" t="s">
        <v>233</v>
      </c>
      <c r="BW2200" s="2" t="s">
        <v>233</v>
      </c>
      <c r="BX2200" s="2" t="s">
        <v>233</v>
      </c>
      <c r="BY2200" s="2" t="s">
        <v>280</v>
      </c>
      <c r="BZ2200" s="2" t="s">
        <v>245</v>
      </c>
      <c r="CA2200" s="2" t="s">
        <v>1778</v>
      </c>
      <c r="CB2200" s="2" t="s">
        <v>9848</v>
      </c>
      <c r="CC2200" s="2" t="s">
        <v>246</v>
      </c>
      <c r="CD2200" s="2" t="s">
        <v>233</v>
      </c>
      <c r="CE2200" s="4">
        <v>153</v>
      </c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/>
      <c r="HD2200" s="4"/>
      <c r="HE2200" s="4"/>
      <c r="HF2200" s="4"/>
      <c r="HG2200" s="4"/>
      <c r="HH2200" s="4"/>
      <c r="HI2200" s="4"/>
      <c r="HJ2200" s="4"/>
      <c r="HK2200" s="4"/>
      <c r="HL2200" s="4"/>
      <c r="HM2200" s="4"/>
      <c r="HN2200" s="4"/>
      <c r="HO2200" s="4"/>
      <c r="HP2200" s="4"/>
      <c r="HQ2200" s="4"/>
      <c r="HR2200" s="4"/>
    </row>
    <row r="2201">
      <c r="A2201" s="2" t="s">
        <v>9849</v>
      </c>
      <c r="B2201" s="2" t="s">
        <v>228</v>
      </c>
      <c r="C2201" s="2" t="s">
        <v>3846</v>
      </c>
      <c r="D2201" s="2" t="s">
        <v>3847</v>
      </c>
      <c r="E2201" s="2" t="s">
        <v>3848</v>
      </c>
      <c r="F2201" s="2" t="s">
        <v>9822</v>
      </c>
      <c r="G2201" s="2" t="s">
        <v>9822</v>
      </c>
      <c r="H2201" s="2" t="s">
        <v>9822</v>
      </c>
      <c r="I2201" s="2" t="s">
        <v>3850</v>
      </c>
      <c r="J2201" s="2" t="s">
        <v>348</v>
      </c>
      <c r="K2201" s="2" t="s">
        <v>257</v>
      </c>
      <c r="L2201" s="3">
        <v>72.34</v>
      </c>
      <c r="M2201" s="3">
        <v>75.96</v>
      </c>
      <c r="N2201" s="3">
        <v>144.99</v>
      </c>
      <c r="O2201" s="2" t="s">
        <v>237</v>
      </c>
      <c r="P2201" s="2" t="s">
        <v>996</v>
      </c>
      <c r="Q2201" s="2" t="s">
        <v>239</v>
      </c>
      <c r="R2201" s="2" t="s">
        <v>233</v>
      </c>
      <c r="S2201" s="2" t="s">
        <v>233</v>
      </c>
      <c r="T2201" s="2" t="s">
        <v>647</v>
      </c>
      <c r="U2201" s="2" t="s">
        <v>396</v>
      </c>
      <c r="V2201" s="2" t="s">
        <v>241</v>
      </c>
      <c r="W2201" s="2" t="s">
        <v>275</v>
      </c>
      <c r="X2201" s="2" t="s">
        <v>233</v>
      </c>
      <c r="Y2201" s="2" t="s">
        <v>9842</v>
      </c>
      <c r="Z2201" s="4">
        <v>184</v>
      </c>
      <c r="AA2201" s="4">
        <f>=ROUNDDOWN(61.3333333333333,0)</f>
      </c>
      <c r="AB2201" s="5">
        <v>3</v>
      </c>
      <c r="AC2201" s="2" t="s">
        <v>233</v>
      </c>
      <c r="AD2201" s="4"/>
      <c r="AE2201" s="4"/>
      <c r="AF2201" s="6">
        <v>58</v>
      </c>
      <c r="AG2201" s="6"/>
      <c r="AH2201" s="7">
        <v>1</v>
      </c>
      <c r="AI2201" s="4"/>
      <c r="AJ2201" s="4">
        <f>=ROUNDDOWN({0},0)</f>
      </c>
      <c r="AK2201" s="5"/>
      <c r="AL2201" s="2" t="s">
        <v>233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233</v>
      </c>
      <c r="AW2201" s="8" t="s">
        <v>233</v>
      </c>
      <c r="AX2201" s="4" t="s">
        <v>233</v>
      </c>
      <c r="AY2201" s="8" t="s">
        <v>233</v>
      </c>
      <c r="AZ2201" s="7" t="s">
        <v>233</v>
      </c>
      <c r="BA2201" s="7" t="s">
        <v>233</v>
      </c>
      <c r="BB2201" s="7"/>
      <c r="BC2201" s="4" t="s">
        <v>233</v>
      </c>
      <c r="BD2201" s="8" t="s">
        <v>233</v>
      </c>
      <c r="BE2201" s="4" t="s">
        <v>233</v>
      </c>
      <c r="BF2201" s="8" t="s">
        <v>233</v>
      </c>
      <c r="BG2201" s="7" t="s">
        <v>233</v>
      </c>
      <c r="BH2201" s="7" t="s">
        <v>233</v>
      </c>
      <c r="BI2201" s="7"/>
      <c r="BJ2201" s="4">
        <v>3</v>
      </c>
      <c r="BK2201" s="8">
        <v>204.83</v>
      </c>
      <c r="BL2201" s="2" t="s">
        <v>3599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9850</v>
      </c>
      <c r="BV2201" s="2" t="s">
        <v>233</v>
      </c>
      <c r="BW2201" s="2" t="s">
        <v>233</v>
      </c>
      <c r="BX2201" s="2" t="s">
        <v>233</v>
      </c>
      <c r="BY2201" s="2" t="s">
        <v>280</v>
      </c>
      <c r="BZ2201" s="2" t="s">
        <v>245</v>
      </c>
      <c r="CA2201" s="2" t="s">
        <v>1778</v>
      </c>
      <c r="CB2201" s="2" t="s">
        <v>3464</v>
      </c>
      <c r="CC2201" s="2" t="s">
        <v>246</v>
      </c>
      <c r="CD2201" s="2" t="s">
        <v>233</v>
      </c>
      <c r="CE2201" s="4">
        <v>184</v>
      </c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/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/>
      <c r="HD2201" s="4"/>
      <c r="HE2201" s="4"/>
      <c r="HF2201" s="4"/>
      <c r="HG2201" s="4"/>
      <c r="HH2201" s="4"/>
      <c r="HI2201" s="4"/>
      <c r="HJ2201" s="4"/>
      <c r="HK2201" s="4"/>
      <c r="HL2201" s="4"/>
      <c r="HM2201" s="4"/>
      <c r="HN2201" s="4"/>
      <c r="HO2201" s="4"/>
      <c r="HP2201" s="4"/>
      <c r="HQ2201" s="4"/>
      <c r="HR2201" s="4"/>
    </row>
    <row r="2202">
      <c r="A2202" s="2" t="s">
        <v>9851</v>
      </c>
      <c r="B2202" s="2" t="s">
        <v>228</v>
      </c>
      <c r="C2202" s="2" t="s">
        <v>3846</v>
      </c>
      <c r="D2202" s="2" t="s">
        <v>3847</v>
      </c>
      <c r="E2202" s="2" t="s">
        <v>3848</v>
      </c>
      <c r="F2202" s="2" t="s">
        <v>9822</v>
      </c>
      <c r="G2202" s="2" t="s">
        <v>9822</v>
      </c>
      <c r="H2202" s="2" t="s">
        <v>9822</v>
      </c>
      <c r="I2202" s="2" t="s">
        <v>3850</v>
      </c>
      <c r="J2202" s="2" t="s">
        <v>328</v>
      </c>
      <c r="K2202" s="2" t="s">
        <v>257</v>
      </c>
      <c r="L2202" s="3">
        <v>77.9</v>
      </c>
      <c r="M2202" s="3">
        <v>81.8</v>
      </c>
      <c r="N2202" s="3">
        <v>154.99</v>
      </c>
      <c r="O2202" s="2" t="s">
        <v>237</v>
      </c>
      <c r="P2202" s="2" t="s">
        <v>996</v>
      </c>
      <c r="Q2202" s="2" t="s">
        <v>239</v>
      </c>
      <c r="R2202" s="2" t="s">
        <v>233</v>
      </c>
      <c r="S2202" s="2" t="s">
        <v>233</v>
      </c>
      <c r="T2202" s="2" t="s">
        <v>647</v>
      </c>
      <c r="U2202" s="2" t="s">
        <v>396</v>
      </c>
      <c r="V2202" s="2" t="s">
        <v>241</v>
      </c>
      <c r="W2202" s="2" t="s">
        <v>275</v>
      </c>
      <c r="X2202" s="2" t="s">
        <v>233</v>
      </c>
      <c r="Y2202" s="2" t="s">
        <v>9842</v>
      </c>
      <c r="Z2202" s="4">
        <v>71</v>
      </c>
      <c r="AA2202" s="4">
        <f>=ROUNDDOWN(17.75,0)</f>
      </c>
      <c r="AB2202" s="5">
        <v>4</v>
      </c>
      <c r="AC2202" s="2" t="s">
        <v>233</v>
      </c>
      <c r="AD2202" s="4"/>
      <c r="AE2202" s="4"/>
      <c r="AF2202" s="6">
        <v>58</v>
      </c>
      <c r="AG2202" s="6"/>
      <c r="AH2202" s="7">
        <v>1</v>
      </c>
      <c r="AI2202" s="4"/>
      <c r="AJ2202" s="4">
        <f>=ROUNDDOWN({0},0)</f>
      </c>
      <c r="AK2202" s="5"/>
      <c r="AL2202" s="2" t="s">
        <v>233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233</v>
      </c>
      <c r="AW2202" s="8" t="s">
        <v>233</v>
      </c>
      <c r="AX2202" s="4" t="s">
        <v>233</v>
      </c>
      <c r="AY2202" s="8" t="s">
        <v>233</v>
      </c>
      <c r="AZ2202" s="7" t="s">
        <v>233</v>
      </c>
      <c r="BA2202" s="7" t="s">
        <v>233</v>
      </c>
      <c r="BB2202" s="7"/>
      <c r="BC2202" s="4" t="s">
        <v>233</v>
      </c>
      <c r="BD2202" s="8" t="s">
        <v>233</v>
      </c>
      <c r="BE2202" s="4" t="s">
        <v>233</v>
      </c>
      <c r="BF2202" s="8" t="s">
        <v>233</v>
      </c>
      <c r="BG2202" s="7" t="s">
        <v>233</v>
      </c>
      <c r="BH2202" s="7" t="s">
        <v>233</v>
      </c>
      <c r="BI2202" s="7"/>
      <c r="BJ2202" s="4">
        <v>4</v>
      </c>
      <c r="BK2202" s="8">
        <v>326.44</v>
      </c>
      <c r="BL2202" s="2" t="s">
        <v>469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9852</v>
      </c>
      <c r="BV2202" s="2" t="s">
        <v>233</v>
      </c>
      <c r="BW2202" s="2" t="s">
        <v>233</v>
      </c>
      <c r="BX2202" s="2" t="s">
        <v>233</v>
      </c>
      <c r="BY2202" s="2" t="s">
        <v>280</v>
      </c>
      <c r="BZ2202" s="2" t="s">
        <v>245</v>
      </c>
      <c r="CA2202" s="2" t="s">
        <v>1778</v>
      </c>
      <c r="CB2202" s="2" t="s">
        <v>1870</v>
      </c>
      <c r="CC2202" s="2" t="s">
        <v>246</v>
      </c>
      <c r="CD2202" s="2" t="s">
        <v>233</v>
      </c>
      <c r="CE2202" s="4">
        <v>71</v>
      </c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/>
      <c r="HD2202" s="4"/>
      <c r="HE2202" s="4"/>
      <c r="HF2202" s="4"/>
      <c r="HG2202" s="4"/>
      <c r="HH2202" s="4"/>
      <c r="HI2202" s="4"/>
      <c r="HJ2202" s="4"/>
      <c r="HK2202" s="4"/>
      <c r="HL2202" s="4"/>
      <c r="HM2202" s="4"/>
      <c r="HN2202" s="4"/>
      <c r="HO2202" s="4"/>
      <c r="HP2202" s="4"/>
      <c r="HQ2202" s="4"/>
      <c r="HR2202" s="4"/>
    </row>
    <row r="2203">
      <c r="A2203" s="2" t="s">
        <v>9853</v>
      </c>
      <c r="B2203" s="2" t="s">
        <v>228</v>
      </c>
      <c r="C2203" s="2" t="s">
        <v>3846</v>
      </c>
      <c r="D2203" s="2" t="s">
        <v>3847</v>
      </c>
      <c r="E2203" s="2" t="s">
        <v>3848</v>
      </c>
      <c r="F2203" s="2" t="s">
        <v>9822</v>
      </c>
      <c r="G2203" s="2" t="s">
        <v>9822</v>
      </c>
      <c r="H2203" s="2" t="s">
        <v>9822</v>
      </c>
      <c r="I2203" s="2" t="s">
        <v>3850</v>
      </c>
      <c r="J2203" s="2" t="s">
        <v>348</v>
      </c>
      <c r="K2203" s="2" t="s">
        <v>1201</v>
      </c>
      <c r="L2203" s="3">
        <v>72.34</v>
      </c>
      <c r="M2203" s="3">
        <v>75.96</v>
      </c>
      <c r="N2203" s="3">
        <v>144.99</v>
      </c>
      <c r="O2203" s="2" t="s">
        <v>237</v>
      </c>
      <c r="P2203" s="2" t="s">
        <v>996</v>
      </c>
      <c r="Q2203" s="2" t="s">
        <v>239</v>
      </c>
      <c r="R2203" s="2" t="s">
        <v>233</v>
      </c>
      <c r="S2203" s="2" t="s">
        <v>233</v>
      </c>
      <c r="T2203" s="2" t="s">
        <v>647</v>
      </c>
      <c r="U2203" s="2" t="s">
        <v>396</v>
      </c>
      <c r="V2203" s="2" t="s">
        <v>241</v>
      </c>
      <c r="W2203" s="2" t="s">
        <v>275</v>
      </c>
      <c r="X2203" s="2" t="s">
        <v>233</v>
      </c>
      <c r="Y2203" s="2" t="s">
        <v>9842</v>
      </c>
      <c r="Z2203" s="4">
        <v>389</v>
      </c>
      <c r="AA2203" s="4">
        <f>=ROUNDDOWN(129.666666666667,0)</f>
      </c>
      <c r="AB2203" s="5">
        <v>3</v>
      </c>
      <c r="AC2203" s="2" t="s">
        <v>233</v>
      </c>
      <c r="AD2203" s="4"/>
      <c r="AE2203" s="4"/>
      <c r="AF2203" s="6">
        <v>58</v>
      </c>
      <c r="AG2203" s="6"/>
      <c r="AH2203" s="7">
        <v>1</v>
      </c>
      <c r="AI2203" s="4"/>
      <c r="AJ2203" s="4">
        <f>=ROUNDDOWN({0},0)</f>
      </c>
      <c r="AK2203" s="5"/>
      <c r="AL2203" s="2" t="s">
        <v>233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233</v>
      </c>
      <c r="AW2203" s="8" t="s">
        <v>233</v>
      </c>
      <c r="AX2203" s="4" t="s">
        <v>233</v>
      </c>
      <c r="AY2203" s="8" t="s">
        <v>233</v>
      </c>
      <c r="AZ2203" s="7" t="s">
        <v>233</v>
      </c>
      <c r="BA2203" s="7" t="s">
        <v>233</v>
      </c>
      <c r="BB2203" s="7"/>
      <c r="BC2203" s="4" t="s">
        <v>233</v>
      </c>
      <c r="BD2203" s="8" t="s">
        <v>233</v>
      </c>
      <c r="BE2203" s="4" t="s">
        <v>233</v>
      </c>
      <c r="BF2203" s="8" t="s">
        <v>233</v>
      </c>
      <c r="BG2203" s="7" t="s">
        <v>233</v>
      </c>
      <c r="BH2203" s="7" t="s">
        <v>233</v>
      </c>
      <c r="BI2203" s="7"/>
      <c r="BJ2203" s="4">
        <v>1</v>
      </c>
      <c r="BK2203" s="8">
        <v>79.75</v>
      </c>
      <c r="BL2203" s="2" t="s">
        <v>1592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9854</v>
      </c>
      <c r="BV2203" s="2" t="s">
        <v>233</v>
      </c>
      <c r="BW2203" s="2" t="s">
        <v>233</v>
      </c>
      <c r="BX2203" s="2" t="s">
        <v>233</v>
      </c>
      <c r="BY2203" s="2" t="s">
        <v>280</v>
      </c>
      <c r="BZ2203" s="2" t="s">
        <v>245</v>
      </c>
      <c r="CA2203" s="2" t="s">
        <v>1778</v>
      </c>
      <c r="CB2203" s="2" t="s">
        <v>9855</v>
      </c>
      <c r="CC2203" s="2" t="s">
        <v>246</v>
      </c>
      <c r="CD2203" s="2" t="s">
        <v>233</v>
      </c>
      <c r="CE2203" s="4">
        <v>389</v>
      </c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  <c r="HF2203" s="4"/>
      <c r="HG2203" s="4"/>
      <c r="HH2203" s="4"/>
      <c r="HI2203" s="4"/>
      <c r="HJ2203" s="4"/>
      <c r="HK2203" s="4"/>
      <c r="HL2203" s="4"/>
      <c r="HM2203" s="4"/>
      <c r="HN2203" s="4"/>
      <c r="HO2203" s="4"/>
      <c r="HP2203" s="4"/>
      <c r="HQ2203" s="4"/>
      <c r="HR2203" s="4"/>
    </row>
    <row r="2204">
      <c r="A2204" s="2" t="s">
        <v>9856</v>
      </c>
      <c r="B2204" s="2" t="s">
        <v>228</v>
      </c>
      <c r="C2204" s="2" t="s">
        <v>3846</v>
      </c>
      <c r="D2204" s="2" t="s">
        <v>3847</v>
      </c>
      <c r="E2204" s="2" t="s">
        <v>3848</v>
      </c>
      <c r="F2204" s="2" t="s">
        <v>9822</v>
      </c>
      <c r="G2204" s="2" t="s">
        <v>9822</v>
      </c>
      <c r="H2204" s="2" t="s">
        <v>9822</v>
      </c>
      <c r="I2204" s="2" t="s">
        <v>3850</v>
      </c>
      <c r="J2204" s="2" t="s">
        <v>328</v>
      </c>
      <c r="K2204" s="2" t="s">
        <v>1201</v>
      </c>
      <c r="L2204" s="3">
        <v>77.9</v>
      </c>
      <c r="M2204" s="3">
        <v>81.8</v>
      </c>
      <c r="N2204" s="3">
        <v>154.99</v>
      </c>
      <c r="O2204" s="2" t="s">
        <v>237</v>
      </c>
      <c r="P2204" s="2" t="s">
        <v>996</v>
      </c>
      <c r="Q2204" s="2" t="s">
        <v>239</v>
      </c>
      <c r="R2204" s="2" t="s">
        <v>233</v>
      </c>
      <c r="S2204" s="2" t="s">
        <v>233</v>
      </c>
      <c r="T2204" s="2" t="s">
        <v>647</v>
      </c>
      <c r="U2204" s="2" t="s">
        <v>396</v>
      </c>
      <c r="V2204" s="2" t="s">
        <v>241</v>
      </c>
      <c r="W2204" s="2" t="s">
        <v>275</v>
      </c>
      <c r="X2204" s="2" t="s">
        <v>233</v>
      </c>
      <c r="Y2204" s="2" t="s">
        <v>9842</v>
      </c>
      <c r="Z2204" s="4">
        <v>226</v>
      </c>
      <c r="AA2204" s="4">
        <f>=ROUNDDOWN(75.3333333333333,0)</f>
      </c>
      <c r="AB2204" s="5">
        <v>3</v>
      </c>
      <c r="AC2204" s="2" t="s">
        <v>233</v>
      </c>
      <c r="AD2204" s="4"/>
      <c r="AE2204" s="4"/>
      <c r="AF2204" s="6">
        <v>58</v>
      </c>
      <c r="AG2204" s="6"/>
      <c r="AH2204" s="7">
        <v>1</v>
      </c>
      <c r="AI2204" s="4"/>
      <c r="AJ2204" s="4">
        <f>=ROUNDDOWN({0},0)</f>
      </c>
      <c r="AK2204" s="5"/>
      <c r="AL2204" s="2" t="s">
        <v>233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 t="s">
        <v>233</v>
      </c>
      <c r="AW2204" s="8" t="s">
        <v>233</v>
      </c>
      <c r="AX2204" s="4" t="s">
        <v>233</v>
      </c>
      <c r="AY2204" s="8" t="s">
        <v>233</v>
      </c>
      <c r="AZ2204" s="7" t="s">
        <v>233</v>
      </c>
      <c r="BA2204" s="7" t="s">
        <v>233</v>
      </c>
      <c r="BB2204" s="7"/>
      <c r="BC2204" s="4" t="s">
        <v>233</v>
      </c>
      <c r="BD2204" s="8" t="s">
        <v>233</v>
      </c>
      <c r="BE2204" s="4" t="s">
        <v>233</v>
      </c>
      <c r="BF2204" s="8" t="s">
        <v>233</v>
      </c>
      <c r="BG2204" s="7" t="s">
        <v>233</v>
      </c>
      <c r="BH2204" s="7" t="s">
        <v>233</v>
      </c>
      <c r="BI2204" s="7"/>
      <c r="BJ2204" s="4">
        <v>1</v>
      </c>
      <c r="BK2204" s="8">
        <v>81.61</v>
      </c>
      <c r="BL2204" s="2" t="s">
        <v>3094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9857</v>
      </c>
      <c r="BV2204" s="2" t="s">
        <v>233</v>
      </c>
      <c r="BW2204" s="2" t="s">
        <v>233</v>
      </c>
      <c r="BX2204" s="2" t="s">
        <v>233</v>
      </c>
      <c r="BY2204" s="2" t="s">
        <v>280</v>
      </c>
      <c r="BZ2204" s="2" t="s">
        <v>245</v>
      </c>
      <c r="CA2204" s="2" t="s">
        <v>1778</v>
      </c>
      <c r="CB2204" s="2" t="s">
        <v>1404</v>
      </c>
      <c r="CC2204" s="2" t="s">
        <v>246</v>
      </c>
      <c r="CD2204" s="2" t="s">
        <v>233</v>
      </c>
      <c r="CE2204" s="4">
        <v>226</v>
      </c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  <c r="HF2204" s="4"/>
      <c r="HG2204" s="4"/>
      <c r="HH2204" s="4"/>
      <c r="HI2204" s="4"/>
      <c r="HJ2204" s="4"/>
      <c r="HK2204" s="4"/>
      <c r="HL2204" s="4"/>
      <c r="HM2204" s="4"/>
      <c r="HN2204" s="4"/>
      <c r="HO2204" s="4"/>
      <c r="HP2204" s="4"/>
      <c r="HQ2204" s="4"/>
      <c r="HR2204" s="4"/>
    </row>
    <row r="2205">
      <c r="A2205" s="2" t="s">
        <v>9858</v>
      </c>
      <c r="B2205" s="2" t="s">
        <v>1242</v>
      </c>
      <c r="C2205" s="2" t="s">
        <v>530</v>
      </c>
      <c r="D2205" s="2" t="s">
        <v>1862</v>
      </c>
      <c r="E2205" s="2" t="s">
        <v>9859</v>
      </c>
      <c r="F2205" s="2" t="s">
        <v>9860</v>
      </c>
      <c r="G2205" s="2" t="s">
        <v>9861</v>
      </c>
      <c r="H2205" s="2" t="s">
        <v>9862</v>
      </c>
      <c r="I2205" s="2" t="s">
        <v>9863</v>
      </c>
      <c r="J2205" s="2" t="s">
        <v>9864</v>
      </c>
      <c r="K2205" s="2" t="s">
        <v>255</v>
      </c>
      <c r="L2205" s="3">
        <v>49.35</v>
      </c>
      <c r="M2205" s="3">
        <v>51.81</v>
      </c>
      <c r="N2205" s="3">
        <v>104.99</v>
      </c>
      <c r="O2205" s="2" t="s">
        <v>245</v>
      </c>
      <c r="P2205" s="2" t="s">
        <v>238</v>
      </c>
      <c r="Q2205" s="2" t="s">
        <v>239</v>
      </c>
      <c r="R2205" s="2" t="s">
        <v>233</v>
      </c>
      <c r="S2205" s="2" t="s">
        <v>9865</v>
      </c>
      <c r="T2205" s="2" t="s">
        <v>1481</v>
      </c>
      <c r="U2205" s="2" t="s">
        <v>871</v>
      </c>
      <c r="V2205" s="2" t="s">
        <v>1340</v>
      </c>
      <c r="W2205" s="2" t="s">
        <v>978</v>
      </c>
      <c r="X2205" s="2" t="s">
        <v>7831</v>
      </c>
      <c r="Y2205" s="2" t="s">
        <v>1136</v>
      </c>
      <c r="Z2205" s="4">
        <v>80</v>
      </c>
      <c r="AA2205" s="4">
        <f>=ROUNDDOWN({0},0)</f>
      </c>
      <c r="AB2205" s="5"/>
      <c r="AC2205" s="2" t="s">
        <v>1514</v>
      </c>
      <c r="AD2205" s="4">
        <v>80</v>
      </c>
      <c r="AE2205" s="4">
        <v>80</v>
      </c>
      <c r="AF2205" s="6">
        <v>65</v>
      </c>
      <c r="AG2205" s="6"/>
      <c r="AH2205" s="7">
        <v>0</v>
      </c>
      <c r="AI2205" s="4"/>
      <c r="AJ2205" s="4">
        <f>=ROUNDDOWN({0},0)</f>
      </c>
      <c r="AK2205" s="5"/>
      <c r="AL2205" s="2" t="s">
        <v>233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 t="s">
        <v>233</v>
      </c>
      <c r="BD2205" s="8" t="s">
        <v>233</v>
      </c>
      <c r="BE2205" s="4" t="s">
        <v>233</v>
      </c>
      <c r="BF2205" s="8" t="s">
        <v>233</v>
      </c>
      <c r="BG2205" s="7" t="s">
        <v>233</v>
      </c>
      <c r="BH2205" s="7" t="s">
        <v>233</v>
      </c>
      <c r="BI2205" s="7"/>
      <c r="BJ2205" s="4"/>
      <c r="BK2205" s="8"/>
      <c r="BL2205" s="2" t="s">
        <v>233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9866</v>
      </c>
      <c r="BV2205" s="2" t="s">
        <v>233</v>
      </c>
      <c r="BW2205" s="2" t="s">
        <v>233</v>
      </c>
      <c r="BX2205" s="2" t="s">
        <v>243</v>
      </c>
      <c r="BY2205" s="2" t="s">
        <v>280</v>
      </c>
      <c r="BZ2205" s="2" t="s">
        <v>245</v>
      </c>
      <c r="CA2205" s="2" t="s">
        <v>233</v>
      </c>
      <c r="CB2205" s="2" t="s">
        <v>233</v>
      </c>
      <c r="CC2205" s="2" t="s">
        <v>246</v>
      </c>
      <c r="CD2205" s="2" t="s">
        <v>233</v>
      </c>
      <c r="CE2205" s="4"/>
      <c r="CF2205" s="4"/>
      <c r="CG2205" s="4"/>
      <c r="CH2205" s="4"/>
      <c r="CI2205" s="4"/>
      <c r="CJ2205" s="4"/>
      <c r="CK2205" s="4"/>
      <c r="CL2205" s="4">
        <v>80</v>
      </c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>
        <v>80</v>
      </c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/>
      <c r="HE2205" s="4"/>
      <c r="HF2205" s="4"/>
      <c r="HG2205" s="4"/>
      <c r="HH2205" s="4"/>
      <c r="HI2205" s="4"/>
      <c r="HJ2205" s="4"/>
      <c r="HK2205" s="4"/>
      <c r="HL2205" s="4"/>
      <c r="HM2205" s="4"/>
      <c r="HN2205" s="4"/>
      <c r="HO2205" s="4"/>
      <c r="HP2205" s="4"/>
      <c r="HQ2205" s="4"/>
      <c r="HR2205" s="4"/>
    </row>
    <row r="2206">
      <c r="A2206" s="2" t="s">
        <v>9867</v>
      </c>
      <c r="B2206" s="2" t="s">
        <v>1242</v>
      </c>
      <c r="C2206" s="2" t="s">
        <v>530</v>
      </c>
      <c r="D2206" s="2" t="s">
        <v>1862</v>
      </c>
      <c r="E2206" s="2" t="s">
        <v>7849</v>
      </c>
      <c r="F2206" s="2" t="s">
        <v>9860</v>
      </c>
      <c r="G2206" s="2" t="s">
        <v>9861</v>
      </c>
      <c r="H2206" s="2" t="s">
        <v>9862</v>
      </c>
      <c r="I2206" s="2" t="s">
        <v>9868</v>
      </c>
      <c r="J2206" s="2" t="s">
        <v>1142</v>
      </c>
      <c r="K2206" s="2" t="s">
        <v>6366</v>
      </c>
      <c r="L2206" s="3">
        <v>57.32</v>
      </c>
      <c r="M2206" s="3">
        <v>60.19</v>
      </c>
      <c r="N2206" s="3">
        <v>119.99</v>
      </c>
      <c r="O2206" s="2" t="s">
        <v>245</v>
      </c>
      <c r="P2206" s="2" t="s">
        <v>272</v>
      </c>
      <c r="Q2206" s="2" t="s">
        <v>239</v>
      </c>
      <c r="R2206" s="2" t="s">
        <v>233</v>
      </c>
      <c r="S2206" s="2" t="s">
        <v>9869</v>
      </c>
      <c r="T2206" s="2" t="s">
        <v>233</v>
      </c>
      <c r="U2206" s="2" t="s">
        <v>871</v>
      </c>
      <c r="V2206" s="2" t="s">
        <v>1340</v>
      </c>
      <c r="W2206" s="2" t="s">
        <v>978</v>
      </c>
      <c r="X2206" s="2" t="s">
        <v>7831</v>
      </c>
      <c r="Y2206" s="2" t="s">
        <v>9089</v>
      </c>
      <c r="Z2206" s="4">
        <v>46</v>
      </c>
      <c r="AA2206" s="4">
        <f>=ROUNDDOWN(4.6,0)</f>
      </c>
      <c r="AB2206" s="5">
        <v>10</v>
      </c>
      <c r="AC2206" s="2" t="s">
        <v>2388</v>
      </c>
      <c r="AD2206" s="4">
        <v>50</v>
      </c>
      <c r="AE2206" s="4">
        <v>280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233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233</v>
      </c>
      <c r="AW2206" s="8" t="s">
        <v>233</v>
      </c>
      <c r="AX2206" s="4" t="s">
        <v>233</v>
      </c>
      <c r="AY2206" s="8" t="s">
        <v>233</v>
      </c>
      <c r="AZ2206" s="7" t="s">
        <v>233</v>
      </c>
      <c r="BA2206" s="7" t="s">
        <v>233</v>
      </c>
      <c r="BB2206" s="7"/>
      <c r="BC2206" s="4" t="s">
        <v>233</v>
      </c>
      <c r="BD2206" s="8" t="s">
        <v>233</v>
      </c>
      <c r="BE2206" s="4" t="s">
        <v>233</v>
      </c>
      <c r="BF2206" s="8" t="s">
        <v>233</v>
      </c>
      <c r="BG2206" s="7" t="s">
        <v>233</v>
      </c>
      <c r="BH2206" s="7" t="s">
        <v>233</v>
      </c>
      <c r="BI2206" s="7"/>
      <c r="BJ2206" s="4">
        <v>24</v>
      </c>
      <c r="BK2206" s="8">
        <v>1531.92</v>
      </c>
      <c r="BL2206" s="2" t="s">
        <v>9870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9871</v>
      </c>
      <c r="BV2206" s="2" t="s">
        <v>233</v>
      </c>
      <c r="BW2206" s="2" t="s">
        <v>233</v>
      </c>
      <c r="BX2206" s="2" t="s">
        <v>233</v>
      </c>
      <c r="BY2206" s="2" t="s">
        <v>280</v>
      </c>
      <c r="BZ2206" s="2" t="s">
        <v>245</v>
      </c>
      <c r="CA2206" s="2" t="s">
        <v>9089</v>
      </c>
      <c r="CB2206" s="2" t="s">
        <v>3571</v>
      </c>
      <c r="CC2206" s="2" t="s">
        <v>246</v>
      </c>
      <c r="CD2206" s="2" t="s">
        <v>233</v>
      </c>
      <c r="CE2206" s="4">
        <v>46</v>
      </c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>
        <v>50</v>
      </c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>
        <v>140</v>
      </c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>
        <v>90</v>
      </c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/>
      <c r="HA2206" s="4"/>
      <c r="HB2206" s="4"/>
      <c r="HC2206" s="4"/>
      <c r="HD2206" s="4"/>
      <c r="HE2206" s="4"/>
      <c r="HF2206" s="4"/>
      <c r="HG2206" s="4"/>
      <c r="HH2206" s="4"/>
      <c r="HI2206" s="4"/>
      <c r="HJ2206" s="4"/>
      <c r="HK2206" s="4"/>
      <c r="HL2206" s="4"/>
      <c r="HM2206" s="4"/>
      <c r="HN2206" s="4"/>
      <c r="HO2206" s="4"/>
      <c r="HP2206" s="4"/>
      <c r="HQ2206" s="4"/>
      <c r="HR2206" s="4"/>
    </row>
    <row r="2207">
      <c r="A2207" s="2" t="s">
        <v>9872</v>
      </c>
      <c r="B2207" s="2" t="s">
        <v>1242</v>
      </c>
      <c r="C2207" s="2" t="s">
        <v>530</v>
      </c>
      <c r="D2207" s="2" t="s">
        <v>1862</v>
      </c>
      <c r="E2207" s="2" t="s">
        <v>9859</v>
      </c>
      <c r="F2207" s="2" t="s">
        <v>9860</v>
      </c>
      <c r="G2207" s="2" t="s">
        <v>9861</v>
      </c>
      <c r="H2207" s="2" t="s">
        <v>9862</v>
      </c>
      <c r="I2207" s="2" t="s">
        <v>9863</v>
      </c>
      <c r="J2207" s="2" t="s">
        <v>9864</v>
      </c>
      <c r="K2207" s="2" t="s">
        <v>6366</v>
      </c>
      <c r="L2207" s="3">
        <v>49.35</v>
      </c>
      <c r="M2207" s="3">
        <v>51.81</v>
      </c>
      <c r="N2207" s="3">
        <v>104.99</v>
      </c>
      <c r="O2207" s="2" t="s">
        <v>245</v>
      </c>
      <c r="P2207" s="2" t="s">
        <v>238</v>
      </c>
      <c r="Q2207" s="2" t="s">
        <v>239</v>
      </c>
      <c r="R2207" s="2" t="s">
        <v>233</v>
      </c>
      <c r="S2207" s="2" t="s">
        <v>9873</v>
      </c>
      <c r="T2207" s="2" t="s">
        <v>1481</v>
      </c>
      <c r="U2207" s="2" t="s">
        <v>871</v>
      </c>
      <c r="V2207" s="2" t="s">
        <v>1340</v>
      </c>
      <c r="W2207" s="2" t="s">
        <v>978</v>
      </c>
      <c r="X2207" s="2" t="s">
        <v>7831</v>
      </c>
      <c r="Y2207" s="2" t="s">
        <v>1136</v>
      </c>
      <c r="Z2207" s="4">
        <v>78</v>
      </c>
      <c r="AA2207" s="4">
        <f>=ROUNDDOWN(7.09090909090909,0)</f>
      </c>
      <c r="AB2207" s="5">
        <v>11</v>
      </c>
      <c r="AC2207" s="2" t="s">
        <v>1514</v>
      </c>
      <c r="AD2207" s="4">
        <v>80</v>
      </c>
      <c r="AE2207" s="4">
        <v>180</v>
      </c>
      <c r="AF2207" s="6">
        <v>65</v>
      </c>
      <c r="AG2207" s="6"/>
      <c r="AH2207" s="7">
        <v>0</v>
      </c>
      <c r="AI2207" s="4"/>
      <c r="AJ2207" s="4">
        <f>=ROUNDDOWN({0},0)</f>
      </c>
      <c r="AK2207" s="5"/>
      <c r="AL2207" s="2" t="s">
        <v>233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233</v>
      </c>
      <c r="AW2207" s="8" t="s">
        <v>233</v>
      </c>
      <c r="AX2207" s="4" t="s">
        <v>233</v>
      </c>
      <c r="AY2207" s="8" t="s">
        <v>233</v>
      </c>
      <c r="AZ2207" s="7" t="s">
        <v>233</v>
      </c>
      <c r="BA2207" s="7" t="s">
        <v>233</v>
      </c>
      <c r="BB2207" s="7"/>
      <c r="BC2207" s="4" t="s">
        <v>233</v>
      </c>
      <c r="BD2207" s="8" t="s">
        <v>233</v>
      </c>
      <c r="BE2207" s="4" t="s">
        <v>233</v>
      </c>
      <c r="BF2207" s="8" t="s">
        <v>233</v>
      </c>
      <c r="BG2207" s="7" t="s">
        <v>233</v>
      </c>
      <c r="BH2207" s="7" t="s">
        <v>233</v>
      </c>
      <c r="BI2207" s="7"/>
      <c r="BJ2207" s="4"/>
      <c r="BK2207" s="8"/>
      <c r="BL2207" s="2" t="s">
        <v>233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9874</v>
      </c>
      <c r="BV2207" s="2" t="s">
        <v>233</v>
      </c>
      <c r="BW2207" s="2" t="s">
        <v>233</v>
      </c>
      <c r="BX2207" s="2" t="s">
        <v>243</v>
      </c>
      <c r="BY2207" s="2" t="s">
        <v>280</v>
      </c>
      <c r="BZ2207" s="2" t="s">
        <v>245</v>
      </c>
      <c r="CA2207" s="2" t="s">
        <v>2872</v>
      </c>
      <c r="CB2207" s="2" t="s">
        <v>233</v>
      </c>
      <c r="CC2207" s="2" t="s">
        <v>246</v>
      </c>
      <c r="CD2207" s="2" t="s">
        <v>233</v>
      </c>
      <c r="CE2207" s="4">
        <v>78</v>
      </c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>
        <v>80</v>
      </c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>
        <v>100</v>
      </c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/>
      <c r="HD2207" s="4"/>
      <c r="HE2207" s="4"/>
      <c r="HF2207" s="4"/>
      <c r="HG2207" s="4"/>
      <c r="HH2207" s="4"/>
      <c r="HI2207" s="4"/>
      <c r="HJ2207" s="4"/>
      <c r="HK2207" s="4"/>
      <c r="HL2207" s="4"/>
      <c r="HM2207" s="4"/>
      <c r="HN2207" s="4"/>
      <c r="HO2207" s="4"/>
      <c r="HP2207" s="4"/>
      <c r="HQ2207" s="4"/>
      <c r="HR2207" s="4"/>
    </row>
    <row r="2208">
      <c r="A2208" s="2" t="s">
        <v>9875</v>
      </c>
      <c r="B2208" s="2" t="s">
        <v>1242</v>
      </c>
      <c r="C2208" s="2" t="s">
        <v>530</v>
      </c>
      <c r="D2208" s="2" t="s">
        <v>1862</v>
      </c>
      <c r="E2208" s="2" t="s">
        <v>7849</v>
      </c>
      <c r="F2208" s="2" t="s">
        <v>9860</v>
      </c>
      <c r="G2208" s="2" t="s">
        <v>9861</v>
      </c>
      <c r="H2208" s="2" t="s">
        <v>9862</v>
      </c>
      <c r="I2208" s="2" t="s">
        <v>9868</v>
      </c>
      <c r="J2208" s="2" t="s">
        <v>1142</v>
      </c>
      <c r="K2208" s="2" t="s">
        <v>1561</v>
      </c>
      <c r="L2208" s="3">
        <v>57.32</v>
      </c>
      <c r="M2208" s="3">
        <v>60.19</v>
      </c>
      <c r="N2208" s="3">
        <v>119.99</v>
      </c>
      <c r="O2208" s="2" t="s">
        <v>245</v>
      </c>
      <c r="P2208" s="2" t="s">
        <v>272</v>
      </c>
      <c r="Q2208" s="2" t="s">
        <v>239</v>
      </c>
      <c r="R2208" s="2" t="s">
        <v>233</v>
      </c>
      <c r="S2208" s="2" t="s">
        <v>233</v>
      </c>
      <c r="T2208" s="2" t="s">
        <v>233</v>
      </c>
      <c r="U2208" s="2" t="s">
        <v>871</v>
      </c>
      <c r="V2208" s="2" t="s">
        <v>1340</v>
      </c>
      <c r="W2208" s="2" t="s">
        <v>978</v>
      </c>
      <c r="X2208" s="2" t="s">
        <v>7831</v>
      </c>
      <c r="Y2208" s="2" t="s">
        <v>9876</v>
      </c>
      <c r="Z2208" s="4">
        <v>156</v>
      </c>
      <c r="AA2208" s="4">
        <f>=ROUNDDOWN(22.2857142857143,0)</f>
      </c>
      <c r="AB2208" s="5">
        <v>7</v>
      </c>
      <c r="AC2208" s="2" t="s">
        <v>3255</v>
      </c>
      <c r="AD2208" s="4">
        <v>160</v>
      </c>
      <c r="AE2208" s="4">
        <v>160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233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 t="s">
        <v>233</v>
      </c>
      <c r="BD2208" s="8" t="s">
        <v>233</v>
      </c>
      <c r="BE2208" s="4" t="s">
        <v>233</v>
      </c>
      <c r="BF2208" s="8" t="s">
        <v>233</v>
      </c>
      <c r="BG2208" s="7" t="s">
        <v>233</v>
      </c>
      <c r="BH2208" s="7" t="s">
        <v>233</v>
      </c>
      <c r="BI2208" s="7"/>
      <c r="BJ2208" s="4">
        <v>28</v>
      </c>
      <c r="BK2208" s="8">
        <v>1846.31</v>
      </c>
      <c r="BL2208" s="2" t="s">
        <v>9877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9878</v>
      </c>
      <c r="BV2208" s="2" t="s">
        <v>233</v>
      </c>
      <c r="BW2208" s="2" t="s">
        <v>233</v>
      </c>
      <c r="BX2208" s="2" t="s">
        <v>233</v>
      </c>
      <c r="BY2208" s="2" t="s">
        <v>280</v>
      </c>
      <c r="BZ2208" s="2" t="s">
        <v>245</v>
      </c>
      <c r="CA2208" s="2" t="s">
        <v>9879</v>
      </c>
      <c r="CB2208" s="2" t="s">
        <v>3940</v>
      </c>
      <c r="CC2208" s="2" t="s">
        <v>246</v>
      </c>
      <c r="CD2208" s="2" t="s">
        <v>233</v>
      </c>
      <c r="CE2208" s="4">
        <v>156</v>
      </c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>
        <v>160</v>
      </c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  <c r="HF2208" s="4"/>
      <c r="HG2208" s="4"/>
      <c r="HH2208" s="4"/>
      <c r="HI2208" s="4"/>
      <c r="HJ2208" s="4"/>
      <c r="HK2208" s="4"/>
      <c r="HL2208" s="4"/>
      <c r="HM2208" s="4"/>
      <c r="HN2208" s="4"/>
      <c r="HO2208" s="4"/>
      <c r="HP2208" s="4"/>
      <c r="HQ2208" s="4"/>
      <c r="HR2208" s="4"/>
    </row>
    <row r="2209">
      <c r="A2209" s="2" t="s">
        <v>9880</v>
      </c>
      <c r="B2209" s="2" t="s">
        <v>228</v>
      </c>
      <c r="C2209" s="2" t="s">
        <v>1335</v>
      </c>
      <c r="D2209" s="2" t="s">
        <v>1616</v>
      </c>
      <c r="E2209" s="2" t="s">
        <v>1617</v>
      </c>
      <c r="F2209" s="2" t="s">
        <v>9881</v>
      </c>
      <c r="G2209" s="2" t="s">
        <v>9881</v>
      </c>
      <c r="H2209" s="2" t="s">
        <v>9881</v>
      </c>
      <c r="I2209" s="2" t="s">
        <v>7250</v>
      </c>
      <c r="J2209" s="2" t="s">
        <v>1620</v>
      </c>
      <c r="K2209" s="2" t="s">
        <v>645</v>
      </c>
      <c r="L2209" s="3">
        <v>16.1</v>
      </c>
      <c r="M2209" s="3">
        <v>16.9</v>
      </c>
      <c r="N2209" s="3">
        <v>34.99</v>
      </c>
      <c r="O2209" s="2" t="s">
        <v>245</v>
      </c>
      <c r="P2209" s="2" t="s">
        <v>311</v>
      </c>
      <c r="Q2209" s="2" t="s">
        <v>239</v>
      </c>
      <c r="R2209" s="2" t="s">
        <v>233</v>
      </c>
      <c r="S2209" s="2" t="s">
        <v>9882</v>
      </c>
      <c r="T2209" s="2" t="s">
        <v>1055</v>
      </c>
      <c r="U2209" s="2" t="s">
        <v>233</v>
      </c>
      <c r="V2209" s="2" t="s">
        <v>1340</v>
      </c>
      <c r="W2209" s="2" t="s">
        <v>978</v>
      </c>
      <c r="X2209" s="2" t="s">
        <v>1056</v>
      </c>
      <c r="Y2209" s="2" t="s">
        <v>276</v>
      </c>
      <c r="Z2209" s="4"/>
      <c r="AA2209" s="4">
        <f>=ROUNDDOWN({0},0)</f>
      </c>
      <c r="AB2209" s="5">
        <v>9</v>
      </c>
      <c r="AC2209" s="2" t="s">
        <v>233</v>
      </c>
      <c r="AD2209" s="4"/>
      <c r="AE2209" s="4"/>
      <c r="AF2209" s="6">
        <v>65</v>
      </c>
      <c r="AG2209" s="6"/>
      <c r="AH2209" s="7">
        <v>0</v>
      </c>
      <c r="AI2209" s="4"/>
      <c r="AJ2209" s="4">
        <f>=ROUNDDOWN({0},0)</f>
      </c>
      <c r="AK2209" s="5"/>
      <c r="AL2209" s="2" t="s">
        <v>233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/>
      <c r="BD2209" s="8"/>
      <c r="BE2209" s="4"/>
      <c r="BF2209" s="8"/>
      <c r="BG2209" s="7"/>
      <c r="BH2209" s="7"/>
      <c r="BI2209" s="7"/>
      <c r="BJ2209" s="4">
        <v>3</v>
      </c>
      <c r="BK2209" s="8">
        <v>51.69</v>
      </c>
      <c r="BL2209" s="2" t="s">
        <v>4772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9883</v>
      </c>
      <c r="BV2209" s="2" t="s">
        <v>233</v>
      </c>
      <c r="BW2209" s="2" t="s">
        <v>233</v>
      </c>
      <c r="BX2209" s="2" t="s">
        <v>595</v>
      </c>
      <c r="BY2209" s="2" t="s">
        <v>280</v>
      </c>
      <c r="BZ2209" s="2" t="s">
        <v>245</v>
      </c>
      <c r="CA2209" s="2" t="s">
        <v>1625</v>
      </c>
      <c r="CB2209" s="2" t="s">
        <v>7254</v>
      </c>
      <c r="CC2209" s="2" t="s">
        <v>246</v>
      </c>
      <c r="CD2209" s="2" t="s">
        <v>233</v>
      </c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/>
      <c r="HD2209" s="4"/>
      <c r="HE2209" s="4"/>
      <c r="HF2209" s="4"/>
      <c r="HG2209" s="4"/>
      <c r="HH2209" s="4"/>
      <c r="HI2209" s="4"/>
      <c r="HJ2209" s="4"/>
      <c r="HK2209" s="4"/>
      <c r="HL2209" s="4"/>
      <c r="HM2209" s="4"/>
      <c r="HN2209" s="4"/>
      <c r="HO2209" s="4"/>
      <c r="HP2209" s="4"/>
      <c r="HQ2209" s="4"/>
      <c r="HR2209" s="4"/>
    </row>
    <row r="2210">
      <c r="A2210" s="2" t="s">
        <v>9884</v>
      </c>
      <c r="B2210" s="2" t="s">
        <v>1066</v>
      </c>
      <c r="C2210" s="2" t="s">
        <v>530</v>
      </c>
      <c r="D2210" s="2" t="s">
        <v>1090</v>
      </c>
      <c r="E2210" s="2" t="s">
        <v>1091</v>
      </c>
      <c r="F2210" s="2" t="s">
        <v>9885</v>
      </c>
      <c r="G2210" s="2" t="s">
        <v>9324</v>
      </c>
      <c r="H2210" s="2" t="s">
        <v>9886</v>
      </c>
      <c r="I2210" s="2" t="s">
        <v>9887</v>
      </c>
      <c r="J2210" s="2" t="s">
        <v>892</v>
      </c>
      <c r="K2210" s="2" t="s">
        <v>9888</v>
      </c>
      <c r="L2210" s="3">
        <v>175</v>
      </c>
      <c r="M2210" s="3">
        <v>183.75</v>
      </c>
      <c r="N2210" s="3">
        <v>369</v>
      </c>
      <c r="O2210" s="2" t="s">
        <v>237</v>
      </c>
      <c r="P2210" s="2" t="s">
        <v>311</v>
      </c>
      <c r="Q2210" s="2" t="s">
        <v>239</v>
      </c>
      <c r="R2210" s="2" t="s">
        <v>233</v>
      </c>
      <c r="S2210" s="2" t="s">
        <v>9889</v>
      </c>
      <c r="T2210" s="2" t="s">
        <v>233</v>
      </c>
      <c r="U2210" s="2" t="s">
        <v>233</v>
      </c>
      <c r="V2210" s="2" t="s">
        <v>241</v>
      </c>
      <c r="W2210" s="2" t="s">
        <v>776</v>
      </c>
      <c r="X2210" s="2" t="s">
        <v>233</v>
      </c>
      <c r="Y2210" s="2" t="s">
        <v>276</v>
      </c>
      <c r="Z2210" s="4">
        <v>115</v>
      </c>
      <c r="AA2210" s="4">
        <f>=ROUNDDOWN(38.3333333333333,0)</f>
      </c>
      <c r="AB2210" s="5">
        <v>3</v>
      </c>
      <c r="AC2210" s="2" t="s">
        <v>233</v>
      </c>
      <c r="AD2210" s="4"/>
      <c r="AE2210" s="4"/>
      <c r="AF2210" s="6">
        <v>74</v>
      </c>
      <c r="AG2210" s="6">
        <v>60</v>
      </c>
      <c r="AH2210" s="7">
        <v>1</v>
      </c>
      <c r="AI2210" s="4"/>
      <c r="AJ2210" s="4">
        <f>=ROUNDDOWN({0},0)</f>
      </c>
      <c r="AK2210" s="5"/>
      <c r="AL2210" s="2" t="s">
        <v>233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/>
      <c r="BD2210" s="8"/>
      <c r="BE2210" s="4"/>
      <c r="BF2210" s="8"/>
      <c r="BG2210" s="7"/>
      <c r="BH2210" s="7"/>
      <c r="BI2210" s="7"/>
      <c r="BJ2210" s="4">
        <v>15</v>
      </c>
      <c r="BK2210" s="8">
        <v>2157.54</v>
      </c>
      <c r="BL2210" s="2" t="s">
        <v>1023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9890</v>
      </c>
      <c r="BV2210" s="2" t="s">
        <v>233</v>
      </c>
      <c r="BW2210" s="2" t="s">
        <v>233</v>
      </c>
      <c r="BX2210" s="2" t="s">
        <v>233</v>
      </c>
      <c r="BY2210" s="2" t="s">
        <v>280</v>
      </c>
      <c r="BZ2210" s="2" t="s">
        <v>245</v>
      </c>
      <c r="CA2210" s="2" t="s">
        <v>2452</v>
      </c>
      <c r="CB2210" s="2" t="s">
        <v>9891</v>
      </c>
      <c r="CC2210" s="2" t="s">
        <v>246</v>
      </c>
      <c r="CD2210" s="2" t="s">
        <v>233</v>
      </c>
      <c r="CE2210" s="4"/>
      <c r="CF2210" s="4">
        <v>115</v>
      </c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  <c r="HF2210" s="4"/>
      <c r="HG2210" s="4"/>
      <c r="HH2210" s="4"/>
      <c r="HI2210" s="4"/>
      <c r="HJ2210" s="4"/>
      <c r="HK2210" s="4"/>
      <c r="HL2210" s="4"/>
      <c r="HM2210" s="4"/>
      <c r="HN2210" s="4"/>
      <c r="HO2210" s="4"/>
      <c r="HP2210" s="4"/>
      <c r="HQ2210" s="4"/>
      <c r="HR2210" s="4"/>
    </row>
    <row r="2211">
      <c r="A2211" s="2" t="s">
        <v>9892</v>
      </c>
      <c r="B2211" s="2" t="s">
        <v>910</v>
      </c>
      <c r="C2211" s="2" t="s">
        <v>911</v>
      </c>
      <c r="D2211" s="2" t="s">
        <v>912</v>
      </c>
      <c r="E2211" s="2" t="s">
        <v>1139</v>
      </c>
      <c r="F2211" s="2" t="s">
        <v>9893</v>
      </c>
      <c r="G2211" s="2" t="s">
        <v>9894</v>
      </c>
      <c r="H2211" s="2" t="s">
        <v>9895</v>
      </c>
      <c r="I2211" s="2" t="s">
        <v>1884</v>
      </c>
      <c r="J2211" s="2" t="s">
        <v>918</v>
      </c>
      <c r="K2211" s="2" t="s">
        <v>3101</v>
      </c>
      <c r="L2211" s="3">
        <v>28.57</v>
      </c>
      <c r="M2211" s="3">
        <v>30</v>
      </c>
      <c r="N2211" s="3">
        <v>59.99</v>
      </c>
      <c r="O2211" s="2" t="s">
        <v>237</v>
      </c>
      <c r="P2211" s="2" t="s">
        <v>311</v>
      </c>
      <c r="Q2211" s="2" t="s">
        <v>239</v>
      </c>
      <c r="R2211" s="2" t="s">
        <v>233</v>
      </c>
      <c r="S2211" s="2" t="s">
        <v>9896</v>
      </c>
      <c r="T2211" s="2" t="s">
        <v>233</v>
      </c>
      <c r="U2211" s="2" t="s">
        <v>491</v>
      </c>
      <c r="V2211" s="2" t="s">
        <v>921</v>
      </c>
      <c r="W2211" s="2" t="s">
        <v>397</v>
      </c>
      <c r="X2211" s="2" t="s">
        <v>275</v>
      </c>
      <c r="Y2211" s="2" t="s">
        <v>3744</v>
      </c>
      <c r="Z2211" s="4">
        <v>97</v>
      </c>
      <c r="AA2211" s="4">
        <f>=ROUNDDOWN(97,0)</f>
      </c>
      <c r="AB2211" s="5">
        <v>1</v>
      </c>
      <c r="AC2211" s="2" t="s">
        <v>233</v>
      </c>
      <c r="AD2211" s="4"/>
      <c r="AE2211" s="4"/>
      <c r="AF2211" s="6">
        <v>66</v>
      </c>
      <c r="AG2211" s="6"/>
      <c r="AH2211" s="7">
        <v>1</v>
      </c>
      <c r="AI2211" s="4"/>
      <c r="AJ2211" s="4">
        <f>=ROUNDDOWN({0},0)</f>
      </c>
      <c r="AK2211" s="5"/>
      <c r="AL2211" s="2" t="s">
        <v>233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/>
      <c r="BD2211" s="8"/>
      <c r="BE2211" s="4"/>
      <c r="BF2211" s="8"/>
      <c r="BG2211" s="7"/>
      <c r="BH2211" s="7"/>
      <c r="BI2211" s="7"/>
      <c r="BJ2211" s="4">
        <v>3</v>
      </c>
      <c r="BK2211" s="8">
        <v>68.4</v>
      </c>
      <c r="BL2211" s="2" t="s">
        <v>9897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9898</v>
      </c>
      <c r="BV2211" s="2" t="s">
        <v>233</v>
      </c>
      <c r="BW2211" s="2" t="s">
        <v>233</v>
      </c>
      <c r="BX2211" s="2" t="s">
        <v>233</v>
      </c>
      <c r="BY2211" s="2" t="s">
        <v>280</v>
      </c>
      <c r="BZ2211" s="2" t="s">
        <v>245</v>
      </c>
      <c r="CA2211" s="2" t="s">
        <v>9899</v>
      </c>
      <c r="CB2211" s="2" t="s">
        <v>7021</v>
      </c>
      <c r="CC2211" s="2" t="s">
        <v>246</v>
      </c>
      <c r="CD2211" s="2" t="s">
        <v>233</v>
      </c>
      <c r="CE2211" s="4">
        <v>97</v>
      </c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/>
      <c r="HD2211" s="4"/>
      <c r="HE2211" s="4"/>
      <c r="HF2211" s="4"/>
      <c r="HG2211" s="4"/>
      <c r="HH2211" s="4"/>
      <c r="HI2211" s="4"/>
      <c r="HJ2211" s="4"/>
      <c r="HK2211" s="4"/>
      <c r="HL2211" s="4"/>
      <c r="HM2211" s="4"/>
      <c r="HN2211" s="4"/>
      <c r="HO2211" s="4"/>
      <c r="HP2211" s="4"/>
      <c r="HQ2211" s="4"/>
      <c r="HR2211" s="4"/>
    </row>
    <row r="2212">
      <c r="A2212" s="2" t="s">
        <v>9900</v>
      </c>
      <c r="B2212" s="2" t="s">
        <v>1414</v>
      </c>
      <c r="C2212" s="2" t="s">
        <v>530</v>
      </c>
      <c r="D2212" s="2" t="s">
        <v>1414</v>
      </c>
      <c r="E2212" s="2" t="s">
        <v>1414</v>
      </c>
      <c r="F2212" s="2" t="s">
        <v>9901</v>
      </c>
      <c r="G2212" s="2" t="s">
        <v>9902</v>
      </c>
      <c r="H2212" s="2" t="s">
        <v>9903</v>
      </c>
      <c r="I2212" s="2" t="s">
        <v>9904</v>
      </c>
      <c r="J2212" s="2" t="s">
        <v>1793</v>
      </c>
      <c r="K2212" s="2" t="s">
        <v>271</v>
      </c>
      <c r="L2212" s="3">
        <v>37.57</v>
      </c>
      <c r="M2212" s="3">
        <v>39.45</v>
      </c>
      <c r="N2212" s="3">
        <v>84.99</v>
      </c>
      <c r="O2212" s="2" t="s">
        <v>245</v>
      </c>
      <c r="P2212" s="2" t="s">
        <v>311</v>
      </c>
      <c r="Q2212" s="2" t="s">
        <v>239</v>
      </c>
      <c r="R2212" s="2" t="s">
        <v>233</v>
      </c>
      <c r="S2212" s="2" t="s">
        <v>9905</v>
      </c>
      <c r="T2212" s="2" t="s">
        <v>233</v>
      </c>
      <c r="U2212" s="2" t="s">
        <v>396</v>
      </c>
      <c r="V2212" s="2" t="s">
        <v>921</v>
      </c>
      <c r="W2212" s="2" t="s">
        <v>397</v>
      </c>
      <c r="X2212" s="2" t="s">
        <v>233</v>
      </c>
      <c r="Y2212" s="2" t="s">
        <v>518</v>
      </c>
      <c r="Z2212" s="4">
        <v>69</v>
      </c>
      <c r="AA2212" s="4">
        <f>=ROUNDDOWN({0},0)</f>
      </c>
      <c r="AB2212" s="5"/>
      <c r="AC2212" s="2" t="s">
        <v>233</v>
      </c>
      <c r="AD2212" s="4"/>
      <c r="AE2212" s="4"/>
      <c r="AF2212" s="6">
        <v>63</v>
      </c>
      <c r="AG2212" s="6"/>
      <c r="AH2212" s="7">
        <v>1</v>
      </c>
      <c r="AI2212" s="4"/>
      <c r="AJ2212" s="4">
        <f>=ROUNDDOWN({0},0)</f>
      </c>
      <c r="AK2212" s="5"/>
      <c r="AL2212" s="2" t="s">
        <v>233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233</v>
      </c>
      <c r="AW2212" s="8" t="s">
        <v>233</v>
      </c>
      <c r="AX2212" s="4" t="s">
        <v>233</v>
      </c>
      <c r="AY2212" s="8" t="s">
        <v>233</v>
      </c>
      <c r="AZ2212" s="7" t="s">
        <v>233</v>
      </c>
      <c r="BA2212" s="7" t="s">
        <v>233</v>
      </c>
      <c r="BB2212" s="7"/>
      <c r="BC2212" s="4" t="s">
        <v>233</v>
      </c>
      <c r="BD2212" s="8" t="s">
        <v>233</v>
      </c>
      <c r="BE2212" s="4" t="s">
        <v>233</v>
      </c>
      <c r="BF2212" s="8" t="s">
        <v>233</v>
      </c>
      <c r="BG2212" s="7" t="s">
        <v>233</v>
      </c>
      <c r="BH2212" s="7" t="s">
        <v>233</v>
      </c>
      <c r="BI2212" s="7"/>
      <c r="BJ2212" s="4"/>
      <c r="BK2212" s="8"/>
      <c r="BL2212" s="2" t="s">
        <v>3076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9906</v>
      </c>
      <c r="BV2212" s="2" t="s">
        <v>233</v>
      </c>
      <c r="BW2212" s="2" t="s">
        <v>233</v>
      </c>
      <c r="BX2212" s="2" t="s">
        <v>233</v>
      </c>
      <c r="BY2212" s="2" t="s">
        <v>280</v>
      </c>
      <c r="BZ2212" s="2" t="s">
        <v>245</v>
      </c>
      <c r="CA2212" s="2" t="s">
        <v>5398</v>
      </c>
      <c r="CB2212" s="2" t="s">
        <v>233</v>
      </c>
      <c r="CC2212" s="2" t="s">
        <v>246</v>
      </c>
      <c r="CD2212" s="2" t="s">
        <v>233</v>
      </c>
      <c r="CE2212" s="4"/>
      <c r="CF2212" s="4">
        <v>69</v>
      </c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  <c r="HF2212" s="4"/>
      <c r="HG2212" s="4"/>
      <c r="HH2212" s="4"/>
      <c r="HI2212" s="4"/>
      <c r="HJ2212" s="4"/>
      <c r="HK2212" s="4"/>
      <c r="HL2212" s="4"/>
      <c r="HM2212" s="4"/>
      <c r="HN2212" s="4"/>
      <c r="HO2212" s="4"/>
      <c r="HP2212" s="4"/>
      <c r="HQ2212" s="4"/>
      <c r="HR2212" s="4"/>
    </row>
    <row r="2213">
      <c r="A2213" s="2" t="s">
        <v>9907</v>
      </c>
      <c r="B2213" s="2" t="s">
        <v>1414</v>
      </c>
      <c r="C2213" s="2" t="s">
        <v>530</v>
      </c>
      <c r="D2213" s="2" t="s">
        <v>1414</v>
      </c>
      <c r="E2213" s="2" t="s">
        <v>1414</v>
      </c>
      <c r="F2213" s="2" t="s">
        <v>9901</v>
      </c>
      <c r="G2213" s="2" t="s">
        <v>9902</v>
      </c>
      <c r="H2213" s="2" t="s">
        <v>9903</v>
      </c>
      <c r="I2213" s="2" t="s">
        <v>9904</v>
      </c>
      <c r="J2213" s="2" t="s">
        <v>1418</v>
      </c>
      <c r="K2213" s="2" t="s">
        <v>271</v>
      </c>
      <c r="L2213" s="3">
        <v>65.45</v>
      </c>
      <c r="M2213" s="3">
        <v>68.72</v>
      </c>
      <c r="N2213" s="3">
        <v>149.99</v>
      </c>
      <c r="O2213" s="2" t="s">
        <v>245</v>
      </c>
      <c r="P2213" s="2" t="s">
        <v>311</v>
      </c>
      <c r="Q2213" s="2" t="s">
        <v>239</v>
      </c>
      <c r="R2213" s="2" t="s">
        <v>233</v>
      </c>
      <c r="S2213" s="2" t="s">
        <v>9905</v>
      </c>
      <c r="T2213" s="2" t="s">
        <v>233</v>
      </c>
      <c r="U2213" s="2" t="s">
        <v>396</v>
      </c>
      <c r="V2213" s="2" t="s">
        <v>921</v>
      </c>
      <c r="W2213" s="2" t="s">
        <v>397</v>
      </c>
      <c r="X2213" s="2" t="s">
        <v>233</v>
      </c>
      <c r="Y2213" s="2" t="s">
        <v>518</v>
      </c>
      <c r="Z2213" s="4">
        <v>83</v>
      </c>
      <c r="AA2213" s="4">
        <f>=ROUNDDOWN(415,0)</f>
      </c>
      <c r="AB2213" s="5">
        <v>0.2</v>
      </c>
      <c r="AC2213" s="2" t="s">
        <v>233</v>
      </c>
      <c r="AD2213" s="4"/>
      <c r="AE2213" s="4"/>
      <c r="AF2213" s="6">
        <v>63</v>
      </c>
      <c r="AG2213" s="6"/>
      <c r="AH2213" s="7">
        <v>1</v>
      </c>
      <c r="AI2213" s="4"/>
      <c r="AJ2213" s="4">
        <f>=ROUNDDOWN({0},0)</f>
      </c>
      <c r="AK2213" s="5"/>
      <c r="AL2213" s="2" t="s">
        <v>233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 t="s">
        <v>233</v>
      </c>
      <c r="AW2213" s="8" t="s">
        <v>233</v>
      </c>
      <c r="AX2213" s="4" t="s">
        <v>233</v>
      </c>
      <c r="AY2213" s="8" t="s">
        <v>233</v>
      </c>
      <c r="AZ2213" s="7" t="s">
        <v>233</v>
      </c>
      <c r="BA2213" s="7" t="s">
        <v>233</v>
      </c>
      <c r="BB2213" s="7"/>
      <c r="BC2213" s="4" t="s">
        <v>233</v>
      </c>
      <c r="BD2213" s="8" t="s">
        <v>233</v>
      </c>
      <c r="BE2213" s="4" t="s">
        <v>233</v>
      </c>
      <c r="BF2213" s="8" t="s">
        <v>233</v>
      </c>
      <c r="BG2213" s="7" t="s">
        <v>233</v>
      </c>
      <c r="BH2213" s="7" t="s">
        <v>233</v>
      </c>
      <c r="BI2213" s="7"/>
      <c r="BJ2213" s="4"/>
      <c r="BK2213" s="8"/>
      <c r="BL2213" s="2" t="s">
        <v>1802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9908</v>
      </c>
      <c r="BV2213" s="2" t="s">
        <v>233</v>
      </c>
      <c r="BW2213" s="2" t="s">
        <v>233</v>
      </c>
      <c r="BX2213" s="2" t="s">
        <v>233</v>
      </c>
      <c r="BY2213" s="2" t="s">
        <v>280</v>
      </c>
      <c r="BZ2213" s="2" t="s">
        <v>245</v>
      </c>
      <c r="CA2213" s="2" t="s">
        <v>5398</v>
      </c>
      <c r="CB2213" s="2" t="s">
        <v>233</v>
      </c>
      <c r="CC2213" s="2" t="s">
        <v>246</v>
      </c>
      <c r="CD2213" s="2" t="s">
        <v>233</v>
      </c>
      <c r="CE2213" s="4"/>
      <c r="CF2213" s="4">
        <v>83</v>
      </c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/>
      <c r="HD2213" s="4"/>
      <c r="HE2213" s="4"/>
      <c r="HF2213" s="4"/>
      <c r="HG2213" s="4"/>
      <c r="HH2213" s="4"/>
      <c r="HI2213" s="4"/>
      <c r="HJ2213" s="4"/>
      <c r="HK2213" s="4"/>
      <c r="HL2213" s="4"/>
      <c r="HM2213" s="4"/>
      <c r="HN2213" s="4"/>
      <c r="HO2213" s="4"/>
      <c r="HP2213" s="4"/>
      <c r="HQ2213" s="4"/>
      <c r="HR2213" s="4"/>
    </row>
    <row r="2214">
      <c r="A2214" s="2" t="s">
        <v>9909</v>
      </c>
      <c r="B2214" s="2" t="s">
        <v>1414</v>
      </c>
      <c r="C2214" s="2" t="s">
        <v>530</v>
      </c>
      <c r="D2214" s="2" t="s">
        <v>1414</v>
      </c>
      <c r="E2214" s="2" t="s">
        <v>1414</v>
      </c>
      <c r="F2214" s="2" t="s">
        <v>9901</v>
      </c>
      <c r="G2214" s="2" t="s">
        <v>9902</v>
      </c>
      <c r="H2214" s="2" t="s">
        <v>9903</v>
      </c>
      <c r="I2214" s="2" t="s">
        <v>9904</v>
      </c>
      <c r="J2214" s="2" t="s">
        <v>1426</v>
      </c>
      <c r="K2214" s="2" t="s">
        <v>271</v>
      </c>
      <c r="L2214" s="3">
        <v>99.93</v>
      </c>
      <c r="M2214" s="3">
        <v>104.93</v>
      </c>
      <c r="N2214" s="3">
        <v>224.99</v>
      </c>
      <c r="O2214" s="2" t="s">
        <v>245</v>
      </c>
      <c r="P2214" s="2" t="s">
        <v>311</v>
      </c>
      <c r="Q2214" s="2" t="s">
        <v>239</v>
      </c>
      <c r="R2214" s="2" t="s">
        <v>233</v>
      </c>
      <c r="S2214" s="2" t="s">
        <v>9905</v>
      </c>
      <c r="T2214" s="2" t="s">
        <v>233</v>
      </c>
      <c r="U2214" s="2" t="s">
        <v>396</v>
      </c>
      <c r="V2214" s="2" t="s">
        <v>921</v>
      </c>
      <c r="W2214" s="2" t="s">
        <v>397</v>
      </c>
      <c r="X2214" s="2" t="s">
        <v>233</v>
      </c>
      <c r="Y2214" s="2" t="s">
        <v>518</v>
      </c>
      <c r="Z2214" s="4">
        <v>46</v>
      </c>
      <c r="AA2214" s="4">
        <f>=ROUNDDOWN(23,0)</f>
      </c>
      <c r="AB2214" s="5">
        <v>2</v>
      </c>
      <c r="AC2214" s="2" t="s">
        <v>233</v>
      </c>
      <c r="AD2214" s="4"/>
      <c r="AE2214" s="4"/>
      <c r="AF2214" s="6">
        <v>63</v>
      </c>
      <c r="AG2214" s="6"/>
      <c r="AH2214" s="7">
        <v>1</v>
      </c>
      <c r="AI2214" s="4"/>
      <c r="AJ2214" s="4">
        <f>=ROUNDDOWN({0},0)</f>
      </c>
      <c r="AK2214" s="5"/>
      <c r="AL2214" s="2" t="s">
        <v>233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233</v>
      </c>
      <c r="AW2214" s="8" t="s">
        <v>233</v>
      </c>
      <c r="AX2214" s="4" t="s">
        <v>233</v>
      </c>
      <c r="AY2214" s="8" t="s">
        <v>233</v>
      </c>
      <c r="AZ2214" s="7" t="s">
        <v>233</v>
      </c>
      <c r="BA2214" s="7" t="s">
        <v>233</v>
      </c>
      <c r="BB2214" s="7"/>
      <c r="BC2214" s="4" t="s">
        <v>233</v>
      </c>
      <c r="BD2214" s="8" t="s">
        <v>233</v>
      </c>
      <c r="BE2214" s="4" t="s">
        <v>233</v>
      </c>
      <c r="BF2214" s="8" t="s">
        <v>233</v>
      </c>
      <c r="BG2214" s="7" t="s">
        <v>233</v>
      </c>
      <c r="BH2214" s="7" t="s">
        <v>233</v>
      </c>
      <c r="BI2214" s="7"/>
      <c r="BJ2214" s="4"/>
      <c r="BK2214" s="8"/>
      <c r="BL2214" s="2" t="s">
        <v>1592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9910</v>
      </c>
      <c r="BV2214" s="2" t="s">
        <v>233</v>
      </c>
      <c r="BW2214" s="2" t="s">
        <v>233</v>
      </c>
      <c r="BX2214" s="2" t="s">
        <v>233</v>
      </c>
      <c r="BY2214" s="2" t="s">
        <v>280</v>
      </c>
      <c r="BZ2214" s="2" t="s">
        <v>245</v>
      </c>
      <c r="CA2214" s="2" t="s">
        <v>5398</v>
      </c>
      <c r="CB2214" s="2" t="s">
        <v>3237</v>
      </c>
      <c r="CC2214" s="2" t="s">
        <v>246</v>
      </c>
      <c r="CD2214" s="2" t="s">
        <v>233</v>
      </c>
      <c r="CE2214" s="4"/>
      <c r="CF2214" s="4">
        <v>46</v>
      </c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/>
      <c r="HD2214" s="4"/>
      <c r="HE2214" s="4"/>
      <c r="HF2214" s="4"/>
      <c r="HG2214" s="4"/>
      <c r="HH2214" s="4"/>
      <c r="HI2214" s="4"/>
      <c r="HJ2214" s="4"/>
      <c r="HK2214" s="4"/>
      <c r="HL2214" s="4"/>
      <c r="HM2214" s="4"/>
      <c r="HN2214" s="4"/>
      <c r="HO2214" s="4"/>
      <c r="HP2214" s="4"/>
      <c r="HQ2214" s="4"/>
      <c r="HR2214" s="4"/>
    </row>
    <row r="2215">
      <c r="A2215" s="2" t="s">
        <v>9911</v>
      </c>
      <c r="B2215" s="2" t="s">
        <v>1414</v>
      </c>
      <c r="C2215" s="2" t="s">
        <v>530</v>
      </c>
      <c r="D2215" s="2" t="s">
        <v>1414</v>
      </c>
      <c r="E2215" s="2" t="s">
        <v>1414</v>
      </c>
      <c r="F2215" s="2" t="s">
        <v>9901</v>
      </c>
      <c r="G2215" s="2" t="s">
        <v>9902</v>
      </c>
      <c r="H2215" s="2" t="s">
        <v>9903</v>
      </c>
      <c r="I2215" s="2" t="s">
        <v>9904</v>
      </c>
      <c r="J2215" s="2" t="s">
        <v>1808</v>
      </c>
      <c r="K2215" s="2" t="s">
        <v>271</v>
      </c>
      <c r="L2215" s="3">
        <v>129.38</v>
      </c>
      <c r="M2215" s="3">
        <v>135.85</v>
      </c>
      <c r="N2215" s="3">
        <v>289.99</v>
      </c>
      <c r="O2215" s="2" t="s">
        <v>245</v>
      </c>
      <c r="P2215" s="2" t="s">
        <v>311</v>
      </c>
      <c r="Q2215" s="2" t="s">
        <v>239</v>
      </c>
      <c r="R2215" s="2" t="s">
        <v>233</v>
      </c>
      <c r="S2215" s="2" t="s">
        <v>9905</v>
      </c>
      <c r="T2215" s="2" t="s">
        <v>233</v>
      </c>
      <c r="U2215" s="2" t="s">
        <v>396</v>
      </c>
      <c r="V2215" s="2" t="s">
        <v>921</v>
      </c>
      <c r="W2215" s="2" t="s">
        <v>397</v>
      </c>
      <c r="X2215" s="2" t="s">
        <v>233</v>
      </c>
      <c r="Y2215" s="2" t="s">
        <v>518</v>
      </c>
      <c r="Z2215" s="4">
        <v>51</v>
      </c>
      <c r="AA2215" s="4">
        <f>=ROUNDDOWN(42.5,0)</f>
      </c>
      <c r="AB2215" s="5">
        <v>1.2</v>
      </c>
      <c r="AC2215" s="2" t="s">
        <v>233</v>
      </c>
      <c r="AD2215" s="4"/>
      <c r="AE2215" s="4"/>
      <c r="AF2215" s="6">
        <v>63</v>
      </c>
      <c r="AG2215" s="6"/>
      <c r="AH2215" s="7">
        <v>1</v>
      </c>
      <c r="AI2215" s="4"/>
      <c r="AJ2215" s="4">
        <f>=ROUNDDOWN({0},0)</f>
      </c>
      <c r="AK2215" s="5"/>
      <c r="AL2215" s="2" t="s">
        <v>233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 t="s">
        <v>233</v>
      </c>
      <c r="AW2215" s="8" t="s">
        <v>233</v>
      </c>
      <c r="AX2215" s="4" t="s">
        <v>233</v>
      </c>
      <c r="AY2215" s="8" t="s">
        <v>233</v>
      </c>
      <c r="AZ2215" s="7" t="s">
        <v>233</v>
      </c>
      <c r="BA2215" s="7" t="s">
        <v>233</v>
      </c>
      <c r="BB2215" s="7"/>
      <c r="BC2215" s="4" t="s">
        <v>233</v>
      </c>
      <c r="BD2215" s="8" t="s">
        <v>233</v>
      </c>
      <c r="BE2215" s="4" t="s">
        <v>233</v>
      </c>
      <c r="BF2215" s="8" t="s">
        <v>233</v>
      </c>
      <c r="BG2215" s="7" t="s">
        <v>233</v>
      </c>
      <c r="BH2215" s="7" t="s">
        <v>233</v>
      </c>
      <c r="BI2215" s="7"/>
      <c r="BJ2215" s="4">
        <v>2</v>
      </c>
      <c r="BK2215" s="8">
        <v>297.58</v>
      </c>
      <c r="BL2215" s="2" t="s">
        <v>9912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9913</v>
      </c>
      <c r="BV2215" s="2" t="s">
        <v>233</v>
      </c>
      <c r="BW2215" s="2" t="s">
        <v>233</v>
      </c>
      <c r="BX2215" s="2" t="s">
        <v>233</v>
      </c>
      <c r="BY2215" s="2" t="s">
        <v>280</v>
      </c>
      <c r="BZ2215" s="2" t="s">
        <v>245</v>
      </c>
      <c r="CA2215" s="2" t="s">
        <v>5398</v>
      </c>
      <c r="CB2215" s="2" t="s">
        <v>233</v>
      </c>
      <c r="CC2215" s="2" t="s">
        <v>246</v>
      </c>
      <c r="CD2215" s="2" t="s">
        <v>233</v>
      </c>
      <c r="CE2215" s="4"/>
      <c r="CF2215" s="4">
        <v>51</v>
      </c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/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/>
      <c r="HC2215" s="4"/>
      <c r="HD2215" s="4"/>
      <c r="HE2215" s="4"/>
      <c r="HF2215" s="4"/>
      <c r="HG2215" s="4"/>
      <c r="HH2215" s="4"/>
      <c r="HI2215" s="4"/>
      <c r="HJ2215" s="4"/>
      <c r="HK2215" s="4"/>
      <c r="HL2215" s="4"/>
      <c r="HM2215" s="4"/>
      <c r="HN2215" s="4"/>
      <c r="HO2215" s="4"/>
      <c r="HP2215" s="4"/>
      <c r="HQ2215" s="4"/>
      <c r="HR2215" s="4"/>
    </row>
    <row r="2216">
      <c r="A2216" s="2" t="s">
        <v>9914</v>
      </c>
      <c r="B2216" s="2" t="s">
        <v>1414</v>
      </c>
      <c r="C2216" s="2" t="s">
        <v>530</v>
      </c>
      <c r="D2216" s="2" t="s">
        <v>1414</v>
      </c>
      <c r="E2216" s="2" t="s">
        <v>1414</v>
      </c>
      <c r="F2216" s="2" t="s">
        <v>9901</v>
      </c>
      <c r="G2216" s="2" t="s">
        <v>9902</v>
      </c>
      <c r="H2216" s="2" t="s">
        <v>9903</v>
      </c>
      <c r="I2216" s="2" t="s">
        <v>9904</v>
      </c>
      <c r="J2216" s="2" t="s">
        <v>1793</v>
      </c>
      <c r="K2216" s="2" t="s">
        <v>9915</v>
      </c>
      <c r="L2216" s="3">
        <v>37.57</v>
      </c>
      <c r="M2216" s="3">
        <v>39.45</v>
      </c>
      <c r="N2216" s="3">
        <v>84.99</v>
      </c>
      <c r="O2216" s="2" t="s">
        <v>245</v>
      </c>
      <c r="P2216" s="2" t="s">
        <v>311</v>
      </c>
      <c r="Q2216" s="2" t="s">
        <v>239</v>
      </c>
      <c r="R2216" s="2" t="s">
        <v>233</v>
      </c>
      <c r="S2216" s="2" t="s">
        <v>233</v>
      </c>
      <c r="T2216" s="2" t="s">
        <v>233</v>
      </c>
      <c r="U2216" s="2" t="s">
        <v>396</v>
      </c>
      <c r="V2216" s="2" t="s">
        <v>921</v>
      </c>
      <c r="W2216" s="2" t="s">
        <v>397</v>
      </c>
      <c r="X2216" s="2" t="s">
        <v>233</v>
      </c>
      <c r="Y2216" s="2" t="s">
        <v>5990</v>
      </c>
      <c r="Z2216" s="4">
        <v>20</v>
      </c>
      <c r="AA2216" s="4">
        <f>=ROUNDDOWN(15.3846153846154,0)</f>
      </c>
      <c r="AB2216" s="5">
        <v>1.3</v>
      </c>
      <c r="AC2216" s="2" t="s">
        <v>233</v>
      </c>
      <c r="AD2216" s="4"/>
      <c r="AE2216" s="4"/>
      <c r="AF2216" s="6">
        <v>63</v>
      </c>
      <c r="AG2216" s="6"/>
      <c r="AH2216" s="7">
        <v>1</v>
      </c>
      <c r="AI2216" s="4"/>
      <c r="AJ2216" s="4">
        <f>=ROUNDDOWN({0},0)</f>
      </c>
      <c r="AK2216" s="5"/>
      <c r="AL2216" s="2" t="s">
        <v>233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233</v>
      </c>
      <c r="AW2216" s="8" t="s">
        <v>233</v>
      </c>
      <c r="AX2216" s="4" t="s">
        <v>233</v>
      </c>
      <c r="AY2216" s="8" t="s">
        <v>233</v>
      </c>
      <c r="AZ2216" s="7" t="s">
        <v>233</v>
      </c>
      <c r="BA2216" s="7" t="s">
        <v>233</v>
      </c>
      <c r="BB2216" s="7"/>
      <c r="BC2216" s="4" t="s">
        <v>233</v>
      </c>
      <c r="BD2216" s="8" t="s">
        <v>233</v>
      </c>
      <c r="BE2216" s="4" t="s">
        <v>233</v>
      </c>
      <c r="BF2216" s="8" t="s">
        <v>233</v>
      </c>
      <c r="BG2216" s="7" t="s">
        <v>233</v>
      </c>
      <c r="BH2216" s="7" t="s">
        <v>233</v>
      </c>
      <c r="BI2216" s="7"/>
      <c r="BJ2216" s="4">
        <v>4</v>
      </c>
      <c r="BK2216" s="8">
        <v>124.26</v>
      </c>
      <c r="BL2216" s="2" t="s">
        <v>9916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9917</v>
      </c>
      <c r="BV2216" s="2" t="s">
        <v>233</v>
      </c>
      <c r="BW2216" s="2" t="s">
        <v>233</v>
      </c>
      <c r="BX2216" s="2" t="s">
        <v>233</v>
      </c>
      <c r="BY2216" s="2" t="s">
        <v>280</v>
      </c>
      <c r="BZ2216" s="2" t="s">
        <v>245</v>
      </c>
      <c r="CA2216" s="2" t="s">
        <v>1404</v>
      </c>
      <c r="CB2216" s="2" t="s">
        <v>233</v>
      </c>
      <c r="CC2216" s="2" t="s">
        <v>246</v>
      </c>
      <c r="CD2216" s="2" t="s">
        <v>233</v>
      </c>
      <c r="CE2216" s="4"/>
      <c r="CF2216" s="4">
        <v>20</v>
      </c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/>
      <c r="HD2216" s="4"/>
      <c r="HE2216" s="4"/>
      <c r="HF2216" s="4"/>
      <c r="HG2216" s="4"/>
      <c r="HH2216" s="4"/>
      <c r="HI2216" s="4"/>
      <c r="HJ2216" s="4"/>
      <c r="HK2216" s="4"/>
      <c r="HL2216" s="4"/>
      <c r="HM2216" s="4"/>
      <c r="HN2216" s="4"/>
      <c r="HO2216" s="4"/>
      <c r="HP2216" s="4"/>
      <c r="HQ2216" s="4"/>
      <c r="HR2216" s="4"/>
    </row>
    <row r="2217">
      <c r="A2217" s="2" t="s">
        <v>9918</v>
      </c>
      <c r="B2217" s="2" t="s">
        <v>1414</v>
      </c>
      <c r="C2217" s="2" t="s">
        <v>530</v>
      </c>
      <c r="D2217" s="2" t="s">
        <v>1414</v>
      </c>
      <c r="E2217" s="2" t="s">
        <v>1414</v>
      </c>
      <c r="F2217" s="2" t="s">
        <v>9901</v>
      </c>
      <c r="G2217" s="2" t="s">
        <v>9902</v>
      </c>
      <c r="H2217" s="2" t="s">
        <v>9903</v>
      </c>
      <c r="I2217" s="2" t="s">
        <v>9904</v>
      </c>
      <c r="J2217" s="2" t="s">
        <v>1418</v>
      </c>
      <c r="K2217" s="2" t="s">
        <v>9915</v>
      </c>
      <c r="L2217" s="3">
        <v>65.45</v>
      </c>
      <c r="M2217" s="3">
        <v>68.72</v>
      </c>
      <c r="N2217" s="3">
        <v>149.99</v>
      </c>
      <c r="O2217" s="2" t="s">
        <v>245</v>
      </c>
      <c r="P2217" s="2" t="s">
        <v>311</v>
      </c>
      <c r="Q2217" s="2" t="s">
        <v>239</v>
      </c>
      <c r="R2217" s="2" t="s">
        <v>233</v>
      </c>
      <c r="S2217" s="2" t="s">
        <v>233</v>
      </c>
      <c r="T2217" s="2" t="s">
        <v>233</v>
      </c>
      <c r="U2217" s="2" t="s">
        <v>396</v>
      </c>
      <c r="V2217" s="2" t="s">
        <v>921</v>
      </c>
      <c r="W2217" s="2" t="s">
        <v>397</v>
      </c>
      <c r="X2217" s="2" t="s">
        <v>233</v>
      </c>
      <c r="Y2217" s="2" t="s">
        <v>5990</v>
      </c>
      <c r="Z2217" s="4">
        <v>304</v>
      </c>
      <c r="AA2217" s="4">
        <f>=ROUNDDOWN(152,0)</f>
      </c>
      <c r="AB2217" s="5">
        <v>2</v>
      </c>
      <c r="AC2217" s="2" t="s">
        <v>233</v>
      </c>
      <c r="AD2217" s="4"/>
      <c r="AE2217" s="4"/>
      <c r="AF2217" s="6">
        <v>63</v>
      </c>
      <c r="AG2217" s="6"/>
      <c r="AH2217" s="7">
        <v>1</v>
      </c>
      <c r="AI2217" s="4"/>
      <c r="AJ2217" s="4">
        <f>=ROUNDDOWN({0},0)</f>
      </c>
      <c r="AK2217" s="5"/>
      <c r="AL2217" s="2" t="s">
        <v>233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 t="s">
        <v>233</v>
      </c>
      <c r="AW2217" s="8" t="s">
        <v>233</v>
      </c>
      <c r="AX2217" s="4" t="s">
        <v>233</v>
      </c>
      <c r="AY2217" s="8" t="s">
        <v>233</v>
      </c>
      <c r="AZ2217" s="7" t="s">
        <v>233</v>
      </c>
      <c r="BA2217" s="7" t="s">
        <v>233</v>
      </c>
      <c r="BB2217" s="7"/>
      <c r="BC2217" s="4" t="s">
        <v>233</v>
      </c>
      <c r="BD2217" s="8" t="s">
        <v>233</v>
      </c>
      <c r="BE2217" s="4" t="s">
        <v>233</v>
      </c>
      <c r="BF2217" s="8" t="s">
        <v>233</v>
      </c>
      <c r="BG2217" s="7" t="s">
        <v>233</v>
      </c>
      <c r="BH2217" s="7" t="s">
        <v>233</v>
      </c>
      <c r="BI2217" s="7"/>
      <c r="BJ2217" s="4">
        <v>4</v>
      </c>
      <c r="BK2217" s="8">
        <v>216.48</v>
      </c>
      <c r="BL2217" s="2" t="s">
        <v>6053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9919</v>
      </c>
      <c r="BV2217" s="2" t="s">
        <v>233</v>
      </c>
      <c r="BW2217" s="2" t="s">
        <v>233</v>
      </c>
      <c r="BX2217" s="2" t="s">
        <v>233</v>
      </c>
      <c r="BY2217" s="2" t="s">
        <v>280</v>
      </c>
      <c r="BZ2217" s="2" t="s">
        <v>245</v>
      </c>
      <c r="CA2217" s="2" t="s">
        <v>1404</v>
      </c>
      <c r="CB2217" s="2" t="s">
        <v>1399</v>
      </c>
      <c r="CC2217" s="2" t="s">
        <v>246</v>
      </c>
      <c r="CD2217" s="2" t="s">
        <v>233</v>
      </c>
      <c r="CE2217" s="4"/>
      <c r="CF2217" s="4">
        <v>304</v>
      </c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/>
      <c r="HC2217" s="4"/>
      <c r="HD2217" s="4"/>
      <c r="HE2217" s="4"/>
      <c r="HF2217" s="4"/>
      <c r="HG2217" s="4"/>
      <c r="HH2217" s="4"/>
      <c r="HI2217" s="4"/>
      <c r="HJ2217" s="4"/>
      <c r="HK2217" s="4"/>
      <c r="HL2217" s="4"/>
      <c r="HM2217" s="4"/>
      <c r="HN2217" s="4"/>
      <c r="HO2217" s="4"/>
      <c r="HP2217" s="4"/>
      <c r="HQ2217" s="4"/>
      <c r="HR2217" s="4"/>
    </row>
    <row r="2218">
      <c r="A2218" s="2" t="s">
        <v>9920</v>
      </c>
      <c r="B2218" s="2" t="s">
        <v>1414</v>
      </c>
      <c r="C2218" s="2" t="s">
        <v>530</v>
      </c>
      <c r="D2218" s="2" t="s">
        <v>1414</v>
      </c>
      <c r="E2218" s="2" t="s">
        <v>1414</v>
      </c>
      <c r="F2218" s="2" t="s">
        <v>9901</v>
      </c>
      <c r="G2218" s="2" t="s">
        <v>9902</v>
      </c>
      <c r="H2218" s="2" t="s">
        <v>9903</v>
      </c>
      <c r="I2218" s="2" t="s">
        <v>9904</v>
      </c>
      <c r="J2218" s="2" t="s">
        <v>1426</v>
      </c>
      <c r="K2218" s="2" t="s">
        <v>9915</v>
      </c>
      <c r="L2218" s="3">
        <v>99.93</v>
      </c>
      <c r="M2218" s="3">
        <v>104.93</v>
      </c>
      <c r="N2218" s="3">
        <v>224.99</v>
      </c>
      <c r="O2218" s="2" t="s">
        <v>245</v>
      </c>
      <c r="P2218" s="2" t="s">
        <v>311</v>
      </c>
      <c r="Q2218" s="2" t="s">
        <v>239</v>
      </c>
      <c r="R2218" s="2" t="s">
        <v>233</v>
      </c>
      <c r="S2218" s="2" t="s">
        <v>233</v>
      </c>
      <c r="T2218" s="2" t="s">
        <v>233</v>
      </c>
      <c r="U2218" s="2" t="s">
        <v>396</v>
      </c>
      <c r="V2218" s="2" t="s">
        <v>921</v>
      </c>
      <c r="W2218" s="2" t="s">
        <v>397</v>
      </c>
      <c r="X2218" s="2" t="s">
        <v>233</v>
      </c>
      <c r="Y2218" s="2" t="s">
        <v>5990</v>
      </c>
      <c r="Z2218" s="4">
        <v>242</v>
      </c>
      <c r="AA2218" s="4">
        <f>=ROUNDDOWN(268.888888888889,0)</f>
      </c>
      <c r="AB2218" s="5">
        <v>0.9</v>
      </c>
      <c r="AC2218" s="2" t="s">
        <v>233</v>
      </c>
      <c r="AD2218" s="4"/>
      <c r="AE2218" s="4"/>
      <c r="AF2218" s="6">
        <v>63</v>
      </c>
      <c r="AG2218" s="6"/>
      <c r="AH2218" s="7">
        <v>1</v>
      </c>
      <c r="AI2218" s="4"/>
      <c r="AJ2218" s="4">
        <f>=ROUNDDOWN({0},0)</f>
      </c>
      <c r="AK2218" s="5"/>
      <c r="AL2218" s="2" t="s">
        <v>233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233</v>
      </c>
      <c r="AW2218" s="8" t="s">
        <v>233</v>
      </c>
      <c r="AX2218" s="4" t="s">
        <v>233</v>
      </c>
      <c r="AY2218" s="8" t="s">
        <v>233</v>
      </c>
      <c r="AZ2218" s="7" t="s">
        <v>233</v>
      </c>
      <c r="BA2218" s="7" t="s">
        <v>233</v>
      </c>
      <c r="BB2218" s="7"/>
      <c r="BC2218" s="4" t="s">
        <v>233</v>
      </c>
      <c r="BD2218" s="8" t="s">
        <v>233</v>
      </c>
      <c r="BE2218" s="4" t="s">
        <v>233</v>
      </c>
      <c r="BF2218" s="8" t="s">
        <v>233</v>
      </c>
      <c r="BG2218" s="7" t="s">
        <v>233</v>
      </c>
      <c r="BH2218" s="7" t="s">
        <v>233</v>
      </c>
      <c r="BI2218" s="7"/>
      <c r="BJ2218" s="4">
        <v>3</v>
      </c>
      <c r="BK2218" s="8">
        <v>220.35</v>
      </c>
      <c r="BL2218" s="2" t="s">
        <v>3091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9921</v>
      </c>
      <c r="BV2218" s="2" t="s">
        <v>233</v>
      </c>
      <c r="BW2218" s="2" t="s">
        <v>233</v>
      </c>
      <c r="BX2218" s="2" t="s">
        <v>233</v>
      </c>
      <c r="BY2218" s="2" t="s">
        <v>280</v>
      </c>
      <c r="BZ2218" s="2" t="s">
        <v>245</v>
      </c>
      <c r="CA2218" s="2" t="s">
        <v>1404</v>
      </c>
      <c r="CB2218" s="2" t="s">
        <v>233</v>
      </c>
      <c r="CC2218" s="2" t="s">
        <v>246</v>
      </c>
      <c r="CD2218" s="2" t="s">
        <v>233</v>
      </c>
      <c r="CE2218" s="4"/>
      <c r="CF2218" s="4">
        <v>242</v>
      </c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/>
      <c r="HC2218" s="4"/>
      <c r="HD2218" s="4"/>
      <c r="HE2218" s="4"/>
      <c r="HF2218" s="4"/>
      <c r="HG2218" s="4"/>
      <c r="HH2218" s="4"/>
      <c r="HI2218" s="4"/>
      <c r="HJ2218" s="4"/>
      <c r="HK2218" s="4"/>
      <c r="HL2218" s="4"/>
      <c r="HM2218" s="4"/>
      <c r="HN2218" s="4"/>
      <c r="HO2218" s="4"/>
      <c r="HP2218" s="4"/>
      <c r="HQ2218" s="4"/>
      <c r="HR2218" s="4"/>
    </row>
    <row r="2219">
      <c r="A2219" s="2" t="s">
        <v>9922</v>
      </c>
      <c r="B2219" s="2" t="s">
        <v>228</v>
      </c>
      <c r="C2219" s="2" t="s">
        <v>530</v>
      </c>
      <c r="D2219" s="2" t="s">
        <v>969</v>
      </c>
      <c r="E2219" s="2" t="s">
        <v>970</v>
      </c>
      <c r="F2219" s="2" t="s">
        <v>9923</v>
      </c>
      <c r="G2219" s="2" t="s">
        <v>5067</v>
      </c>
      <c r="H2219" s="2" t="s">
        <v>5067</v>
      </c>
      <c r="I2219" s="2" t="s">
        <v>9924</v>
      </c>
      <c r="J2219" s="2" t="s">
        <v>270</v>
      </c>
      <c r="K2219" s="2" t="s">
        <v>984</v>
      </c>
      <c r="L2219" s="3">
        <v>47.61</v>
      </c>
      <c r="M2219" s="3">
        <v>49.99</v>
      </c>
      <c r="N2219" s="3">
        <v>99.99</v>
      </c>
      <c r="O2219" s="2" t="s">
        <v>245</v>
      </c>
      <c r="P2219" s="2" t="s">
        <v>974</v>
      </c>
      <c r="Q2219" s="2" t="s">
        <v>239</v>
      </c>
      <c r="R2219" s="2" t="s">
        <v>233</v>
      </c>
      <c r="S2219" s="2" t="s">
        <v>9925</v>
      </c>
      <c r="T2219" s="2" t="s">
        <v>9926</v>
      </c>
      <c r="U2219" s="2" t="s">
        <v>491</v>
      </c>
      <c r="V2219" s="2" t="s">
        <v>241</v>
      </c>
      <c r="W2219" s="2" t="s">
        <v>977</v>
      </c>
      <c r="X2219" s="2" t="s">
        <v>978</v>
      </c>
      <c r="Y2219" s="2" t="s">
        <v>233</v>
      </c>
      <c r="Z2219" s="4"/>
      <c r="AA2219" s="4">
        <f>=ROUNDDOWN({0},0)</f>
      </c>
      <c r="AB2219" s="5"/>
      <c r="AC2219" s="2" t="s">
        <v>979</v>
      </c>
      <c r="AD2219" s="4">
        <v>60</v>
      </c>
      <c r="AE2219" s="4">
        <v>60</v>
      </c>
      <c r="AF2219" s="6">
        <v>65</v>
      </c>
      <c r="AG2219" s="6"/>
      <c r="AH2219" s="7">
        <v>0</v>
      </c>
      <c r="AI2219" s="4"/>
      <c r="AJ2219" s="4">
        <f>=ROUNDDOWN({0},0)</f>
      </c>
      <c r="AK2219" s="5"/>
      <c r="AL2219" s="2" t="s">
        <v>233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233</v>
      </c>
      <c r="AW2219" s="8" t="s">
        <v>233</v>
      </c>
      <c r="AX2219" s="4" t="s">
        <v>233</v>
      </c>
      <c r="AY2219" s="8" t="s">
        <v>233</v>
      </c>
      <c r="AZ2219" s="7" t="s">
        <v>233</v>
      </c>
      <c r="BA2219" s="7" t="s">
        <v>233</v>
      </c>
      <c r="BB2219" s="7"/>
      <c r="BC2219" s="4" t="s">
        <v>233</v>
      </c>
      <c r="BD2219" s="8" t="s">
        <v>233</v>
      </c>
      <c r="BE2219" s="4" t="s">
        <v>233</v>
      </c>
      <c r="BF2219" s="8" t="s">
        <v>233</v>
      </c>
      <c r="BG2219" s="7" t="s">
        <v>233</v>
      </c>
      <c r="BH2219" s="7" t="s">
        <v>233</v>
      </c>
      <c r="BI2219" s="7"/>
      <c r="BJ2219" s="4"/>
      <c r="BK2219" s="8"/>
      <c r="BL2219" s="2" t="s">
        <v>233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243</v>
      </c>
      <c r="BV2219" s="2" t="s">
        <v>233</v>
      </c>
      <c r="BW2219" s="2" t="s">
        <v>233</v>
      </c>
      <c r="BX2219" s="2" t="s">
        <v>243</v>
      </c>
      <c r="BY2219" s="2" t="s">
        <v>244</v>
      </c>
      <c r="BZ2219" s="2" t="s">
        <v>245</v>
      </c>
      <c r="CA2219" s="2" t="s">
        <v>233</v>
      </c>
      <c r="CB2219" s="2" t="s">
        <v>233</v>
      </c>
      <c r="CC2219" s="2" t="s">
        <v>246</v>
      </c>
      <c r="CD2219" s="2" t="s">
        <v>233</v>
      </c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>
        <v>60</v>
      </c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/>
      <c r="HD2219" s="4"/>
      <c r="HE2219" s="4"/>
      <c r="HF2219" s="4"/>
      <c r="HG2219" s="4"/>
      <c r="HH2219" s="4"/>
      <c r="HI2219" s="4"/>
      <c r="HJ2219" s="4"/>
      <c r="HK2219" s="4"/>
      <c r="HL2219" s="4"/>
      <c r="HM2219" s="4"/>
      <c r="HN2219" s="4"/>
      <c r="HO2219" s="4"/>
      <c r="HP2219" s="4"/>
      <c r="HQ2219" s="4"/>
      <c r="HR2219" s="4"/>
    </row>
    <row r="2220">
      <c r="A2220" s="2" t="s">
        <v>9927</v>
      </c>
      <c r="B2220" s="2" t="s">
        <v>228</v>
      </c>
      <c r="C2220" s="2" t="s">
        <v>530</v>
      </c>
      <c r="D2220" s="2" t="s">
        <v>969</v>
      </c>
      <c r="E2220" s="2" t="s">
        <v>970</v>
      </c>
      <c r="F2220" s="2" t="s">
        <v>9923</v>
      </c>
      <c r="G2220" s="2" t="s">
        <v>5067</v>
      </c>
      <c r="H2220" s="2" t="s">
        <v>5067</v>
      </c>
      <c r="I2220" s="2" t="s">
        <v>9924</v>
      </c>
      <c r="J2220" s="2" t="s">
        <v>981</v>
      </c>
      <c r="K2220" s="2" t="s">
        <v>984</v>
      </c>
      <c r="L2220" s="3">
        <v>61.9</v>
      </c>
      <c r="M2220" s="3">
        <v>65</v>
      </c>
      <c r="N2220" s="3">
        <v>129.99</v>
      </c>
      <c r="O2220" s="2" t="s">
        <v>245</v>
      </c>
      <c r="P2220" s="2" t="s">
        <v>974</v>
      </c>
      <c r="Q2220" s="2" t="s">
        <v>239</v>
      </c>
      <c r="R2220" s="2" t="s">
        <v>233</v>
      </c>
      <c r="S2220" s="2" t="s">
        <v>9925</v>
      </c>
      <c r="T2220" s="2" t="s">
        <v>9926</v>
      </c>
      <c r="U2220" s="2" t="s">
        <v>475</v>
      </c>
      <c r="V2220" s="2" t="s">
        <v>241</v>
      </c>
      <c r="W2220" s="2" t="s">
        <v>977</v>
      </c>
      <c r="X2220" s="2" t="s">
        <v>978</v>
      </c>
      <c r="Y2220" s="2" t="s">
        <v>233</v>
      </c>
      <c r="Z2220" s="4"/>
      <c r="AA2220" s="4">
        <f>=ROUNDDOWN({0},0)</f>
      </c>
      <c r="AB2220" s="5"/>
      <c r="AC2220" s="2" t="s">
        <v>979</v>
      </c>
      <c r="AD2220" s="4">
        <v>155</v>
      </c>
      <c r="AE2220" s="4">
        <v>155</v>
      </c>
      <c r="AF2220" s="6">
        <v>65</v>
      </c>
      <c r="AG2220" s="6"/>
      <c r="AH2220" s="7">
        <v>0</v>
      </c>
      <c r="AI2220" s="4"/>
      <c r="AJ2220" s="4">
        <f>=ROUNDDOWN({0},0)</f>
      </c>
      <c r="AK2220" s="5"/>
      <c r="AL2220" s="2" t="s">
        <v>233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 t="s">
        <v>233</v>
      </c>
      <c r="AW2220" s="8" t="s">
        <v>233</v>
      </c>
      <c r="AX2220" s="4" t="s">
        <v>233</v>
      </c>
      <c r="AY2220" s="8" t="s">
        <v>233</v>
      </c>
      <c r="AZ2220" s="7" t="s">
        <v>233</v>
      </c>
      <c r="BA2220" s="7" t="s">
        <v>233</v>
      </c>
      <c r="BB2220" s="7"/>
      <c r="BC2220" s="4" t="s">
        <v>233</v>
      </c>
      <c r="BD2220" s="8" t="s">
        <v>233</v>
      </c>
      <c r="BE2220" s="4" t="s">
        <v>233</v>
      </c>
      <c r="BF2220" s="8" t="s">
        <v>233</v>
      </c>
      <c r="BG2220" s="7" t="s">
        <v>233</v>
      </c>
      <c r="BH2220" s="7" t="s">
        <v>233</v>
      </c>
      <c r="BI2220" s="7"/>
      <c r="BJ2220" s="4"/>
      <c r="BK2220" s="8"/>
      <c r="BL2220" s="2" t="s">
        <v>233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243</v>
      </c>
      <c r="BV2220" s="2" t="s">
        <v>233</v>
      </c>
      <c r="BW2220" s="2" t="s">
        <v>233</v>
      </c>
      <c r="BX2220" s="2" t="s">
        <v>243</v>
      </c>
      <c r="BY2220" s="2" t="s">
        <v>244</v>
      </c>
      <c r="BZ2220" s="2" t="s">
        <v>245</v>
      </c>
      <c r="CA2220" s="2" t="s">
        <v>233</v>
      </c>
      <c r="CB2220" s="2" t="s">
        <v>233</v>
      </c>
      <c r="CC2220" s="2" t="s">
        <v>246</v>
      </c>
      <c r="CD2220" s="2" t="s">
        <v>233</v>
      </c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>
        <v>155</v>
      </c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/>
      <c r="HD2220" s="4"/>
      <c r="HE2220" s="4"/>
      <c r="HF2220" s="4"/>
      <c r="HG2220" s="4"/>
      <c r="HH2220" s="4"/>
      <c r="HI2220" s="4"/>
      <c r="HJ2220" s="4"/>
      <c r="HK2220" s="4"/>
      <c r="HL2220" s="4"/>
      <c r="HM2220" s="4"/>
      <c r="HN2220" s="4"/>
      <c r="HO2220" s="4"/>
      <c r="HP2220" s="4"/>
      <c r="HQ2220" s="4"/>
      <c r="HR2220" s="4"/>
    </row>
    <row r="2221">
      <c r="A2221" s="2" t="s">
        <v>9928</v>
      </c>
      <c r="B2221" s="2" t="s">
        <v>228</v>
      </c>
      <c r="C2221" s="2" t="s">
        <v>530</v>
      </c>
      <c r="D2221" s="2" t="s">
        <v>969</v>
      </c>
      <c r="E2221" s="2" t="s">
        <v>970</v>
      </c>
      <c r="F2221" s="2" t="s">
        <v>9923</v>
      </c>
      <c r="G2221" s="2" t="s">
        <v>5067</v>
      </c>
      <c r="H2221" s="2" t="s">
        <v>5067</v>
      </c>
      <c r="I2221" s="2" t="s">
        <v>9924</v>
      </c>
      <c r="J2221" s="2" t="s">
        <v>328</v>
      </c>
      <c r="K2221" s="2" t="s">
        <v>984</v>
      </c>
      <c r="L2221" s="3">
        <v>71.42</v>
      </c>
      <c r="M2221" s="3">
        <v>74.99</v>
      </c>
      <c r="N2221" s="3">
        <v>149.99</v>
      </c>
      <c r="O2221" s="2" t="s">
        <v>245</v>
      </c>
      <c r="P2221" s="2" t="s">
        <v>974</v>
      </c>
      <c r="Q2221" s="2" t="s">
        <v>239</v>
      </c>
      <c r="R2221" s="2" t="s">
        <v>233</v>
      </c>
      <c r="S2221" s="2" t="s">
        <v>9925</v>
      </c>
      <c r="T2221" s="2" t="s">
        <v>9926</v>
      </c>
      <c r="U2221" s="2" t="s">
        <v>475</v>
      </c>
      <c r="V2221" s="2" t="s">
        <v>241</v>
      </c>
      <c r="W2221" s="2" t="s">
        <v>977</v>
      </c>
      <c r="X2221" s="2" t="s">
        <v>978</v>
      </c>
      <c r="Y2221" s="2" t="s">
        <v>233</v>
      </c>
      <c r="Z2221" s="4"/>
      <c r="AA2221" s="4">
        <f>=ROUNDDOWN({0},0)</f>
      </c>
      <c r="AB2221" s="5"/>
      <c r="AC2221" s="2" t="s">
        <v>979</v>
      </c>
      <c r="AD2221" s="4">
        <v>180</v>
      </c>
      <c r="AE2221" s="4">
        <v>180</v>
      </c>
      <c r="AF2221" s="6">
        <v>65</v>
      </c>
      <c r="AG2221" s="6"/>
      <c r="AH2221" s="7">
        <v>0</v>
      </c>
      <c r="AI2221" s="4"/>
      <c r="AJ2221" s="4">
        <f>=ROUNDDOWN({0},0)</f>
      </c>
      <c r="AK2221" s="5"/>
      <c r="AL2221" s="2" t="s">
        <v>233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 t="s">
        <v>233</v>
      </c>
      <c r="AW2221" s="8" t="s">
        <v>233</v>
      </c>
      <c r="AX2221" s="4" t="s">
        <v>233</v>
      </c>
      <c r="AY2221" s="8" t="s">
        <v>233</v>
      </c>
      <c r="AZ2221" s="7" t="s">
        <v>233</v>
      </c>
      <c r="BA2221" s="7" t="s">
        <v>233</v>
      </c>
      <c r="BB2221" s="7"/>
      <c r="BC2221" s="4" t="s">
        <v>233</v>
      </c>
      <c r="BD2221" s="8" t="s">
        <v>233</v>
      </c>
      <c r="BE2221" s="4" t="s">
        <v>233</v>
      </c>
      <c r="BF2221" s="8" t="s">
        <v>233</v>
      </c>
      <c r="BG2221" s="7" t="s">
        <v>233</v>
      </c>
      <c r="BH2221" s="7" t="s">
        <v>233</v>
      </c>
      <c r="BI2221" s="7"/>
      <c r="BJ2221" s="4"/>
      <c r="BK2221" s="8"/>
      <c r="BL2221" s="2" t="s">
        <v>233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243</v>
      </c>
      <c r="BV2221" s="2" t="s">
        <v>233</v>
      </c>
      <c r="BW2221" s="2" t="s">
        <v>233</v>
      </c>
      <c r="BX2221" s="2" t="s">
        <v>243</v>
      </c>
      <c r="BY2221" s="2" t="s">
        <v>244</v>
      </c>
      <c r="BZ2221" s="2" t="s">
        <v>245</v>
      </c>
      <c r="CA2221" s="2" t="s">
        <v>233</v>
      </c>
      <c r="CB2221" s="2" t="s">
        <v>233</v>
      </c>
      <c r="CC2221" s="2" t="s">
        <v>246</v>
      </c>
      <c r="CD2221" s="2" t="s">
        <v>233</v>
      </c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>
        <v>180</v>
      </c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/>
      <c r="HD2221" s="4"/>
      <c r="HE2221" s="4"/>
      <c r="HF2221" s="4"/>
      <c r="HG2221" s="4"/>
      <c r="HH2221" s="4"/>
      <c r="HI2221" s="4"/>
      <c r="HJ2221" s="4"/>
      <c r="HK2221" s="4"/>
      <c r="HL2221" s="4"/>
      <c r="HM2221" s="4"/>
      <c r="HN2221" s="4"/>
      <c r="HO2221" s="4"/>
      <c r="HP2221" s="4"/>
      <c r="HQ2221" s="4"/>
      <c r="HR2221" s="4"/>
    </row>
    <row r="2222">
      <c r="A2222" s="2" t="s">
        <v>9929</v>
      </c>
      <c r="B2222" s="2" t="s">
        <v>910</v>
      </c>
      <c r="C2222" s="2" t="s">
        <v>911</v>
      </c>
      <c r="D2222" s="2" t="s">
        <v>969</v>
      </c>
      <c r="E2222" s="2" t="s">
        <v>3334</v>
      </c>
      <c r="F2222" s="2" t="s">
        <v>9930</v>
      </c>
      <c r="G2222" s="2" t="s">
        <v>9931</v>
      </c>
      <c r="H2222" s="2" t="s">
        <v>9932</v>
      </c>
      <c r="I2222" s="2" t="s">
        <v>9933</v>
      </c>
      <c r="J2222" s="2" t="s">
        <v>270</v>
      </c>
      <c r="K2222" s="2" t="s">
        <v>9934</v>
      </c>
      <c r="L2222" s="3">
        <v>33.6</v>
      </c>
      <c r="M2222" s="3">
        <v>35.28</v>
      </c>
      <c r="N2222" s="3">
        <v>74.99</v>
      </c>
      <c r="O2222" s="2" t="s">
        <v>245</v>
      </c>
      <c r="P2222" s="2" t="s">
        <v>272</v>
      </c>
      <c r="Q2222" s="2" t="s">
        <v>239</v>
      </c>
      <c r="R2222" s="2" t="s">
        <v>233</v>
      </c>
      <c r="S2222" s="2" t="s">
        <v>9935</v>
      </c>
      <c r="T2222" s="2" t="s">
        <v>395</v>
      </c>
      <c r="U2222" s="2" t="s">
        <v>1507</v>
      </c>
      <c r="V2222" s="2" t="s">
        <v>1340</v>
      </c>
      <c r="W2222" s="2" t="s">
        <v>275</v>
      </c>
      <c r="X2222" s="2" t="s">
        <v>978</v>
      </c>
      <c r="Y2222" s="2" t="s">
        <v>233</v>
      </c>
      <c r="Z2222" s="4"/>
      <c r="AA2222" s="4">
        <f>=ROUNDDOWN({0},0)</f>
      </c>
      <c r="AB2222" s="5"/>
      <c r="AC2222" s="2" t="s">
        <v>9936</v>
      </c>
      <c r="AD2222" s="4">
        <v>100</v>
      </c>
      <c r="AE2222" s="4">
        <v>200</v>
      </c>
      <c r="AF2222" s="6"/>
      <c r="AG2222" s="6"/>
      <c r="AH2222" s="7">
        <v>0</v>
      </c>
      <c r="AI2222" s="4"/>
      <c r="AJ2222" s="4">
        <f>=ROUNDDOWN({0},0)</f>
      </c>
      <c r="AK2222" s="5"/>
      <c r="AL2222" s="2" t="s">
        <v>233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 t="s">
        <v>233</v>
      </c>
      <c r="AW2222" s="8" t="s">
        <v>233</v>
      </c>
      <c r="AX2222" s="4" t="s">
        <v>233</v>
      </c>
      <c r="AY2222" s="8" t="s">
        <v>233</v>
      </c>
      <c r="AZ2222" s="7" t="s">
        <v>233</v>
      </c>
      <c r="BA2222" s="7" t="s">
        <v>233</v>
      </c>
      <c r="BB2222" s="7"/>
      <c r="BC2222" s="4" t="s">
        <v>233</v>
      </c>
      <c r="BD2222" s="8" t="s">
        <v>233</v>
      </c>
      <c r="BE2222" s="4" t="s">
        <v>233</v>
      </c>
      <c r="BF2222" s="8" t="s">
        <v>233</v>
      </c>
      <c r="BG2222" s="7" t="s">
        <v>233</v>
      </c>
      <c r="BH2222" s="7" t="s">
        <v>233</v>
      </c>
      <c r="BI2222" s="7"/>
      <c r="BJ2222" s="4"/>
      <c r="BK2222" s="8"/>
      <c r="BL2222" s="2" t="s">
        <v>233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243</v>
      </c>
      <c r="BV2222" s="2" t="s">
        <v>233</v>
      </c>
      <c r="BW2222" s="2" t="s">
        <v>233</v>
      </c>
      <c r="BX2222" s="2" t="s">
        <v>243</v>
      </c>
      <c r="BY2222" s="2" t="s">
        <v>244</v>
      </c>
      <c r="BZ2222" s="2" t="s">
        <v>245</v>
      </c>
      <c r="CA2222" s="2" t="s">
        <v>233</v>
      </c>
      <c r="CB2222" s="2" t="s">
        <v>233</v>
      </c>
      <c r="CC2222" s="2" t="s">
        <v>246</v>
      </c>
      <c r="CD2222" s="2" t="s">
        <v>233</v>
      </c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>
        <v>100</v>
      </c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>
        <v>100</v>
      </c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  <c r="HF2222" s="4"/>
      <c r="HG2222" s="4"/>
      <c r="HH2222" s="4"/>
      <c r="HI2222" s="4"/>
      <c r="HJ2222" s="4"/>
      <c r="HK2222" s="4"/>
      <c r="HL2222" s="4"/>
      <c r="HM2222" s="4"/>
      <c r="HN2222" s="4"/>
      <c r="HO2222" s="4"/>
      <c r="HP2222" s="4"/>
      <c r="HQ2222" s="4"/>
      <c r="HR2222" s="4"/>
    </row>
    <row r="2223">
      <c r="A2223" s="2" t="s">
        <v>9937</v>
      </c>
      <c r="B2223" s="2" t="s">
        <v>910</v>
      </c>
      <c r="C2223" s="2" t="s">
        <v>911</v>
      </c>
      <c r="D2223" s="2" t="s">
        <v>969</v>
      </c>
      <c r="E2223" s="2" t="s">
        <v>3334</v>
      </c>
      <c r="F2223" s="2" t="s">
        <v>9930</v>
      </c>
      <c r="G2223" s="2" t="s">
        <v>9931</v>
      </c>
      <c r="H2223" s="2" t="s">
        <v>9932</v>
      </c>
      <c r="I2223" s="2" t="s">
        <v>9933</v>
      </c>
      <c r="J2223" s="2" t="s">
        <v>284</v>
      </c>
      <c r="K2223" s="2" t="s">
        <v>9934</v>
      </c>
      <c r="L2223" s="3">
        <v>35.52</v>
      </c>
      <c r="M2223" s="3">
        <v>37.3</v>
      </c>
      <c r="N2223" s="3">
        <v>78.99</v>
      </c>
      <c r="O2223" s="2" t="s">
        <v>245</v>
      </c>
      <c r="P2223" s="2" t="s">
        <v>272</v>
      </c>
      <c r="Q2223" s="2" t="s">
        <v>239</v>
      </c>
      <c r="R2223" s="2" t="s">
        <v>233</v>
      </c>
      <c r="S2223" s="2" t="s">
        <v>9935</v>
      </c>
      <c r="T2223" s="2" t="s">
        <v>395</v>
      </c>
      <c r="U2223" s="2" t="s">
        <v>1507</v>
      </c>
      <c r="V2223" s="2" t="s">
        <v>1340</v>
      </c>
      <c r="W2223" s="2" t="s">
        <v>275</v>
      </c>
      <c r="X2223" s="2" t="s">
        <v>978</v>
      </c>
      <c r="Y2223" s="2" t="s">
        <v>233</v>
      </c>
      <c r="Z2223" s="4"/>
      <c r="AA2223" s="4">
        <f>=ROUNDDOWN({0},0)</f>
      </c>
      <c r="AB2223" s="5"/>
      <c r="AC2223" s="2" t="s">
        <v>9936</v>
      </c>
      <c r="AD2223" s="4">
        <v>140</v>
      </c>
      <c r="AE2223" s="4">
        <v>280</v>
      </c>
      <c r="AF2223" s="6"/>
      <c r="AG2223" s="6"/>
      <c r="AH2223" s="7">
        <v>0</v>
      </c>
      <c r="AI2223" s="4"/>
      <c r="AJ2223" s="4">
        <f>=ROUNDDOWN({0},0)</f>
      </c>
      <c r="AK2223" s="5"/>
      <c r="AL2223" s="2" t="s">
        <v>233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 t="s">
        <v>233</v>
      </c>
      <c r="AW2223" s="8" t="s">
        <v>233</v>
      </c>
      <c r="AX2223" s="4" t="s">
        <v>233</v>
      </c>
      <c r="AY2223" s="8" t="s">
        <v>233</v>
      </c>
      <c r="AZ2223" s="7" t="s">
        <v>233</v>
      </c>
      <c r="BA2223" s="7" t="s">
        <v>233</v>
      </c>
      <c r="BB2223" s="7"/>
      <c r="BC2223" s="4" t="s">
        <v>233</v>
      </c>
      <c r="BD2223" s="8" t="s">
        <v>233</v>
      </c>
      <c r="BE2223" s="4" t="s">
        <v>233</v>
      </c>
      <c r="BF2223" s="8" t="s">
        <v>233</v>
      </c>
      <c r="BG2223" s="7" t="s">
        <v>233</v>
      </c>
      <c r="BH2223" s="7" t="s">
        <v>233</v>
      </c>
      <c r="BI2223" s="7"/>
      <c r="BJ2223" s="4"/>
      <c r="BK2223" s="8"/>
      <c r="BL2223" s="2" t="s">
        <v>233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243</v>
      </c>
      <c r="BV2223" s="2" t="s">
        <v>233</v>
      </c>
      <c r="BW2223" s="2" t="s">
        <v>233</v>
      </c>
      <c r="BX2223" s="2" t="s">
        <v>243</v>
      </c>
      <c r="BY2223" s="2" t="s">
        <v>244</v>
      </c>
      <c r="BZ2223" s="2" t="s">
        <v>245</v>
      </c>
      <c r="CA2223" s="2" t="s">
        <v>233</v>
      </c>
      <c r="CB2223" s="2" t="s">
        <v>233</v>
      </c>
      <c r="CC2223" s="2" t="s">
        <v>246</v>
      </c>
      <c r="CD2223" s="2" t="s">
        <v>233</v>
      </c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>
        <v>140</v>
      </c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>
        <v>140</v>
      </c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4"/>
      <c r="HG2223" s="4"/>
      <c r="HH2223" s="4"/>
      <c r="HI2223" s="4"/>
      <c r="HJ2223" s="4"/>
      <c r="HK2223" s="4"/>
      <c r="HL2223" s="4"/>
      <c r="HM2223" s="4"/>
      <c r="HN2223" s="4"/>
      <c r="HO2223" s="4"/>
      <c r="HP2223" s="4"/>
      <c r="HQ2223" s="4"/>
      <c r="HR2223" s="4"/>
    </row>
    <row r="2224">
      <c r="A2224" s="2" t="s">
        <v>9938</v>
      </c>
      <c r="B2224" s="2" t="s">
        <v>910</v>
      </c>
      <c r="C2224" s="2" t="s">
        <v>911</v>
      </c>
      <c r="D2224" s="2" t="s">
        <v>969</v>
      </c>
      <c r="E2224" s="2" t="s">
        <v>3334</v>
      </c>
      <c r="F2224" s="2" t="s">
        <v>9930</v>
      </c>
      <c r="G2224" s="2" t="s">
        <v>9931</v>
      </c>
      <c r="H2224" s="2" t="s">
        <v>9932</v>
      </c>
      <c r="I2224" s="2" t="s">
        <v>9933</v>
      </c>
      <c r="J2224" s="2" t="s">
        <v>290</v>
      </c>
      <c r="K2224" s="2" t="s">
        <v>9934</v>
      </c>
      <c r="L2224" s="3">
        <v>38.4</v>
      </c>
      <c r="M2224" s="3">
        <v>40.32</v>
      </c>
      <c r="N2224" s="3">
        <v>84.99</v>
      </c>
      <c r="O2224" s="2" t="s">
        <v>245</v>
      </c>
      <c r="P2224" s="2" t="s">
        <v>272</v>
      </c>
      <c r="Q2224" s="2" t="s">
        <v>239</v>
      </c>
      <c r="R2224" s="2" t="s">
        <v>233</v>
      </c>
      <c r="S2224" s="2" t="s">
        <v>9935</v>
      </c>
      <c r="T2224" s="2" t="s">
        <v>395</v>
      </c>
      <c r="U2224" s="2" t="s">
        <v>3165</v>
      </c>
      <c r="V2224" s="2" t="s">
        <v>1340</v>
      </c>
      <c r="W2224" s="2" t="s">
        <v>275</v>
      </c>
      <c r="X2224" s="2" t="s">
        <v>978</v>
      </c>
      <c r="Y2224" s="2" t="s">
        <v>233</v>
      </c>
      <c r="Z2224" s="4"/>
      <c r="AA2224" s="4">
        <f>=ROUNDDOWN({0},0)</f>
      </c>
      <c r="AB2224" s="5"/>
      <c r="AC2224" s="2" t="s">
        <v>9936</v>
      </c>
      <c r="AD2224" s="4">
        <v>170</v>
      </c>
      <c r="AE2224" s="4">
        <v>340</v>
      </c>
      <c r="AF2224" s="6"/>
      <c r="AG2224" s="6"/>
      <c r="AH2224" s="7">
        <v>0</v>
      </c>
      <c r="AI2224" s="4"/>
      <c r="AJ2224" s="4">
        <f>=ROUNDDOWN({0},0)</f>
      </c>
      <c r="AK2224" s="5"/>
      <c r="AL2224" s="2" t="s">
        <v>233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 t="s">
        <v>233</v>
      </c>
      <c r="AW2224" s="8" t="s">
        <v>233</v>
      </c>
      <c r="AX2224" s="4" t="s">
        <v>233</v>
      </c>
      <c r="AY2224" s="8" t="s">
        <v>233</v>
      </c>
      <c r="AZ2224" s="7" t="s">
        <v>233</v>
      </c>
      <c r="BA2224" s="7" t="s">
        <v>233</v>
      </c>
      <c r="BB2224" s="7"/>
      <c r="BC2224" s="4" t="s">
        <v>233</v>
      </c>
      <c r="BD2224" s="8" t="s">
        <v>233</v>
      </c>
      <c r="BE2224" s="4" t="s">
        <v>233</v>
      </c>
      <c r="BF2224" s="8" t="s">
        <v>233</v>
      </c>
      <c r="BG2224" s="7" t="s">
        <v>233</v>
      </c>
      <c r="BH2224" s="7" t="s">
        <v>233</v>
      </c>
      <c r="BI2224" s="7"/>
      <c r="BJ2224" s="4"/>
      <c r="BK2224" s="8"/>
      <c r="BL2224" s="2" t="s">
        <v>233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243</v>
      </c>
      <c r="BV2224" s="2" t="s">
        <v>233</v>
      </c>
      <c r="BW2224" s="2" t="s">
        <v>233</v>
      </c>
      <c r="BX2224" s="2" t="s">
        <v>243</v>
      </c>
      <c r="BY2224" s="2" t="s">
        <v>244</v>
      </c>
      <c r="BZ2224" s="2" t="s">
        <v>245</v>
      </c>
      <c r="CA2224" s="2" t="s">
        <v>233</v>
      </c>
      <c r="CB2224" s="2" t="s">
        <v>233</v>
      </c>
      <c r="CC2224" s="2" t="s">
        <v>246</v>
      </c>
      <c r="CD2224" s="2" t="s">
        <v>233</v>
      </c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>
        <v>170</v>
      </c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>
        <v>170</v>
      </c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4"/>
      <c r="HG2224" s="4"/>
      <c r="HH2224" s="4"/>
      <c r="HI2224" s="4"/>
      <c r="HJ2224" s="4"/>
      <c r="HK2224" s="4"/>
      <c r="HL2224" s="4"/>
      <c r="HM2224" s="4"/>
      <c r="HN2224" s="4"/>
      <c r="HO2224" s="4"/>
      <c r="HP2224" s="4"/>
      <c r="HQ2224" s="4"/>
      <c r="HR2224" s="4"/>
    </row>
    <row r="2225">
      <c r="A2225" s="2" t="s">
        <v>9939</v>
      </c>
      <c r="B2225" s="2" t="s">
        <v>910</v>
      </c>
      <c r="C2225" s="2" t="s">
        <v>911</v>
      </c>
      <c r="D2225" s="2" t="s">
        <v>969</v>
      </c>
      <c r="E2225" s="2" t="s">
        <v>3334</v>
      </c>
      <c r="F2225" s="2" t="s">
        <v>9930</v>
      </c>
      <c r="G2225" s="2" t="s">
        <v>9931</v>
      </c>
      <c r="H2225" s="2" t="s">
        <v>9932</v>
      </c>
      <c r="I2225" s="2" t="s">
        <v>9933</v>
      </c>
      <c r="J2225" s="2" t="s">
        <v>348</v>
      </c>
      <c r="K2225" s="2" t="s">
        <v>9934</v>
      </c>
      <c r="L2225" s="3">
        <v>44.1</v>
      </c>
      <c r="M2225" s="3">
        <v>46.31</v>
      </c>
      <c r="N2225" s="3">
        <v>94.99</v>
      </c>
      <c r="O2225" s="2" t="s">
        <v>245</v>
      </c>
      <c r="P2225" s="2" t="s">
        <v>272</v>
      </c>
      <c r="Q2225" s="2" t="s">
        <v>239</v>
      </c>
      <c r="R2225" s="2" t="s">
        <v>233</v>
      </c>
      <c r="S2225" s="2" t="s">
        <v>9935</v>
      </c>
      <c r="T2225" s="2" t="s">
        <v>395</v>
      </c>
      <c r="U2225" s="2" t="s">
        <v>3165</v>
      </c>
      <c r="V2225" s="2" t="s">
        <v>1340</v>
      </c>
      <c r="W2225" s="2" t="s">
        <v>275</v>
      </c>
      <c r="X2225" s="2" t="s">
        <v>978</v>
      </c>
      <c r="Y2225" s="2" t="s">
        <v>233</v>
      </c>
      <c r="Z2225" s="4"/>
      <c r="AA2225" s="4">
        <f>=ROUNDDOWN({0},0)</f>
      </c>
      <c r="AB2225" s="5"/>
      <c r="AC2225" s="2" t="s">
        <v>9936</v>
      </c>
      <c r="AD2225" s="4">
        <v>190</v>
      </c>
      <c r="AE2225" s="4">
        <v>380</v>
      </c>
      <c r="AF2225" s="6"/>
      <c r="AG2225" s="6"/>
      <c r="AH2225" s="7">
        <v>0</v>
      </c>
      <c r="AI2225" s="4"/>
      <c r="AJ2225" s="4">
        <f>=ROUNDDOWN({0},0)</f>
      </c>
      <c r="AK2225" s="5"/>
      <c r="AL2225" s="2" t="s">
        <v>233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 t="s">
        <v>233</v>
      </c>
      <c r="AW2225" s="8" t="s">
        <v>233</v>
      </c>
      <c r="AX2225" s="4" t="s">
        <v>233</v>
      </c>
      <c r="AY2225" s="8" t="s">
        <v>233</v>
      </c>
      <c r="AZ2225" s="7" t="s">
        <v>233</v>
      </c>
      <c r="BA2225" s="7" t="s">
        <v>233</v>
      </c>
      <c r="BB2225" s="7"/>
      <c r="BC2225" s="4" t="s">
        <v>233</v>
      </c>
      <c r="BD2225" s="8" t="s">
        <v>233</v>
      </c>
      <c r="BE2225" s="4" t="s">
        <v>233</v>
      </c>
      <c r="BF2225" s="8" t="s">
        <v>233</v>
      </c>
      <c r="BG2225" s="7" t="s">
        <v>233</v>
      </c>
      <c r="BH2225" s="7" t="s">
        <v>233</v>
      </c>
      <c r="BI2225" s="7"/>
      <c r="BJ2225" s="4"/>
      <c r="BK2225" s="8"/>
      <c r="BL2225" s="2" t="s">
        <v>233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243</v>
      </c>
      <c r="BV2225" s="2" t="s">
        <v>233</v>
      </c>
      <c r="BW2225" s="2" t="s">
        <v>233</v>
      </c>
      <c r="BX2225" s="2" t="s">
        <v>243</v>
      </c>
      <c r="BY2225" s="2" t="s">
        <v>244</v>
      </c>
      <c r="BZ2225" s="2" t="s">
        <v>245</v>
      </c>
      <c r="CA2225" s="2" t="s">
        <v>233</v>
      </c>
      <c r="CB2225" s="2" t="s">
        <v>233</v>
      </c>
      <c r="CC2225" s="2" t="s">
        <v>246</v>
      </c>
      <c r="CD2225" s="2" t="s">
        <v>233</v>
      </c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>
        <v>190</v>
      </c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>
        <v>190</v>
      </c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4"/>
      <c r="HG2225" s="4"/>
      <c r="HH2225" s="4"/>
      <c r="HI2225" s="4"/>
      <c r="HJ2225" s="4"/>
      <c r="HK2225" s="4"/>
      <c r="HL2225" s="4"/>
      <c r="HM2225" s="4"/>
      <c r="HN2225" s="4"/>
      <c r="HO2225" s="4"/>
      <c r="HP2225" s="4"/>
      <c r="HQ2225" s="4"/>
      <c r="HR2225" s="4"/>
    </row>
    <row r="2226">
      <c r="A2226" s="2" t="s">
        <v>9940</v>
      </c>
      <c r="B2226" s="2" t="s">
        <v>1066</v>
      </c>
      <c r="C2226" s="2" t="s">
        <v>901</v>
      </c>
      <c r="D2226" s="2" t="s">
        <v>2037</v>
      </c>
      <c r="E2226" s="2" t="s">
        <v>2038</v>
      </c>
      <c r="F2226" s="2" t="s">
        <v>9941</v>
      </c>
      <c r="G2226" s="2" t="s">
        <v>9941</v>
      </c>
      <c r="H2226" s="2" t="s">
        <v>9941</v>
      </c>
      <c r="I2226" s="2" t="s">
        <v>9384</v>
      </c>
      <c r="J2226" s="2" t="s">
        <v>892</v>
      </c>
      <c r="K2226" s="2" t="s">
        <v>271</v>
      </c>
      <c r="L2226" s="3">
        <v>230.85</v>
      </c>
      <c r="M2226" s="3">
        <v>242.39</v>
      </c>
      <c r="N2226" s="3">
        <v>479</v>
      </c>
      <c r="O2226" s="2" t="s">
        <v>245</v>
      </c>
      <c r="P2226" s="2" t="s">
        <v>393</v>
      </c>
      <c r="Q2226" s="2" t="s">
        <v>239</v>
      </c>
      <c r="R2226" s="2" t="s">
        <v>233</v>
      </c>
      <c r="S2226" s="2" t="s">
        <v>9942</v>
      </c>
      <c r="T2226" s="2" t="s">
        <v>233</v>
      </c>
      <c r="U2226" s="2" t="s">
        <v>233</v>
      </c>
      <c r="V2226" s="2" t="s">
        <v>241</v>
      </c>
      <c r="W2226" s="2" t="s">
        <v>2652</v>
      </c>
      <c r="X2226" s="2" t="s">
        <v>233</v>
      </c>
      <c r="Y2226" s="2" t="s">
        <v>9943</v>
      </c>
      <c r="Z2226" s="4">
        <v>97</v>
      </c>
      <c r="AA2226" s="4">
        <f>=ROUNDDOWN(19.4,0)</f>
      </c>
      <c r="AB2226" s="5">
        <v>5</v>
      </c>
      <c r="AC2226" s="2" t="s">
        <v>7479</v>
      </c>
      <c r="AD2226" s="4">
        <v>100</v>
      </c>
      <c r="AE2226" s="4">
        <v>100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233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 t="s">
        <v>233</v>
      </c>
      <c r="BD2226" s="8" t="s">
        <v>233</v>
      </c>
      <c r="BE2226" s="4" t="s">
        <v>233</v>
      </c>
      <c r="BF2226" s="8" t="s">
        <v>233</v>
      </c>
      <c r="BG2226" s="7" t="s">
        <v>233</v>
      </c>
      <c r="BH2226" s="7" t="s">
        <v>233</v>
      </c>
      <c r="BI2226" s="7"/>
      <c r="BJ2226" s="4">
        <v>10</v>
      </c>
      <c r="BK2226" s="8">
        <v>2284.83</v>
      </c>
      <c r="BL2226" s="2" t="s">
        <v>9944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9945</v>
      </c>
      <c r="BV2226" s="2" t="s">
        <v>233</v>
      </c>
      <c r="BW2226" s="2" t="s">
        <v>233</v>
      </c>
      <c r="BX2226" s="2" t="s">
        <v>233</v>
      </c>
      <c r="BY2226" s="2" t="s">
        <v>280</v>
      </c>
      <c r="BZ2226" s="2" t="s">
        <v>245</v>
      </c>
      <c r="CA2226" s="2" t="s">
        <v>2656</v>
      </c>
      <c r="CB2226" s="2" t="s">
        <v>6155</v>
      </c>
      <c r="CC2226" s="2" t="s">
        <v>246</v>
      </c>
      <c r="CD2226" s="2" t="s">
        <v>233</v>
      </c>
      <c r="CE2226" s="4"/>
      <c r="CF2226" s="4">
        <v>97</v>
      </c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>
        <v>100</v>
      </c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/>
      <c r="HD2226" s="4"/>
      <c r="HE2226" s="4"/>
      <c r="HF2226" s="4"/>
      <c r="HG2226" s="4"/>
      <c r="HH2226" s="4"/>
      <c r="HI2226" s="4"/>
      <c r="HJ2226" s="4"/>
      <c r="HK2226" s="4"/>
      <c r="HL2226" s="4"/>
      <c r="HM2226" s="4"/>
      <c r="HN2226" s="4"/>
      <c r="HO2226" s="4"/>
      <c r="HP2226" s="4"/>
      <c r="HQ2226" s="4"/>
      <c r="HR2226" s="4"/>
    </row>
    <row r="2227">
      <c r="A2227" s="2" t="s">
        <v>9946</v>
      </c>
      <c r="B2227" s="2" t="s">
        <v>1066</v>
      </c>
      <c r="C2227" s="2" t="s">
        <v>901</v>
      </c>
      <c r="D2227" s="2" t="s">
        <v>1067</v>
      </c>
      <c r="E2227" s="2" t="s">
        <v>1068</v>
      </c>
      <c r="F2227" s="2" t="s">
        <v>9941</v>
      </c>
      <c r="G2227" s="2" t="s">
        <v>9941</v>
      </c>
      <c r="H2227" s="2" t="s">
        <v>9941</v>
      </c>
      <c r="I2227" s="2" t="s">
        <v>1068</v>
      </c>
      <c r="J2227" s="2" t="s">
        <v>892</v>
      </c>
      <c r="K2227" s="2" t="s">
        <v>9947</v>
      </c>
      <c r="L2227" s="3">
        <v>161.5</v>
      </c>
      <c r="M2227" s="3">
        <v>169.58</v>
      </c>
      <c r="N2227" s="3">
        <v>339</v>
      </c>
      <c r="O2227" s="2" t="s">
        <v>245</v>
      </c>
      <c r="P2227" s="2" t="s">
        <v>272</v>
      </c>
      <c r="Q2227" s="2" t="s">
        <v>239</v>
      </c>
      <c r="R2227" s="2" t="s">
        <v>233</v>
      </c>
      <c r="S2227" s="2" t="s">
        <v>9948</v>
      </c>
      <c r="T2227" s="2" t="s">
        <v>233</v>
      </c>
      <c r="U2227" s="2" t="s">
        <v>233</v>
      </c>
      <c r="V2227" s="2" t="s">
        <v>241</v>
      </c>
      <c r="W2227" s="2" t="s">
        <v>894</v>
      </c>
      <c r="X2227" s="2" t="s">
        <v>233</v>
      </c>
      <c r="Y2227" s="2" t="s">
        <v>1150</v>
      </c>
      <c r="Z2227" s="4">
        <v>277</v>
      </c>
      <c r="AA2227" s="4">
        <f>=ROUNDDOWN(15.054347826087,0)</f>
      </c>
      <c r="AB2227" s="5">
        <v>18.4</v>
      </c>
      <c r="AC2227" s="2" t="s">
        <v>7236</v>
      </c>
      <c r="AD2227" s="4">
        <v>100</v>
      </c>
      <c r="AE2227" s="4">
        <v>100</v>
      </c>
      <c r="AF2227" s="6">
        <v>65</v>
      </c>
      <c r="AG2227" s="6">
        <v>48</v>
      </c>
      <c r="AH2227" s="7">
        <v>1</v>
      </c>
      <c r="AI2227" s="4"/>
      <c r="AJ2227" s="4">
        <f>=ROUNDDOWN({0},0)</f>
      </c>
      <c r="AK2227" s="5"/>
      <c r="AL2227" s="2" t="s">
        <v>233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 t="s">
        <v>233</v>
      </c>
      <c r="BD2227" s="8" t="s">
        <v>233</v>
      </c>
      <c r="BE2227" s="4" t="s">
        <v>233</v>
      </c>
      <c r="BF2227" s="8" t="s">
        <v>233</v>
      </c>
      <c r="BG2227" s="7" t="s">
        <v>233</v>
      </c>
      <c r="BH2227" s="7" t="s">
        <v>233</v>
      </c>
      <c r="BI2227" s="7"/>
      <c r="BJ2227" s="4">
        <v>69</v>
      </c>
      <c r="BK2227" s="8">
        <v>10985.38</v>
      </c>
      <c r="BL2227" s="2" t="s">
        <v>9949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9950</v>
      </c>
      <c r="BV2227" s="2" t="s">
        <v>233</v>
      </c>
      <c r="BW2227" s="2" t="s">
        <v>233</v>
      </c>
      <c r="BX2227" s="2" t="s">
        <v>233</v>
      </c>
      <c r="BY2227" s="2" t="s">
        <v>280</v>
      </c>
      <c r="BZ2227" s="2" t="s">
        <v>245</v>
      </c>
      <c r="CA2227" s="2" t="s">
        <v>4427</v>
      </c>
      <c r="CB2227" s="2" t="s">
        <v>879</v>
      </c>
      <c r="CC2227" s="2" t="s">
        <v>246</v>
      </c>
      <c r="CD2227" s="2" t="s">
        <v>233</v>
      </c>
      <c r="CE2227" s="4"/>
      <c r="CF2227" s="4">
        <v>249</v>
      </c>
      <c r="CG2227" s="4"/>
      <c r="CH2227" s="4"/>
      <c r="CI2227" s="4">
        <v>28</v>
      </c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>
        <v>100</v>
      </c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  <c r="HF2227" s="4"/>
      <c r="HG2227" s="4"/>
      <c r="HH2227" s="4"/>
      <c r="HI2227" s="4"/>
      <c r="HJ2227" s="4"/>
      <c r="HK2227" s="4"/>
      <c r="HL2227" s="4"/>
      <c r="HM2227" s="4"/>
      <c r="HN2227" s="4"/>
      <c r="HO2227" s="4"/>
      <c r="HP2227" s="4"/>
      <c r="HQ2227" s="4"/>
      <c r="HR2227" s="4"/>
    </row>
    <row r="2228">
      <c r="A2228" s="2" t="s">
        <v>9951</v>
      </c>
      <c r="B2228" s="2" t="s">
        <v>1066</v>
      </c>
      <c r="C2228" s="2" t="s">
        <v>901</v>
      </c>
      <c r="D2228" s="2" t="s">
        <v>1067</v>
      </c>
      <c r="E2228" s="2" t="s">
        <v>1068</v>
      </c>
      <c r="F2228" s="2" t="s">
        <v>9941</v>
      </c>
      <c r="G2228" s="2" t="s">
        <v>9941</v>
      </c>
      <c r="H2228" s="2" t="s">
        <v>9941</v>
      </c>
      <c r="I2228" s="2" t="s">
        <v>1068</v>
      </c>
      <c r="J2228" s="2" t="s">
        <v>892</v>
      </c>
      <c r="K2228" s="2" t="s">
        <v>853</v>
      </c>
      <c r="L2228" s="3">
        <v>161.5</v>
      </c>
      <c r="M2228" s="3">
        <v>169.58</v>
      </c>
      <c r="N2228" s="3">
        <v>339</v>
      </c>
      <c r="O2228" s="2" t="s">
        <v>245</v>
      </c>
      <c r="P2228" s="2" t="s">
        <v>272</v>
      </c>
      <c r="Q2228" s="2" t="s">
        <v>239</v>
      </c>
      <c r="R2228" s="2" t="s">
        <v>233</v>
      </c>
      <c r="S2228" s="2" t="s">
        <v>233</v>
      </c>
      <c r="T2228" s="2" t="s">
        <v>233</v>
      </c>
      <c r="U2228" s="2" t="s">
        <v>396</v>
      </c>
      <c r="V2228" s="2" t="s">
        <v>241</v>
      </c>
      <c r="W2228" s="2" t="s">
        <v>894</v>
      </c>
      <c r="X2228" s="2" t="s">
        <v>233</v>
      </c>
      <c r="Y2228" s="2" t="s">
        <v>6003</v>
      </c>
      <c r="Z2228" s="4">
        <v>491</v>
      </c>
      <c r="AA2228" s="4">
        <f>=ROUNDDOWN(28.8823529411765,0)</f>
      </c>
      <c r="AB2228" s="5">
        <v>17</v>
      </c>
      <c r="AC2228" s="2" t="s">
        <v>4725</v>
      </c>
      <c r="AD2228" s="4">
        <v>170</v>
      </c>
      <c r="AE2228" s="4">
        <v>170</v>
      </c>
      <c r="AF2228" s="6">
        <v>65</v>
      </c>
      <c r="AG2228" s="6">
        <v>48</v>
      </c>
      <c r="AH2228" s="7">
        <v>1</v>
      </c>
      <c r="AI2228" s="4"/>
      <c r="AJ2228" s="4">
        <f>=ROUNDDOWN({0},0)</f>
      </c>
      <c r="AK2228" s="5"/>
      <c r="AL2228" s="2" t="s">
        <v>233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 t="s">
        <v>233</v>
      </c>
      <c r="BD2228" s="8" t="s">
        <v>233</v>
      </c>
      <c r="BE2228" s="4" t="s">
        <v>233</v>
      </c>
      <c r="BF2228" s="8" t="s">
        <v>233</v>
      </c>
      <c r="BG2228" s="7" t="s">
        <v>233</v>
      </c>
      <c r="BH2228" s="7" t="s">
        <v>233</v>
      </c>
      <c r="BI2228" s="7"/>
      <c r="BJ2228" s="4">
        <v>58</v>
      </c>
      <c r="BK2228" s="8">
        <v>9160.16</v>
      </c>
      <c r="BL2228" s="2" t="s">
        <v>9952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9953</v>
      </c>
      <c r="BV2228" s="2" t="s">
        <v>233</v>
      </c>
      <c r="BW2228" s="2" t="s">
        <v>233</v>
      </c>
      <c r="BX2228" s="2" t="s">
        <v>233</v>
      </c>
      <c r="BY2228" s="2" t="s">
        <v>280</v>
      </c>
      <c r="BZ2228" s="2" t="s">
        <v>245</v>
      </c>
      <c r="CA2228" s="2" t="s">
        <v>9954</v>
      </c>
      <c r="CB2228" s="2" t="s">
        <v>9955</v>
      </c>
      <c r="CC2228" s="2" t="s">
        <v>246</v>
      </c>
      <c r="CD2228" s="2" t="s">
        <v>233</v>
      </c>
      <c r="CE2228" s="4"/>
      <c r="CF2228" s="4">
        <v>443</v>
      </c>
      <c r="CG2228" s="4"/>
      <c r="CH2228" s="4"/>
      <c r="CI2228" s="4">
        <v>48</v>
      </c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>
        <v>170</v>
      </c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4"/>
      <c r="HG2228" s="4"/>
      <c r="HH2228" s="4"/>
      <c r="HI2228" s="4"/>
      <c r="HJ2228" s="4"/>
      <c r="HK2228" s="4"/>
      <c r="HL2228" s="4"/>
      <c r="HM2228" s="4"/>
      <c r="HN2228" s="4"/>
      <c r="HO2228" s="4"/>
      <c r="HP2228" s="4"/>
      <c r="HQ2228" s="4"/>
      <c r="HR2228" s="4"/>
    </row>
    <row r="2229">
      <c r="A2229" s="2" t="s">
        <v>9956</v>
      </c>
      <c r="B2229" s="2" t="s">
        <v>1066</v>
      </c>
      <c r="C2229" s="2" t="s">
        <v>901</v>
      </c>
      <c r="D2229" s="2" t="s">
        <v>2037</v>
      </c>
      <c r="E2229" s="2" t="s">
        <v>2038</v>
      </c>
      <c r="F2229" s="2" t="s">
        <v>9941</v>
      </c>
      <c r="G2229" s="2" t="s">
        <v>9941</v>
      </c>
      <c r="H2229" s="2" t="s">
        <v>233</v>
      </c>
      <c r="I2229" s="2" t="s">
        <v>9384</v>
      </c>
      <c r="J2229" s="2" t="s">
        <v>892</v>
      </c>
      <c r="K2229" s="2" t="s">
        <v>2976</v>
      </c>
      <c r="L2229" s="3">
        <v>230.85</v>
      </c>
      <c r="M2229" s="3">
        <v>242.39</v>
      </c>
      <c r="N2229" s="3">
        <v>479</v>
      </c>
      <c r="O2229" s="2" t="s">
        <v>245</v>
      </c>
      <c r="P2229" s="2" t="s">
        <v>311</v>
      </c>
      <c r="Q2229" s="2" t="s">
        <v>239</v>
      </c>
      <c r="R2229" s="2" t="s">
        <v>233</v>
      </c>
      <c r="S2229" s="2" t="s">
        <v>9957</v>
      </c>
      <c r="T2229" s="2" t="s">
        <v>233</v>
      </c>
      <c r="U2229" s="2" t="s">
        <v>233</v>
      </c>
      <c r="V2229" s="2" t="s">
        <v>241</v>
      </c>
      <c r="W2229" s="2" t="s">
        <v>894</v>
      </c>
      <c r="X2229" s="2" t="s">
        <v>233</v>
      </c>
      <c r="Y2229" s="2" t="s">
        <v>276</v>
      </c>
      <c r="Z2229" s="4">
        <v>38</v>
      </c>
      <c r="AA2229" s="4">
        <f>=ROUNDDOWN(19,0)</f>
      </c>
      <c r="AB2229" s="5">
        <v>2</v>
      </c>
      <c r="AC2229" s="2" t="s">
        <v>233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233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233</v>
      </c>
      <c r="BD2229" s="8" t="s">
        <v>233</v>
      </c>
      <c r="BE2229" s="4" t="s">
        <v>233</v>
      </c>
      <c r="BF2229" s="8" t="s">
        <v>233</v>
      </c>
      <c r="BG2229" s="7" t="s">
        <v>233</v>
      </c>
      <c r="BH2229" s="7" t="s">
        <v>233</v>
      </c>
      <c r="BI2229" s="7"/>
      <c r="BJ2229" s="4">
        <v>12</v>
      </c>
      <c r="BK2229" s="8">
        <v>2367.7</v>
      </c>
      <c r="BL2229" s="2" t="s">
        <v>9958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9959</v>
      </c>
      <c r="BV2229" s="2" t="s">
        <v>233</v>
      </c>
      <c r="BW2229" s="2" t="s">
        <v>233</v>
      </c>
      <c r="BX2229" s="2" t="s">
        <v>233</v>
      </c>
      <c r="BY2229" s="2" t="s">
        <v>280</v>
      </c>
      <c r="BZ2229" s="2" t="s">
        <v>245</v>
      </c>
      <c r="CA2229" s="2" t="s">
        <v>4498</v>
      </c>
      <c r="CB2229" s="2" t="s">
        <v>4413</v>
      </c>
      <c r="CC2229" s="2" t="s">
        <v>246</v>
      </c>
      <c r="CD2229" s="2" t="s">
        <v>233</v>
      </c>
      <c r="CE2229" s="4"/>
      <c r="CF2229" s="4">
        <v>38</v>
      </c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4"/>
      <c r="HE2229" s="4"/>
      <c r="HF2229" s="4"/>
      <c r="HG2229" s="4"/>
      <c r="HH2229" s="4"/>
      <c r="HI2229" s="4"/>
      <c r="HJ2229" s="4"/>
      <c r="HK2229" s="4"/>
      <c r="HL2229" s="4"/>
      <c r="HM2229" s="4"/>
      <c r="HN2229" s="4"/>
      <c r="HO2229" s="4"/>
      <c r="HP2229" s="4"/>
      <c r="HQ2229" s="4"/>
      <c r="HR2229" s="4"/>
    </row>
    <row r="2230">
      <c r="A2230" s="2" t="s">
        <v>9960</v>
      </c>
      <c r="B2230" s="2" t="s">
        <v>1066</v>
      </c>
      <c r="C2230" s="2" t="s">
        <v>901</v>
      </c>
      <c r="D2230" s="2" t="s">
        <v>1067</v>
      </c>
      <c r="E2230" s="2" t="s">
        <v>1068</v>
      </c>
      <c r="F2230" s="2" t="s">
        <v>9941</v>
      </c>
      <c r="G2230" s="2" t="s">
        <v>9941</v>
      </c>
      <c r="H2230" s="2" t="s">
        <v>9941</v>
      </c>
      <c r="I2230" s="2" t="s">
        <v>1068</v>
      </c>
      <c r="J2230" s="2" t="s">
        <v>892</v>
      </c>
      <c r="K2230" s="2" t="s">
        <v>1201</v>
      </c>
      <c r="L2230" s="3">
        <v>161.5</v>
      </c>
      <c r="M2230" s="3">
        <v>169.58</v>
      </c>
      <c r="N2230" s="3">
        <v>339</v>
      </c>
      <c r="O2230" s="2" t="s">
        <v>245</v>
      </c>
      <c r="P2230" s="2" t="s">
        <v>393</v>
      </c>
      <c r="Q2230" s="2" t="s">
        <v>239</v>
      </c>
      <c r="R2230" s="2" t="s">
        <v>233</v>
      </c>
      <c r="S2230" s="2" t="s">
        <v>9961</v>
      </c>
      <c r="T2230" s="2" t="s">
        <v>233</v>
      </c>
      <c r="U2230" s="2" t="s">
        <v>233</v>
      </c>
      <c r="V2230" s="2" t="s">
        <v>241</v>
      </c>
      <c r="W2230" s="2" t="s">
        <v>894</v>
      </c>
      <c r="X2230" s="2" t="s">
        <v>233</v>
      </c>
      <c r="Y2230" s="2" t="s">
        <v>1150</v>
      </c>
      <c r="Z2230" s="4">
        <v>144</v>
      </c>
      <c r="AA2230" s="4">
        <f>=ROUNDDOWN(36,0)</f>
      </c>
      <c r="AB2230" s="5">
        <v>4</v>
      </c>
      <c r="AC2230" s="2" t="s">
        <v>233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233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 t="s">
        <v>233</v>
      </c>
      <c r="BD2230" s="8" t="s">
        <v>233</v>
      </c>
      <c r="BE2230" s="4" t="s">
        <v>233</v>
      </c>
      <c r="BF2230" s="8" t="s">
        <v>233</v>
      </c>
      <c r="BG2230" s="7" t="s">
        <v>233</v>
      </c>
      <c r="BH2230" s="7" t="s">
        <v>233</v>
      </c>
      <c r="BI2230" s="7"/>
      <c r="BJ2230" s="4">
        <v>13</v>
      </c>
      <c r="BK2230" s="8">
        <v>2018.28</v>
      </c>
      <c r="BL2230" s="2" t="s">
        <v>9962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9963</v>
      </c>
      <c r="BV2230" s="2" t="s">
        <v>233</v>
      </c>
      <c r="BW2230" s="2" t="s">
        <v>233</v>
      </c>
      <c r="BX2230" s="2" t="s">
        <v>233</v>
      </c>
      <c r="BY2230" s="2" t="s">
        <v>280</v>
      </c>
      <c r="BZ2230" s="2" t="s">
        <v>245</v>
      </c>
      <c r="CA2230" s="2" t="s">
        <v>9964</v>
      </c>
      <c r="CB2230" s="2" t="s">
        <v>1154</v>
      </c>
      <c r="CC2230" s="2" t="s">
        <v>246</v>
      </c>
      <c r="CD2230" s="2" t="s">
        <v>233</v>
      </c>
      <c r="CE2230" s="4"/>
      <c r="CF2230" s="4">
        <v>144</v>
      </c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  <c r="HF2230" s="4"/>
      <c r="HG2230" s="4"/>
      <c r="HH2230" s="4"/>
      <c r="HI2230" s="4"/>
      <c r="HJ2230" s="4"/>
      <c r="HK2230" s="4"/>
      <c r="HL2230" s="4"/>
      <c r="HM2230" s="4"/>
      <c r="HN2230" s="4"/>
      <c r="HO2230" s="4"/>
      <c r="HP2230" s="4"/>
      <c r="HQ2230" s="4"/>
      <c r="HR2230" s="4"/>
    </row>
    <row r="2231">
      <c r="A2231" s="2" t="s">
        <v>9965</v>
      </c>
      <c r="B2231" s="2" t="s">
        <v>1066</v>
      </c>
      <c r="C2231" s="2" t="s">
        <v>901</v>
      </c>
      <c r="D2231" s="2" t="s">
        <v>1919</v>
      </c>
      <c r="E2231" s="2" t="s">
        <v>1920</v>
      </c>
      <c r="F2231" s="2" t="s">
        <v>9966</v>
      </c>
      <c r="G2231" s="2" t="s">
        <v>9966</v>
      </c>
      <c r="H2231" s="2" t="s">
        <v>9966</v>
      </c>
      <c r="I2231" s="2" t="s">
        <v>9967</v>
      </c>
      <c r="J2231" s="2" t="s">
        <v>892</v>
      </c>
      <c r="K2231" s="2" t="s">
        <v>9720</v>
      </c>
      <c r="L2231" s="3">
        <v>123</v>
      </c>
      <c r="M2231" s="3">
        <v>129.15</v>
      </c>
      <c r="N2231" s="3">
        <v>259</v>
      </c>
      <c r="O2231" s="2" t="s">
        <v>245</v>
      </c>
      <c r="P2231" s="2" t="s">
        <v>238</v>
      </c>
      <c r="Q2231" s="2" t="s">
        <v>239</v>
      </c>
      <c r="R2231" s="2" t="s">
        <v>233</v>
      </c>
      <c r="S2231" s="2" t="s">
        <v>233</v>
      </c>
      <c r="T2231" s="2" t="s">
        <v>233</v>
      </c>
      <c r="U2231" s="2" t="s">
        <v>396</v>
      </c>
      <c r="V2231" s="2" t="s">
        <v>893</v>
      </c>
      <c r="W2231" s="2" t="s">
        <v>397</v>
      </c>
      <c r="X2231" s="2" t="s">
        <v>275</v>
      </c>
      <c r="Y2231" s="2" t="s">
        <v>1048</v>
      </c>
      <c r="Z2231" s="4">
        <v>91</v>
      </c>
      <c r="AA2231" s="4">
        <f>=ROUNDDOWN(45.5,0)</f>
      </c>
      <c r="AB2231" s="5">
        <v>2</v>
      </c>
      <c r="AC2231" s="2" t="s">
        <v>233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233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/>
      <c r="BD2231" s="8"/>
      <c r="BE2231" s="4"/>
      <c r="BF2231" s="8"/>
      <c r="BG2231" s="7"/>
      <c r="BH2231" s="7"/>
      <c r="BI2231" s="7"/>
      <c r="BJ2231" s="4">
        <v>4</v>
      </c>
      <c r="BK2231" s="8">
        <v>557.92</v>
      </c>
      <c r="BL2231" s="2" t="s">
        <v>744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9968</v>
      </c>
      <c r="BV2231" s="2" t="s">
        <v>233</v>
      </c>
      <c r="BW2231" s="2" t="s">
        <v>233</v>
      </c>
      <c r="BX2231" s="2" t="s">
        <v>243</v>
      </c>
      <c r="BY2231" s="2" t="s">
        <v>280</v>
      </c>
      <c r="BZ2231" s="2" t="s">
        <v>245</v>
      </c>
      <c r="CA2231" s="2" t="s">
        <v>6732</v>
      </c>
      <c r="CB2231" s="2" t="s">
        <v>233</v>
      </c>
      <c r="CC2231" s="2" t="s">
        <v>246</v>
      </c>
      <c r="CD2231" s="2" t="s">
        <v>233</v>
      </c>
      <c r="CE2231" s="4"/>
      <c r="CF2231" s="4">
        <v>91</v>
      </c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  <c r="HF2231" s="4"/>
      <c r="HG2231" s="4"/>
      <c r="HH2231" s="4"/>
      <c r="HI2231" s="4"/>
      <c r="HJ2231" s="4"/>
      <c r="HK2231" s="4"/>
      <c r="HL2231" s="4"/>
      <c r="HM2231" s="4"/>
      <c r="HN2231" s="4"/>
      <c r="HO2231" s="4"/>
      <c r="HP2231" s="4"/>
      <c r="HQ2231" s="4"/>
      <c r="HR2231" s="4"/>
    </row>
    <row r="2232">
      <c r="A2232" s="2" t="s">
        <v>9969</v>
      </c>
      <c r="B2232" s="2" t="s">
        <v>1174</v>
      </c>
      <c r="C2232" s="2" t="s">
        <v>1607</v>
      </c>
      <c r="D2232" s="2" t="s">
        <v>1175</v>
      </c>
      <c r="E2232" s="2" t="s">
        <v>1448</v>
      </c>
      <c r="F2232" s="2" t="s">
        <v>9970</v>
      </c>
      <c r="G2232" s="2" t="s">
        <v>9970</v>
      </c>
      <c r="H2232" s="2" t="s">
        <v>9970</v>
      </c>
      <c r="I2232" s="2" t="s">
        <v>9971</v>
      </c>
      <c r="J2232" s="2" t="s">
        <v>2089</v>
      </c>
      <c r="K2232" s="2" t="s">
        <v>9972</v>
      </c>
      <c r="L2232" s="3">
        <v>17.02</v>
      </c>
      <c r="M2232" s="3">
        <v>17.87</v>
      </c>
      <c r="N2232" s="3">
        <v>49.99</v>
      </c>
      <c r="O2232" s="2" t="s">
        <v>245</v>
      </c>
      <c r="P2232" s="2" t="s">
        <v>311</v>
      </c>
      <c r="Q2232" s="2" t="s">
        <v>239</v>
      </c>
      <c r="R2232" s="2" t="s">
        <v>233</v>
      </c>
      <c r="S2232" s="2" t="s">
        <v>233</v>
      </c>
      <c r="T2232" s="2" t="s">
        <v>233</v>
      </c>
      <c r="U2232" s="2" t="s">
        <v>396</v>
      </c>
      <c r="V2232" s="2" t="s">
        <v>1508</v>
      </c>
      <c r="W2232" s="2" t="s">
        <v>275</v>
      </c>
      <c r="X2232" s="2" t="s">
        <v>233</v>
      </c>
      <c r="Y2232" s="2" t="s">
        <v>3032</v>
      </c>
      <c r="Z2232" s="4">
        <v>90</v>
      </c>
      <c r="AA2232" s="4">
        <f>=ROUNDDOWN(90,0)</f>
      </c>
      <c r="AB2232" s="5">
        <v>1</v>
      </c>
      <c r="AC2232" s="2" t="s">
        <v>233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233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/>
      <c r="BD2232" s="8"/>
      <c r="BE2232" s="4"/>
      <c r="BF2232" s="8"/>
      <c r="BG2232" s="7"/>
      <c r="BH2232" s="7"/>
      <c r="BI2232" s="7"/>
      <c r="BJ2232" s="4">
        <v>4</v>
      </c>
      <c r="BK2232" s="8">
        <v>71.48</v>
      </c>
      <c r="BL2232" s="2" t="s">
        <v>1028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9973</v>
      </c>
      <c r="BV2232" s="2" t="s">
        <v>233</v>
      </c>
      <c r="BW2232" s="2" t="s">
        <v>233</v>
      </c>
      <c r="BX2232" s="2" t="s">
        <v>233</v>
      </c>
      <c r="BY2232" s="2" t="s">
        <v>280</v>
      </c>
      <c r="BZ2232" s="2" t="s">
        <v>245</v>
      </c>
      <c r="CA2232" s="2" t="s">
        <v>2092</v>
      </c>
      <c r="CB2232" s="2" t="s">
        <v>9974</v>
      </c>
      <c r="CC2232" s="2" t="s">
        <v>246</v>
      </c>
      <c r="CD2232" s="2" t="s">
        <v>233</v>
      </c>
      <c r="CE2232" s="4">
        <v>90</v>
      </c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/>
      <c r="GN2232" s="4"/>
      <c r="GO2232" s="4"/>
      <c r="GP2232" s="4"/>
      <c r="GQ2232" s="4"/>
      <c r="GR2232" s="4"/>
      <c r="GS2232" s="4"/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  <c r="HF2232" s="4"/>
      <c r="HG2232" s="4"/>
      <c r="HH2232" s="4"/>
      <c r="HI2232" s="4"/>
      <c r="HJ2232" s="4"/>
      <c r="HK2232" s="4"/>
      <c r="HL2232" s="4"/>
      <c r="HM2232" s="4"/>
      <c r="HN2232" s="4"/>
      <c r="HO2232" s="4"/>
      <c r="HP2232" s="4"/>
      <c r="HQ2232" s="4"/>
      <c r="HR2232" s="4"/>
    </row>
    <row r="2233">
      <c r="A2233" s="2" t="s">
        <v>9975</v>
      </c>
      <c r="B2233" s="2" t="s">
        <v>910</v>
      </c>
      <c r="C2233" s="2" t="s">
        <v>1266</v>
      </c>
      <c r="D2233" s="2" t="s">
        <v>969</v>
      </c>
      <c r="E2233" s="2" t="s">
        <v>1078</v>
      </c>
      <c r="F2233" s="2" t="s">
        <v>3312</v>
      </c>
      <c r="G2233" s="2" t="s">
        <v>9976</v>
      </c>
      <c r="H2233" s="2" t="s">
        <v>6686</v>
      </c>
      <c r="I2233" s="2" t="s">
        <v>9977</v>
      </c>
      <c r="J2233" s="2" t="s">
        <v>918</v>
      </c>
      <c r="K2233" s="2" t="s">
        <v>904</v>
      </c>
      <c r="L2233" s="3">
        <v>33.33</v>
      </c>
      <c r="M2233" s="3">
        <v>35</v>
      </c>
      <c r="N2233" s="3">
        <v>69.99</v>
      </c>
      <c r="O2233" s="2" t="s">
        <v>245</v>
      </c>
      <c r="P2233" s="2" t="s">
        <v>272</v>
      </c>
      <c r="Q2233" s="2" t="s">
        <v>239</v>
      </c>
      <c r="R2233" s="2" t="s">
        <v>233</v>
      </c>
      <c r="S2233" s="2" t="s">
        <v>9978</v>
      </c>
      <c r="T2233" s="2" t="s">
        <v>1622</v>
      </c>
      <c r="U2233" s="2" t="s">
        <v>475</v>
      </c>
      <c r="V2233" s="2" t="s">
        <v>241</v>
      </c>
      <c r="W2233" s="2" t="s">
        <v>275</v>
      </c>
      <c r="X2233" s="2" t="s">
        <v>451</v>
      </c>
      <c r="Y2233" s="2" t="s">
        <v>233</v>
      </c>
      <c r="Z2233" s="4"/>
      <c r="AA2233" s="4">
        <f>=ROUNDDOWN({0},0)</f>
      </c>
      <c r="AB2233" s="5"/>
      <c r="AC2233" s="2" t="s">
        <v>2183</v>
      </c>
      <c r="AD2233" s="4">
        <v>200</v>
      </c>
      <c r="AE2233" s="4">
        <v>420</v>
      </c>
      <c r="AF2233" s="6">
        <v>65</v>
      </c>
      <c r="AG2233" s="6"/>
      <c r="AH2233" s="7">
        <v>0</v>
      </c>
      <c r="AI2233" s="4"/>
      <c r="AJ2233" s="4">
        <f>=ROUNDDOWN({0},0)</f>
      </c>
      <c r="AK2233" s="5"/>
      <c r="AL2233" s="2" t="s">
        <v>233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 t="s">
        <v>233</v>
      </c>
      <c r="AW2233" s="8" t="s">
        <v>233</v>
      </c>
      <c r="AX2233" s="4" t="s">
        <v>233</v>
      </c>
      <c r="AY2233" s="8" t="s">
        <v>233</v>
      </c>
      <c r="AZ2233" s="7" t="s">
        <v>233</v>
      </c>
      <c r="BA2233" s="7" t="s">
        <v>233</v>
      </c>
      <c r="BB2233" s="7"/>
      <c r="BC2233" s="4" t="s">
        <v>233</v>
      </c>
      <c r="BD2233" s="8" t="s">
        <v>233</v>
      </c>
      <c r="BE2233" s="4" t="s">
        <v>233</v>
      </c>
      <c r="BF2233" s="8" t="s">
        <v>233</v>
      </c>
      <c r="BG2233" s="7" t="s">
        <v>233</v>
      </c>
      <c r="BH2233" s="7" t="s">
        <v>233</v>
      </c>
      <c r="BI2233" s="7"/>
      <c r="BJ2233" s="4"/>
      <c r="BK2233" s="8"/>
      <c r="BL2233" s="2" t="s">
        <v>233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243</v>
      </c>
      <c r="BV2233" s="2" t="s">
        <v>233</v>
      </c>
      <c r="BW2233" s="2" t="s">
        <v>233</v>
      </c>
      <c r="BX2233" s="2" t="s">
        <v>243</v>
      </c>
      <c r="BY2233" s="2" t="s">
        <v>244</v>
      </c>
      <c r="BZ2233" s="2" t="s">
        <v>245</v>
      </c>
      <c r="CA2233" s="2" t="s">
        <v>233</v>
      </c>
      <c r="CB2233" s="2" t="s">
        <v>233</v>
      </c>
      <c r="CC2233" s="2" t="s">
        <v>246</v>
      </c>
      <c r="CD2233" s="2" t="s">
        <v>233</v>
      </c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>
        <v>200</v>
      </c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/>
      <c r="GN2233" s="4"/>
      <c r="GO2233" s="4"/>
      <c r="GP2233" s="4"/>
      <c r="GQ2233" s="4"/>
      <c r="GR2233" s="4"/>
      <c r="GS2233" s="4"/>
      <c r="GT2233" s="4"/>
      <c r="GU2233" s="4"/>
      <c r="GV2233" s="4"/>
      <c r="GW2233" s="4">
        <v>220</v>
      </c>
      <c r="GX2233" s="4"/>
      <c r="GY2233" s="4"/>
      <c r="GZ2233" s="4"/>
      <c r="HA2233" s="4"/>
      <c r="HB2233" s="4"/>
      <c r="HC2233" s="4"/>
      <c r="HD2233" s="4"/>
      <c r="HE2233" s="4"/>
      <c r="HF2233" s="4"/>
      <c r="HG2233" s="4"/>
      <c r="HH2233" s="4"/>
      <c r="HI2233" s="4"/>
      <c r="HJ2233" s="4"/>
      <c r="HK2233" s="4"/>
      <c r="HL2233" s="4"/>
      <c r="HM2233" s="4"/>
      <c r="HN2233" s="4"/>
      <c r="HO2233" s="4"/>
      <c r="HP2233" s="4"/>
      <c r="HQ2233" s="4"/>
      <c r="HR2233" s="4"/>
    </row>
    <row r="2234">
      <c r="A2234" s="2" t="s">
        <v>9979</v>
      </c>
      <c r="B2234" s="2" t="s">
        <v>910</v>
      </c>
      <c r="C2234" s="2" t="s">
        <v>1266</v>
      </c>
      <c r="D2234" s="2" t="s">
        <v>969</v>
      </c>
      <c r="E2234" s="2" t="s">
        <v>1078</v>
      </c>
      <c r="F2234" s="2" t="s">
        <v>3312</v>
      </c>
      <c r="G2234" s="2" t="s">
        <v>9976</v>
      </c>
      <c r="H2234" s="2" t="s">
        <v>6686</v>
      </c>
      <c r="I2234" s="2" t="s">
        <v>9977</v>
      </c>
      <c r="J2234" s="2" t="s">
        <v>981</v>
      </c>
      <c r="K2234" s="2" t="s">
        <v>904</v>
      </c>
      <c r="L2234" s="3">
        <v>38.09</v>
      </c>
      <c r="M2234" s="3">
        <v>39.99</v>
      </c>
      <c r="N2234" s="3">
        <v>79.99</v>
      </c>
      <c r="O2234" s="2" t="s">
        <v>245</v>
      </c>
      <c r="P2234" s="2" t="s">
        <v>272</v>
      </c>
      <c r="Q2234" s="2" t="s">
        <v>239</v>
      </c>
      <c r="R2234" s="2" t="s">
        <v>233</v>
      </c>
      <c r="S2234" s="2" t="s">
        <v>9978</v>
      </c>
      <c r="T2234" s="2" t="s">
        <v>1622</v>
      </c>
      <c r="U2234" s="2" t="s">
        <v>342</v>
      </c>
      <c r="V2234" s="2" t="s">
        <v>241</v>
      </c>
      <c r="W2234" s="2" t="s">
        <v>275</v>
      </c>
      <c r="X2234" s="2" t="s">
        <v>451</v>
      </c>
      <c r="Y2234" s="2" t="s">
        <v>233</v>
      </c>
      <c r="Z2234" s="4"/>
      <c r="AA2234" s="4">
        <f>=ROUNDDOWN({0},0)</f>
      </c>
      <c r="AB2234" s="5"/>
      <c r="AC2234" s="2" t="s">
        <v>2183</v>
      </c>
      <c r="AD2234" s="4">
        <v>280</v>
      </c>
      <c r="AE2234" s="4">
        <v>580</v>
      </c>
      <c r="AF2234" s="6">
        <v>65</v>
      </c>
      <c r="AG2234" s="6"/>
      <c r="AH2234" s="7">
        <v>0</v>
      </c>
      <c r="AI2234" s="4"/>
      <c r="AJ2234" s="4">
        <f>=ROUNDDOWN({0},0)</f>
      </c>
      <c r="AK2234" s="5"/>
      <c r="AL2234" s="2" t="s">
        <v>233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233</v>
      </c>
      <c r="AW2234" s="8" t="s">
        <v>233</v>
      </c>
      <c r="AX2234" s="4" t="s">
        <v>233</v>
      </c>
      <c r="AY2234" s="8" t="s">
        <v>233</v>
      </c>
      <c r="AZ2234" s="7" t="s">
        <v>233</v>
      </c>
      <c r="BA2234" s="7" t="s">
        <v>233</v>
      </c>
      <c r="BB2234" s="7"/>
      <c r="BC2234" s="4" t="s">
        <v>233</v>
      </c>
      <c r="BD2234" s="8" t="s">
        <v>233</v>
      </c>
      <c r="BE2234" s="4" t="s">
        <v>233</v>
      </c>
      <c r="BF2234" s="8" t="s">
        <v>233</v>
      </c>
      <c r="BG2234" s="7" t="s">
        <v>233</v>
      </c>
      <c r="BH2234" s="7" t="s">
        <v>233</v>
      </c>
      <c r="BI2234" s="7"/>
      <c r="BJ2234" s="4"/>
      <c r="BK2234" s="8"/>
      <c r="BL2234" s="2" t="s">
        <v>233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243</v>
      </c>
      <c r="BV2234" s="2" t="s">
        <v>233</v>
      </c>
      <c r="BW2234" s="2" t="s">
        <v>233</v>
      </c>
      <c r="BX2234" s="2" t="s">
        <v>243</v>
      </c>
      <c r="BY2234" s="2" t="s">
        <v>244</v>
      </c>
      <c r="BZ2234" s="2" t="s">
        <v>245</v>
      </c>
      <c r="CA2234" s="2" t="s">
        <v>233</v>
      </c>
      <c r="CB2234" s="2" t="s">
        <v>233</v>
      </c>
      <c r="CC2234" s="2" t="s">
        <v>246</v>
      </c>
      <c r="CD2234" s="2" t="s">
        <v>233</v>
      </c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>
        <v>280</v>
      </c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>
        <v>300</v>
      </c>
      <c r="GX2234" s="4"/>
      <c r="GY2234" s="4"/>
      <c r="GZ2234" s="4"/>
      <c r="HA2234" s="4"/>
      <c r="HB2234" s="4"/>
      <c r="HC2234" s="4"/>
      <c r="HD2234" s="4"/>
      <c r="HE2234" s="4"/>
      <c r="HF2234" s="4"/>
      <c r="HG2234" s="4"/>
      <c r="HH2234" s="4"/>
      <c r="HI2234" s="4"/>
      <c r="HJ2234" s="4"/>
      <c r="HK2234" s="4"/>
      <c r="HL2234" s="4"/>
      <c r="HM2234" s="4"/>
      <c r="HN2234" s="4"/>
      <c r="HO2234" s="4"/>
      <c r="HP2234" s="4"/>
      <c r="HQ2234" s="4"/>
      <c r="HR2234" s="4"/>
    </row>
    <row r="2235">
      <c r="A2235" s="2" t="s">
        <v>9980</v>
      </c>
      <c r="B2235" s="2" t="s">
        <v>910</v>
      </c>
      <c r="C2235" s="2" t="s">
        <v>1266</v>
      </c>
      <c r="D2235" s="2" t="s">
        <v>969</v>
      </c>
      <c r="E2235" s="2" t="s">
        <v>1078</v>
      </c>
      <c r="F2235" s="2" t="s">
        <v>3312</v>
      </c>
      <c r="G2235" s="2" t="s">
        <v>9976</v>
      </c>
      <c r="H2235" s="2" t="s">
        <v>6686</v>
      </c>
      <c r="I2235" s="2" t="s">
        <v>9977</v>
      </c>
      <c r="J2235" s="2" t="s">
        <v>918</v>
      </c>
      <c r="K2235" s="2" t="s">
        <v>9981</v>
      </c>
      <c r="L2235" s="3">
        <v>33.33</v>
      </c>
      <c r="M2235" s="3">
        <v>35</v>
      </c>
      <c r="N2235" s="3">
        <v>69.99</v>
      </c>
      <c r="O2235" s="2" t="s">
        <v>245</v>
      </c>
      <c r="P2235" s="2" t="s">
        <v>272</v>
      </c>
      <c r="Q2235" s="2" t="s">
        <v>239</v>
      </c>
      <c r="R2235" s="2" t="s">
        <v>233</v>
      </c>
      <c r="S2235" s="2" t="s">
        <v>9982</v>
      </c>
      <c r="T2235" s="2" t="s">
        <v>1622</v>
      </c>
      <c r="U2235" s="2" t="s">
        <v>475</v>
      </c>
      <c r="V2235" s="2" t="s">
        <v>921</v>
      </c>
      <c r="W2235" s="2" t="s">
        <v>275</v>
      </c>
      <c r="X2235" s="2" t="s">
        <v>451</v>
      </c>
      <c r="Y2235" s="2" t="s">
        <v>233</v>
      </c>
      <c r="Z2235" s="4"/>
      <c r="AA2235" s="4">
        <f>=ROUNDDOWN({0},0)</f>
      </c>
      <c r="AB2235" s="5"/>
      <c r="AC2235" s="2" t="s">
        <v>2183</v>
      </c>
      <c r="AD2235" s="4">
        <v>200</v>
      </c>
      <c r="AE2235" s="4">
        <v>420</v>
      </c>
      <c r="AF2235" s="6">
        <v>65</v>
      </c>
      <c r="AG2235" s="6"/>
      <c r="AH2235" s="7">
        <v>0</v>
      </c>
      <c r="AI2235" s="4"/>
      <c r="AJ2235" s="4">
        <f>=ROUNDDOWN({0},0)</f>
      </c>
      <c r="AK2235" s="5"/>
      <c r="AL2235" s="2" t="s">
        <v>233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 t="s">
        <v>233</v>
      </c>
      <c r="AW2235" s="8" t="s">
        <v>233</v>
      </c>
      <c r="AX2235" s="4" t="s">
        <v>233</v>
      </c>
      <c r="AY2235" s="8" t="s">
        <v>233</v>
      </c>
      <c r="AZ2235" s="7" t="s">
        <v>233</v>
      </c>
      <c r="BA2235" s="7" t="s">
        <v>233</v>
      </c>
      <c r="BB2235" s="7"/>
      <c r="BC2235" s="4" t="s">
        <v>233</v>
      </c>
      <c r="BD2235" s="8" t="s">
        <v>233</v>
      </c>
      <c r="BE2235" s="4" t="s">
        <v>233</v>
      </c>
      <c r="BF2235" s="8" t="s">
        <v>233</v>
      </c>
      <c r="BG2235" s="7" t="s">
        <v>233</v>
      </c>
      <c r="BH2235" s="7" t="s">
        <v>233</v>
      </c>
      <c r="BI2235" s="7"/>
      <c r="BJ2235" s="4"/>
      <c r="BK2235" s="8"/>
      <c r="BL2235" s="2" t="s">
        <v>233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243</v>
      </c>
      <c r="BV2235" s="2" t="s">
        <v>233</v>
      </c>
      <c r="BW2235" s="2" t="s">
        <v>233</v>
      </c>
      <c r="BX2235" s="2" t="s">
        <v>243</v>
      </c>
      <c r="BY2235" s="2" t="s">
        <v>244</v>
      </c>
      <c r="BZ2235" s="2" t="s">
        <v>245</v>
      </c>
      <c r="CA2235" s="2" t="s">
        <v>233</v>
      </c>
      <c r="CB2235" s="2" t="s">
        <v>233</v>
      </c>
      <c r="CC2235" s="2" t="s">
        <v>246</v>
      </c>
      <c r="CD2235" s="2" t="s">
        <v>233</v>
      </c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>
        <v>200</v>
      </c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>
        <v>220</v>
      </c>
      <c r="GX2235" s="4"/>
      <c r="GY2235" s="4"/>
      <c r="GZ2235" s="4"/>
      <c r="HA2235" s="4"/>
      <c r="HB2235" s="4"/>
      <c r="HC2235" s="4"/>
      <c r="HD2235" s="4"/>
      <c r="HE2235" s="4"/>
      <c r="HF2235" s="4"/>
      <c r="HG2235" s="4"/>
      <c r="HH2235" s="4"/>
      <c r="HI2235" s="4"/>
      <c r="HJ2235" s="4"/>
      <c r="HK2235" s="4"/>
      <c r="HL2235" s="4"/>
      <c r="HM2235" s="4"/>
      <c r="HN2235" s="4"/>
      <c r="HO2235" s="4"/>
      <c r="HP2235" s="4"/>
      <c r="HQ2235" s="4"/>
      <c r="HR2235" s="4"/>
    </row>
    <row r="2236">
      <c r="A2236" s="2" t="s">
        <v>9983</v>
      </c>
      <c r="B2236" s="2" t="s">
        <v>910</v>
      </c>
      <c r="C2236" s="2" t="s">
        <v>1266</v>
      </c>
      <c r="D2236" s="2" t="s">
        <v>969</v>
      </c>
      <c r="E2236" s="2" t="s">
        <v>1078</v>
      </c>
      <c r="F2236" s="2" t="s">
        <v>3312</v>
      </c>
      <c r="G2236" s="2" t="s">
        <v>9976</v>
      </c>
      <c r="H2236" s="2" t="s">
        <v>6686</v>
      </c>
      <c r="I2236" s="2" t="s">
        <v>9977</v>
      </c>
      <c r="J2236" s="2" t="s">
        <v>981</v>
      </c>
      <c r="K2236" s="2" t="s">
        <v>9981</v>
      </c>
      <c r="L2236" s="3">
        <v>38.09</v>
      </c>
      <c r="M2236" s="3">
        <v>39.99</v>
      </c>
      <c r="N2236" s="3">
        <v>79.99</v>
      </c>
      <c r="O2236" s="2" t="s">
        <v>245</v>
      </c>
      <c r="P2236" s="2" t="s">
        <v>272</v>
      </c>
      <c r="Q2236" s="2" t="s">
        <v>239</v>
      </c>
      <c r="R2236" s="2" t="s">
        <v>233</v>
      </c>
      <c r="S2236" s="2" t="s">
        <v>9982</v>
      </c>
      <c r="T2236" s="2" t="s">
        <v>1622</v>
      </c>
      <c r="U2236" s="2" t="s">
        <v>342</v>
      </c>
      <c r="V2236" s="2" t="s">
        <v>921</v>
      </c>
      <c r="W2236" s="2" t="s">
        <v>275</v>
      </c>
      <c r="X2236" s="2" t="s">
        <v>451</v>
      </c>
      <c r="Y2236" s="2" t="s">
        <v>233</v>
      </c>
      <c r="Z2236" s="4"/>
      <c r="AA2236" s="4">
        <f>=ROUNDDOWN({0},0)</f>
      </c>
      <c r="AB2236" s="5"/>
      <c r="AC2236" s="2" t="s">
        <v>2183</v>
      </c>
      <c r="AD2236" s="4">
        <v>280</v>
      </c>
      <c r="AE2236" s="4">
        <v>580</v>
      </c>
      <c r="AF2236" s="6">
        <v>65</v>
      </c>
      <c r="AG2236" s="6"/>
      <c r="AH2236" s="7">
        <v>0</v>
      </c>
      <c r="AI2236" s="4"/>
      <c r="AJ2236" s="4">
        <f>=ROUNDDOWN({0},0)</f>
      </c>
      <c r="AK2236" s="5"/>
      <c r="AL2236" s="2" t="s">
        <v>233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 t="s">
        <v>233</v>
      </c>
      <c r="AW2236" s="8" t="s">
        <v>233</v>
      </c>
      <c r="AX2236" s="4" t="s">
        <v>233</v>
      </c>
      <c r="AY2236" s="8" t="s">
        <v>233</v>
      </c>
      <c r="AZ2236" s="7" t="s">
        <v>233</v>
      </c>
      <c r="BA2236" s="7" t="s">
        <v>233</v>
      </c>
      <c r="BB2236" s="7"/>
      <c r="BC2236" s="4" t="s">
        <v>233</v>
      </c>
      <c r="BD2236" s="8" t="s">
        <v>233</v>
      </c>
      <c r="BE2236" s="4" t="s">
        <v>233</v>
      </c>
      <c r="BF2236" s="8" t="s">
        <v>233</v>
      </c>
      <c r="BG2236" s="7" t="s">
        <v>233</v>
      </c>
      <c r="BH2236" s="7" t="s">
        <v>233</v>
      </c>
      <c r="BI2236" s="7"/>
      <c r="BJ2236" s="4"/>
      <c r="BK2236" s="8"/>
      <c r="BL2236" s="2" t="s">
        <v>233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243</v>
      </c>
      <c r="BV2236" s="2" t="s">
        <v>233</v>
      </c>
      <c r="BW2236" s="2" t="s">
        <v>233</v>
      </c>
      <c r="BX2236" s="2" t="s">
        <v>243</v>
      </c>
      <c r="BY2236" s="2" t="s">
        <v>244</v>
      </c>
      <c r="BZ2236" s="2" t="s">
        <v>245</v>
      </c>
      <c r="CA2236" s="2" t="s">
        <v>233</v>
      </c>
      <c r="CB2236" s="2" t="s">
        <v>233</v>
      </c>
      <c r="CC2236" s="2" t="s">
        <v>246</v>
      </c>
      <c r="CD2236" s="2" t="s">
        <v>233</v>
      </c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>
        <v>280</v>
      </c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>
        <v>300</v>
      </c>
      <c r="GX2236" s="4"/>
      <c r="GY2236" s="4"/>
      <c r="GZ2236" s="4"/>
      <c r="HA2236" s="4"/>
      <c r="HB2236" s="4"/>
      <c r="HC2236" s="4"/>
      <c r="HD2236" s="4"/>
      <c r="HE2236" s="4"/>
      <c r="HF2236" s="4"/>
      <c r="HG2236" s="4"/>
      <c r="HH2236" s="4"/>
      <c r="HI2236" s="4"/>
      <c r="HJ2236" s="4"/>
      <c r="HK2236" s="4"/>
      <c r="HL2236" s="4"/>
      <c r="HM2236" s="4"/>
      <c r="HN2236" s="4"/>
      <c r="HO2236" s="4"/>
      <c r="HP2236" s="4"/>
      <c r="HQ2236" s="4"/>
      <c r="HR2236" s="4"/>
    </row>
    <row r="2237">
      <c r="A2237" s="2" t="s">
        <v>9984</v>
      </c>
      <c r="B2237" s="2" t="s">
        <v>910</v>
      </c>
      <c r="C2237" s="2" t="s">
        <v>1266</v>
      </c>
      <c r="D2237" s="2" t="s">
        <v>969</v>
      </c>
      <c r="E2237" s="2" t="s">
        <v>1078</v>
      </c>
      <c r="F2237" s="2" t="s">
        <v>3312</v>
      </c>
      <c r="G2237" s="2" t="s">
        <v>9976</v>
      </c>
      <c r="H2237" s="2" t="s">
        <v>6686</v>
      </c>
      <c r="I2237" s="2" t="s">
        <v>9977</v>
      </c>
      <c r="J2237" s="2" t="s">
        <v>918</v>
      </c>
      <c r="K2237" s="2" t="s">
        <v>3608</v>
      </c>
      <c r="L2237" s="3">
        <v>33.33</v>
      </c>
      <c r="M2237" s="3">
        <v>35</v>
      </c>
      <c r="N2237" s="3">
        <v>69.99</v>
      </c>
      <c r="O2237" s="2" t="s">
        <v>245</v>
      </c>
      <c r="P2237" s="2" t="s">
        <v>272</v>
      </c>
      <c r="Q2237" s="2" t="s">
        <v>239</v>
      </c>
      <c r="R2237" s="2" t="s">
        <v>233</v>
      </c>
      <c r="S2237" s="2" t="s">
        <v>9985</v>
      </c>
      <c r="T2237" s="2" t="s">
        <v>1622</v>
      </c>
      <c r="U2237" s="2" t="s">
        <v>475</v>
      </c>
      <c r="V2237" s="2" t="s">
        <v>241</v>
      </c>
      <c r="W2237" s="2" t="s">
        <v>275</v>
      </c>
      <c r="X2237" s="2" t="s">
        <v>451</v>
      </c>
      <c r="Y2237" s="2" t="s">
        <v>233</v>
      </c>
      <c r="Z2237" s="4"/>
      <c r="AA2237" s="4">
        <f>=ROUNDDOWN({0},0)</f>
      </c>
      <c r="AB2237" s="5"/>
      <c r="AC2237" s="2" t="s">
        <v>2183</v>
      </c>
      <c r="AD2237" s="4">
        <v>230</v>
      </c>
      <c r="AE2237" s="4">
        <v>460</v>
      </c>
      <c r="AF2237" s="6">
        <v>65</v>
      </c>
      <c r="AG2237" s="6"/>
      <c r="AH2237" s="7">
        <v>0</v>
      </c>
      <c r="AI2237" s="4"/>
      <c r="AJ2237" s="4">
        <f>=ROUNDDOWN({0},0)</f>
      </c>
      <c r="AK2237" s="5"/>
      <c r="AL2237" s="2" t="s">
        <v>233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 t="s">
        <v>233</v>
      </c>
      <c r="AW2237" s="8" t="s">
        <v>233</v>
      </c>
      <c r="AX2237" s="4" t="s">
        <v>233</v>
      </c>
      <c r="AY2237" s="8" t="s">
        <v>233</v>
      </c>
      <c r="AZ2237" s="7" t="s">
        <v>233</v>
      </c>
      <c r="BA2237" s="7" t="s">
        <v>233</v>
      </c>
      <c r="BB2237" s="7"/>
      <c r="BC2237" s="4" t="s">
        <v>233</v>
      </c>
      <c r="BD2237" s="8" t="s">
        <v>233</v>
      </c>
      <c r="BE2237" s="4" t="s">
        <v>233</v>
      </c>
      <c r="BF2237" s="8" t="s">
        <v>233</v>
      </c>
      <c r="BG2237" s="7" t="s">
        <v>233</v>
      </c>
      <c r="BH2237" s="7" t="s">
        <v>233</v>
      </c>
      <c r="BI2237" s="7"/>
      <c r="BJ2237" s="4"/>
      <c r="BK2237" s="8"/>
      <c r="BL2237" s="2" t="s">
        <v>233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243</v>
      </c>
      <c r="BV2237" s="2" t="s">
        <v>233</v>
      </c>
      <c r="BW2237" s="2" t="s">
        <v>233</v>
      </c>
      <c r="BX2237" s="2" t="s">
        <v>243</v>
      </c>
      <c r="BY2237" s="2" t="s">
        <v>244</v>
      </c>
      <c r="BZ2237" s="2" t="s">
        <v>245</v>
      </c>
      <c r="CA2237" s="2" t="s">
        <v>233</v>
      </c>
      <c r="CB2237" s="2" t="s">
        <v>233</v>
      </c>
      <c r="CC2237" s="2" t="s">
        <v>246</v>
      </c>
      <c r="CD2237" s="2" t="s">
        <v>233</v>
      </c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>
        <v>230</v>
      </c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>
        <v>230</v>
      </c>
      <c r="GX2237" s="4"/>
      <c r="GY2237" s="4"/>
      <c r="GZ2237" s="4"/>
      <c r="HA2237" s="4"/>
      <c r="HB2237" s="4"/>
      <c r="HC2237" s="4"/>
      <c r="HD2237" s="4"/>
      <c r="HE2237" s="4"/>
      <c r="HF2237" s="4"/>
      <c r="HG2237" s="4"/>
      <c r="HH2237" s="4"/>
      <c r="HI2237" s="4"/>
      <c r="HJ2237" s="4"/>
      <c r="HK2237" s="4"/>
      <c r="HL2237" s="4"/>
      <c r="HM2237" s="4"/>
      <c r="HN2237" s="4"/>
      <c r="HO2237" s="4"/>
      <c r="HP2237" s="4"/>
      <c r="HQ2237" s="4"/>
      <c r="HR2237" s="4"/>
    </row>
    <row r="2238">
      <c r="A2238" s="2" t="s">
        <v>9986</v>
      </c>
      <c r="B2238" s="2" t="s">
        <v>910</v>
      </c>
      <c r="C2238" s="2" t="s">
        <v>1266</v>
      </c>
      <c r="D2238" s="2" t="s">
        <v>969</v>
      </c>
      <c r="E2238" s="2" t="s">
        <v>1078</v>
      </c>
      <c r="F2238" s="2" t="s">
        <v>3312</v>
      </c>
      <c r="G2238" s="2" t="s">
        <v>9976</v>
      </c>
      <c r="H2238" s="2" t="s">
        <v>6686</v>
      </c>
      <c r="I2238" s="2" t="s">
        <v>9977</v>
      </c>
      <c r="J2238" s="2" t="s">
        <v>981</v>
      </c>
      <c r="K2238" s="2" t="s">
        <v>3608</v>
      </c>
      <c r="L2238" s="3">
        <v>38.09</v>
      </c>
      <c r="M2238" s="3">
        <v>39.99</v>
      </c>
      <c r="N2238" s="3">
        <v>79.99</v>
      </c>
      <c r="O2238" s="2" t="s">
        <v>245</v>
      </c>
      <c r="P2238" s="2" t="s">
        <v>272</v>
      </c>
      <c r="Q2238" s="2" t="s">
        <v>239</v>
      </c>
      <c r="R2238" s="2" t="s">
        <v>233</v>
      </c>
      <c r="S2238" s="2" t="s">
        <v>9985</v>
      </c>
      <c r="T2238" s="2" t="s">
        <v>1622</v>
      </c>
      <c r="U2238" s="2" t="s">
        <v>342</v>
      </c>
      <c r="V2238" s="2" t="s">
        <v>241</v>
      </c>
      <c r="W2238" s="2" t="s">
        <v>275</v>
      </c>
      <c r="X2238" s="2" t="s">
        <v>451</v>
      </c>
      <c r="Y2238" s="2" t="s">
        <v>233</v>
      </c>
      <c r="Z2238" s="4"/>
      <c r="AA2238" s="4">
        <f>=ROUNDDOWN({0},0)</f>
      </c>
      <c r="AB2238" s="5"/>
      <c r="AC2238" s="2" t="s">
        <v>2183</v>
      </c>
      <c r="AD2238" s="4">
        <v>300</v>
      </c>
      <c r="AE2238" s="4">
        <v>640</v>
      </c>
      <c r="AF2238" s="6">
        <v>65</v>
      </c>
      <c r="AG2238" s="6"/>
      <c r="AH2238" s="7">
        <v>0</v>
      </c>
      <c r="AI2238" s="4"/>
      <c r="AJ2238" s="4">
        <f>=ROUNDDOWN({0},0)</f>
      </c>
      <c r="AK2238" s="5"/>
      <c r="AL2238" s="2" t="s">
        <v>233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233</v>
      </c>
      <c r="AW2238" s="8" t="s">
        <v>233</v>
      </c>
      <c r="AX2238" s="4" t="s">
        <v>233</v>
      </c>
      <c r="AY2238" s="8" t="s">
        <v>233</v>
      </c>
      <c r="AZ2238" s="7" t="s">
        <v>233</v>
      </c>
      <c r="BA2238" s="7" t="s">
        <v>233</v>
      </c>
      <c r="BB2238" s="7"/>
      <c r="BC2238" s="4" t="s">
        <v>233</v>
      </c>
      <c r="BD2238" s="8" t="s">
        <v>233</v>
      </c>
      <c r="BE2238" s="4" t="s">
        <v>233</v>
      </c>
      <c r="BF2238" s="8" t="s">
        <v>233</v>
      </c>
      <c r="BG2238" s="7" t="s">
        <v>233</v>
      </c>
      <c r="BH2238" s="7" t="s">
        <v>233</v>
      </c>
      <c r="BI2238" s="7"/>
      <c r="BJ2238" s="4"/>
      <c r="BK2238" s="8"/>
      <c r="BL2238" s="2" t="s">
        <v>233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243</v>
      </c>
      <c r="BV2238" s="2" t="s">
        <v>233</v>
      </c>
      <c r="BW2238" s="2" t="s">
        <v>233</v>
      </c>
      <c r="BX2238" s="2" t="s">
        <v>243</v>
      </c>
      <c r="BY2238" s="2" t="s">
        <v>244</v>
      </c>
      <c r="BZ2238" s="2" t="s">
        <v>245</v>
      </c>
      <c r="CA2238" s="2" t="s">
        <v>233</v>
      </c>
      <c r="CB2238" s="2" t="s">
        <v>233</v>
      </c>
      <c r="CC2238" s="2" t="s">
        <v>246</v>
      </c>
      <c r="CD2238" s="2" t="s">
        <v>233</v>
      </c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>
        <v>300</v>
      </c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>
        <v>340</v>
      </c>
      <c r="GX2238" s="4"/>
      <c r="GY2238" s="4"/>
      <c r="GZ2238" s="4"/>
      <c r="HA2238" s="4"/>
      <c r="HB2238" s="4"/>
      <c r="HC2238" s="4"/>
      <c r="HD2238" s="4"/>
      <c r="HE2238" s="4"/>
      <c r="HF2238" s="4"/>
      <c r="HG2238" s="4"/>
      <c r="HH2238" s="4"/>
      <c r="HI2238" s="4"/>
      <c r="HJ2238" s="4"/>
      <c r="HK2238" s="4"/>
      <c r="HL2238" s="4"/>
      <c r="HM2238" s="4"/>
      <c r="HN2238" s="4"/>
      <c r="HO2238" s="4"/>
      <c r="HP2238" s="4"/>
      <c r="HQ2238" s="4"/>
      <c r="HR2238" s="4"/>
    </row>
    <row r="2239">
      <c r="A2239" s="2" t="s">
        <v>9987</v>
      </c>
      <c r="B2239" s="2" t="s">
        <v>928</v>
      </c>
      <c r="C2239" s="2" t="s">
        <v>530</v>
      </c>
      <c r="D2239" s="2" t="s">
        <v>1757</v>
      </c>
      <c r="E2239" s="2" t="s">
        <v>930</v>
      </c>
      <c r="F2239" s="2" t="s">
        <v>9988</v>
      </c>
      <c r="G2239" s="2" t="s">
        <v>3312</v>
      </c>
      <c r="H2239" s="2" t="s">
        <v>6151</v>
      </c>
      <c r="I2239" s="2" t="s">
        <v>9989</v>
      </c>
      <c r="J2239" s="2" t="s">
        <v>892</v>
      </c>
      <c r="K2239" s="2" t="s">
        <v>1117</v>
      </c>
      <c r="L2239" s="3">
        <v>43.01</v>
      </c>
      <c r="M2239" s="3">
        <v>45.16</v>
      </c>
      <c r="N2239" s="3">
        <v>79.04</v>
      </c>
      <c r="O2239" s="2" t="s">
        <v>245</v>
      </c>
      <c r="P2239" s="2" t="s">
        <v>272</v>
      </c>
      <c r="Q2239" s="2" t="s">
        <v>239</v>
      </c>
      <c r="R2239" s="2" t="s">
        <v>233</v>
      </c>
      <c r="S2239" s="2" t="s">
        <v>9990</v>
      </c>
      <c r="T2239" s="2" t="s">
        <v>233</v>
      </c>
      <c r="U2239" s="2" t="s">
        <v>475</v>
      </c>
      <c r="V2239" s="2" t="s">
        <v>379</v>
      </c>
      <c r="W2239" s="2" t="s">
        <v>451</v>
      </c>
      <c r="X2239" s="2" t="s">
        <v>397</v>
      </c>
      <c r="Y2239" s="2" t="s">
        <v>507</v>
      </c>
      <c r="Z2239" s="4">
        <v>84</v>
      </c>
      <c r="AA2239" s="4">
        <f>=ROUNDDOWN(13.125,0)</f>
      </c>
      <c r="AB2239" s="5">
        <v>6.4</v>
      </c>
      <c r="AC2239" s="2" t="s">
        <v>1107</v>
      </c>
      <c r="AD2239" s="4">
        <v>23</v>
      </c>
      <c r="AE2239" s="4">
        <v>51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233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/>
      <c r="BD2239" s="8"/>
      <c r="BE2239" s="4"/>
      <c r="BF2239" s="8"/>
      <c r="BG2239" s="7"/>
      <c r="BH2239" s="7"/>
      <c r="BI2239" s="7"/>
      <c r="BJ2239" s="4">
        <v>26</v>
      </c>
      <c r="BK2239" s="8">
        <v>1316.43</v>
      </c>
      <c r="BL2239" s="2" t="s">
        <v>9991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9992</v>
      </c>
      <c r="BV2239" s="2" t="s">
        <v>233</v>
      </c>
      <c r="BW2239" s="2" t="s">
        <v>233</v>
      </c>
      <c r="BX2239" s="2" t="s">
        <v>233</v>
      </c>
      <c r="BY2239" s="2" t="s">
        <v>280</v>
      </c>
      <c r="BZ2239" s="2" t="s">
        <v>245</v>
      </c>
      <c r="CA2239" s="2" t="s">
        <v>507</v>
      </c>
      <c r="CB2239" s="2" t="s">
        <v>3754</v>
      </c>
      <c r="CC2239" s="2" t="s">
        <v>246</v>
      </c>
      <c r="CD2239" s="2" t="s">
        <v>233</v>
      </c>
      <c r="CE2239" s="4"/>
      <c r="CF2239" s="4">
        <v>84</v>
      </c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>
        <v>23</v>
      </c>
      <c r="DK2239" s="4">
        <v>28</v>
      </c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  <c r="HF2239" s="4"/>
      <c r="HG2239" s="4"/>
      <c r="HH2239" s="4"/>
      <c r="HI2239" s="4"/>
      <c r="HJ2239" s="4"/>
      <c r="HK2239" s="4"/>
      <c r="HL2239" s="4"/>
      <c r="HM2239" s="4"/>
      <c r="HN2239" s="4"/>
      <c r="HO2239" s="4"/>
      <c r="HP2239" s="4"/>
      <c r="HQ2239" s="4"/>
      <c r="HR2239" s="4"/>
    </row>
    <row r="2240">
      <c r="A2240" s="2" t="s">
        <v>9993</v>
      </c>
      <c r="B2240" s="2" t="s">
        <v>910</v>
      </c>
      <c r="C2240" s="2" t="s">
        <v>1130</v>
      </c>
      <c r="D2240" s="2" t="s">
        <v>912</v>
      </c>
      <c r="E2240" s="2" t="s">
        <v>1139</v>
      </c>
      <c r="F2240" s="2" t="s">
        <v>9994</v>
      </c>
      <c r="G2240" s="2" t="s">
        <v>9995</v>
      </c>
      <c r="H2240" s="2" t="s">
        <v>9996</v>
      </c>
      <c r="I2240" s="2" t="s">
        <v>9997</v>
      </c>
      <c r="J2240" s="2" t="s">
        <v>981</v>
      </c>
      <c r="K2240" s="2" t="s">
        <v>271</v>
      </c>
      <c r="L2240" s="3">
        <v>23.8</v>
      </c>
      <c r="M2240" s="3">
        <v>24.99</v>
      </c>
      <c r="N2240" s="3">
        <v>49.99</v>
      </c>
      <c r="O2240" s="2" t="s">
        <v>245</v>
      </c>
      <c r="P2240" s="2" t="s">
        <v>238</v>
      </c>
      <c r="Q2240" s="2" t="s">
        <v>239</v>
      </c>
      <c r="R2240" s="2" t="s">
        <v>233</v>
      </c>
      <c r="S2240" s="2" t="s">
        <v>9998</v>
      </c>
      <c r="T2240" s="2" t="s">
        <v>1481</v>
      </c>
      <c r="U2240" s="2" t="s">
        <v>475</v>
      </c>
      <c r="V2240" s="2" t="s">
        <v>359</v>
      </c>
      <c r="W2240" s="2" t="s">
        <v>397</v>
      </c>
      <c r="X2240" s="2" t="s">
        <v>275</v>
      </c>
      <c r="Y2240" s="2" t="s">
        <v>1026</v>
      </c>
      <c r="Z2240" s="4">
        <v>92</v>
      </c>
      <c r="AA2240" s="4">
        <f>=ROUNDDOWN(46,0)</f>
      </c>
      <c r="AB2240" s="5">
        <v>2</v>
      </c>
      <c r="AC2240" s="2" t="s">
        <v>233</v>
      </c>
      <c r="AD2240" s="4"/>
      <c r="AE2240" s="4"/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233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 t="s">
        <v>233</v>
      </c>
      <c r="AW2240" s="8" t="s">
        <v>233</v>
      </c>
      <c r="AX2240" s="4" t="s">
        <v>233</v>
      </c>
      <c r="AY2240" s="8" t="s">
        <v>233</v>
      </c>
      <c r="AZ2240" s="7" t="s">
        <v>233</v>
      </c>
      <c r="BA2240" s="7" t="s">
        <v>233</v>
      </c>
      <c r="BB2240" s="7"/>
      <c r="BC2240" s="4" t="s">
        <v>233</v>
      </c>
      <c r="BD2240" s="8" t="s">
        <v>233</v>
      </c>
      <c r="BE2240" s="4" t="s">
        <v>233</v>
      </c>
      <c r="BF2240" s="8" t="s">
        <v>233</v>
      </c>
      <c r="BG2240" s="7" t="s">
        <v>233</v>
      </c>
      <c r="BH2240" s="7" t="s">
        <v>233</v>
      </c>
      <c r="BI2240" s="7"/>
      <c r="BJ2240" s="4">
        <v>8</v>
      </c>
      <c r="BK2240" s="8">
        <v>209.92</v>
      </c>
      <c r="BL2240" s="2" t="s">
        <v>5456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9999</v>
      </c>
      <c r="BV2240" s="2" t="s">
        <v>233</v>
      </c>
      <c r="BW2240" s="2" t="s">
        <v>233</v>
      </c>
      <c r="BX2240" s="2" t="s">
        <v>243</v>
      </c>
      <c r="BY2240" s="2" t="s">
        <v>280</v>
      </c>
      <c r="BZ2240" s="2" t="s">
        <v>245</v>
      </c>
      <c r="CA2240" s="2" t="s">
        <v>10000</v>
      </c>
      <c r="CB2240" s="2" t="s">
        <v>233</v>
      </c>
      <c r="CC2240" s="2" t="s">
        <v>246</v>
      </c>
      <c r="CD2240" s="2" t="s">
        <v>233</v>
      </c>
      <c r="CE2240" s="4">
        <v>92</v>
      </c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  <c r="HF2240" s="4"/>
      <c r="HG2240" s="4"/>
      <c r="HH2240" s="4"/>
      <c r="HI2240" s="4"/>
      <c r="HJ2240" s="4"/>
      <c r="HK2240" s="4"/>
      <c r="HL2240" s="4"/>
      <c r="HM2240" s="4"/>
      <c r="HN2240" s="4"/>
      <c r="HO2240" s="4"/>
      <c r="HP2240" s="4"/>
      <c r="HQ2240" s="4"/>
      <c r="HR2240" s="4"/>
    </row>
    <row r="2241">
      <c r="A2241" s="2" t="s">
        <v>10001</v>
      </c>
      <c r="B2241" s="2" t="s">
        <v>910</v>
      </c>
      <c r="C2241" s="2" t="s">
        <v>1130</v>
      </c>
      <c r="D2241" s="2" t="s">
        <v>969</v>
      </c>
      <c r="E2241" s="2" t="s">
        <v>970</v>
      </c>
      <c r="F2241" s="2" t="s">
        <v>9994</v>
      </c>
      <c r="G2241" s="2" t="s">
        <v>9995</v>
      </c>
      <c r="H2241" s="2" t="s">
        <v>9996</v>
      </c>
      <c r="I2241" s="2" t="s">
        <v>10002</v>
      </c>
      <c r="J2241" s="2" t="s">
        <v>1142</v>
      </c>
      <c r="K2241" s="2" t="s">
        <v>271</v>
      </c>
      <c r="L2241" s="3">
        <v>38.09</v>
      </c>
      <c r="M2241" s="3">
        <v>39.99</v>
      </c>
      <c r="N2241" s="3">
        <v>79.99</v>
      </c>
      <c r="O2241" s="2" t="s">
        <v>245</v>
      </c>
      <c r="P2241" s="2" t="s">
        <v>238</v>
      </c>
      <c r="Q2241" s="2" t="s">
        <v>239</v>
      </c>
      <c r="R2241" s="2" t="s">
        <v>233</v>
      </c>
      <c r="S2241" s="2" t="s">
        <v>9998</v>
      </c>
      <c r="T2241" s="2" t="s">
        <v>1481</v>
      </c>
      <c r="U2241" s="2" t="s">
        <v>475</v>
      </c>
      <c r="V2241" s="2" t="s">
        <v>359</v>
      </c>
      <c r="W2241" s="2" t="s">
        <v>397</v>
      </c>
      <c r="X2241" s="2" t="s">
        <v>275</v>
      </c>
      <c r="Y2241" s="2" t="s">
        <v>2795</v>
      </c>
      <c r="Z2241" s="4">
        <v>75</v>
      </c>
      <c r="AA2241" s="4">
        <f>=ROUNDDOWN(25,0)</f>
      </c>
      <c r="AB2241" s="5">
        <v>3</v>
      </c>
      <c r="AC2241" s="2" t="s">
        <v>233</v>
      </c>
      <c r="AD2241" s="4"/>
      <c r="AE2241" s="4"/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233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233</v>
      </c>
      <c r="AW2241" s="8" t="s">
        <v>233</v>
      </c>
      <c r="AX2241" s="4" t="s">
        <v>233</v>
      </c>
      <c r="AY2241" s="8" t="s">
        <v>233</v>
      </c>
      <c r="AZ2241" s="7" t="s">
        <v>233</v>
      </c>
      <c r="BA2241" s="7" t="s">
        <v>233</v>
      </c>
      <c r="BB2241" s="7"/>
      <c r="BC2241" s="4" t="s">
        <v>233</v>
      </c>
      <c r="BD2241" s="8" t="s">
        <v>233</v>
      </c>
      <c r="BE2241" s="4" t="s">
        <v>233</v>
      </c>
      <c r="BF2241" s="8" t="s">
        <v>233</v>
      </c>
      <c r="BG2241" s="7" t="s">
        <v>233</v>
      </c>
      <c r="BH2241" s="7" t="s">
        <v>233</v>
      </c>
      <c r="BI2241" s="7"/>
      <c r="BJ2241" s="4">
        <v>11</v>
      </c>
      <c r="BK2241" s="8">
        <v>467.93</v>
      </c>
      <c r="BL2241" s="2" t="s">
        <v>10003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10004</v>
      </c>
      <c r="BV2241" s="2" t="s">
        <v>233</v>
      </c>
      <c r="BW2241" s="2" t="s">
        <v>233</v>
      </c>
      <c r="BX2241" s="2" t="s">
        <v>243</v>
      </c>
      <c r="BY2241" s="2" t="s">
        <v>280</v>
      </c>
      <c r="BZ2241" s="2" t="s">
        <v>245</v>
      </c>
      <c r="CA2241" s="2" t="s">
        <v>10000</v>
      </c>
      <c r="CB2241" s="2" t="s">
        <v>10005</v>
      </c>
      <c r="CC2241" s="2" t="s">
        <v>246</v>
      </c>
      <c r="CD2241" s="2" t="s">
        <v>233</v>
      </c>
      <c r="CE2241" s="4">
        <v>75</v>
      </c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4"/>
      <c r="HE2241" s="4"/>
      <c r="HF2241" s="4"/>
      <c r="HG2241" s="4"/>
      <c r="HH2241" s="4"/>
      <c r="HI2241" s="4"/>
      <c r="HJ2241" s="4"/>
      <c r="HK2241" s="4"/>
      <c r="HL2241" s="4"/>
      <c r="HM2241" s="4"/>
      <c r="HN2241" s="4"/>
      <c r="HO2241" s="4"/>
      <c r="HP2241" s="4"/>
      <c r="HQ2241" s="4"/>
      <c r="HR2241" s="4"/>
    </row>
    <row r="2242">
      <c r="A2242" s="2" t="s">
        <v>10006</v>
      </c>
      <c r="B2242" s="2" t="s">
        <v>228</v>
      </c>
      <c r="C2242" s="2" t="s">
        <v>530</v>
      </c>
      <c r="D2242" s="2" t="s">
        <v>1616</v>
      </c>
      <c r="E2242" s="2" t="s">
        <v>2599</v>
      </c>
      <c r="F2242" s="2" t="s">
        <v>9994</v>
      </c>
      <c r="G2242" s="2" t="s">
        <v>5011</v>
      </c>
      <c r="H2242" s="2" t="s">
        <v>5011</v>
      </c>
      <c r="I2242" s="2" t="s">
        <v>10007</v>
      </c>
      <c r="J2242" s="2" t="s">
        <v>1736</v>
      </c>
      <c r="K2242" s="2" t="s">
        <v>984</v>
      </c>
      <c r="L2242" s="3">
        <v>23.8</v>
      </c>
      <c r="M2242" s="3">
        <v>24.99</v>
      </c>
      <c r="N2242" s="3">
        <v>49.99</v>
      </c>
      <c r="O2242" s="2" t="s">
        <v>245</v>
      </c>
      <c r="P2242" s="2" t="s">
        <v>238</v>
      </c>
      <c r="Q2242" s="2" t="s">
        <v>239</v>
      </c>
      <c r="R2242" s="2" t="s">
        <v>233</v>
      </c>
      <c r="S2242" s="2" t="s">
        <v>10008</v>
      </c>
      <c r="T2242" s="2" t="s">
        <v>233</v>
      </c>
      <c r="U2242" s="2" t="s">
        <v>396</v>
      </c>
      <c r="V2242" s="2" t="s">
        <v>241</v>
      </c>
      <c r="W2242" s="2" t="s">
        <v>275</v>
      </c>
      <c r="X2242" s="2" t="s">
        <v>233</v>
      </c>
      <c r="Y2242" s="2" t="s">
        <v>485</v>
      </c>
      <c r="Z2242" s="4">
        <v>422</v>
      </c>
      <c r="AA2242" s="4">
        <f>=ROUNDDOWN(263.75,0)</f>
      </c>
      <c r="AB2242" s="5">
        <v>1.6</v>
      </c>
      <c r="AC2242" s="2" t="s">
        <v>233</v>
      </c>
      <c r="AD2242" s="4"/>
      <c r="AE2242" s="4"/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233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233</v>
      </c>
      <c r="BD2242" s="8" t="s">
        <v>233</v>
      </c>
      <c r="BE2242" s="4" t="s">
        <v>233</v>
      </c>
      <c r="BF2242" s="8" t="s">
        <v>233</v>
      </c>
      <c r="BG2242" s="7" t="s">
        <v>233</v>
      </c>
      <c r="BH2242" s="7" t="s">
        <v>233</v>
      </c>
      <c r="BI2242" s="7"/>
      <c r="BJ2242" s="4">
        <v>7</v>
      </c>
      <c r="BK2242" s="8">
        <v>194.51</v>
      </c>
      <c r="BL2242" s="2" t="s">
        <v>6389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10009</v>
      </c>
      <c r="BV2242" s="2" t="s">
        <v>233</v>
      </c>
      <c r="BW2242" s="2" t="s">
        <v>233</v>
      </c>
      <c r="BX2242" s="2" t="s">
        <v>233</v>
      </c>
      <c r="BY2242" s="2" t="s">
        <v>280</v>
      </c>
      <c r="BZ2242" s="2" t="s">
        <v>245</v>
      </c>
      <c r="CA2242" s="2" t="s">
        <v>401</v>
      </c>
      <c r="CB2242" s="2" t="s">
        <v>375</v>
      </c>
      <c r="CC2242" s="2" t="s">
        <v>246</v>
      </c>
      <c r="CD2242" s="2" t="s">
        <v>233</v>
      </c>
      <c r="CE2242" s="4">
        <v>421</v>
      </c>
      <c r="CF2242" s="4"/>
      <c r="CG2242" s="4"/>
      <c r="CH2242" s="4"/>
      <c r="CI2242" s="4">
        <v>1</v>
      </c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/>
      <c r="HD2242" s="4"/>
      <c r="HE2242" s="4"/>
      <c r="HF2242" s="4"/>
      <c r="HG2242" s="4"/>
      <c r="HH2242" s="4"/>
      <c r="HI2242" s="4"/>
      <c r="HJ2242" s="4"/>
      <c r="HK2242" s="4"/>
      <c r="HL2242" s="4"/>
      <c r="HM2242" s="4"/>
      <c r="HN2242" s="4"/>
      <c r="HO2242" s="4"/>
      <c r="HP2242" s="4"/>
      <c r="HQ2242" s="4"/>
      <c r="HR2242" s="4"/>
    </row>
    <row r="2243">
      <c r="A2243" s="2" t="s">
        <v>10010</v>
      </c>
      <c r="B2243" s="2" t="s">
        <v>910</v>
      </c>
      <c r="C2243" s="2" t="s">
        <v>1130</v>
      </c>
      <c r="D2243" s="2" t="s">
        <v>969</v>
      </c>
      <c r="E2243" s="2" t="s">
        <v>970</v>
      </c>
      <c r="F2243" s="2" t="s">
        <v>9994</v>
      </c>
      <c r="G2243" s="2" t="s">
        <v>9995</v>
      </c>
      <c r="H2243" s="2" t="s">
        <v>9996</v>
      </c>
      <c r="I2243" s="2" t="s">
        <v>10002</v>
      </c>
      <c r="J2243" s="2" t="s">
        <v>918</v>
      </c>
      <c r="K2243" s="2" t="s">
        <v>255</v>
      </c>
      <c r="L2243" s="3">
        <v>28.57</v>
      </c>
      <c r="M2243" s="3">
        <v>30</v>
      </c>
      <c r="N2243" s="3">
        <v>59.99</v>
      </c>
      <c r="O2243" s="2" t="s">
        <v>245</v>
      </c>
      <c r="P2243" s="2" t="s">
        <v>238</v>
      </c>
      <c r="Q2243" s="2" t="s">
        <v>239</v>
      </c>
      <c r="R2243" s="2" t="s">
        <v>233</v>
      </c>
      <c r="S2243" s="2" t="s">
        <v>10011</v>
      </c>
      <c r="T2243" s="2" t="s">
        <v>1481</v>
      </c>
      <c r="U2243" s="2" t="s">
        <v>491</v>
      </c>
      <c r="V2243" s="2" t="s">
        <v>359</v>
      </c>
      <c r="W2243" s="2" t="s">
        <v>397</v>
      </c>
      <c r="X2243" s="2" t="s">
        <v>275</v>
      </c>
      <c r="Y2243" s="2" t="s">
        <v>2795</v>
      </c>
      <c r="Z2243" s="4">
        <v>35</v>
      </c>
      <c r="AA2243" s="4">
        <f>=ROUNDDOWN(11.6666666666667,0)</f>
      </c>
      <c r="AB2243" s="5">
        <v>3</v>
      </c>
      <c r="AC2243" s="2" t="s">
        <v>233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233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 t="s">
        <v>233</v>
      </c>
      <c r="AW2243" s="8" t="s">
        <v>233</v>
      </c>
      <c r="AX2243" s="4" t="s">
        <v>233</v>
      </c>
      <c r="AY2243" s="8" t="s">
        <v>233</v>
      </c>
      <c r="AZ2243" s="7" t="s">
        <v>233</v>
      </c>
      <c r="BA2243" s="7" t="s">
        <v>233</v>
      </c>
      <c r="BB2243" s="7"/>
      <c r="BC2243" s="4" t="s">
        <v>233</v>
      </c>
      <c r="BD2243" s="8" t="s">
        <v>233</v>
      </c>
      <c r="BE2243" s="4" t="s">
        <v>233</v>
      </c>
      <c r="BF2243" s="8" t="s">
        <v>233</v>
      </c>
      <c r="BG2243" s="7" t="s">
        <v>233</v>
      </c>
      <c r="BH2243" s="7" t="s">
        <v>233</v>
      </c>
      <c r="BI2243" s="7"/>
      <c r="BJ2243" s="4">
        <v>4</v>
      </c>
      <c r="BK2243" s="8">
        <v>122.86</v>
      </c>
      <c r="BL2243" s="2" t="s">
        <v>3705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10012</v>
      </c>
      <c r="BV2243" s="2" t="s">
        <v>233</v>
      </c>
      <c r="BW2243" s="2" t="s">
        <v>233</v>
      </c>
      <c r="BX2243" s="2" t="s">
        <v>243</v>
      </c>
      <c r="BY2243" s="2" t="s">
        <v>280</v>
      </c>
      <c r="BZ2243" s="2" t="s">
        <v>245</v>
      </c>
      <c r="CA2243" s="2" t="s">
        <v>10000</v>
      </c>
      <c r="CB2243" s="2" t="s">
        <v>233</v>
      </c>
      <c r="CC2243" s="2" t="s">
        <v>246</v>
      </c>
      <c r="CD2243" s="2" t="s">
        <v>233</v>
      </c>
      <c r="CE2243" s="4">
        <v>35</v>
      </c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  <c r="HF2243" s="4"/>
      <c r="HG2243" s="4"/>
      <c r="HH2243" s="4"/>
      <c r="HI2243" s="4"/>
      <c r="HJ2243" s="4"/>
      <c r="HK2243" s="4"/>
      <c r="HL2243" s="4"/>
      <c r="HM2243" s="4"/>
      <c r="HN2243" s="4"/>
      <c r="HO2243" s="4"/>
      <c r="HP2243" s="4"/>
      <c r="HQ2243" s="4"/>
      <c r="HR2243" s="4"/>
    </row>
    <row r="2244">
      <c r="A2244" s="2" t="s">
        <v>10013</v>
      </c>
      <c r="B2244" s="2" t="s">
        <v>910</v>
      </c>
      <c r="C2244" s="2" t="s">
        <v>1130</v>
      </c>
      <c r="D2244" s="2" t="s">
        <v>969</v>
      </c>
      <c r="E2244" s="2" t="s">
        <v>970</v>
      </c>
      <c r="F2244" s="2" t="s">
        <v>9994</v>
      </c>
      <c r="G2244" s="2" t="s">
        <v>9995</v>
      </c>
      <c r="H2244" s="2" t="s">
        <v>9996</v>
      </c>
      <c r="I2244" s="2" t="s">
        <v>10002</v>
      </c>
      <c r="J2244" s="2" t="s">
        <v>981</v>
      </c>
      <c r="K2244" s="2" t="s">
        <v>255</v>
      </c>
      <c r="L2244" s="3">
        <v>33.33</v>
      </c>
      <c r="M2244" s="3">
        <v>35</v>
      </c>
      <c r="N2244" s="3">
        <v>69.99</v>
      </c>
      <c r="O2244" s="2" t="s">
        <v>245</v>
      </c>
      <c r="P2244" s="2" t="s">
        <v>238</v>
      </c>
      <c r="Q2244" s="2" t="s">
        <v>239</v>
      </c>
      <c r="R2244" s="2" t="s">
        <v>233</v>
      </c>
      <c r="S2244" s="2" t="s">
        <v>10011</v>
      </c>
      <c r="T2244" s="2" t="s">
        <v>1481</v>
      </c>
      <c r="U2244" s="2" t="s">
        <v>475</v>
      </c>
      <c r="V2244" s="2" t="s">
        <v>359</v>
      </c>
      <c r="W2244" s="2" t="s">
        <v>397</v>
      </c>
      <c r="X2244" s="2" t="s">
        <v>275</v>
      </c>
      <c r="Y2244" s="2" t="s">
        <v>2795</v>
      </c>
      <c r="Z2244" s="4">
        <v>200</v>
      </c>
      <c r="AA2244" s="4">
        <f>=ROUNDDOWN(50,0)</f>
      </c>
      <c r="AB2244" s="5">
        <v>4</v>
      </c>
      <c r="AC2244" s="2" t="s">
        <v>233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233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 t="s">
        <v>233</v>
      </c>
      <c r="AW2244" s="8" t="s">
        <v>233</v>
      </c>
      <c r="AX2244" s="4" t="s">
        <v>233</v>
      </c>
      <c r="AY2244" s="8" t="s">
        <v>233</v>
      </c>
      <c r="AZ2244" s="7" t="s">
        <v>233</v>
      </c>
      <c r="BA2244" s="7" t="s">
        <v>233</v>
      </c>
      <c r="BB2244" s="7" t="s">
        <v>233</v>
      </c>
      <c r="BC2244" s="4" t="s">
        <v>233</v>
      </c>
      <c r="BD2244" s="8" t="s">
        <v>233</v>
      </c>
      <c r="BE2244" s="4" t="s">
        <v>233</v>
      </c>
      <c r="BF2244" s="8" t="s">
        <v>233</v>
      </c>
      <c r="BG2244" s="7" t="s">
        <v>233</v>
      </c>
      <c r="BH2244" s="7" t="s">
        <v>233</v>
      </c>
      <c r="BI2244" s="7"/>
      <c r="BJ2244" s="4">
        <v>14</v>
      </c>
      <c r="BK2244" s="8">
        <v>518.74</v>
      </c>
      <c r="BL2244" s="2" t="s">
        <v>10014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10015</v>
      </c>
      <c r="BV2244" s="2" t="s">
        <v>233</v>
      </c>
      <c r="BW2244" s="2" t="s">
        <v>233</v>
      </c>
      <c r="BX2244" s="2" t="s">
        <v>243</v>
      </c>
      <c r="BY2244" s="2" t="s">
        <v>280</v>
      </c>
      <c r="BZ2244" s="2" t="s">
        <v>245</v>
      </c>
      <c r="CA2244" s="2" t="s">
        <v>10000</v>
      </c>
      <c r="CB2244" s="2" t="s">
        <v>2762</v>
      </c>
      <c r="CC2244" s="2" t="s">
        <v>246</v>
      </c>
      <c r="CD2244" s="2" t="s">
        <v>233</v>
      </c>
      <c r="CE2244" s="4">
        <v>200</v>
      </c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/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/>
      <c r="HD2244" s="4"/>
      <c r="HE2244" s="4"/>
      <c r="HF2244" s="4"/>
      <c r="HG2244" s="4"/>
      <c r="HH2244" s="4"/>
      <c r="HI2244" s="4"/>
      <c r="HJ2244" s="4"/>
      <c r="HK2244" s="4"/>
      <c r="HL2244" s="4"/>
      <c r="HM2244" s="4"/>
      <c r="HN2244" s="4"/>
      <c r="HO2244" s="4"/>
      <c r="HP2244" s="4"/>
      <c r="HQ2244" s="4"/>
      <c r="HR2244" s="4"/>
    </row>
    <row r="2245">
      <c r="A2245" s="2" t="s">
        <v>10016</v>
      </c>
      <c r="B2245" s="2" t="s">
        <v>910</v>
      </c>
      <c r="C2245" s="2" t="s">
        <v>1130</v>
      </c>
      <c r="D2245" s="2" t="s">
        <v>912</v>
      </c>
      <c r="E2245" s="2" t="s">
        <v>1139</v>
      </c>
      <c r="F2245" s="2" t="s">
        <v>9994</v>
      </c>
      <c r="G2245" s="2" t="s">
        <v>9995</v>
      </c>
      <c r="H2245" s="2" t="s">
        <v>9996</v>
      </c>
      <c r="I2245" s="2" t="s">
        <v>9997</v>
      </c>
      <c r="J2245" s="2" t="s">
        <v>981</v>
      </c>
      <c r="K2245" s="2" t="s">
        <v>255</v>
      </c>
      <c r="L2245" s="3">
        <v>23.8</v>
      </c>
      <c r="M2245" s="3">
        <v>24.99</v>
      </c>
      <c r="N2245" s="3">
        <v>49.99</v>
      </c>
      <c r="O2245" s="2" t="s">
        <v>245</v>
      </c>
      <c r="P2245" s="2" t="s">
        <v>238</v>
      </c>
      <c r="Q2245" s="2" t="s">
        <v>239</v>
      </c>
      <c r="R2245" s="2" t="s">
        <v>233</v>
      </c>
      <c r="S2245" s="2" t="s">
        <v>10011</v>
      </c>
      <c r="T2245" s="2" t="s">
        <v>1481</v>
      </c>
      <c r="U2245" s="2" t="s">
        <v>475</v>
      </c>
      <c r="V2245" s="2" t="s">
        <v>359</v>
      </c>
      <c r="W2245" s="2" t="s">
        <v>397</v>
      </c>
      <c r="X2245" s="2" t="s">
        <v>275</v>
      </c>
      <c r="Y2245" s="2" t="s">
        <v>2795</v>
      </c>
      <c r="Z2245" s="4">
        <v>122</v>
      </c>
      <c r="AA2245" s="4">
        <f>=ROUNDDOWN(61,0)</f>
      </c>
      <c r="AB2245" s="5">
        <v>2</v>
      </c>
      <c r="AC2245" s="2" t="s">
        <v>233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233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 t="s">
        <v>233</v>
      </c>
      <c r="AW2245" s="8" t="s">
        <v>233</v>
      </c>
      <c r="AX2245" s="4" t="s">
        <v>233</v>
      </c>
      <c r="AY2245" s="8" t="s">
        <v>233</v>
      </c>
      <c r="AZ2245" s="7" t="s">
        <v>233</v>
      </c>
      <c r="BA2245" s="7" t="s">
        <v>233</v>
      </c>
      <c r="BB2245" s="7" t="s">
        <v>233</v>
      </c>
      <c r="BC2245" s="4" t="s">
        <v>233</v>
      </c>
      <c r="BD2245" s="8" t="s">
        <v>233</v>
      </c>
      <c r="BE2245" s="4" t="s">
        <v>233</v>
      </c>
      <c r="BF2245" s="8" t="s">
        <v>233</v>
      </c>
      <c r="BG2245" s="7" t="s">
        <v>233</v>
      </c>
      <c r="BH2245" s="7" t="s">
        <v>233</v>
      </c>
      <c r="BI2245" s="7"/>
      <c r="BJ2245" s="4">
        <v>2</v>
      </c>
      <c r="BK2245" s="8">
        <v>64.98</v>
      </c>
      <c r="BL2245" s="2" t="s">
        <v>10017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10018</v>
      </c>
      <c r="BV2245" s="2" t="s">
        <v>233</v>
      </c>
      <c r="BW2245" s="2" t="s">
        <v>233</v>
      </c>
      <c r="BX2245" s="2" t="s">
        <v>243</v>
      </c>
      <c r="BY2245" s="2" t="s">
        <v>280</v>
      </c>
      <c r="BZ2245" s="2" t="s">
        <v>245</v>
      </c>
      <c r="CA2245" s="2" t="s">
        <v>10000</v>
      </c>
      <c r="CB2245" s="2" t="s">
        <v>3175</v>
      </c>
      <c r="CC2245" s="2" t="s">
        <v>246</v>
      </c>
      <c r="CD2245" s="2" t="s">
        <v>233</v>
      </c>
      <c r="CE2245" s="4">
        <v>122</v>
      </c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/>
      <c r="HD2245" s="4"/>
      <c r="HE2245" s="4"/>
      <c r="HF2245" s="4"/>
      <c r="HG2245" s="4"/>
      <c r="HH2245" s="4"/>
      <c r="HI2245" s="4"/>
      <c r="HJ2245" s="4"/>
      <c r="HK2245" s="4"/>
      <c r="HL2245" s="4"/>
      <c r="HM2245" s="4"/>
      <c r="HN2245" s="4"/>
      <c r="HO2245" s="4"/>
      <c r="HP2245" s="4"/>
      <c r="HQ2245" s="4"/>
      <c r="HR2245" s="4"/>
    </row>
    <row r="2246">
      <c r="A2246" s="2" t="s">
        <v>10019</v>
      </c>
      <c r="B2246" s="2" t="s">
        <v>910</v>
      </c>
      <c r="C2246" s="2" t="s">
        <v>1130</v>
      </c>
      <c r="D2246" s="2" t="s">
        <v>969</v>
      </c>
      <c r="E2246" s="2" t="s">
        <v>970</v>
      </c>
      <c r="F2246" s="2" t="s">
        <v>9994</v>
      </c>
      <c r="G2246" s="2" t="s">
        <v>9995</v>
      </c>
      <c r="H2246" s="2" t="s">
        <v>9996</v>
      </c>
      <c r="I2246" s="2" t="s">
        <v>10002</v>
      </c>
      <c r="J2246" s="2" t="s">
        <v>1142</v>
      </c>
      <c r="K2246" s="2" t="s">
        <v>255</v>
      </c>
      <c r="L2246" s="3">
        <v>38.09</v>
      </c>
      <c r="M2246" s="3">
        <v>39.99</v>
      </c>
      <c r="N2246" s="3">
        <v>79.99</v>
      </c>
      <c r="O2246" s="2" t="s">
        <v>245</v>
      </c>
      <c r="P2246" s="2" t="s">
        <v>238</v>
      </c>
      <c r="Q2246" s="2" t="s">
        <v>239</v>
      </c>
      <c r="R2246" s="2" t="s">
        <v>233</v>
      </c>
      <c r="S2246" s="2" t="s">
        <v>10011</v>
      </c>
      <c r="T2246" s="2" t="s">
        <v>1481</v>
      </c>
      <c r="U2246" s="2" t="s">
        <v>475</v>
      </c>
      <c r="V2246" s="2" t="s">
        <v>359</v>
      </c>
      <c r="W2246" s="2" t="s">
        <v>397</v>
      </c>
      <c r="X2246" s="2" t="s">
        <v>275</v>
      </c>
      <c r="Y2246" s="2" t="s">
        <v>2795</v>
      </c>
      <c r="Z2246" s="4">
        <v>88</v>
      </c>
      <c r="AA2246" s="4">
        <f>=ROUNDDOWN(29.3333333333333,0)</f>
      </c>
      <c r="AB2246" s="5">
        <v>3</v>
      </c>
      <c r="AC2246" s="2" t="s">
        <v>233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233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 t="s">
        <v>233</v>
      </c>
      <c r="AW2246" s="8" t="s">
        <v>233</v>
      </c>
      <c r="AX2246" s="4" t="s">
        <v>233</v>
      </c>
      <c r="AY2246" s="8" t="s">
        <v>233</v>
      </c>
      <c r="AZ2246" s="7" t="s">
        <v>233</v>
      </c>
      <c r="BA2246" s="7" t="s">
        <v>233</v>
      </c>
      <c r="BB2246" s="7" t="s">
        <v>233</v>
      </c>
      <c r="BC2246" s="4" t="s">
        <v>233</v>
      </c>
      <c r="BD2246" s="8" t="s">
        <v>233</v>
      </c>
      <c r="BE2246" s="4" t="s">
        <v>233</v>
      </c>
      <c r="BF2246" s="8" t="s">
        <v>233</v>
      </c>
      <c r="BG2246" s="7" t="s">
        <v>233</v>
      </c>
      <c r="BH2246" s="7" t="s">
        <v>233</v>
      </c>
      <c r="BI2246" s="7"/>
      <c r="BJ2246" s="4">
        <v>11</v>
      </c>
      <c r="BK2246" s="8">
        <v>464.14</v>
      </c>
      <c r="BL2246" s="2" t="s">
        <v>10020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10021</v>
      </c>
      <c r="BV2246" s="2" t="s">
        <v>233</v>
      </c>
      <c r="BW2246" s="2" t="s">
        <v>233</v>
      </c>
      <c r="BX2246" s="2" t="s">
        <v>243</v>
      </c>
      <c r="BY2246" s="2" t="s">
        <v>280</v>
      </c>
      <c r="BZ2246" s="2" t="s">
        <v>245</v>
      </c>
      <c r="CA2246" s="2" t="s">
        <v>10000</v>
      </c>
      <c r="CB2246" s="2" t="s">
        <v>350</v>
      </c>
      <c r="CC2246" s="2" t="s">
        <v>246</v>
      </c>
      <c r="CD2246" s="2" t="s">
        <v>233</v>
      </c>
      <c r="CE2246" s="4">
        <v>88</v>
      </c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  <c r="HF2246" s="4"/>
      <c r="HG2246" s="4"/>
      <c r="HH2246" s="4"/>
      <c r="HI2246" s="4"/>
      <c r="HJ2246" s="4"/>
      <c r="HK2246" s="4"/>
      <c r="HL2246" s="4"/>
      <c r="HM2246" s="4"/>
      <c r="HN2246" s="4"/>
      <c r="HO2246" s="4"/>
      <c r="HP2246" s="4"/>
      <c r="HQ2246" s="4"/>
      <c r="HR2246" s="4"/>
    </row>
    <row r="2247">
      <c r="A2247" s="2" t="s">
        <v>10022</v>
      </c>
      <c r="B2247" s="2" t="s">
        <v>910</v>
      </c>
      <c r="C2247" s="2" t="s">
        <v>1130</v>
      </c>
      <c r="D2247" s="2" t="s">
        <v>912</v>
      </c>
      <c r="E2247" s="2" t="s">
        <v>1139</v>
      </c>
      <c r="F2247" s="2" t="s">
        <v>9994</v>
      </c>
      <c r="G2247" s="2" t="s">
        <v>9995</v>
      </c>
      <c r="H2247" s="2" t="s">
        <v>9996</v>
      </c>
      <c r="I2247" s="2" t="s">
        <v>9997</v>
      </c>
      <c r="J2247" s="2" t="s">
        <v>1142</v>
      </c>
      <c r="K2247" s="2" t="s">
        <v>255</v>
      </c>
      <c r="L2247" s="3">
        <v>28.57</v>
      </c>
      <c r="M2247" s="3">
        <v>30</v>
      </c>
      <c r="N2247" s="3">
        <v>59.99</v>
      </c>
      <c r="O2247" s="2" t="s">
        <v>245</v>
      </c>
      <c r="P2247" s="2" t="s">
        <v>238</v>
      </c>
      <c r="Q2247" s="2" t="s">
        <v>239</v>
      </c>
      <c r="R2247" s="2" t="s">
        <v>233</v>
      </c>
      <c r="S2247" s="2" t="s">
        <v>10011</v>
      </c>
      <c r="T2247" s="2" t="s">
        <v>1481</v>
      </c>
      <c r="U2247" s="2" t="s">
        <v>475</v>
      </c>
      <c r="V2247" s="2" t="s">
        <v>359</v>
      </c>
      <c r="W2247" s="2" t="s">
        <v>397</v>
      </c>
      <c r="X2247" s="2" t="s">
        <v>275</v>
      </c>
      <c r="Y2247" s="2" t="s">
        <v>2795</v>
      </c>
      <c r="Z2247" s="4">
        <v>111</v>
      </c>
      <c r="AA2247" s="4">
        <f>=ROUNDDOWN(55.5,0)</f>
      </c>
      <c r="AB2247" s="5">
        <v>2</v>
      </c>
      <c r="AC2247" s="2" t="s">
        <v>233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233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 t="s">
        <v>233</v>
      </c>
      <c r="AW2247" s="8" t="s">
        <v>233</v>
      </c>
      <c r="AX2247" s="4" t="s">
        <v>233</v>
      </c>
      <c r="AY2247" s="8" t="s">
        <v>233</v>
      </c>
      <c r="AZ2247" s="7" t="s">
        <v>233</v>
      </c>
      <c r="BA2247" s="7" t="s">
        <v>233</v>
      </c>
      <c r="BB2247" s="7" t="s">
        <v>233</v>
      </c>
      <c r="BC2247" s="4" t="s">
        <v>233</v>
      </c>
      <c r="BD2247" s="8" t="s">
        <v>233</v>
      </c>
      <c r="BE2247" s="4" t="s">
        <v>233</v>
      </c>
      <c r="BF2247" s="8" t="s">
        <v>233</v>
      </c>
      <c r="BG2247" s="7" t="s">
        <v>233</v>
      </c>
      <c r="BH2247" s="7" t="s">
        <v>233</v>
      </c>
      <c r="BI2247" s="7"/>
      <c r="BJ2247" s="4">
        <v>2</v>
      </c>
      <c r="BK2247" s="8">
        <v>60</v>
      </c>
      <c r="BL2247" s="2" t="s">
        <v>1028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10023</v>
      </c>
      <c r="BV2247" s="2" t="s">
        <v>233</v>
      </c>
      <c r="BW2247" s="2" t="s">
        <v>233</v>
      </c>
      <c r="BX2247" s="2" t="s">
        <v>243</v>
      </c>
      <c r="BY2247" s="2" t="s">
        <v>280</v>
      </c>
      <c r="BZ2247" s="2" t="s">
        <v>245</v>
      </c>
      <c r="CA2247" s="2" t="s">
        <v>10000</v>
      </c>
      <c r="CB2247" s="2" t="s">
        <v>5826</v>
      </c>
      <c r="CC2247" s="2" t="s">
        <v>246</v>
      </c>
      <c r="CD2247" s="2" t="s">
        <v>233</v>
      </c>
      <c r="CE2247" s="4">
        <v>111</v>
      </c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  <c r="HG2247" s="4"/>
      <c r="HH2247" s="4"/>
      <c r="HI2247" s="4"/>
      <c r="HJ2247" s="4"/>
      <c r="HK2247" s="4"/>
      <c r="HL2247" s="4"/>
      <c r="HM2247" s="4"/>
      <c r="HN2247" s="4"/>
      <c r="HO2247" s="4"/>
      <c r="HP2247" s="4"/>
      <c r="HQ2247" s="4"/>
      <c r="HR2247" s="4"/>
    </row>
    <row r="2248">
      <c r="A2248" s="2" t="s">
        <v>10024</v>
      </c>
      <c r="B2248" s="2" t="s">
        <v>228</v>
      </c>
      <c r="C2248" s="2" t="s">
        <v>530</v>
      </c>
      <c r="D2248" s="2" t="s">
        <v>1616</v>
      </c>
      <c r="E2248" s="2" t="s">
        <v>2599</v>
      </c>
      <c r="F2248" s="2" t="s">
        <v>9994</v>
      </c>
      <c r="G2248" s="2" t="s">
        <v>5011</v>
      </c>
      <c r="H2248" s="2" t="s">
        <v>5011</v>
      </c>
      <c r="I2248" s="2" t="s">
        <v>10007</v>
      </c>
      <c r="J2248" s="2" t="s">
        <v>1736</v>
      </c>
      <c r="K2248" s="2" t="s">
        <v>569</v>
      </c>
      <c r="L2248" s="3">
        <v>23.8</v>
      </c>
      <c r="M2248" s="3">
        <v>24.99</v>
      </c>
      <c r="N2248" s="3">
        <v>49.99</v>
      </c>
      <c r="O2248" s="2" t="s">
        <v>245</v>
      </c>
      <c r="P2248" s="2" t="s">
        <v>238</v>
      </c>
      <c r="Q2248" s="2" t="s">
        <v>239</v>
      </c>
      <c r="R2248" s="2" t="s">
        <v>233</v>
      </c>
      <c r="S2248" s="2" t="s">
        <v>10025</v>
      </c>
      <c r="T2248" s="2" t="s">
        <v>233</v>
      </c>
      <c r="U2248" s="2" t="s">
        <v>396</v>
      </c>
      <c r="V2248" s="2" t="s">
        <v>241</v>
      </c>
      <c r="W2248" s="2" t="s">
        <v>275</v>
      </c>
      <c r="X2248" s="2" t="s">
        <v>233</v>
      </c>
      <c r="Y2248" s="2" t="s">
        <v>485</v>
      </c>
      <c r="Z2248" s="4">
        <v>349</v>
      </c>
      <c r="AA2248" s="4">
        <f>=ROUNDDOWN(58.1666666666667,0)</f>
      </c>
      <c r="AB2248" s="5">
        <v>6</v>
      </c>
      <c r="AC2248" s="2" t="s">
        <v>233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233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233</v>
      </c>
      <c r="BD2248" s="8" t="s">
        <v>233</v>
      </c>
      <c r="BE2248" s="4" t="s">
        <v>233</v>
      </c>
      <c r="BF2248" s="8" t="s">
        <v>233</v>
      </c>
      <c r="BG2248" s="7" t="s">
        <v>233</v>
      </c>
      <c r="BH2248" s="7" t="s">
        <v>233</v>
      </c>
      <c r="BI2248" s="7"/>
      <c r="BJ2248" s="4">
        <v>14</v>
      </c>
      <c r="BK2248" s="8">
        <v>389.93</v>
      </c>
      <c r="BL2248" s="2" t="s">
        <v>6389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10026</v>
      </c>
      <c r="BV2248" s="2" t="s">
        <v>233</v>
      </c>
      <c r="BW2248" s="2" t="s">
        <v>233</v>
      </c>
      <c r="BX2248" s="2" t="s">
        <v>233</v>
      </c>
      <c r="BY2248" s="2" t="s">
        <v>280</v>
      </c>
      <c r="BZ2248" s="2" t="s">
        <v>245</v>
      </c>
      <c r="CA2248" s="2" t="s">
        <v>401</v>
      </c>
      <c r="CB2248" s="2" t="s">
        <v>908</v>
      </c>
      <c r="CC2248" s="2" t="s">
        <v>246</v>
      </c>
      <c r="CD2248" s="2" t="s">
        <v>233</v>
      </c>
      <c r="CE2248" s="4">
        <v>349</v>
      </c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  <c r="HF2248" s="4"/>
      <c r="HG2248" s="4"/>
      <c r="HH2248" s="4"/>
      <c r="HI2248" s="4"/>
      <c r="HJ2248" s="4"/>
      <c r="HK2248" s="4"/>
      <c r="HL2248" s="4"/>
      <c r="HM2248" s="4"/>
      <c r="HN2248" s="4"/>
      <c r="HO2248" s="4"/>
      <c r="HP2248" s="4"/>
      <c r="HQ2248" s="4"/>
      <c r="HR2248" s="4"/>
    </row>
    <row r="2249">
      <c r="A2249" s="2" t="s">
        <v>10027</v>
      </c>
      <c r="B2249" s="2" t="s">
        <v>228</v>
      </c>
      <c r="C2249" s="2" t="s">
        <v>530</v>
      </c>
      <c r="D2249" s="2" t="s">
        <v>1616</v>
      </c>
      <c r="E2249" s="2" t="s">
        <v>2599</v>
      </c>
      <c r="F2249" s="2" t="s">
        <v>9994</v>
      </c>
      <c r="G2249" s="2" t="s">
        <v>5011</v>
      </c>
      <c r="H2249" s="2" t="s">
        <v>5011</v>
      </c>
      <c r="I2249" s="2" t="s">
        <v>10007</v>
      </c>
      <c r="J2249" s="2" t="s">
        <v>1736</v>
      </c>
      <c r="K2249" s="2" t="s">
        <v>4796</v>
      </c>
      <c r="L2249" s="3">
        <v>23.8</v>
      </c>
      <c r="M2249" s="3">
        <v>24.99</v>
      </c>
      <c r="N2249" s="3">
        <v>49.99</v>
      </c>
      <c r="O2249" s="2" t="s">
        <v>245</v>
      </c>
      <c r="P2249" s="2" t="s">
        <v>238</v>
      </c>
      <c r="Q2249" s="2" t="s">
        <v>239</v>
      </c>
      <c r="R2249" s="2" t="s">
        <v>233</v>
      </c>
      <c r="S2249" s="2" t="s">
        <v>10028</v>
      </c>
      <c r="T2249" s="2" t="s">
        <v>233</v>
      </c>
      <c r="U2249" s="2" t="s">
        <v>396</v>
      </c>
      <c r="V2249" s="2" t="s">
        <v>241</v>
      </c>
      <c r="W2249" s="2" t="s">
        <v>275</v>
      </c>
      <c r="X2249" s="2" t="s">
        <v>233</v>
      </c>
      <c r="Y2249" s="2" t="s">
        <v>398</v>
      </c>
      <c r="Z2249" s="4">
        <v>478</v>
      </c>
      <c r="AA2249" s="4">
        <f>=ROUNDDOWN(95.6,0)</f>
      </c>
      <c r="AB2249" s="5">
        <v>5</v>
      </c>
      <c r="AC2249" s="2" t="s">
        <v>233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233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233</v>
      </c>
      <c r="BD2249" s="8" t="s">
        <v>233</v>
      </c>
      <c r="BE2249" s="4" t="s">
        <v>233</v>
      </c>
      <c r="BF2249" s="8" t="s">
        <v>233</v>
      </c>
      <c r="BG2249" s="7" t="s">
        <v>233</v>
      </c>
      <c r="BH2249" s="7" t="s">
        <v>233</v>
      </c>
      <c r="BI2249" s="7"/>
      <c r="BJ2249" s="4"/>
      <c r="BK2249" s="8"/>
      <c r="BL2249" s="2" t="s">
        <v>233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10029</v>
      </c>
      <c r="BV2249" s="2" t="s">
        <v>233</v>
      </c>
      <c r="BW2249" s="2" t="s">
        <v>233</v>
      </c>
      <c r="BX2249" s="2" t="s">
        <v>233</v>
      </c>
      <c r="BY2249" s="2" t="s">
        <v>280</v>
      </c>
      <c r="BZ2249" s="2" t="s">
        <v>245</v>
      </c>
      <c r="CA2249" s="2" t="s">
        <v>401</v>
      </c>
      <c r="CB2249" s="2" t="s">
        <v>233</v>
      </c>
      <c r="CC2249" s="2" t="s">
        <v>246</v>
      </c>
      <c r="CD2249" s="2" t="s">
        <v>233</v>
      </c>
      <c r="CE2249" s="4">
        <v>478</v>
      </c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/>
      <c r="HE2249" s="4"/>
      <c r="HF2249" s="4"/>
      <c r="HG2249" s="4"/>
      <c r="HH2249" s="4"/>
      <c r="HI2249" s="4"/>
      <c r="HJ2249" s="4"/>
      <c r="HK2249" s="4"/>
      <c r="HL2249" s="4"/>
      <c r="HM2249" s="4"/>
      <c r="HN2249" s="4"/>
      <c r="HO2249" s="4"/>
      <c r="HP2249" s="4"/>
      <c r="HQ2249" s="4"/>
      <c r="HR2249" s="4"/>
    </row>
    <row r="2250">
      <c r="A2250" s="2" t="s">
        <v>10030</v>
      </c>
      <c r="B2250" s="2" t="s">
        <v>1066</v>
      </c>
      <c r="C2250" s="2" t="s">
        <v>901</v>
      </c>
      <c r="D2250" s="2" t="s">
        <v>1067</v>
      </c>
      <c r="E2250" s="2" t="s">
        <v>2543</v>
      </c>
      <c r="F2250" s="2" t="s">
        <v>10031</v>
      </c>
      <c r="G2250" s="2" t="s">
        <v>10031</v>
      </c>
      <c r="H2250" s="2" t="s">
        <v>10031</v>
      </c>
      <c r="I2250" s="2" t="s">
        <v>2650</v>
      </c>
      <c r="J2250" s="2" t="s">
        <v>892</v>
      </c>
      <c r="K2250" s="2" t="s">
        <v>255</v>
      </c>
      <c r="L2250" s="3">
        <v>120</v>
      </c>
      <c r="M2250" s="3">
        <v>126</v>
      </c>
      <c r="N2250" s="3">
        <v>249</v>
      </c>
      <c r="O2250" s="2" t="s">
        <v>237</v>
      </c>
      <c r="P2250" s="2" t="s">
        <v>311</v>
      </c>
      <c r="Q2250" s="2" t="s">
        <v>239</v>
      </c>
      <c r="R2250" s="2" t="s">
        <v>233</v>
      </c>
      <c r="S2250" s="2" t="s">
        <v>233</v>
      </c>
      <c r="T2250" s="2" t="s">
        <v>233</v>
      </c>
      <c r="U2250" s="2" t="s">
        <v>396</v>
      </c>
      <c r="V2250" s="2" t="s">
        <v>893</v>
      </c>
      <c r="W2250" s="2" t="s">
        <v>397</v>
      </c>
      <c r="X2250" s="2" t="s">
        <v>233</v>
      </c>
      <c r="Y2250" s="2" t="s">
        <v>6316</v>
      </c>
      <c r="Z2250" s="4">
        <v>137</v>
      </c>
      <c r="AA2250" s="4">
        <f>=ROUNDDOWN(685,0)</f>
      </c>
      <c r="AB2250" s="5">
        <v>0.2</v>
      </c>
      <c r="AC2250" s="2" t="s">
        <v>233</v>
      </c>
      <c r="AD2250" s="4"/>
      <c r="AE2250" s="4"/>
      <c r="AF2250" s="6">
        <v>66</v>
      </c>
      <c r="AG2250" s="6"/>
      <c r="AH2250" s="7">
        <v>1</v>
      </c>
      <c r="AI2250" s="4"/>
      <c r="AJ2250" s="4">
        <f>=ROUNDDOWN({0},0)</f>
      </c>
      <c r="AK2250" s="5"/>
      <c r="AL2250" s="2" t="s">
        <v>233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/>
      <c r="BD2250" s="8"/>
      <c r="BE2250" s="4"/>
      <c r="BF2250" s="8"/>
      <c r="BG2250" s="7"/>
      <c r="BH2250" s="7"/>
      <c r="BI2250" s="7"/>
      <c r="BJ2250" s="4">
        <v>2</v>
      </c>
      <c r="BK2250" s="8">
        <v>129.98</v>
      </c>
      <c r="BL2250" s="2" t="s">
        <v>10032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10033</v>
      </c>
      <c r="BV2250" s="2" t="s">
        <v>233</v>
      </c>
      <c r="BW2250" s="2" t="s">
        <v>233</v>
      </c>
      <c r="BX2250" s="2" t="s">
        <v>233</v>
      </c>
      <c r="BY2250" s="2" t="s">
        <v>280</v>
      </c>
      <c r="BZ2250" s="2" t="s">
        <v>245</v>
      </c>
      <c r="CA2250" s="2" t="s">
        <v>6319</v>
      </c>
      <c r="CB2250" s="2" t="s">
        <v>10034</v>
      </c>
      <c r="CC2250" s="2" t="s">
        <v>246</v>
      </c>
      <c r="CD2250" s="2" t="s">
        <v>233</v>
      </c>
      <c r="CE2250" s="4"/>
      <c r="CF2250" s="4">
        <v>137</v>
      </c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  <c r="HF2250" s="4"/>
      <c r="HG2250" s="4"/>
      <c r="HH2250" s="4"/>
      <c r="HI2250" s="4"/>
      <c r="HJ2250" s="4"/>
      <c r="HK2250" s="4"/>
      <c r="HL2250" s="4"/>
      <c r="HM2250" s="4"/>
      <c r="HN2250" s="4"/>
      <c r="HO2250" s="4"/>
      <c r="HP2250" s="4"/>
      <c r="HQ2250" s="4"/>
      <c r="HR2250" s="4"/>
    </row>
    <row r="2251">
      <c r="A2251" s="2" t="s">
        <v>10035</v>
      </c>
      <c r="B2251" s="2" t="s">
        <v>1066</v>
      </c>
      <c r="C2251" s="2" t="s">
        <v>530</v>
      </c>
      <c r="D2251" s="2" t="s">
        <v>2140</v>
      </c>
      <c r="E2251" s="2" t="s">
        <v>2141</v>
      </c>
      <c r="F2251" s="2" t="s">
        <v>10036</v>
      </c>
      <c r="G2251" s="2" t="s">
        <v>10037</v>
      </c>
      <c r="H2251" s="2" t="s">
        <v>10038</v>
      </c>
      <c r="I2251" s="2" t="s">
        <v>10039</v>
      </c>
      <c r="J2251" s="2" t="s">
        <v>892</v>
      </c>
      <c r="K2251" s="2" t="s">
        <v>257</v>
      </c>
      <c r="L2251" s="3">
        <v>256.5</v>
      </c>
      <c r="M2251" s="3">
        <v>269.32</v>
      </c>
      <c r="N2251" s="3">
        <v>549</v>
      </c>
      <c r="O2251" s="2" t="s">
        <v>245</v>
      </c>
      <c r="P2251" s="2" t="s">
        <v>311</v>
      </c>
      <c r="Q2251" s="2" t="s">
        <v>239</v>
      </c>
      <c r="R2251" s="2" t="s">
        <v>233</v>
      </c>
      <c r="S2251" s="2" t="s">
        <v>10040</v>
      </c>
      <c r="T2251" s="2" t="s">
        <v>233</v>
      </c>
      <c r="U2251" s="2" t="s">
        <v>233</v>
      </c>
      <c r="V2251" s="2" t="s">
        <v>241</v>
      </c>
      <c r="W2251" s="2" t="s">
        <v>451</v>
      </c>
      <c r="X2251" s="2" t="s">
        <v>233</v>
      </c>
      <c r="Y2251" s="2" t="s">
        <v>4431</v>
      </c>
      <c r="Z2251" s="4"/>
      <c r="AA2251" s="4">
        <f>=ROUNDDOWN({0},0)</f>
      </c>
      <c r="AB2251" s="5">
        <v>5.6</v>
      </c>
      <c r="AC2251" s="2" t="s">
        <v>233</v>
      </c>
      <c r="AD2251" s="4"/>
      <c r="AE2251" s="4"/>
      <c r="AF2251" s="6">
        <v>65</v>
      </c>
      <c r="AG2251" s="6">
        <v>48</v>
      </c>
      <c r="AH2251" s="7">
        <v>0</v>
      </c>
      <c r="AI2251" s="4"/>
      <c r="AJ2251" s="4">
        <f>=ROUNDDOWN({0},0)</f>
      </c>
      <c r="AK2251" s="5"/>
      <c r="AL2251" s="2" t="s">
        <v>233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/>
      <c r="BD2251" s="8"/>
      <c r="BE2251" s="4"/>
      <c r="BF2251" s="8"/>
      <c r="BG2251" s="7"/>
      <c r="BH2251" s="7"/>
      <c r="BI2251" s="7"/>
      <c r="BJ2251" s="4"/>
      <c r="BK2251" s="8"/>
      <c r="BL2251" s="2" t="s">
        <v>10041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10042</v>
      </c>
      <c r="BV2251" s="2" t="s">
        <v>233</v>
      </c>
      <c r="BW2251" s="2" t="s">
        <v>233</v>
      </c>
      <c r="BX2251" s="2" t="s">
        <v>233</v>
      </c>
      <c r="BY2251" s="2" t="s">
        <v>280</v>
      </c>
      <c r="BZ2251" s="2" t="s">
        <v>245</v>
      </c>
      <c r="CA2251" s="2" t="s">
        <v>10043</v>
      </c>
      <c r="CB2251" s="2" t="s">
        <v>3976</v>
      </c>
      <c r="CC2251" s="2" t="s">
        <v>246</v>
      </c>
      <c r="CD2251" s="2" t="s">
        <v>233</v>
      </c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/>
      <c r="HC2251" s="4"/>
      <c r="HD2251" s="4"/>
      <c r="HE2251" s="4"/>
      <c r="HF2251" s="4"/>
      <c r="HG2251" s="4"/>
      <c r="HH2251" s="4"/>
      <c r="HI2251" s="4"/>
      <c r="HJ2251" s="4"/>
      <c r="HK2251" s="4"/>
      <c r="HL2251" s="4"/>
      <c r="HM2251" s="4"/>
      <c r="HN2251" s="4"/>
      <c r="HO2251" s="4"/>
      <c r="HP2251" s="4"/>
      <c r="HQ2251" s="4"/>
      <c r="HR2251" s="4"/>
    </row>
    <row r="2252">
      <c r="A2252" s="2" t="s">
        <v>10044</v>
      </c>
      <c r="B2252" s="2" t="s">
        <v>910</v>
      </c>
      <c r="C2252" s="2" t="s">
        <v>911</v>
      </c>
      <c r="D2252" s="2" t="s">
        <v>969</v>
      </c>
      <c r="E2252" s="2" t="s">
        <v>1078</v>
      </c>
      <c r="F2252" s="2" t="s">
        <v>10045</v>
      </c>
      <c r="G2252" s="2" t="s">
        <v>6151</v>
      </c>
      <c r="H2252" s="2" t="s">
        <v>10046</v>
      </c>
      <c r="I2252" s="2" t="s">
        <v>2559</v>
      </c>
      <c r="J2252" s="2" t="s">
        <v>918</v>
      </c>
      <c r="K2252" s="2" t="s">
        <v>645</v>
      </c>
      <c r="L2252" s="3">
        <v>29.25</v>
      </c>
      <c r="M2252" s="3">
        <v>30.71</v>
      </c>
      <c r="N2252" s="3">
        <v>64.99</v>
      </c>
      <c r="O2252" s="2" t="s">
        <v>245</v>
      </c>
      <c r="P2252" s="2" t="s">
        <v>272</v>
      </c>
      <c r="Q2252" s="2" t="s">
        <v>239</v>
      </c>
      <c r="R2252" s="2" t="s">
        <v>233</v>
      </c>
      <c r="S2252" s="2" t="s">
        <v>233</v>
      </c>
      <c r="T2252" s="2" t="s">
        <v>395</v>
      </c>
      <c r="U2252" s="2" t="s">
        <v>342</v>
      </c>
      <c r="V2252" s="2" t="s">
        <v>1340</v>
      </c>
      <c r="W2252" s="2" t="s">
        <v>275</v>
      </c>
      <c r="X2252" s="2" t="s">
        <v>978</v>
      </c>
      <c r="Y2252" s="2" t="s">
        <v>2884</v>
      </c>
      <c r="Z2252" s="4">
        <v>534</v>
      </c>
      <c r="AA2252" s="4">
        <f>=ROUNDDOWN(59.3333333333333,0)</f>
      </c>
      <c r="AB2252" s="5">
        <v>9</v>
      </c>
      <c r="AC2252" s="2" t="s">
        <v>825</v>
      </c>
      <c r="AD2252" s="4">
        <v>330</v>
      </c>
      <c r="AE2252" s="4">
        <v>330</v>
      </c>
      <c r="AF2252" s="6">
        <v>64</v>
      </c>
      <c r="AG2252" s="6">
        <v>47</v>
      </c>
      <c r="AH2252" s="7">
        <v>1</v>
      </c>
      <c r="AI2252" s="4"/>
      <c r="AJ2252" s="4">
        <f>=ROUNDDOWN({0},0)</f>
      </c>
      <c r="AK2252" s="5"/>
      <c r="AL2252" s="2" t="s">
        <v>233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/>
      <c r="BD2252" s="8"/>
      <c r="BE2252" s="4"/>
      <c r="BF2252" s="8"/>
      <c r="BG2252" s="7"/>
      <c r="BH2252" s="7"/>
      <c r="BI2252" s="7"/>
      <c r="BJ2252" s="4">
        <v>31</v>
      </c>
      <c r="BK2252" s="8">
        <v>990.88</v>
      </c>
      <c r="BL2252" s="2" t="s">
        <v>10047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10048</v>
      </c>
      <c r="BV2252" s="2" t="s">
        <v>233</v>
      </c>
      <c r="BW2252" s="2" t="s">
        <v>233</v>
      </c>
      <c r="BX2252" s="2" t="s">
        <v>233</v>
      </c>
      <c r="BY2252" s="2" t="s">
        <v>280</v>
      </c>
      <c r="BZ2252" s="2" t="s">
        <v>245</v>
      </c>
      <c r="CA2252" s="2" t="s">
        <v>9753</v>
      </c>
      <c r="CB2252" s="2" t="s">
        <v>6155</v>
      </c>
      <c r="CC2252" s="2" t="s">
        <v>246</v>
      </c>
      <c r="CD2252" s="2" t="s">
        <v>233</v>
      </c>
      <c r="CE2252" s="4">
        <v>310</v>
      </c>
      <c r="CF2252" s="4"/>
      <c r="CG2252" s="4"/>
      <c r="CH2252" s="4"/>
      <c r="CI2252" s="4">
        <v>224</v>
      </c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>
        <v>330</v>
      </c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  <c r="HF2252" s="4"/>
      <c r="HG2252" s="4"/>
      <c r="HH2252" s="4"/>
      <c r="HI2252" s="4"/>
      <c r="HJ2252" s="4"/>
      <c r="HK2252" s="4"/>
      <c r="HL2252" s="4"/>
      <c r="HM2252" s="4"/>
      <c r="HN2252" s="4"/>
      <c r="HO2252" s="4"/>
      <c r="HP2252" s="4"/>
      <c r="HQ2252" s="4"/>
      <c r="HR2252" s="4"/>
    </row>
    <row r="2253">
      <c r="A2253" s="2" t="s">
        <v>10049</v>
      </c>
      <c r="B2253" s="2" t="s">
        <v>1066</v>
      </c>
      <c r="C2253" s="2" t="s">
        <v>901</v>
      </c>
      <c r="D2253" s="2" t="s">
        <v>1067</v>
      </c>
      <c r="E2253" s="2" t="s">
        <v>2650</v>
      </c>
      <c r="F2253" s="2" t="s">
        <v>10050</v>
      </c>
      <c r="G2253" s="2" t="s">
        <v>10050</v>
      </c>
      <c r="H2253" s="2" t="s">
        <v>10050</v>
      </c>
      <c r="I2253" s="2" t="s">
        <v>10051</v>
      </c>
      <c r="J2253" s="2" t="s">
        <v>892</v>
      </c>
      <c r="K2253" s="2" t="s">
        <v>255</v>
      </c>
      <c r="L2253" s="3">
        <v>117.04</v>
      </c>
      <c r="M2253" s="3">
        <v>122.89</v>
      </c>
      <c r="N2253" s="3">
        <v>249</v>
      </c>
      <c r="O2253" s="2" t="s">
        <v>245</v>
      </c>
      <c r="P2253" s="2" t="s">
        <v>311</v>
      </c>
      <c r="Q2253" s="2" t="s">
        <v>239</v>
      </c>
      <c r="R2253" s="2" t="s">
        <v>233</v>
      </c>
      <c r="S2253" s="2" t="s">
        <v>233</v>
      </c>
      <c r="T2253" s="2" t="s">
        <v>233</v>
      </c>
      <c r="U2253" s="2" t="s">
        <v>396</v>
      </c>
      <c r="V2253" s="2" t="s">
        <v>893</v>
      </c>
      <c r="W2253" s="2" t="s">
        <v>451</v>
      </c>
      <c r="X2253" s="2" t="s">
        <v>233</v>
      </c>
      <c r="Y2253" s="2" t="s">
        <v>10052</v>
      </c>
      <c r="Z2253" s="4">
        <v>22</v>
      </c>
      <c r="AA2253" s="4">
        <f>=ROUNDDOWN(7.33333333333333,0)</f>
      </c>
      <c r="AB2253" s="5">
        <v>3</v>
      </c>
      <c r="AC2253" s="2" t="s">
        <v>233</v>
      </c>
      <c r="AD2253" s="4"/>
      <c r="AE2253" s="4"/>
      <c r="AF2253" s="6">
        <v>66</v>
      </c>
      <c r="AG2253" s="6"/>
      <c r="AH2253" s="7">
        <v>1</v>
      </c>
      <c r="AI2253" s="4"/>
      <c r="AJ2253" s="4">
        <f>=ROUNDDOWN({0},0)</f>
      </c>
      <c r="AK2253" s="5"/>
      <c r="AL2253" s="2" t="s">
        <v>233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/>
      <c r="BD2253" s="8"/>
      <c r="BE2253" s="4"/>
      <c r="BF2253" s="8"/>
      <c r="BG2253" s="7"/>
      <c r="BH2253" s="7"/>
      <c r="BI2253" s="7"/>
      <c r="BJ2253" s="4">
        <v>8</v>
      </c>
      <c r="BK2253" s="8">
        <v>732.06</v>
      </c>
      <c r="BL2253" s="2" t="s">
        <v>2045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10053</v>
      </c>
      <c r="BV2253" s="2" t="s">
        <v>233</v>
      </c>
      <c r="BW2253" s="2" t="s">
        <v>233</v>
      </c>
      <c r="BX2253" s="2" t="s">
        <v>233</v>
      </c>
      <c r="BY2253" s="2" t="s">
        <v>280</v>
      </c>
      <c r="BZ2253" s="2" t="s">
        <v>245</v>
      </c>
      <c r="CA2253" s="2" t="s">
        <v>10054</v>
      </c>
      <c r="CB2253" s="2" t="s">
        <v>10055</v>
      </c>
      <c r="CC2253" s="2" t="s">
        <v>246</v>
      </c>
      <c r="CD2253" s="2" t="s">
        <v>233</v>
      </c>
      <c r="CE2253" s="4"/>
      <c r="CF2253" s="4">
        <v>19</v>
      </c>
      <c r="CG2253" s="4"/>
      <c r="CH2253" s="4"/>
      <c r="CI2253" s="4">
        <v>3</v>
      </c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  <c r="HF2253" s="4"/>
      <c r="HG2253" s="4"/>
      <c r="HH2253" s="4"/>
      <c r="HI2253" s="4"/>
      <c r="HJ2253" s="4"/>
      <c r="HK2253" s="4"/>
      <c r="HL2253" s="4"/>
      <c r="HM2253" s="4"/>
      <c r="HN2253" s="4"/>
      <c r="HO2253" s="4"/>
      <c r="HP2253" s="4"/>
      <c r="HQ2253" s="4"/>
      <c r="HR2253" s="4"/>
    </row>
    <row r="2254">
      <c r="A2254" s="2" t="s">
        <v>10056</v>
      </c>
      <c r="B2254" s="2" t="s">
        <v>1066</v>
      </c>
      <c r="C2254" s="2" t="s">
        <v>530</v>
      </c>
      <c r="D2254" s="2" t="s">
        <v>1111</v>
      </c>
      <c r="E2254" s="2" t="s">
        <v>1112</v>
      </c>
      <c r="F2254" s="2" t="s">
        <v>10057</v>
      </c>
      <c r="G2254" s="2" t="s">
        <v>10058</v>
      </c>
      <c r="H2254" s="2" t="s">
        <v>10059</v>
      </c>
      <c r="I2254" s="2" t="s">
        <v>10060</v>
      </c>
      <c r="J2254" s="2" t="s">
        <v>892</v>
      </c>
      <c r="K2254" s="2" t="s">
        <v>236</v>
      </c>
      <c r="L2254" s="3">
        <v>250</v>
      </c>
      <c r="M2254" s="3">
        <v>262.5</v>
      </c>
      <c r="N2254" s="3">
        <v>529</v>
      </c>
      <c r="O2254" s="2" t="s">
        <v>237</v>
      </c>
      <c r="P2254" s="2" t="s">
        <v>311</v>
      </c>
      <c r="Q2254" s="2" t="s">
        <v>239</v>
      </c>
      <c r="R2254" s="2" t="s">
        <v>233</v>
      </c>
      <c r="S2254" s="2" t="s">
        <v>233</v>
      </c>
      <c r="T2254" s="2" t="s">
        <v>233</v>
      </c>
      <c r="U2254" s="2" t="s">
        <v>396</v>
      </c>
      <c r="V2254" s="2" t="s">
        <v>893</v>
      </c>
      <c r="W2254" s="2" t="s">
        <v>451</v>
      </c>
      <c r="X2254" s="2" t="s">
        <v>233</v>
      </c>
      <c r="Y2254" s="2" t="s">
        <v>5008</v>
      </c>
      <c r="Z2254" s="4">
        <v>67</v>
      </c>
      <c r="AA2254" s="4">
        <f>=ROUNDDOWN(223.333333333333,0)</f>
      </c>
      <c r="AB2254" s="5">
        <v>0.3</v>
      </c>
      <c r="AC2254" s="2" t="s">
        <v>233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233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/>
      <c r="BD2254" s="8"/>
      <c r="BE2254" s="4"/>
      <c r="BF2254" s="8"/>
      <c r="BG2254" s="7"/>
      <c r="BH2254" s="7"/>
      <c r="BI2254" s="7"/>
      <c r="BJ2254" s="4">
        <v>1</v>
      </c>
      <c r="BK2254" s="8">
        <v>226.8</v>
      </c>
      <c r="BL2254" s="2" t="s">
        <v>10061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10062</v>
      </c>
      <c r="BV2254" s="2" t="s">
        <v>233</v>
      </c>
      <c r="BW2254" s="2" t="s">
        <v>233</v>
      </c>
      <c r="BX2254" s="2" t="s">
        <v>233</v>
      </c>
      <c r="BY2254" s="2" t="s">
        <v>280</v>
      </c>
      <c r="BZ2254" s="2" t="s">
        <v>245</v>
      </c>
      <c r="CA2254" s="2" t="s">
        <v>6708</v>
      </c>
      <c r="CB2254" s="2" t="s">
        <v>1800</v>
      </c>
      <c r="CC2254" s="2" t="s">
        <v>246</v>
      </c>
      <c r="CD2254" s="2" t="s">
        <v>233</v>
      </c>
      <c r="CE2254" s="4"/>
      <c r="CF2254" s="4">
        <v>48</v>
      </c>
      <c r="CG2254" s="4"/>
      <c r="CH2254" s="4"/>
      <c r="CI2254" s="4">
        <v>19</v>
      </c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  <c r="HF2254" s="4"/>
      <c r="HG2254" s="4"/>
      <c r="HH2254" s="4"/>
      <c r="HI2254" s="4"/>
      <c r="HJ2254" s="4"/>
      <c r="HK2254" s="4"/>
      <c r="HL2254" s="4"/>
      <c r="HM2254" s="4"/>
      <c r="HN2254" s="4"/>
      <c r="HO2254" s="4"/>
      <c r="HP2254" s="4"/>
      <c r="HQ2254" s="4"/>
      <c r="HR2254" s="4"/>
    </row>
    <row r="2255">
      <c r="A2255" s="2" t="s">
        <v>10063</v>
      </c>
      <c r="B2255" s="2" t="s">
        <v>1242</v>
      </c>
      <c r="C2255" s="2" t="s">
        <v>334</v>
      </c>
      <c r="D2255" s="2" t="s">
        <v>1862</v>
      </c>
      <c r="E2255" s="2" t="s">
        <v>3334</v>
      </c>
      <c r="F2255" s="2" t="s">
        <v>10064</v>
      </c>
      <c r="G2255" s="2" t="s">
        <v>10065</v>
      </c>
      <c r="H2255" s="2" t="s">
        <v>10066</v>
      </c>
      <c r="I2255" s="2" t="s">
        <v>10067</v>
      </c>
      <c r="J2255" s="2" t="s">
        <v>290</v>
      </c>
      <c r="K2255" s="2" t="s">
        <v>1083</v>
      </c>
      <c r="L2255" s="3">
        <v>54.45</v>
      </c>
      <c r="M2255" s="3">
        <v>57.17</v>
      </c>
      <c r="N2255" s="3">
        <v>99</v>
      </c>
      <c r="O2255" s="2" t="s">
        <v>245</v>
      </c>
      <c r="P2255" s="2" t="s">
        <v>272</v>
      </c>
      <c r="Q2255" s="2" t="s">
        <v>239</v>
      </c>
      <c r="R2255" s="2" t="s">
        <v>233</v>
      </c>
      <c r="S2255" s="2" t="s">
        <v>10068</v>
      </c>
      <c r="T2255" s="2" t="s">
        <v>233</v>
      </c>
      <c r="U2255" s="2" t="s">
        <v>5309</v>
      </c>
      <c r="V2255" s="2" t="s">
        <v>359</v>
      </c>
      <c r="W2255" s="2" t="s">
        <v>275</v>
      </c>
      <c r="X2255" s="2" t="s">
        <v>397</v>
      </c>
      <c r="Y2255" s="2" t="s">
        <v>10069</v>
      </c>
      <c r="Z2255" s="4">
        <v>123</v>
      </c>
      <c r="AA2255" s="4">
        <f>=ROUNDDOWN(24.6,0)</f>
      </c>
      <c r="AB2255" s="5">
        <v>5</v>
      </c>
      <c r="AC2255" s="2" t="s">
        <v>7474</v>
      </c>
      <c r="AD2255" s="4">
        <v>30</v>
      </c>
      <c r="AE2255" s="4">
        <v>60</v>
      </c>
      <c r="AF2255" s="6">
        <v>65</v>
      </c>
      <c r="AG2255" s="6">
        <v>73</v>
      </c>
      <c r="AH2255" s="7">
        <v>1</v>
      </c>
      <c r="AI2255" s="4"/>
      <c r="AJ2255" s="4">
        <f>=ROUNDDOWN({0},0)</f>
      </c>
      <c r="AK2255" s="5"/>
      <c r="AL2255" s="2" t="s">
        <v>233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233</v>
      </c>
      <c r="BD2255" s="8" t="s">
        <v>233</v>
      </c>
      <c r="BE2255" s="4" t="s">
        <v>233</v>
      </c>
      <c r="BF2255" s="8" t="s">
        <v>233</v>
      </c>
      <c r="BG2255" s="7" t="s">
        <v>233</v>
      </c>
      <c r="BH2255" s="7" t="s">
        <v>233</v>
      </c>
      <c r="BI2255" s="7"/>
      <c r="BJ2255" s="4">
        <v>15</v>
      </c>
      <c r="BK2255" s="8">
        <v>853.62</v>
      </c>
      <c r="BL2255" s="2" t="s">
        <v>10070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10071</v>
      </c>
      <c r="BV2255" s="2" t="s">
        <v>233</v>
      </c>
      <c r="BW2255" s="2" t="s">
        <v>233</v>
      </c>
      <c r="BX2255" s="2" t="s">
        <v>233</v>
      </c>
      <c r="BY2255" s="2" t="s">
        <v>280</v>
      </c>
      <c r="BZ2255" s="2" t="s">
        <v>245</v>
      </c>
      <c r="CA2255" s="2" t="s">
        <v>9722</v>
      </c>
      <c r="CB2255" s="2" t="s">
        <v>788</v>
      </c>
      <c r="CC2255" s="2" t="s">
        <v>246</v>
      </c>
      <c r="CD2255" s="2" t="s">
        <v>233</v>
      </c>
      <c r="CE2255" s="4">
        <v>106</v>
      </c>
      <c r="CF2255" s="4"/>
      <c r="CG2255" s="4"/>
      <c r="CH2255" s="4"/>
      <c r="CI2255" s="4">
        <v>17</v>
      </c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>
        <v>30</v>
      </c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>
        <v>30</v>
      </c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4"/>
      <c r="HE2255" s="4"/>
      <c r="HF2255" s="4"/>
      <c r="HG2255" s="4"/>
      <c r="HH2255" s="4"/>
      <c r="HI2255" s="4"/>
      <c r="HJ2255" s="4"/>
      <c r="HK2255" s="4"/>
      <c r="HL2255" s="4"/>
      <c r="HM2255" s="4"/>
      <c r="HN2255" s="4"/>
      <c r="HO2255" s="4"/>
      <c r="HP2255" s="4"/>
      <c r="HQ2255" s="4"/>
      <c r="HR2255" s="4"/>
    </row>
    <row r="2256">
      <c r="A2256" s="2" t="s">
        <v>10072</v>
      </c>
      <c r="B2256" s="2" t="s">
        <v>1017</v>
      </c>
      <c r="C2256" s="2" t="s">
        <v>334</v>
      </c>
      <c r="D2256" s="2" t="s">
        <v>1565</v>
      </c>
      <c r="E2256" s="2" t="s">
        <v>1566</v>
      </c>
      <c r="F2256" s="2" t="s">
        <v>10064</v>
      </c>
      <c r="G2256" s="2" t="s">
        <v>10065</v>
      </c>
      <c r="H2256" s="2" t="s">
        <v>10066</v>
      </c>
      <c r="I2256" s="2" t="s">
        <v>10073</v>
      </c>
      <c r="J2256" s="2" t="s">
        <v>1568</v>
      </c>
      <c r="K2256" s="2" t="s">
        <v>10074</v>
      </c>
      <c r="L2256" s="3">
        <v>13.2</v>
      </c>
      <c r="M2256" s="3">
        <v>13.86</v>
      </c>
      <c r="N2256" s="3">
        <v>29.99</v>
      </c>
      <c r="O2256" s="2" t="s">
        <v>245</v>
      </c>
      <c r="P2256" s="2" t="s">
        <v>238</v>
      </c>
      <c r="Q2256" s="2" t="s">
        <v>239</v>
      </c>
      <c r="R2256" s="2" t="s">
        <v>233</v>
      </c>
      <c r="S2256" s="2" t="s">
        <v>10075</v>
      </c>
      <c r="T2256" s="2" t="s">
        <v>233</v>
      </c>
      <c r="U2256" s="2" t="s">
        <v>396</v>
      </c>
      <c r="V2256" s="2" t="s">
        <v>1658</v>
      </c>
      <c r="W2256" s="2" t="s">
        <v>275</v>
      </c>
      <c r="X2256" s="2" t="s">
        <v>397</v>
      </c>
      <c r="Y2256" s="2" t="s">
        <v>1106</v>
      </c>
      <c r="Z2256" s="4"/>
      <c r="AA2256" s="4">
        <f>=ROUNDDOWN({0},0)</f>
      </c>
      <c r="AB2256" s="5">
        <v>42</v>
      </c>
      <c r="AC2256" s="2" t="s">
        <v>1341</v>
      </c>
      <c r="AD2256" s="4">
        <v>600</v>
      </c>
      <c r="AE2256" s="4">
        <v>1000</v>
      </c>
      <c r="AF2256" s="6">
        <v>65</v>
      </c>
      <c r="AG2256" s="6"/>
      <c r="AH2256" s="7">
        <v>0</v>
      </c>
      <c r="AI2256" s="4"/>
      <c r="AJ2256" s="4">
        <f>=ROUNDDOWN({0},0)</f>
      </c>
      <c r="AK2256" s="5"/>
      <c r="AL2256" s="2" t="s">
        <v>233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233</v>
      </c>
      <c r="BD2256" s="8" t="s">
        <v>233</v>
      </c>
      <c r="BE2256" s="4" t="s">
        <v>233</v>
      </c>
      <c r="BF2256" s="8" t="s">
        <v>233</v>
      </c>
      <c r="BG2256" s="7" t="s">
        <v>233</v>
      </c>
      <c r="BH2256" s="7" t="s">
        <v>233</v>
      </c>
      <c r="BI2256" s="7"/>
      <c r="BJ2256" s="4"/>
      <c r="BK2256" s="8"/>
      <c r="BL2256" s="2" t="s">
        <v>233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10076</v>
      </c>
      <c r="BV2256" s="2" t="s">
        <v>233</v>
      </c>
      <c r="BW2256" s="2" t="s">
        <v>233</v>
      </c>
      <c r="BX2256" s="2" t="s">
        <v>243</v>
      </c>
      <c r="BY2256" s="2" t="s">
        <v>280</v>
      </c>
      <c r="BZ2256" s="2" t="s">
        <v>245</v>
      </c>
      <c r="CA2256" s="2" t="s">
        <v>10077</v>
      </c>
      <c r="CB2256" s="2" t="s">
        <v>6663</v>
      </c>
      <c r="CC2256" s="2" t="s">
        <v>246</v>
      </c>
      <c r="CD2256" s="2" t="s">
        <v>233</v>
      </c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>
        <v>600</v>
      </c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/>
      <c r="HD2256" s="4"/>
      <c r="HE2256" s="4">
        <v>400</v>
      </c>
      <c r="HF2256" s="4"/>
      <c r="HG2256" s="4"/>
      <c r="HH2256" s="4"/>
      <c r="HI2256" s="4"/>
      <c r="HJ2256" s="4"/>
      <c r="HK2256" s="4"/>
      <c r="HL2256" s="4"/>
      <c r="HM2256" s="4"/>
      <c r="HN2256" s="4"/>
      <c r="HO2256" s="4"/>
      <c r="HP2256" s="4"/>
      <c r="HQ2256" s="4"/>
      <c r="HR2256" s="4"/>
    </row>
    <row r="2257">
      <c r="A2257" s="2" t="s">
        <v>10078</v>
      </c>
      <c r="B2257" s="2" t="s">
        <v>228</v>
      </c>
      <c r="C2257" s="2" t="s">
        <v>990</v>
      </c>
      <c r="D2257" s="2" t="s">
        <v>1194</v>
      </c>
      <c r="E2257" s="2" t="s">
        <v>1987</v>
      </c>
      <c r="F2257" s="2" t="s">
        <v>10079</v>
      </c>
      <c r="G2257" s="2" t="s">
        <v>10079</v>
      </c>
      <c r="H2257" s="2" t="s">
        <v>10079</v>
      </c>
      <c r="I2257" s="2" t="s">
        <v>10080</v>
      </c>
      <c r="J2257" s="2" t="s">
        <v>1200</v>
      </c>
      <c r="K2257" s="2" t="s">
        <v>1994</v>
      </c>
      <c r="L2257" s="3">
        <v>22.28</v>
      </c>
      <c r="M2257" s="3">
        <v>23.39</v>
      </c>
      <c r="N2257" s="3">
        <v>59.99</v>
      </c>
      <c r="O2257" s="2" t="s">
        <v>245</v>
      </c>
      <c r="P2257" s="2" t="s">
        <v>272</v>
      </c>
      <c r="Q2257" s="2" t="s">
        <v>239</v>
      </c>
      <c r="R2257" s="2" t="s">
        <v>233</v>
      </c>
      <c r="S2257" s="2" t="s">
        <v>233</v>
      </c>
      <c r="T2257" s="2" t="s">
        <v>976</v>
      </c>
      <c r="U2257" s="2" t="s">
        <v>396</v>
      </c>
      <c r="V2257" s="2" t="s">
        <v>241</v>
      </c>
      <c r="W2257" s="2" t="s">
        <v>705</v>
      </c>
      <c r="X2257" s="2" t="s">
        <v>233</v>
      </c>
      <c r="Y2257" s="2" t="s">
        <v>1355</v>
      </c>
      <c r="Z2257" s="4"/>
      <c r="AA2257" s="4">
        <f>=ROUNDDOWN({0},0)</f>
      </c>
      <c r="AB2257" s="5">
        <v>2</v>
      </c>
      <c r="AC2257" s="2" t="s">
        <v>1492</v>
      </c>
      <c r="AD2257" s="4">
        <v>150</v>
      </c>
      <c r="AE2257" s="4">
        <v>150</v>
      </c>
      <c r="AF2257" s="6">
        <v>65</v>
      </c>
      <c r="AG2257" s="6"/>
      <c r="AH2257" s="7">
        <v>0</v>
      </c>
      <c r="AI2257" s="4"/>
      <c r="AJ2257" s="4">
        <f>=ROUNDDOWN({0},0)</f>
      </c>
      <c r="AK2257" s="5"/>
      <c r="AL2257" s="2" t="s">
        <v>233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 t="s">
        <v>233</v>
      </c>
      <c r="AW2257" s="8" t="s">
        <v>233</v>
      </c>
      <c r="AX2257" s="4" t="s">
        <v>233</v>
      </c>
      <c r="AY2257" s="8" t="s">
        <v>233</v>
      </c>
      <c r="AZ2257" s="7" t="s">
        <v>233</v>
      </c>
      <c r="BA2257" s="7" t="s">
        <v>233</v>
      </c>
      <c r="BB2257" s="7"/>
      <c r="BC2257" s="4" t="s">
        <v>233</v>
      </c>
      <c r="BD2257" s="8" t="s">
        <v>233</v>
      </c>
      <c r="BE2257" s="4" t="s">
        <v>233</v>
      </c>
      <c r="BF2257" s="8" t="s">
        <v>233</v>
      </c>
      <c r="BG2257" s="7" t="s">
        <v>233</v>
      </c>
      <c r="BH2257" s="7" t="s">
        <v>233</v>
      </c>
      <c r="BI2257" s="7"/>
      <c r="BJ2257" s="4"/>
      <c r="BK2257" s="8"/>
      <c r="BL2257" s="2" t="s">
        <v>233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243</v>
      </c>
      <c r="BV2257" s="2" t="s">
        <v>233</v>
      </c>
      <c r="BW2257" s="2" t="s">
        <v>233</v>
      </c>
      <c r="BX2257" s="2" t="s">
        <v>243</v>
      </c>
      <c r="BY2257" s="2" t="s">
        <v>244</v>
      </c>
      <c r="BZ2257" s="2" t="s">
        <v>245</v>
      </c>
      <c r="CA2257" s="2" t="s">
        <v>233</v>
      </c>
      <c r="CB2257" s="2" t="s">
        <v>233</v>
      </c>
      <c r="CC2257" s="2" t="s">
        <v>246</v>
      </c>
      <c r="CD2257" s="2" t="s">
        <v>233</v>
      </c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>
        <v>150</v>
      </c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/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/>
      <c r="HD2257" s="4"/>
      <c r="HE2257" s="4"/>
      <c r="HF2257" s="4"/>
      <c r="HG2257" s="4"/>
      <c r="HH2257" s="4"/>
      <c r="HI2257" s="4"/>
      <c r="HJ2257" s="4"/>
      <c r="HK2257" s="4"/>
      <c r="HL2257" s="4"/>
      <c r="HM2257" s="4"/>
      <c r="HN2257" s="4"/>
      <c r="HO2257" s="4"/>
      <c r="HP2257" s="4"/>
      <c r="HQ2257" s="4"/>
      <c r="HR2257" s="4"/>
    </row>
    <row r="2258">
      <c r="A2258" s="2" t="s">
        <v>10081</v>
      </c>
      <c r="B2258" s="2" t="s">
        <v>228</v>
      </c>
      <c r="C2258" s="2" t="s">
        <v>990</v>
      </c>
      <c r="D2258" s="2" t="s">
        <v>1616</v>
      </c>
      <c r="E2258" s="2" t="s">
        <v>2599</v>
      </c>
      <c r="F2258" s="2" t="s">
        <v>10079</v>
      </c>
      <c r="G2258" s="2" t="s">
        <v>10079</v>
      </c>
      <c r="H2258" s="2" t="s">
        <v>10079</v>
      </c>
      <c r="I2258" s="2" t="s">
        <v>10082</v>
      </c>
      <c r="J2258" s="2" t="s">
        <v>3031</v>
      </c>
      <c r="K2258" s="2" t="s">
        <v>1994</v>
      </c>
      <c r="L2258" s="3">
        <v>33.42</v>
      </c>
      <c r="M2258" s="3">
        <v>35.09</v>
      </c>
      <c r="N2258" s="3">
        <v>89.99</v>
      </c>
      <c r="O2258" s="2" t="s">
        <v>245</v>
      </c>
      <c r="P2258" s="2" t="s">
        <v>272</v>
      </c>
      <c r="Q2258" s="2" t="s">
        <v>239</v>
      </c>
      <c r="R2258" s="2" t="s">
        <v>233</v>
      </c>
      <c r="S2258" s="2" t="s">
        <v>233</v>
      </c>
      <c r="T2258" s="2" t="s">
        <v>976</v>
      </c>
      <c r="U2258" s="2" t="s">
        <v>396</v>
      </c>
      <c r="V2258" s="2" t="s">
        <v>241</v>
      </c>
      <c r="W2258" s="2" t="s">
        <v>705</v>
      </c>
      <c r="X2258" s="2" t="s">
        <v>233</v>
      </c>
      <c r="Y2258" s="2" t="s">
        <v>1355</v>
      </c>
      <c r="Z2258" s="4">
        <v>2</v>
      </c>
      <c r="AA2258" s="4">
        <f>=ROUNDDOWN(0.25,0)</f>
      </c>
      <c r="AB2258" s="5">
        <v>8</v>
      </c>
      <c r="AC2258" s="2" t="s">
        <v>1492</v>
      </c>
      <c r="AD2258" s="4">
        <v>180</v>
      </c>
      <c r="AE2258" s="4">
        <v>180</v>
      </c>
      <c r="AF2258" s="6">
        <v>65</v>
      </c>
      <c r="AG2258" s="6"/>
      <c r="AH2258" s="7">
        <v>0</v>
      </c>
      <c r="AI2258" s="4"/>
      <c r="AJ2258" s="4">
        <f>=ROUNDDOWN({0},0)</f>
      </c>
      <c r="AK2258" s="5"/>
      <c r="AL2258" s="2" t="s">
        <v>233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233</v>
      </c>
      <c r="AW2258" s="8" t="s">
        <v>233</v>
      </c>
      <c r="AX2258" s="4" t="s">
        <v>233</v>
      </c>
      <c r="AY2258" s="8" t="s">
        <v>233</v>
      </c>
      <c r="AZ2258" s="7" t="s">
        <v>233</v>
      </c>
      <c r="BA2258" s="7" t="s">
        <v>233</v>
      </c>
      <c r="BB2258" s="7"/>
      <c r="BC2258" s="4" t="s">
        <v>233</v>
      </c>
      <c r="BD2258" s="8" t="s">
        <v>233</v>
      </c>
      <c r="BE2258" s="4" t="s">
        <v>233</v>
      </c>
      <c r="BF2258" s="8" t="s">
        <v>233</v>
      </c>
      <c r="BG2258" s="7" t="s">
        <v>233</v>
      </c>
      <c r="BH2258" s="7" t="s">
        <v>233</v>
      </c>
      <c r="BI2258" s="7"/>
      <c r="BJ2258" s="4">
        <v>1</v>
      </c>
      <c r="BK2258" s="8">
        <v>38.43</v>
      </c>
      <c r="BL2258" s="2" t="s">
        <v>4772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10083</v>
      </c>
      <c r="BV2258" s="2" t="s">
        <v>233</v>
      </c>
      <c r="BW2258" s="2" t="s">
        <v>233</v>
      </c>
      <c r="BX2258" s="2" t="s">
        <v>233</v>
      </c>
      <c r="BY2258" s="2" t="s">
        <v>280</v>
      </c>
      <c r="BZ2258" s="2" t="s">
        <v>245</v>
      </c>
      <c r="CA2258" s="2" t="s">
        <v>1604</v>
      </c>
      <c r="CB2258" s="2" t="s">
        <v>3892</v>
      </c>
      <c r="CC2258" s="2" t="s">
        <v>246</v>
      </c>
      <c r="CD2258" s="2" t="s">
        <v>233</v>
      </c>
      <c r="CE2258" s="4">
        <v>2</v>
      </c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>
        <v>180</v>
      </c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/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/>
      <c r="HD2258" s="4"/>
      <c r="HE2258" s="4"/>
      <c r="HF2258" s="4"/>
      <c r="HG2258" s="4"/>
      <c r="HH2258" s="4"/>
      <c r="HI2258" s="4"/>
      <c r="HJ2258" s="4"/>
      <c r="HK2258" s="4"/>
      <c r="HL2258" s="4"/>
      <c r="HM2258" s="4"/>
      <c r="HN2258" s="4"/>
      <c r="HO2258" s="4"/>
      <c r="HP2258" s="4"/>
      <c r="HQ2258" s="4"/>
      <c r="HR2258" s="4"/>
    </row>
    <row r="2259">
      <c r="A2259" s="2" t="s">
        <v>10084</v>
      </c>
      <c r="B2259" s="2" t="s">
        <v>228</v>
      </c>
      <c r="C2259" s="2" t="s">
        <v>990</v>
      </c>
      <c r="D2259" s="2" t="s">
        <v>1194</v>
      </c>
      <c r="E2259" s="2" t="s">
        <v>1987</v>
      </c>
      <c r="F2259" s="2" t="s">
        <v>10079</v>
      </c>
      <c r="G2259" s="2" t="s">
        <v>10079</v>
      </c>
      <c r="H2259" s="2" t="s">
        <v>10079</v>
      </c>
      <c r="I2259" s="2" t="s">
        <v>10080</v>
      </c>
      <c r="J2259" s="2" t="s">
        <v>1200</v>
      </c>
      <c r="K2259" s="2" t="s">
        <v>10085</v>
      </c>
      <c r="L2259" s="3">
        <v>22.28</v>
      </c>
      <c r="M2259" s="3">
        <v>23.39</v>
      </c>
      <c r="N2259" s="3">
        <v>59.99</v>
      </c>
      <c r="O2259" s="2" t="s">
        <v>245</v>
      </c>
      <c r="P2259" s="2" t="s">
        <v>272</v>
      </c>
      <c r="Q2259" s="2" t="s">
        <v>239</v>
      </c>
      <c r="R2259" s="2" t="s">
        <v>233</v>
      </c>
      <c r="S2259" s="2" t="s">
        <v>233</v>
      </c>
      <c r="T2259" s="2" t="s">
        <v>976</v>
      </c>
      <c r="U2259" s="2" t="s">
        <v>396</v>
      </c>
      <c r="V2259" s="2" t="s">
        <v>241</v>
      </c>
      <c r="W2259" s="2" t="s">
        <v>705</v>
      </c>
      <c r="X2259" s="2" t="s">
        <v>233</v>
      </c>
      <c r="Y2259" s="2" t="s">
        <v>1355</v>
      </c>
      <c r="Z2259" s="4">
        <v>3</v>
      </c>
      <c r="AA2259" s="4">
        <f>=ROUNDDOWN(3,0)</f>
      </c>
      <c r="AB2259" s="5">
        <v>1</v>
      </c>
      <c r="AC2259" s="2" t="s">
        <v>1739</v>
      </c>
      <c r="AD2259" s="4">
        <v>150</v>
      </c>
      <c r="AE2259" s="4">
        <v>150</v>
      </c>
      <c r="AF2259" s="6">
        <v>65</v>
      </c>
      <c r="AG2259" s="6"/>
      <c r="AH2259" s="7">
        <v>0.8065</v>
      </c>
      <c r="AI2259" s="4"/>
      <c r="AJ2259" s="4">
        <f>=ROUNDDOWN({0},0)</f>
      </c>
      <c r="AK2259" s="5"/>
      <c r="AL2259" s="2" t="s">
        <v>233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 t="s">
        <v>233</v>
      </c>
      <c r="AW2259" s="8" t="s">
        <v>233</v>
      </c>
      <c r="AX2259" s="4" t="s">
        <v>233</v>
      </c>
      <c r="AY2259" s="8" t="s">
        <v>233</v>
      </c>
      <c r="AZ2259" s="7" t="s">
        <v>233</v>
      </c>
      <c r="BA2259" s="7" t="s">
        <v>233</v>
      </c>
      <c r="BB2259" s="7"/>
      <c r="BC2259" s="4" t="s">
        <v>233</v>
      </c>
      <c r="BD2259" s="8" t="s">
        <v>233</v>
      </c>
      <c r="BE2259" s="4" t="s">
        <v>233</v>
      </c>
      <c r="BF2259" s="8" t="s">
        <v>233</v>
      </c>
      <c r="BG2259" s="7" t="s">
        <v>233</v>
      </c>
      <c r="BH2259" s="7" t="s">
        <v>233</v>
      </c>
      <c r="BI2259" s="7"/>
      <c r="BJ2259" s="4">
        <v>4</v>
      </c>
      <c r="BK2259" s="8">
        <v>99.2</v>
      </c>
      <c r="BL2259" s="2" t="s">
        <v>691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10086</v>
      </c>
      <c r="BV2259" s="2" t="s">
        <v>233</v>
      </c>
      <c r="BW2259" s="2" t="s">
        <v>233</v>
      </c>
      <c r="BX2259" s="2" t="s">
        <v>233</v>
      </c>
      <c r="BY2259" s="2" t="s">
        <v>280</v>
      </c>
      <c r="BZ2259" s="2" t="s">
        <v>245</v>
      </c>
      <c r="CA2259" s="2" t="s">
        <v>1604</v>
      </c>
      <c r="CB2259" s="2" t="s">
        <v>754</v>
      </c>
      <c r="CC2259" s="2" t="s">
        <v>246</v>
      </c>
      <c r="CD2259" s="2" t="s">
        <v>233</v>
      </c>
      <c r="CE2259" s="4">
        <v>3</v>
      </c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>
        <v>150</v>
      </c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  <c r="HF2259" s="4"/>
      <c r="HG2259" s="4"/>
      <c r="HH2259" s="4"/>
      <c r="HI2259" s="4"/>
      <c r="HJ2259" s="4"/>
      <c r="HK2259" s="4"/>
      <c r="HL2259" s="4"/>
      <c r="HM2259" s="4"/>
      <c r="HN2259" s="4"/>
      <c r="HO2259" s="4"/>
      <c r="HP2259" s="4"/>
      <c r="HQ2259" s="4"/>
      <c r="HR2259" s="4"/>
    </row>
    <row r="2260">
      <c r="A2260" s="2" t="s">
        <v>10087</v>
      </c>
      <c r="B2260" s="2" t="s">
        <v>228</v>
      </c>
      <c r="C2260" s="2" t="s">
        <v>990</v>
      </c>
      <c r="D2260" s="2" t="s">
        <v>1616</v>
      </c>
      <c r="E2260" s="2" t="s">
        <v>2599</v>
      </c>
      <c r="F2260" s="2" t="s">
        <v>10079</v>
      </c>
      <c r="G2260" s="2" t="s">
        <v>10079</v>
      </c>
      <c r="H2260" s="2" t="s">
        <v>10079</v>
      </c>
      <c r="I2260" s="2" t="s">
        <v>10082</v>
      </c>
      <c r="J2260" s="2" t="s">
        <v>3031</v>
      </c>
      <c r="K2260" s="2" t="s">
        <v>10085</v>
      </c>
      <c r="L2260" s="3">
        <v>33.42</v>
      </c>
      <c r="M2260" s="3">
        <v>35.09</v>
      </c>
      <c r="N2260" s="3">
        <v>89.99</v>
      </c>
      <c r="O2260" s="2" t="s">
        <v>245</v>
      </c>
      <c r="P2260" s="2" t="s">
        <v>272</v>
      </c>
      <c r="Q2260" s="2" t="s">
        <v>239</v>
      </c>
      <c r="R2260" s="2" t="s">
        <v>233</v>
      </c>
      <c r="S2260" s="2" t="s">
        <v>233</v>
      </c>
      <c r="T2260" s="2" t="s">
        <v>976</v>
      </c>
      <c r="U2260" s="2" t="s">
        <v>396</v>
      </c>
      <c r="V2260" s="2" t="s">
        <v>241</v>
      </c>
      <c r="W2260" s="2" t="s">
        <v>705</v>
      </c>
      <c r="X2260" s="2" t="s">
        <v>233</v>
      </c>
      <c r="Y2260" s="2" t="s">
        <v>1355</v>
      </c>
      <c r="Z2260" s="4">
        <v>62</v>
      </c>
      <c r="AA2260" s="4">
        <f>=ROUNDDOWN(10.3333333333333,0)</f>
      </c>
      <c r="AB2260" s="5">
        <v>6</v>
      </c>
      <c r="AC2260" s="2" t="s">
        <v>1739</v>
      </c>
      <c r="AD2260" s="4">
        <v>120</v>
      </c>
      <c r="AE2260" s="4">
        <v>120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233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 t="s">
        <v>233</v>
      </c>
      <c r="AW2260" s="8" t="s">
        <v>233</v>
      </c>
      <c r="AX2260" s="4" t="s">
        <v>233</v>
      </c>
      <c r="AY2260" s="8" t="s">
        <v>233</v>
      </c>
      <c r="AZ2260" s="7" t="s">
        <v>233</v>
      </c>
      <c r="BA2260" s="7" t="s">
        <v>233</v>
      </c>
      <c r="BB2260" s="7"/>
      <c r="BC2260" s="4" t="s">
        <v>233</v>
      </c>
      <c r="BD2260" s="8" t="s">
        <v>233</v>
      </c>
      <c r="BE2260" s="4" t="s">
        <v>233</v>
      </c>
      <c r="BF2260" s="8" t="s">
        <v>233</v>
      </c>
      <c r="BG2260" s="7" t="s">
        <v>233</v>
      </c>
      <c r="BH2260" s="7" t="s">
        <v>233</v>
      </c>
      <c r="BI2260" s="7"/>
      <c r="BJ2260" s="4">
        <v>7</v>
      </c>
      <c r="BK2260" s="8">
        <v>320.51</v>
      </c>
      <c r="BL2260" s="2" t="s">
        <v>10088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10089</v>
      </c>
      <c r="BV2260" s="2" t="s">
        <v>233</v>
      </c>
      <c r="BW2260" s="2" t="s">
        <v>233</v>
      </c>
      <c r="BX2260" s="2" t="s">
        <v>233</v>
      </c>
      <c r="BY2260" s="2" t="s">
        <v>280</v>
      </c>
      <c r="BZ2260" s="2" t="s">
        <v>245</v>
      </c>
      <c r="CA2260" s="2" t="s">
        <v>1604</v>
      </c>
      <c r="CB2260" s="2" t="s">
        <v>4310</v>
      </c>
      <c r="CC2260" s="2" t="s">
        <v>246</v>
      </c>
      <c r="CD2260" s="2" t="s">
        <v>233</v>
      </c>
      <c r="CE2260" s="4">
        <v>62</v>
      </c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>
        <v>120</v>
      </c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/>
      <c r="GH2260" s="4"/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  <c r="HF2260" s="4"/>
      <c r="HG2260" s="4"/>
      <c r="HH2260" s="4"/>
      <c r="HI2260" s="4"/>
      <c r="HJ2260" s="4"/>
      <c r="HK2260" s="4"/>
      <c r="HL2260" s="4"/>
      <c r="HM2260" s="4"/>
      <c r="HN2260" s="4"/>
      <c r="HO2260" s="4"/>
      <c r="HP2260" s="4"/>
      <c r="HQ2260" s="4"/>
      <c r="HR2260" s="4"/>
    </row>
    <row r="2261">
      <c r="A2261" s="2" t="s">
        <v>10090</v>
      </c>
      <c r="B2261" s="2" t="s">
        <v>228</v>
      </c>
      <c r="C2261" s="2" t="s">
        <v>990</v>
      </c>
      <c r="D2261" s="2" t="s">
        <v>1616</v>
      </c>
      <c r="E2261" s="2" t="s">
        <v>2599</v>
      </c>
      <c r="F2261" s="2" t="s">
        <v>10079</v>
      </c>
      <c r="G2261" s="2" t="s">
        <v>10079</v>
      </c>
      <c r="H2261" s="2" t="s">
        <v>10079</v>
      </c>
      <c r="I2261" s="2" t="s">
        <v>10082</v>
      </c>
      <c r="J2261" s="2" t="s">
        <v>3031</v>
      </c>
      <c r="K2261" s="2" t="s">
        <v>255</v>
      </c>
      <c r="L2261" s="3">
        <v>33.42</v>
      </c>
      <c r="M2261" s="3">
        <v>35.09</v>
      </c>
      <c r="N2261" s="3">
        <v>89.99</v>
      </c>
      <c r="O2261" s="2" t="s">
        <v>245</v>
      </c>
      <c r="P2261" s="2" t="s">
        <v>272</v>
      </c>
      <c r="Q2261" s="2" t="s">
        <v>239</v>
      </c>
      <c r="R2261" s="2" t="s">
        <v>233</v>
      </c>
      <c r="S2261" s="2" t="s">
        <v>233</v>
      </c>
      <c r="T2261" s="2" t="s">
        <v>976</v>
      </c>
      <c r="U2261" s="2" t="s">
        <v>396</v>
      </c>
      <c r="V2261" s="2" t="s">
        <v>241</v>
      </c>
      <c r="W2261" s="2" t="s">
        <v>705</v>
      </c>
      <c r="X2261" s="2" t="s">
        <v>233</v>
      </c>
      <c r="Y2261" s="2" t="s">
        <v>1355</v>
      </c>
      <c r="Z2261" s="4">
        <v>125</v>
      </c>
      <c r="AA2261" s="4">
        <f>=ROUNDDOWN(17.8571428571429,0)</f>
      </c>
      <c r="AB2261" s="5">
        <v>7</v>
      </c>
      <c r="AC2261" s="2" t="s">
        <v>1739</v>
      </c>
      <c r="AD2261" s="4">
        <v>120</v>
      </c>
      <c r="AE2261" s="4">
        <v>120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233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233</v>
      </c>
      <c r="BD2261" s="8" t="s">
        <v>233</v>
      </c>
      <c r="BE2261" s="4" t="s">
        <v>233</v>
      </c>
      <c r="BF2261" s="8" t="s">
        <v>233</v>
      </c>
      <c r="BG2261" s="7" t="s">
        <v>233</v>
      </c>
      <c r="BH2261" s="7" t="s">
        <v>233</v>
      </c>
      <c r="BI2261" s="7"/>
      <c r="BJ2261" s="4">
        <v>16</v>
      </c>
      <c r="BK2261" s="8">
        <v>651.88</v>
      </c>
      <c r="BL2261" s="2" t="s">
        <v>10091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10092</v>
      </c>
      <c r="BV2261" s="2" t="s">
        <v>233</v>
      </c>
      <c r="BW2261" s="2" t="s">
        <v>233</v>
      </c>
      <c r="BX2261" s="2" t="s">
        <v>233</v>
      </c>
      <c r="BY2261" s="2" t="s">
        <v>280</v>
      </c>
      <c r="BZ2261" s="2" t="s">
        <v>245</v>
      </c>
      <c r="CA2261" s="2" t="s">
        <v>1604</v>
      </c>
      <c r="CB2261" s="2" t="s">
        <v>1582</v>
      </c>
      <c r="CC2261" s="2" t="s">
        <v>246</v>
      </c>
      <c r="CD2261" s="2" t="s">
        <v>233</v>
      </c>
      <c r="CE2261" s="4">
        <v>125</v>
      </c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>
        <v>120</v>
      </c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/>
      <c r="GR2261" s="4"/>
      <c r="GS2261" s="4"/>
      <c r="GT2261" s="4"/>
      <c r="GU2261" s="4"/>
      <c r="GV2261" s="4"/>
      <c r="GW2261" s="4"/>
      <c r="GX2261" s="4"/>
      <c r="GY2261" s="4"/>
      <c r="GZ2261" s="4"/>
      <c r="HA2261" s="4"/>
      <c r="HB2261" s="4"/>
      <c r="HC2261" s="4"/>
      <c r="HD2261" s="4"/>
      <c r="HE2261" s="4"/>
      <c r="HF2261" s="4"/>
      <c r="HG2261" s="4"/>
      <c r="HH2261" s="4"/>
      <c r="HI2261" s="4"/>
      <c r="HJ2261" s="4"/>
      <c r="HK2261" s="4"/>
      <c r="HL2261" s="4"/>
      <c r="HM2261" s="4"/>
      <c r="HN2261" s="4"/>
      <c r="HO2261" s="4"/>
      <c r="HP2261" s="4"/>
      <c r="HQ2261" s="4"/>
      <c r="HR2261" s="4"/>
    </row>
    <row r="2262">
      <c r="A2262" s="2" t="s">
        <v>10093</v>
      </c>
      <c r="B2262" s="2" t="s">
        <v>228</v>
      </c>
      <c r="C2262" s="2" t="s">
        <v>990</v>
      </c>
      <c r="D2262" s="2" t="s">
        <v>1194</v>
      </c>
      <c r="E2262" s="2" t="s">
        <v>1987</v>
      </c>
      <c r="F2262" s="2" t="s">
        <v>10079</v>
      </c>
      <c r="G2262" s="2" t="s">
        <v>10079</v>
      </c>
      <c r="H2262" s="2" t="s">
        <v>10079</v>
      </c>
      <c r="I2262" s="2" t="s">
        <v>10080</v>
      </c>
      <c r="J2262" s="2" t="s">
        <v>1200</v>
      </c>
      <c r="K2262" s="2" t="s">
        <v>569</v>
      </c>
      <c r="L2262" s="3">
        <v>22.28</v>
      </c>
      <c r="M2262" s="3">
        <v>23.39</v>
      </c>
      <c r="N2262" s="3">
        <v>59.99</v>
      </c>
      <c r="O2262" s="2" t="s">
        <v>245</v>
      </c>
      <c r="P2262" s="2" t="s">
        <v>272</v>
      </c>
      <c r="Q2262" s="2" t="s">
        <v>239</v>
      </c>
      <c r="R2262" s="2" t="s">
        <v>233</v>
      </c>
      <c r="S2262" s="2" t="s">
        <v>233</v>
      </c>
      <c r="T2262" s="2" t="s">
        <v>976</v>
      </c>
      <c r="U2262" s="2" t="s">
        <v>396</v>
      </c>
      <c r="V2262" s="2" t="s">
        <v>241</v>
      </c>
      <c r="W2262" s="2" t="s">
        <v>705</v>
      </c>
      <c r="X2262" s="2" t="s">
        <v>233</v>
      </c>
      <c r="Y2262" s="2" t="s">
        <v>1355</v>
      </c>
      <c r="Z2262" s="4"/>
      <c r="AA2262" s="4">
        <f>=ROUNDDOWN({0},0)</f>
      </c>
      <c r="AB2262" s="5">
        <v>2</v>
      </c>
      <c r="AC2262" s="2" t="s">
        <v>1492</v>
      </c>
      <c r="AD2262" s="4">
        <v>150</v>
      </c>
      <c r="AE2262" s="4">
        <v>150</v>
      </c>
      <c r="AF2262" s="6">
        <v>65</v>
      </c>
      <c r="AG2262" s="6"/>
      <c r="AH2262" s="7">
        <v>0</v>
      </c>
      <c r="AI2262" s="4"/>
      <c r="AJ2262" s="4">
        <f>=ROUNDDOWN({0},0)</f>
      </c>
      <c r="AK2262" s="5"/>
      <c r="AL2262" s="2" t="s">
        <v>233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 t="s">
        <v>233</v>
      </c>
      <c r="AW2262" s="8" t="s">
        <v>233</v>
      </c>
      <c r="AX2262" s="4" t="s">
        <v>233</v>
      </c>
      <c r="AY2262" s="8" t="s">
        <v>233</v>
      </c>
      <c r="AZ2262" s="7" t="s">
        <v>233</v>
      </c>
      <c r="BA2262" s="7" t="s">
        <v>233</v>
      </c>
      <c r="BB2262" s="7"/>
      <c r="BC2262" s="4" t="s">
        <v>233</v>
      </c>
      <c r="BD2262" s="8" t="s">
        <v>233</v>
      </c>
      <c r="BE2262" s="4" t="s">
        <v>233</v>
      </c>
      <c r="BF2262" s="8" t="s">
        <v>233</v>
      </c>
      <c r="BG2262" s="7" t="s">
        <v>233</v>
      </c>
      <c r="BH2262" s="7" t="s">
        <v>233</v>
      </c>
      <c r="BI2262" s="7"/>
      <c r="BJ2262" s="4"/>
      <c r="BK2262" s="8"/>
      <c r="BL2262" s="2" t="s">
        <v>744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10094</v>
      </c>
      <c r="BV2262" s="2" t="s">
        <v>233</v>
      </c>
      <c r="BW2262" s="2" t="s">
        <v>233</v>
      </c>
      <c r="BX2262" s="2" t="s">
        <v>233</v>
      </c>
      <c r="BY2262" s="2" t="s">
        <v>280</v>
      </c>
      <c r="BZ2262" s="2" t="s">
        <v>245</v>
      </c>
      <c r="CA2262" s="2" t="s">
        <v>1604</v>
      </c>
      <c r="CB2262" s="2" t="s">
        <v>3382</v>
      </c>
      <c r="CC2262" s="2" t="s">
        <v>246</v>
      </c>
      <c r="CD2262" s="2" t="s">
        <v>233</v>
      </c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>
        <v>150</v>
      </c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/>
      <c r="GV2262" s="4"/>
      <c r="GW2262" s="4"/>
      <c r="GX2262" s="4"/>
      <c r="GY2262" s="4"/>
      <c r="GZ2262" s="4"/>
      <c r="HA2262" s="4"/>
      <c r="HB2262" s="4"/>
      <c r="HC2262" s="4"/>
      <c r="HD2262" s="4"/>
      <c r="HE2262" s="4"/>
      <c r="HF2262" s="4"/>
      <c r="HG2262" s="4"/>
      <c r="HH2262" s="4"/>
      <c r="HI2262" s="4"/>
      <c r="HJ2262" s="4"/>
      <c r="HK2262" s="4"/>
      <c r="HL2262" s="4"/>
      <c r="HM2262" s="4"/>
      <c r="HN2262" s="4"/>
      <c r="HO2262" s="4"/>
      <c r="HP2262" s="4"/>
      <c r="HQ2262" s="4"/>
      <c r="HR2262" s="4"/>
    </row>
    <row r="2263">
      <c r="A2263" s="2" t="s">
        <v>10095</v>
      </c>
      <c r="B2263" s="2" t="s">
        <v>228</v>
      </c>
      <c r="C2263" s="2" t="s">
        <v>990</v>
      </c>
      <c r="D2263" s="2" t="s">
        <v>1616</v>
      </c>
      <c r="E2263" s="2" t="s">
        <v>2599</v>
      </c>
      <c r="F2263" s="2" t="s">
        <v>10079</v>
      </c>
      <c r="G2263" s="2" t="s">
        <v>10079</v>
      </c>
      <c r="H2263" s="2" t="s">
        <v>10079</v>
      </c>
      <c r="I2263" s="2" t="s">
        <v>10082</v>
      </c>
      <c r="J2263" s="2" t="s">
        <v>3031</v>
      </c>
      <c r="K2263" s="2" t="s">
        <v>569</v>
      </c>
      <c r="L2263" s="3">
        <v>33.42</v>
      </c>
      <c r="M2263" s="3">
        <v>35.09</v>
      </c>
      <c r="N2263" s="3">
        <v>89.99</v>
      </c>
      <c r="O2263" s="2" t="s">
        <v>245</v>
      </c>
      <c r="P2263" s="2" t="s">
        <v>272</v>
      </c>
      <c r="Q2263" s="2" t="s">
        <v>239</v>
      </c>
      <c r="R2263" s="2" t="s">
        <v>233</v>
      </c>
      <c r="S2263" s="2" t="s">
        <v>233</v>
      </c>
      <c r="T2263" s="2" t="s">
        <v>976</v>
      </c>
      <c r="U2263" s="2" t="s">
        <v>396</v>
      </c>
      <c r="V2263" s="2" t="s">
        <v>241</v>
      </c>
      <c r="W2263" s="2" t="s">
        <v>705</v>
      </c>
      <c r="X2263" s="2" t="s">
        <v>233</v>
      </c>
      <c r="Y2263" s="2" t="s">
        <v>1355</v>
      </c>
      <c r="Z2263" s="4">
        <v>122</v>
      </c>
      <c r="AA2263" s="4">
        <f>=ROUNDDOWN(17.4285714285714,0)</f>
      </c>
      <c r="AB2263" s="5">
        <v>7</v>
      </c>
      <c r="AC2263" s="2" t="s">
        <v>1492</v>
      </c>
      <c r="AD2263" s="4">
        <v>120</v>
      </c>
      <c r="AE2263" s="4">
        <v>120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233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 t="s">
        <v>233</v>
      </c>
      <c r="AW2263" s="8" t="s">
        <v>233</v>
      </c>
      <c r="AX2263" s="4" t="s">
        <v>233</v>
      </c>
      <c r="AY2263" s="8" t="s">
        <v>233</v>
      </c>
      <c r="AZ2263" s="7" t="s">
        <v>233</v>
      </c>
      <c r="BA2263" s="7" t="s">
        <v>233</v>
      </c>
      <c r="BB2263" s="7"/>
      <c r="BC2263" s="4" t="s">
        <v>233</v>
      </c>
      <c r="BD2263" s="8" t="s">
        <v>233</v>
      </c>
      <c r="BE2263" s="4" t="s">
        <v>233</v>
      </c>
      <c r="BF2263" s="8" t="s">
        <v>233</v>
      </c>
      <c r="BG2263" s="7" t="s">
        <v>233</v>
      </c>
      <c r="BH2263" s="7" t="s">
        <v>233</v>
      </c>
      <c r="BI2263" s="7"/>
      <c r="BJ2263" s="4">
        <v>13</v>
      </c>
      <c r="BK2263" s="8">
        <v>504.8</v>
      </c>
      <c r="BL2263" s="2" t="s">
        <v>10096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10097</v>
      </c>
      <c r="BV2263" s="2" t="s">
        <v>233</v>
      </c>
      <c r="BW2263" s="2" t="s">
        <v>233</v>
      </c>
      <c r="BX2263" s="2" t="s">
        <v>233</v>
      </c>
      <c r="BY2263" s="2" t="s">
        <v>280</v>
      </c>
      <c r="BZ2263" s="2" t="s">
        <v>245</v>
      </c>
      <c r="CA2263" s="2" t="s">
        <v>1604</v>
      </c>
      <c r="CB2263" s="2" t="s">
        <v>1992</v>
      </c>
      <c r="CC2263" s="2" t="s">
        <v>246</v>
      </c>
      <c r="CD2263" s="2" t="s">
        <v>233</v>
      </c>
      <c r="CE2263" s="4">
        <v>122</v>
      </c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>
        <v>120</v>
      </c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/>
      <c r="GS2263" s="4"/>
      <c r="GT2263" s="4"/>
      <c r="GU2263" s="4"/>
      <c r="GV2263" s="4"/>
      <c r="GW2263" s="4"/>
      <c r="GX2263" s="4"/>
      <c r="GY2263" s="4"/>
      <c r="GZ2263" s="4"/>
      <c r="HA2263" s="4"/>
      <c r="HB2263" s="4"/>
      <c r="HC2263" s="4"/>
      <c r="HD2263" s="4"/>
      <c r="HE2263" s="4"/>
      <c r="HF2263" s="4"/>
      <c r="HG2263" s="4"/>
      <c r="HH2263" s="4"/>
      <c r="HI2263" s="4"/>
      <c r="HJ2263" s="4"/>
      <c r="HK2263" s="4"/>
      <c r="HL2263" s="4"/>
      <c r="HM2263" s="4"/>
      <c r="HN2263" s="4"/>
      <c r="HO2263" s="4"/>
      <c r="HP2263" s="4"/>
      <c r="HQ2263" s="4"/>
      <c r="HR2263" s="4"/>
    </row>
    <row r="2264">
      <c r="A2264" s="2" t="s">
        <v>10098</v>
      </c>
      <c r="B2264" s="2" t="s">
        <v>1017</v>
      </c>
      <c r="C2264" s="2" t="s">
        <v>530</v>
      </c>
      <c r="D2264" s="2" t="s">
        <v>1565</v>
      </c>
      <c r="E2264" s="2" t="s">
        <v>1566</v>
      </c>
      <c r="F2264" s="2" t="s">
        <v>10099</v>
      </c>
      <c r="G2264" s="2" t="s">
        <v>10100</v>
      </c>
      <c r="H2264" s="2" t="s">
        <v>10101</v>
      </c>
      <c r="I2264" s="2" t="s">
        <v>10102</v>
      </c>
      <c r="J2264" s="2" t="s">
        <v>1568</v>
      </c>
      <c r="K2264" s="2" t="s">
        <v>255</v>
      </c>
      <c r="L2264" s="3">
        <v>15.75</v>
      </c>
      <c r="M2264" s="3">
        <v>16.54</v>
      </c>
      <c r="N2264" s="3">
        <v>34.99</v>
      </c>
      <c r="O2264" s="2" t="s">
        <v>252</v>
      </c>
      <c r="P2264" s="2" t="s">
        <v>311</v>
      </c>
      <c r="Q2264" s="2" t="s">
        <v>239</v>
      </c>
      <c r="R2264" s="2" t="s">
        <v>233</v>
      </c>
      <c r="S2264" s="2" t="s">
        <v>10103</v>
      </c>
      <c r="T2264" s="2" t="s">
        <v>233</v>
      </c>
      <c r="U2264" s="2" t="s">
        <v>396</v>
      </c>
      <c r="V2264" s="2" t="s">
        <v>1340</v>
      </c>
      <c r="W2264" s="2" t="s">
        <v>397</v>
      </c>
      <c r="X2264" s="2" t="s">
        <v>275</v>
      </c>
      <c r="Y2264" s="2" t="s">
        <v>4192</v>
      </c>
      <c r="Z2264" s="4"/>
      <c r="AA2264" s="4">
        <f>=ROUNDDOWN({0},0)</f>
      </c>
      <c r="AB2264" s="5"/>
      <c r="AC2264" s="2" t="s">
        <v>233</v>
      </c>
      <c r="AD2264" s="4"/>
      <c r="AE2264" s="4"/>
      <c r="AF2264" s="6"/>
      <c r="AG2264" s="6"/>
      <c r="AH2264" s="7">
        <v>0</v>
      </c>
      <c r="AI2264" s="4"/>
      <c r="AJ2264" s="4">
        <f>=ROUNDDOWN({0},0)</f>
      </c>
      <c r="AK2264" s="5"/>
      <c r="AL2264" s="2" t="s">
        <v>233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/>
      <c r="BD2264" s="8"/>
      <c r="BE2264" s="4"/>
      <c r="BF2264" s="8"/>
      <c r="BG2264" s="7"/>
      <c r="BH2264" s="7"/>
      <c r="BI2264" s="7"/>
      <c r="BJ2264" s="4"/>
      <c r="BK2264" s="8"/>
      <c r="BL2264" s="2" t="s">
        <v>469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10104</v>
      </c>
      <c r="BV2264" s="2" t="s">
        <v>233</v>
      </c>
      <c r="BW2264" s="2" t="s">
        <v>233</v>
      </c>
      <c r="BX2264" s="2" t="s">
        <v>233</v>
      </c>
      <c r="BY2264" s="2" t="s">
        <v>280</v>
      </c>
      <c r="BZ2264" s="2" t="s">
        <v>245</v>
      </c>
      <c r="CA2264" s="2" t="s">
        <v>4192</v>
      </c>
      <c r="CB2264" s="2" t="s">
        <v>7306</v>
      </c>
      <c r="CC2264" s="2" t="s">
        <v>246</v>
      </c>
      <c r="CD2264" s="2" t="s">
        <v>233</v>
      </c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/>
      <c r="GS2264" s="4"/>
      <c r="GT2264" s="4"/>
      <c r="GU2264" s="4"/>
      <c r="GV2264" s="4"/>
      <c r="GW2264" s="4"/>
      <c r="GX2264" s="4"/>
      <c r="GY2264" s="4"/>
      <c r="GZ2264" s="4"/>
      <c r="HA2264" s="4"/>
      <c r="HB2264" s="4"/>
      <c r="HC2264" s="4"/>
      <c r="HD2264" s="4"/>
      <c r="HE2264" s="4"/>
      <c r="HF2264" s="4"/>
      <c r="HG2264" s="4"/>
      <c r="HH2264" s="4"/>
      <c r="HI2264" s="4"/>
      <c r="HJ2264" s="4"/>
      <c r="HK2264" s="4"/>
      <c r="HL2264" s="4"/>
      <c r="HM2264" s="4"/>
      <c r="HN2264" s="4"/>
      <c r="HO2264" s="4"/>
      <c r="HP2264" s="4"/>
      <c r="HQ2264" s="4"/>
      <c r="HR2264" s="4"/>
    </row>
    <row r="2265">
      <c r="A2265" s="2" t="s">
        <v>10105</v>
      </c>
      <c r="B2265" s="2" t="s">
        <v>1066</v>
      </c>
      <c r="C2265" s="2" t="s">
        <v>530</v>
      </c>
      <c r="D2265" s="2" t="s">
        <v>2140</v>
      </c>
      <c r="E2265" s="2" t="s">
        <v>243</v>
      </c>
      <c r="F2265" s="2" t="s">
        <v>10106</v>
      </c>
      <c r="G2265" s="2" t="s">
        <v>10107</v>
      </c>
      <c r="H2265" s="2" t="s">
        <v>10108</v>
      </c>
      <c r="I2265" s="2" t="s">
        <v>10109</v>
      </c>
      <c r="J2265" s="2" t="s">
        <v>892</v>
      </c>
      <c r="K2265" s="2" t="s">
        <v>6973</v>
      </c>
      <c r="L2265" s="3">
        <v>256.5</v>
      </c>
      <c r="M2265" s="3">
        <v>269.32</v>
      </c>
      <c r="N2265" s="3">
        <v>549</v>
      </c>
      <c r="O2265" s="2" t="s">
        <v>245</v>
      </c>
      <c r="P2265" s="2" t="s">
        <v>311</v>
      </c>
      <c r="Q2265" s="2" t="s">
        <v>239</v>
      </c>
      <c r="R2265" s="2" t="s">
        <v>233</v>
      </c>
      <c r="S2265" s="2" t="s">
        <v>233</v>
      </c>
      <c r="T2265" s="2" t="s">
        <v>233</v>
      </c>
      <c r="U2265" s="2" t="s">
        <v>396</v>
      </c>
      <c r="V2265" s="2" t="s">
        <v>893</v>
      </c>
      <c r="W2265" s="2" t="s">
        <v>397</v>
      </c>
      <c r="X2265" s="2" t="s">
        <v>705</v>
      </c>
      <c r="Y2265" s="2" t="s">
        <v>2482</v>
      </c>
      <c r="Z2265" s="4">
        <v>1</v>
      </c>
      <c r="AA2265" s="4">
        <f>=ROUNDDOWN(0.5,0)</f>
      </c>
      <c r="AB2265" s="5">
        <v>2</v>
      </c>
      <c r="AC2265" s="2" t="s">
        <v>233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233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/>
      <c r="BD2265" s="8"/>
      <c r="BE2265" s="4"/>
      <c r="BF2265" s="8"/>
      <c r="BG2265" s="7"/>
      <c r="BH2265" s="7"/>
      <c r="BI2265" s="7"/>
      <c r="BJ2265" s="4"/>
      <c r="BK2265" s="8"/>
      <c r="BL2265" s="2" t="s">
        <v>1023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10110</v>
      </c>
      <c r="BV2265" s="2" t="s">
        <v>233</v>
      </c>
      <c r="BW2265" s="2" t="s">
        <v>233</v>
      </c>
      <c r="BX2265" s="2" t="s">
        <v>243</v>
      </c>
      <c r="BY2265" s="2" t="s">
        <v>280</v>
      </c>
      <c r="BZ2265" s="2" t="s">
        <v>245</v>
      </c>
      <c r="CA2265" s="2" t="s">
        <v>459</v>
      </c>
      <c r="CB2265" s="2" t="s">
        <v>5118</v>
      </c>
      <c r="CC2265" s="2" t="s">
        <v>246</v>
      </c>
      <c r="CD2265" s="2" t="s">
        <v>233</v>
      </c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>
        <v>1</v>
      </c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/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  <c r="HF2265" s="4"/>
      <c r="HG2265" s="4"/>
      <c r="HH2265" s="4"/>
      <c r="HI2265" s="4"/>
      <c r="HJ2265" s="4"/>
      <c r="HK2265" s="4"/>
      <c r="HL2265" s="4"/>
      <c r="HM2265" s="4"/>
      <c r="HN2265" s="4"/>
      <c r="HO2265" s="4"/>
      <c r="HP2265" s="4"/>
      <c r="HQ2265" s="4"/>
      <c r="HR2265" s="4"/>
    </row>
    <row r="2266">
      <c r="A2266" s="2" t="s">
        <v>10111</v>
      </c>
      <c r="B2266" s="2" t="s">
        <v>1066</v>
      </c>
      <c r="C2266" s="2" t="s">
        <v>530</v>
      </c>
      <c r="D2266" s="2" t="s">
        <v>1111</v>
      </c>
      <c r="E2266" s="2" t="s">
        <v>1723</v>
      </c>
      <c r="F2266" s="2" t="s">
        <v>10112</v>
      </c>
      <c r="G2266" s="2" t="s">
        <v>10113</v>
      </c>
      <c r="H2266" s="2" t="s">
        <v>10114</v>
      </c>
      <c r="I2266" s="2" t="s">
        <v>1900</v>
      </c>
      <c r="J2266" s="2" t="s">
        <v>892</v>
      </c>
      <c r="K2266" s="2" t="s">
        <v>255</v>
      </c>
      <c r="L2266" s="3">
        <v>217.8</v>
      </c>
      <c r="M2266" s="3">
        <v>228.69</v>
      </c>
      <c r="N2266" s="3">
        <v>459</v>
      </c>
      <c r="O2266" s="2" t="s">
        <v>245</v>
      </c>
      <c r="P2266" s="2" t="s">
        <v>393</v>
      </c>
      <c r="Q2266" s="2" t="s">
        <v>239</v>
      </c>
      <c r="R2266" s="2" t="s">
        <v>233</v>
      </c>
      <c r="S2266" s="2" t="s">
        <v>233</v>
      </c>
      <c r="T2266" s="2" t="s">
        <v>233</v>
      </c>
      <c r="U2266" s="2" t="s">
        <v>396</v>
      </c>
      <c r="V2266" s="2" t="s">
        <v>893</v>
      </c>
      <c r="W2266" s="2" t="s">
        <v>451</v>
      </c>
      <c r="X2266" s="2" t="s">
        <v>275</v>
      </c>
      <c r="Y2266" s="2" t="s">
        <v>10115</v>
      </c>
      <c r="Z2266" s="4">
        <v>40</v>
      </c>
      <c r="AA2266" s="4">
        <f>=ROUNDDOWN(8,0)</f>
      </c>
      <c r="AB2266" s="5">
        <v>5</v>
      </c>
      <c r="AC2266" s="2" t="s">
        <v>1601</v>
      </c>
      <c r="AD2266" s="4">
        <v>200</v>
      </c>
      <c r="AE2266" s="4">
        <v>200</v>
      </c>
      <c r="AF2266" s="6">
        <v>66</v>
      </c>
      <c r="AG2266" s="6"/>
      <c r="AH2266" s="7">
        <v>1</v>
      </c>
      <c r="AI2266" s="4"/>
      <c r="AJ2266" s="4">
        <f>=ROUNDDOWN({0},0)</f>
      </c>
      <c r="AK2266" s="5"/>
      <c r="AL2266" s="2" t="s">
        <v>233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233</v>
      </c>
      <c r="BD2266" s="8" t="s">
        <v>233</v>
      </c>
      <c r="BE2266" s="4" t="s">
        <v>233</v>
      </c>
      <c r="BF2266" s="8" t="s">
        <v>233</v>
      </c>
      <c r="BG2266" s="7" t="s">
        <v>233</v>
      </c>
      <c r="BH2266" s="7" t="s">
        <v>233</v>
      </c>
      <c r="BI2266" s="7"/>
      <c r="BJ2266" s="4">
        <v>14</v>
      </c>
      <c r="BK2266" s="8">
        <v>3023.21</v>
      </c>
      <c r="BL2266" s="2" t="s">
        <v>10116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10117</v>
      </c>
      <c r="BV2266" s="2" t="s">
        <v>233</v>
      </c>
      <c r="BW2266" s="2" t="s">
        <v>233</v>
      </c>
      <c r="BX2266" s="2" t="s">
        <v>233</v>
      </c>
      <c r="BY2266" s="2" t="s">
        <v>280</v>
      </c>
      <c r="BZ2266" s="2" t="s">
        <v>245</v>
      </c>
      <c r="CA2266" s="2" t="s">
        <v>10118</v>
      </c>
      <c r="CB2266" s="2" t="s">
        <v>9089</v>
      </c>
      <c r="CC2266" s="2" t="s">
        <v>246</v>
      </c>
      <c r="CD2266" s="2" t="s">
        <v>233</v>
      </c>
      <c r="CE2266" s="4"/>
      <c r="CF2266" s="4">
        <v>40</v>
      </c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>
        <v>200</v>
      </c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  <c r="HF2266" s="4"/>
      <c r="HG2266" s="4"/>
      <c r="HH2266" s="4"/>
      <c r="HI2266" s="4"/>
      <c r="HJ2266" s="4"/>
      <c r="HK2266" s="4"/>
      <c r="HL2266" s="4"/>
      <c r="HM2266" s="4"/>
      <c r="HN2266" s="4"/>
      <c r="HO2266" s="4"/>
      <c r="HP2266" s="4"/>
      <c r="HQ2266" s="4"/>
      <c r="HR2266" s="4"/>
    </row>
    <row r="2267">
      <c r="A2267" s="2" t="s">
        <v>10119</v>
      </c>
      <c r="B2267" s="2" t="s">
        <v>1066</v>
      </c>
      <c r="C2267" s="2" t="s">
        <v>947</v>
      </c>
      <c r="D2267" s="2" t="s">
        <v>2140</v>
      </c>
      <c r="E2267" s="2" t="s">
        <v>4141</v>
      </c>
      <c r="F2267" s="2" t="s">
        <v>10112</v>
      </c>
      <c r="G2267" s="2" t="s">
        <v>10112</v>
      </c>
      <c r="H2267" s="2" t="s">
        <v>10112</v>
      </c>
      <c r="I2267" s="2" t="s">
        <v>10120</v>
      </c>
      <c r="J2267" s="2" t="s">
        <v>892</v>
      </c>
      <c r="K2267" s="2" t="s">
        <v>10121</v>
      </c>
      <c r="L2267" s="3">
        <v>270</v>
      </c>
      <c r="M2267" s="3">
        <v>283.5</v>
      </c>
      <c r="N2267" s="3">
        <v>559</v>
      </c>
      <c r="O2267" s="2" t="s">
        <v>245</v>
      </c>
      <c r="P2267" s="2" t="s">
        <v>238</v>
      </c>
      <c r="Q2267" s="2" t="s">
        <v>239</v>
      </c>
      <c r="R2267" s="2" t="s">
        <v>233</v>
      </c>
      <c r="S2267" s="2" t="s">
        <v>233</v>
      </c>
      <c r="T2267" s="2" t="s">
        <v>233</v>
      </c>
      <c r="U2267" s="2" t="s">
        <v>396</v>
      </c>
      <c r="V2267" s="2" t="s">
        <v>893</v>
      </c>
      <c r="W2267" s="2" t="s">
        <v>275</v>
      </c>
      <c r="X2267" s="2" t="s">
        <v>5825</v>
      </c>
      <c r="Y2267" s="2" t="s">
        <v>10122</v>
      </c>
      <c r="Z2267" s="4"/>
      <c r="AA2267" s="4">
        <f>=ROUNDDOWN({0},0)</f>
      </c>
      <c r="AB2267" s="5"/>
      <c r="AC2267" s="2" t="s">
        <v>1136</v>
      </c>
      <c r="AD2267" s="4">
        <v>100</v>
      </c>
      <c r="AE2267" s="4">
        <v>100</v>
      </c>
      <c r="AF2267" s="6">
        <v>74</v>
      </c>
      <c r="AG2267" s="6"/>
      <c r="AH2267" s="7">
        <v>0</v>
      </c>
      <c r="AI2267" s="4"/>
      <c r="AJ2267" s="4">
        <f>=ROUNDDOWN({0},0)</f>
      </c>
      <c r="AK2267" s="5"/>
      <c r="AL2267" s="2" t="s">
        <v>233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 t="s">
        <v>233</v>
      </c>
      <c r="AW2267" s="8" t="s">
        <v>233</v>
      </c>
      <c r="AX2267" s="4" t="s">
        <v>233</v>
      </c>
      <c r="AY2267" s="8" t="s">
        <v>233</v>
      </c>
      <c r="AZ2267" s="7" t="s">
        <v>233</v>
      </c>
      <c r="BA2267" s="7" t="s">
        <v>233</v>
      </c>
      <c r="BB2267" s="7" t="s">
        <v>233</v>
      </c>
      <c r="BC2267" s="4" t="s">
        <v>233</v>
      </c>
      <c r="BD2267" s="8" t="s">
        <v>233</v>
      </c>
      <c r="BE2267" s="4" t="s">
        <v>233</v>
      </c>
      <c r="BF2267" s="8" t="s">
        <v>233</v>
      </c>
      <c r="BG2267" s="7" t="s">
        <v>233</v>
      </c>
      <c r="BH2267" s="7" t="s">
        <v>233</v>
      </c>
      <c r="BI2267" s="7"/>
      <c r="BJ2267" s="4"/>
      <c r="BK2267" s="8"/>
      <c r="BL2267" s="2" t="s">
        <v>233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243</v>
      </c>
      <c r="BV2267" s="2" t="s">
        <v>233</v>
      </c>
      <c r="BW2267" s="2" t="s">
        <v>233</v>
      </c>
      <c r="BX2267" s="2" t="s">
        <v>243</v>
      </c>
      <c r="BY2267" s="2" t="s">
        <v>244</v>
      </c>
      <c r="BZ2267" s="2" t="s">
        <v>245</v>
      </c>
      <c r="CA2267" s="2" t="s">
        <v>233</v>
      </c>
      <c r="CB2267" s="2" t="s">
        <v>233</v>
      </c>
      <c r="CC2267" s="2" t="s">
        <v>246</v>
      </c>
      <c r="CD2267" s="2" t="s">
        <v>233</v>
      </c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>
        <v>100</v>
      </c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/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  <c r="HF2267" s="4"/>
      <c r="HG2267" s="4"/>
      <c r="HH2267" s="4"/>
      <c r="HI2267" s="4"/>
      <c r="HJ2267" s="4"/>
      <c r="HK2267" s="4"/>
      <c r="HL2267" s="4"/>
      <c r="HM2267" s="4"/>
      <c r="HN2267" s="4"/>
      <c r="HO2267" s="4"/>
      <c r="HP2267" s="4"/>
      <c r="HQ2267" s="4"/>
      <c r="HR2267" s="4"/>
    </row>
    <row r="2268">
      <c r="A2268" s="2" t="s">
        <v>10123</v>
      </c>
      <c r="B2268" s="2" t="s">
        <v>1066</v>
      </c>
      <c r="C2268" s="2" t="s">
        <v>947</v>
      </c>
      <c r="D2268" s="2" t="s">
        <v>1322</v>
      </c>
      <c r="E2268" s="2" t="s">
        <v>2279</v>
      </c>
      <c r="F2268" s="2" t="s">
        <v>10112</v>
      </c>
      <c r="G2268" s="2" t="s">
        <v>10112</v>
      </c>
      <c r="H2268" s="2" t="s">
        <v>10112</v>
      </c>
      <c r="I2268" s="2" t="s">
        <v>10124</v>
      </c>
      <c r="J2268" s="2" t="s">
        <v>892</v>
      </c>
      <c r="K2268" s="2" t="s">
        <v>10121</v>
      </c>
      <c r="L2268" s="3">
        <v>530</v>
      </c>
      <c r="M2268" s="3">
        <v>556.5</v>
      </c>
      <c r="N2268" s="3">
        <v>1099</v>
      </c>
      <c r="O2268" s="2" t="s">
        <v>245</v>
      </c>
      <c r="P2268" s="2" t="s">
        <v>238</v>
      </c>
      <c r="Q2268" s="2" t="s">
        <v>239</v>
      </c>
      <c r="R2268" s="2" t="s">
        <v>233</v>
      </c>
      <c r="S2268" s="2" t="s">
        <v>233</v>
      </c>
      <c r="T2268" s="2" t="s">
        <v>233</v>
      </c>
      <c r="U2268" s="2" t="s">
        <v>396</v>
      </c>
      <c r="V2268" s="2" t="s">
        <v>893</v>
      </c>
      <c r="W2268" s="2" t="s">
        <v>275</v>
      </c>
      <c r="X2268" s="2" t="s">
        <v>5825</v>
      </c>
      <c r="Y2268" s="2" t="s">
        <v>1838</v>
      </c>
      <c r="Z2268" s="4"/>
      <c r="AA2268" s="4">
        <f>=ROUNDDOWN({0},0)</f>
      </c>
      <c r="AB2268" s="5">
        <v>7</v>
      </c>
      <c r="AC2268" s="2" t="s">
        <v>1136</v>
      </c>
      <c r="AD2268" s="4">
        <v>97</v>
      </c>
      <c r="AE2268" s="4">
        <v>97</v>
      </c>
      <c r="AF2268" s="6">
        <v>74</v>
      </c>
      <c r="AG2268" s="6"/>
      <c r="AH2268" s="7">
        <v>0</v>
      </c>
      <c r="AI2268" s="4"/>
      <c r="AJ2268" s="4">
        <f>=ROUNDDOWN({0},0)</f>
      </c>
      <c r="AK2268" s="5"/>
      <c r="AL2268" s="2" t="s">
        <v>233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 t="s">
        <v>233</v>
      </c>
      <c r="AW2268" s="8" t="s">
        <v>233</v>
      </c>
      <c r="AX2268" s="4" t="s">
        <v>233</v>
      </c>
      <c r="AY2268" s="8" t="s">
        <v>233</v>
      </c>
      <c r="AZ2268" s="7" t="s">
        <v>233</v>
      </c>
      <c r="BA2268" s="7" t="s">
        <v>233</v>
      </c>
      <c r="BB2268" s="7" t="s">
        <v>233</v>
      </c>
      <c r="BC2268" s="4" t="s">
        <v>233</v>
      </c>
      <c r="BD2268" s="8" t="s">
        <v>233</v>
      </c>
      <c r="BE2268" s="4" t="s">
        <v>233</v>
      </c>
      <c r="BF2268" s="8" t="s">
        <v>233</v>
      </c>
      <c r="BG2268" s="7" t="s">
        <v>233</v>
      </c>
      <c r="BH2268" s="7" t="s">
        <v>233</v>
      </c>
      <c r="BI2268" s="7"/>
      <c r="BJ2268" s="4"/>
      <c r="BK2268" s="8"/>
      <c r="BL2268" s="2" t="s">
        <v>233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243</v>
      </c>
      <c r="BV2268" s="2" t="s">
        <v>233</v>
      </c>
      <c r="BW2268" s="2" t="s">
        <v>233</v>
      </c>
      <c r="BX2268" s="2" t="s">
        <v>243</v>
      </c>
      <c r="BY2268" s="2" t="s">
        <v>244</v>
      </c>
      <c r="BZ2268" s="2" t="s">
        <v>245</v>
      </c>
      <c r="CA2268" s="2" t="s">
        <v>233</v>
      </c>
      <c r="CB2268" s="2" t="s">
        <v>233</v>
      </c>
      <c r="CC2268" s="2" t="s">
        <v>246</v>
      </c>
      <c r="CD2268" s="2" t="s">
        <v>233</v>
      </c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>
        <v>97</v>
      </c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4"/>
      <c r="HG2268" s="4"/>
      <c r="HH2268" s="4"/>
      <c r="HI2268" s="4"/>
      <c r="HJ2268" s="4"/>
      <c r="HK2268" s="4"/>
      <c r="HL2268" s="4"/>
      <c r="HM2268" s="4"/>
      <c r="HN2268" s="4"/>
      <c r="HO2268" s="4"/>
      <c r="HP2268" s="4"/>
      <c r="HQ2268" s="4"/>
      <c r="HR2268" s="4"/>
    </row>
    <row r="2269">
      <c r="A2269" s="2" t="s">
        <v>10125</v>
      </c>
      <c r="B2269" s="2" t="s">
        <v>1066</v>
      </c>
      <c r="C2269" s="2" t="s">
        <v>947</v>
      </c>
      <c r="D2269" s="2" t="s">
        <v>2285</v>
      </c>
      <c r="E2269" s="2" t="s">
        <v>2286</v>
      </c>
      <c r="F2269" s="2" t="s">
        <v>10112</v>
      </c>
      <c r="G2269" s="2" t="s">
        <v>10112</v>
      </c>
      <c r="H2269" s="2" t="s">
        <v>10112</v>
      </c>
      <c r="I2269" s="2" t="s">
        <v>10126</v>
      </c>
      <c r="J2269" s="2" t="s">
        <v>892</v>
      </c>
      <c r="K2269" s="2" t="s">
        <v>10121</v>
      </c>
      <c r="L2269" s="3">
        <v>125</v>
      </c>
      <c r="M2269" s="3">
        <v>131.25</v>
      </c>
      <c r="N2269" s="3">
        <v>259</v>
      </c>
      <c r="O2269" s="2" t="s">
        <v>245</v>
      </c>
      <c r="P2269" s="2" t="s">
        <v>238</v>
      </c>
      <c r="Q2269" s="2" t="s">
        <v>239</v>
      </c>
      <c r="R2269" s="2" t="s">
        <v>233</v>
      </c>
      <c r="S2269" s="2" t="s">
        <v>233</v>
      </c>
      <c r="T2269" s="2" t="s">
        <v>233</v>
      </c>
      <c r="U2269" s="2" t="s">
        <v>396</v>
      </c>
      <c r="V2269" s="2" t="s">
        <v>893</v>
      </c>
      <c r="W2269" s="2" t="s">
        <v>275</v>
      </c>
      <c r="X2269" s="2" t="s">
        <v>5825</v>
      </c>
      <c r="Y2269" s="2" t="s">
        <v>1838</v>
      </c>
      <c r="Z2269" s="4"/>
      <c r="AA2269" s="4">
        <f>=ROUNDDOWN({0},0)</f>
      </c>
      <c r="AB2269" s="5">
        <v>7</v>
      </c>
      <c r="AC2269" s="2" t="s">
        <v>1136</v>
      </c>
      <c r="AD2269" s="4">
        <v>79</v>
      </c>
      <c r="AE2269" s="4">
        <v>99</v>
      </c>
      <c r="AF2269" s="6">
        <v>74</v>
      </c>
      <c r="AG2269" s="6"/>
      <c r="AH2269" s="7">
        <v>0</v>
      </c>
      <c r="AI2269" s="4"/>
      <c r="AJ2269" s="4">
        <f>=ROUNDDOWN({0},0)</f>
      </c>
      <c r="AK2269" s="5"/>
      <c r="AL2269" s="2" t="s">
        <v>233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233</v>
      </c>
      <c r="AW2269" s="8" t="s">
        <v>233</v>
      </c>
      <c r="AX2269" s="4" t="s">
        <v>233</v>
      </c>
      <c r="AY2269" s="8" t="s">
        <v>233</v>
      </c>
      <c r="AZ2269" s="7" t="s">
        <v>233</v>
      </c>
      <c r="BA2269" s="7" t="s">
        <v>233</v>
      </c>
      <c r="BB2269" s="7" t="s">
        <v>233</v>
      </c>
      <c r="BC2269" s="4" t="s">
        <v>233</v>
      </c>
      <c r="BD2269" s="8" t="s">
        <v>233</v>
      </c>
      <c r="BE2269" s="4" t="s">
        <v>233</v>
      </c>
      <c r="BF2269" s="8" t="s">
        <v>233</v>
      </c>
      <c r="BG2269" s="7" t="s">
        <v>233</v>
      </c>
      <c r="BH2269" s="7" t="s">
        <v>233</v>
      </c>
      <c r="BI2269" s="7"/>
      <c r="BJ2269" s="4"/>
      <c r="BK2269" s="8"/>
      <c r="BL2269" s="2" t="s">
        <v>233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243</v>
      </c>
      <c r="BV2269" s="2" t="s">
        <v>233</v>
      </c>
      <c r="BW2269" s="2" t="s">
        <v>233</v>
      </c>
      <c r="BX2269" s="2" t="s">
        <v>243</v>
      </c>
      <c r="BY2269" s="2" t="s">
        <v>244</v>
      </c>
      <c r="BZ2269" s="2" t="s">
        <v>245</v>
      </c>
      <c r="CA2269" s="2" t="s">
        <v>233</v>
      </c>
      <c r="CB2269" s="2" t="s">
        <v>233</v>
      </c>
      <c r="CC2269" s="2" t="s">
        <v>246</v>
      </c>
      <c r="CD2269" s="2" t="s">
        <v>233</v>
      </c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>
        <v>79</v>
      </c>
      <c r="DE2269" s="4"/>
      <c r="DF2269" s="4"/>
      <c r="DG2269" s="4"/>
      <c r="DH2269" s="4"/>
      <c r="DI2269" s="4"/>
      <c r="DJ2269" s="4"/>
      <c r="DK2269" s="4">
        <v>20</v>
      </c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/>
      <c r="GH2269" s="4"/>
      <c r="GI2269" s="4"/>
      <c r="GJ2269" s="4"/>
      <c r="GK2269" s="4"/>
      <c r="GL2269" s="4"/>
      <c r="GM2269" s="4"/>
      <c r="GN2269" s="4"/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  <c r="HF2269" s="4"/>
      <c r="HG2269" s="4"/>
      <c r="HH2269" s="4"/>
      <c r="HI2269" s="4"/>
      <c r="HJ2269" s="4"/>
      <c r="HK2269" s="4"/>
      <c r="HL2269" s="4"/>
      <c r="HM2269" s="4"/>
      <c r="HN2269" s="4"/>
      <c r="HO2269" s="4"/>
      <c r="HP2269" s="4"/>
      <c r="HQ2269" s="4"/>
      <c r="HR2269" s="4"/>
    </row>
    <row r="2270">
      <c r="A2270" s="2" t="s">
        <v>10127</v>
      </c>
      <c r="B2270" s="2" t="s">
        <v>1066</v>
      </c>
      <c r="C2270" s="2" t="s">
        <v>530</v>
      </c>
      <c r="D2270" s="2" t="s">
        <v>1923</v>
      </c>
      <c r="E2270" s="2" t="s">
        <v>1924</v>
      </c>
      <c r="F2270" s="2" t="s">
        <v>10128</v>
      </c>
      <c r="G2270" s="2" t="s">
        <v>10128</v>
      </c>
      <c r="H2270" s="2" t="s">
        <v>10128</v>
      </c>
      <c r="I2270" s="2" t="s">
        <v>3362</v>
      </c>
      <c r="J2270" s="2" t="s">
        <v>892</v>
      </c>
      <c r="K2270" s="2" t="s">
        <v>1537</v>
      </c>
      <c r="L2270" s="3">
        <v>135</v>
      </c>
      <c r="M2270" s="3">
        <v>141.75</v>
      </c>
      <c r="N2270" s="3">
        <v>279</v>
      </c>
      <c r="O2270" s="2" t="s">
        <v>245</v>
      </c>
      <c r="P2270" s="2" t="s">
        <v>1916</v>
      </c>
      <c r="Q2270" s="2" t="s">
        <v>239</v>
      </c>
      <c r="R2270" s="2" t="s">
        <v>233</v>
      </c>
      <c r="S2270" s="2" t="s">
        <v>233</v>
      </c>
      <c r="T2270" s="2" t="s">
        <v>233</v>
      </c>
      <c r="U2270" s="2" t="s">
        <v>396</v>
      </c>
      <c r="V2270" s="2" t="s">
        <v>893</v>
      </c>
      <c r="W2270" s="2" t="s">
        <v>776</v>
      </c>
      <c r="X2270" s="2" t="s">
        <v>451</v>
      </c>
      <c r="Y2270" s="2" t="s">
        <v>233</v>
      </c>
      <c r="Z2270" s="4"/>
      <c r="AA2270" s="4">
        <f>=ROUNDDOWN({0},0)</f>
      </c>
      <c r="AB2270" s="5"/>
      <c r="AC2270" s="2" t="s">
        <v>825</v>
      </c>
      <c r="AD2270" s="4">
        <v>100</v>
      </c>
      <c r="AE2270" s="4">
        <v>100</v>
      </c>
      <c r="AF2270" s="6">
        <v>66</v>
      </c>
      <c r="AG2270" s="6"/>
      <c r="AH2270" s="7">
        <v>0</v>
      </c>
      <c r="AI2270" s="4"/>
      <c r="AJ2270" s="4">
        <f>=ROUNDDOWN({0},0)</f>
      </c>
      <c r="AK2270" s="5"/>
      <c r="AL2270" s="2" t="s">
        <v>233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/>
      <c r="BD2270" s="8"/>
      <c r="BE2270" s="4"/>
      <c r="BF2270" s="8"/>
      <c r="BG2270" s="7"/>
      <c r="BH2270" s="7"/>
      <c r="BI2270" s="7"/>
      <c r="BJ2270" s="4"/>
      <c r="BK2270" s="8"/>
      <c r="BL2270" s="2" t="s">
        <v>233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243</v>
      </c>
      <c r="BV2270" s="2" t="s">
        <v>233</v>
      </c>
      <c r="BW2270" s="2" t="s">
        <v>233</v>
      </c>
      <c r="BX2270" s="2" t="s">
        <v>243</v>
      </c>
      <c r="BY2270" s="2" t="s">
        <v>244</v>
      </c>
      <c r="BZ2270" s="2" t="s">
        <v>245</v>
      </c>
      <c r="CA2270" s="2" t="s">
        <v>233</v>
      </c>
      <c r="CB2270" s="2" t="s">
        <v>233</v>
      </c>
      <c r="CC2270" s="2" t="s">
        <v>246</v>
      </c>
      <c r="CD2270" s="2" t="s">
        <v>233</v>
      </c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>
        <v>100</v>
      </c>
      <c r="GF2270" s="4"/>
      <c r="GG2270" s="4"/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  <c r="HF2270" s="4"/>
      <c r="HG2270" s="4"/>
      <c r="HH2270" s="4"/>
      <c r="HI2270" s="4"/>
      <c r="HJ2270" s="4"/>
      <c r="HK2270" s="4"/>
      <c r="HL2270" s="4"/>
      <c r="HM2270" s="4"/>
      <c r="HN2270" s="4"/>
      <c r="HO2270" s="4"/>
      <c r="HP2270" s="4"/>
      <c r="HQ2270" s="4"/>
      <c r="HR2270" s="4"/>
    </row>
    <row r="2271">
      <c r="A2271" s="2" t="s">
        <v>10129</v>
      </c>
      <c r="B2271" s="2" t="s">
        <v>1066</v>
      </c>
      <c r="C2271" s="2" t="s">
        <v>947</v>
      </c>
      <c r="D2271" s="2" t="s">
        <v>1067</v>
      </c>
      <c r="E2271" s="2" t="s">
        <v>2650</v>
      </c>
      <c r="F2271" s="2" t="s">
        <v>10130</v>
      </c>
      <c r="G2271" s="2" t="s">
        <v>10130</v>
      </c>
      <c r="H2271" s="2" t="s">
        <v>10130</v>
      </c>
      <c r="I2271" s="2" t="s">
        <v>7702</v>
      </c>
      <c r="J2271" s="2" t="s">
        <v>892</v>
      </c>
      <c r="K2271" s="2" t="s">
        <v>2197</v>
      </c>
      <c r="L2271" s="3">
        <v>210</v>
      </c>
      <c r="M2271" s="3">
        <v>220.5</v>
      </c>
      <c r="N2271" s="3">
        <v>439</v>
      </c>
      <c r="O2271" s="2" t="s">
        <v>237</v>
      </c>
      <c r="P2271" s="2" t="s">
        <v>311</v>
      </c>
      <c r="Q2271" s="2" t="s">
        <v>239</v>
      </c>
      <c r="R2271" s="2" t="s">
        <v>233</v>
      </c>
      <c r="S2271" s="2" t="s">
        <v>233</v>
      </c>
      <c r="T2271" s="2" t="s">
        <v>233</v>
      </c>
      <c r="U2271" s="2" t="s">
        <v>396</v>
      </c>
      <c r="V2271" s="2" t="s">
        <v>893</v>
      </c>
      <c r="W2271" s="2" t="s">
        <v>397</v>
      </c>
      <c r="X2271" s="2" t="s">
        <v>1664</v>
      </c>
      <c r="Y2271" s="2" t="s">
        <v>7704</v>
      </c>
      <c r="Z2271" s="4">
        <v>70</v>
      </c>
      <c r="AA2271" s="4">
        <f>=ROUNDDOWN(116.666666666667,0)</f>
      </c>
      <c r="AB2271" s="5">
        <v>0.6</v>
      </c>
      <c r="AC2271" s="2" t="s">
        <v>233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233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/>
      <c r="BD2271" s="8"/>
      <c r="BE2271" s="4"/>
      <c r="BF2271" s="8"/>
      <c r="BG2271" s="7"/>
      <c r="BH2271" s="7"/>
      <c r="BI2271" s="7"/>
      <c r="BJ2271" s="4">
        <v>2</v>
      </c>
      <c r="BK2271" s="8">
        <v>388.08</v>
      </c>
      <c r="BL2271" s="2" t="s">
        <v>2915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10131</v>
      </c>
      <c r="BV2271" s="2" t="s">
        <v>233</v>
      </c>
      <c r="BW2271" s="2" t="s">
        <v>233</v>
      </c>
      <c r="BX2271" s="2" t="s">
        <v>233</v>
      </c>
      <c r="BY2271" s="2" t="s">
        <v>280</v>
      </c>
      <c r="BZ2271" s="2" t="s">
        <v>245</v>
      </c>
      <c r="CA2271" s="2" t="s">
        <v>3754</v>
      </c>
      <c r="CB2271" s="2" t="s">
        <v>4929</v>
      </c>
      <c r="CC2271" s="2" t="s">
        <v>246</v>
      </c>
      <c r="CD2271" s="2" t="s">
        <v>233</v>
      </c>
      <c r="CE2271" s="4"/>
      <c r="CF2271" s="4">
        <v>70</v>
      </c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/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  <c r="HF2271" s="4"/>
      <c r="HG2271" s="4"/>
      <c r="HH2271" s="4"/>
      <c r="HI2271" s="4"/>
      <c r="HJ2271" s="4"/>
      <c r="HK2271" s="4"/>
      <c r="HL2271" s="4"/>
      <c r="HM2271" s="4"/>
      <c r="HN2271" s="4"/>
      <c r="HO2271" s="4"/>
      <c r="HP2271" s="4"/>
      <c r="HQ2271" s="4"/>
      <c r="HR2271" s="4"/>
    </row>
    <row r="2272">
      <c r="A2272" s="2" t="s">
        <v>10132</v>
      </c>
      <c r="B2272" s="2" t="s">
        <v>910</v>
      </c>
      <c r="C2272" s="2" t="s">
        <v>5876</v>
      </c>
      <c r="D2272" s="2" t="s">
        <v>1862</v>
      </c>
      <c r="E2272" s="2" t="s">
        <v>1863</v>
      </c>
      <c r="F2272" s="2" t="s">
        <v>10133</v>
      </c>
      <c r="G2272" s="2" t="s">
        <v>4748</v>
      </c>
      <c r="H2272" s="2" t="s">
        <v>5589</v>
      </c>
      <c r="I2272" s="2" t="s">
        <v>10134</v>
      </c>
      <c r="J2272" s="2" t="s">
        <v>270</v>
      </c>
      <c r="K2272" s="2" t="s">
        <v>257</v>
      </c>
      <c r="L2272" s="3">
        <v>37</v>
      </c>
      <c r="M2272" s="3">
        <v>38.85</v>
      </c>
      <c r="N2272" s="3">
        <v>72.99</v>
      </c>
      <c r="O2272" s="2" t="s">
        <v>245</v>
      </c>
      <c r="P2272" s="2" t="s">
        <v>996</v>
      </c>
      <c r="Q2272" s="2" t="s">
        <v>239</v>
      </c>
      <c r="R2272" s="2" t="s">
        <v>233</v>
      </c>
      <c r="S2272" s="2" t="s">
        <v>10135</v>
      </c>
      <c r="T2272" s="2" t="s">
        <v>341</v>
      </c>
      <c r="U2272" s="2" t="s">
        <v>491</v>
      </c>
      <c r="V2272" s="2" t="s">
        <v>359</v>
      </c>
      <c r="W2272" s="2" t="s">
        <v>275</v>
      </c>
      <c r="X2272" s="2" t="s">
        <v>233</v>
      </c>
      <c r="Y2272" s="2" t="s">
        <v>6657</v>
      </c>
      <c r="Z2272" s="4">
        <v>10</v>
      </c>
      <c r="AA2272" s="4">
        <f>=ROUNDDOWN(4.16666666666667,0)</f>
      </c>
      <c r="AB2272" s="5">
        <v>2.4</v>
      </c>
      <c r="AC2272" s="2" t="s">
        <v>233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233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 t="s">
        <v>233</v>
      </c>
      <c r="AW2272" s="8" t="s">
        <v>233</v>
      </c>
      <c r="AX2272" s="4" t="s">
        <v>233</v>
      </c>
      <c r="AY2272" s="8" t="s">
        <v>233</v>
      </c>
      <c r="AZ2272" s="7" t="s">
        <v>233</v>
      </c>
      <c r="BA2272" s="7" t="s">
        <v>233</v>
      </c>
      <c r="BB2272" s="7"/>
      <c r="BC2272" s="4" t="s">
        <v>233</v>
      </c>
      <c r="BD2272" s="8" t="s">
        <v>233</v>
      </c>
      <c r="BE2272" s="4" t="s">
        <v>233</v>
      </c>
      <c r="BF2272" s="8" t="s">
        <v>233</v>
      </c>
      <c r="BG2272" s="7" t="s">
        <v>233</v>
      </c>
      <c r="BH2272" s="7" t="s">
        <v>233</v>
      </c>
      <c r="BI2272" s="7"/>
      <c r="BJ2272" s="4">
        <v>14</v>
      </c>
      <c r="BK2272" s="8">
        <v>592.68</v>
      </c>
      <c r="BL2272" s="2" t="s">
        <v>10136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10137</v>
      </c>
      <c r="BV2272" s="2" t="s">
        <v>233</v>
      </c>
      <c r="BW2272" s="2" t="s">
        <v>233</v>
      </c>
      <c r="BX2272" s="2" t="s">
        <v>233</v>
      </c>
      <c r="BY2272" s="2" t="s">
        <v>280</v>
      </c>
      <c r="BZ2272" s="2" t="s">
        <v>245</v>
      </c>
      <c r="CA2272" s="2" t="s">
        <v>2579</v>
      </c>
      <c r="CB2272" s="2" t="s">
        <v>1800</v>
      </c>
      <c r="CC2272" s="2" t="s">
        <v>246</v>
      </c>
      <c r="CD2272" s="2" t="s">
        <v>233</v>
      </c>
      <c r="CE2272" s="4">
        <v>10</v>
      </c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  <c r="HF2272" s="4"/>
      <c r="HG2272" s="4"/>
      <c r="HH2272" s="4"/>
      <c r="HI2272" s="4"/>
      <c r="HJ2272" s="4"/>
      <c r="HK2272" s="4"/>
      <c r="HL2272" s="4"/>
      <c r="HM2272" s="4"/>
      <c r="HN2272" s="4"/>
      <c r="HO2272" s="4"/>
      <c r="HP2272" s="4"/>
      <c r="HQ2272" s="4"/>
      <c r="HR2272" s="4"/>
    </row>
    <row r="2273">
      <c r="A2273" s="2" t="s">
        <v>10138</v>
      </c>
      <c r="B2273" s="2" t="s">
        <v>910</v>
      </c>
      <c r="C2273" s="2" t="s">
        <v>5876</v>
      </c>
      <c r="D2273" s="2" t="s">
        <v>1862</v>
      </c>
      <c r="E2273" s="2" t="s">
        <v>1863</v>
      </c>
      <c r="F2273" s="2" t="s">
        <v>10133</v>
      </c>
      <c r="G2273" s="2" t="s">
        <v>4748</v>
      </c>
      <c r="H2273" s="2" t="s">
        <v>5589</v>
      </c>
      <c r="I2273" s="2" t="s">
        <v>10134</v>
      </c>
      <c r="J2273" s="2" t="s">
        <v>981</v>
      </c>
      <c r="K2273" s="2" t="s">
        <v>257</v>
      </c>
      <c r="L2273" s="3">
        <v>47</v>
      </c>
      <c r="M2273" s="3">
        <v>49.35</v>
      </c>
      <c r="N2273" s="3">
        <v>92.99</v>
      </c>
      <c r="O2273" s="2" t="s">
        <v>245</v>
      </c>
      <c r="P2273" s="2" t="s">
        <v>996</v>
      </c>
      <c r="Q2273" s="2" t="s">
        <v>239</v>
      </c>
      <c r="R2273" s="2" t="s">
        <v>233</v>
      </c>
      <c r="S2273" s="2" t="s">
        <v>10135</v>
      </c>
      <c r="T2273" s="2" t="s">
        <v>341</v>
      </c>
      <c r="U2273" s="2" t="s">
        <v>475</v>
      </c>
      <c r="V2273" s="2" t="s">
        <v>359</v>
      </c>
      <c r="W2273" s="2" t="s">
        <v>275</v>
      </c>
      <c r="X2273" s="2" t="s">
        <v>233</v>
      </c>
      <c r="Y2273" s="2" t="s">
        <v>6657</v>
      </c>
      <c r="Z2273" s="4">
        <v>52</v>
      </c>
      <c r="AA2273" s="4">
        <f>=ROUNDDOWN(34.6666666666667,0)</f>
      </c>
      <c r="AB2273" s="5">
        <v>1.5</v>
      </c>
      <c r="AC2273" s="2" t="s">
        <v>233</v>
      </c>
      <c r="AD2273" s="4"/>
      <c r="AE2273" s="4"/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233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 t="s">
        <v>233</v>
      </c>
      <c r="AW2273" s="8" t="s">
        <v>233</v>
      </c>
      <c r="AX2273" s="4" t="s">
        <v>233</v>
      </c>
      <c r="AY2273" s="8" t="s">
        <v>233</v>
      </c>
      <c r="AZ2273" s="7" t="s">
        <v>233</v>
      </c>
      <c r="BA2273" s="7" t="s">
        <v>233</v>
      </c>
      <c r="BB2273" s="7"/>
      <c r="BC2273" s="4" t="s">
        <v>233</v>
      </c>
      <c r="BD2273" s="8" t="s">
        <v>233</v>
      </c>
      <c r="BE2273" s="4" t="s">
        <v>233</v>
      </c>
      <c r="BF2273" s="8" t="s">
        <v>233</v>
      </c>
      <c r="BG2273" s="7" t="s">
        <v>233</v>
      </c>
      <c r="BH2273" s="7" t="s">
        <v>233</v>
      </c>
      <c r="BI2273" s="7"/>
      <c r="BJ2273" s="4">
        <v>13</v>
      </c>
      <c r="BK2273" s="8">
        <v>614.38</v>
      </c>
      <c r="BL2273" s="2" t="s">
        <v>935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10139</v>
      </c>
      <c r="BV2273" s="2" t="s">
        <v>233</v>
      </c>
      <c r="BW2273" s="2" t="s">
        <v>233</v>
      </c>
      <c r="BX2273" s="2" t="s">
        <v>233</v>
      </c>
      <c r="BY2273" s="2" t="s">
        <v>280</v>
      </c>
      <c r="BZ2273" s="2" t="s">
        <v>245</v>
      </c>
      <c r="CA2273" s="2" t="s">
        <v>2579</v>
      </c>
      <c r="CB2273" s="2" t="s">
        <v>2062</v>
      </c>
      <c r="CC2273" s="2" t="s">
        <v>246</v>
      </c>
      <c r="CD2273" s="2" t="s">
        <v>233</v>
      </c>
      <c r="CE2273" s="4">
        <v>52</v>
      </c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/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/>
      <c r="HD2273" s="4"/>
      <c r="HE2273" s="4"/>
      <c r="HF2273" s="4"/>
      <c r="HG2273" s="4"/>
      <c r="HH2273" s="4"/>
      <c r="HI2273" s="4"/>
      <c r="HJ2273" s="4"/>
      <c r="HK2273" s="4"/>
      <c r="HL2273" s="4"/>
      <c r="HM2273" s="4"/>
      <c r="HN2273" s="4"/>
      <c r="HO2273" s="4"/>
      <c r="HP2273" s="4"/>
      <c r="HQ2273" s="4"/>
      <c r="HR2273" s="4"/>
    </row>
    <row r="2274">
      <c r="A2274" s="2" t="s">
        <v>10140</v>
      </c>
      <c r="B2274" s="2" t="s">
        <v>910</v>
      </c>
      <c r="C2274" s="2" t="s">
        <v>5876</v>
      </c>
      <c r="D2274" s="2" t="s">
        <v>1862</v>
      </c>
      <c r="E2274" s="2" t="s">
        <v>1863</v>
      </c>
      <c r="F2274" s="2" t="s">
        <v>10133</v>
      </c>
      <c r="G2274" s="2" t="s">
        <v>4748</v>
      </c>
      <c r="H2274" s="2" t="s">
        <v>5589</v>
      </c>
      <c r="I2274" s="2" t="s">
        <v>10141</v>
      </c>
      <c r="J2274" s="2" t="s">
        <v>270</v>
      </c>
      <c r="K2274" s="2" t="s">
        <v>2942</v>
      </c>
      <c r="L2274" s="3">
        <v>37</v>
      </c>
      <c r="M2274" s="3">
        <v>38.85</v>
      </c>
      <c r="N2274" s="3">
        <v>72.99</v>
      </c>
      <c r="O2274" s="2" t="s">
        <v>245</v>
      </c>
      <c r="P2274" s="2" t="s">
        <v>311</v>
      </c>
      <c r="Q2274" s="2" t="s">
        <v>239</v>
      </c>
      <c r="R2274" s="2" t="s">
        <v>233</v>
      </c>
      <c r="S2274" s="2" t="s">
        <v>10142</v>
      </c>
      <c r="T2274" s="2" t="s">
        <v>341</v>
      </c>
      <c r="U2274" s="2" t="s">
        <v>491</v>
      </c>
      <c r="V2274" s="2" t="s">
        <v>359</v>
      </c>
      <c r="W2274" s="2" t="s">
        <v>275</v>
      </c>
      <c r="X2274" s="2" t="s">
        <v>233</v>
      </c>
      <c r="Y2274" s="2" t="s">
        <v>6657</v>
      </c>
      <c r="Z2274" s="4">
        <v>84</v>
      </c>
      <c r="AA2274" s="4">
        <f>=ROUNDDOWN(33.6,0)</f>
      </c>
      <c r="AB2274" s="5">
        <v>2.5</v>
      </c>
      <c r="AC2274" s="2" t="s">
        <v>233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233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 t="s">
        <v>233</v>
      </c>
      <c r="BD2274" s="8" t="s">
        <v>233</v>
      </c>
      <c r="BE2274" s="4" t="s">
        <v>233</v>
      </c>
      <c r="BF2274" s="8" t="s">
        <v>233</v>
      </c>
      <c r="BG2274" s="7" t="s">
        <v>233</v>
      </c>
      <c r="BH2274" s="7" t="s">
        <v>233</v>
      </c>
      <c r="BI2274" s="7"/>
      <c r="BJ2274" s="4">
        <v>16</v>
      </c>
      <c r="BK2274" s="8">
        <v>470.5</v>
      </c>
      <c r="BL2274" s="2" t="s">
        <v>10143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10144</v>
      </c>
      <c r="BV2274" s="2" t="s">
        <v>233</v>
      </c>
      <c r="BW2274" s="2" t="s">
        <v>233</v>
      </c>
      <c r="BX2274" s="2" t="s">
        <v>233</v>
      </c>
      <c r="BY2274" s="2" t="s">
        <v>280</v>
      </c>
      <c r="BZ2274" s="2" t="s">
        <v>245</v>
      </c>
      <c r="CA2274" s="2" t="s">
        <v>2579</v>
      </c>
      <c r="CB2274" s="2" t="s">
        <v>3147</v>
      </c>
      <c r="CC2274" s="2" t="s">
        <v>246</v>
      </c>
      <c r="CD2274" s="2" t="s">
        <v>233</v>
      </c>
      <c r="CE2274" s="4">
        <v>84</v>
      </c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/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/>
      <c r="HD2274" s="4"/>
      <c r="HE2274" s="4"/>
      <c r="HF2274" s="4"/>
      <c r="HG2274" s="4"/>
      <c r="HH2274" s="4"/>
      <c r="HI2274" s="4"/>
      <c r="HJ2274" s="4"/>
      <c r="HK2274" s="4"/>
      <c r="HL2274" s="4"/>
      <c r="HM2274" s="4"/>
      <c r="HN2274" s="4"/>
      <c r="HO2274" s="4"/>
      <c r="HP2274" s="4"/>
      <c r="HQ2274" s="4"/>
      <c r="HR2274" s="4"/>
    </row>
    <row r="2275">
      <c r="A2275" s="2" t="s">
        <v>10145</v>
      </c>
      <c r="B2275" s="2" t="s">
        <v>1174</v>
      </c>
      <c r="C2275" s="2" t="s">
        <v>530</v>
      </c>
      <c r="D2275" s="2" t="s">
        <v>1175</v>
      </c>
      <c r="E2275" s="2" t="s">
        <v>1448</v>
      </c>
      <c r="F2275" s="2" t="s">
        <v>10146</v>
      </c>
      <c r="G2275" s="2" t="s">
        <v>10147</v>
      </c>
      <c r="H2275" s="2" t="s">
        <v>10148</v>
      </c>
      <c r="I2275" s="2" t="s">
        <v>10149</v>
      </c>
      <c r="J2275" s="2" t="s">
        <v>5014</v>
      </c>
      <c r="K2275" s="2" t="s">
        <v>10150</v>
      </c>
      <c r="L2275" s="3">
        <v>13.5</v>
      </c>
      <c r="M2275" s="3">
        <v>14.18</v>
      </c>
      <c r="N2275" s="3">
        <v>29.99</v>
      </c>
      <c r="O2275" s="2" t="s">
        <v>245</v>
      </c>
      <c r="P2275" s="2" t="s">
        <v>272</v>
      </c>
      <c r="Q2275" s="2" t="s">
        <v>239</v>
      </c>
      <c r="R2275" s="2" t="s">
        <v>233</v>
      </c>
      <c r="S2275" s="2" t="s">
        <v>10151</v>
      </c>
      <c r="T2275" s="2" t="s">
        <v>233</v>
      </c>
      <c r="U2275" s="2" t="s">
        <v>396</v>
      </c>
      <c r="V2275" s="2" t="s">
        <v>1658</v>
      </c>
      <c r="W2275" s="2" t="s">
        <v>397</v>
      </c>
      <c r="X2275" s="2" t="s">
        <v>1526</v>
      </c>
      <c r="Y2275" s="2" t="s">
        <v>276</v>
      </c>
      <c r="Z2275" s="4">
        <v>301</v>
      </c>
      <c r="AA2275" s="4">
        <f>=ROUNDDOWN(28.1308411214953,0)</f>
      </c>
      <c r="AB2275" s="5">
        <v>10.7</v>
      </c>
      <c r="AC2275" s="2" t="s">
        <v>233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233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 t="s">
        <v>233</v>
      </c>
      <c r="BD2275" s="8" t="s">
        <v>233</v>
      </c>
      <c r="BE2275" s="4" t="s">
        <v>233</v>
      </c>
      <c r="BF2275" s="8" t="s">
        <v>233</v>
      </c>
      <c r="BG2275" s="7" t="s">
        <v>233</v>
      </c>
      <c r="BH2275" s="7" t="s">
        <v>233</v>
      </c>
      <c r="BI2275" s="7"/>
      <c r="BJ2275" s="4">
        <v>36</v>
      </c>
      <c r="BK2275" s="8">
        <v>484.08</v>
      </c>
      <c r="BL2275" s="2" t="s">
        <v>10152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10153</v>
      </c>
      <c r="BV2275" s="2" t="s">
        <v>233</v>
      </c>
      <c r="BW2275" s="2" t="s">
        <v>233</v>
      </c>
      <c r="BX2275" s="2" t="s">
        <v>243</v>
      </c>
      <c r="BY2275" s="2" t="s">
        <v>280</v>
      </c>
      <c r="BZ2275" s="2" t="s">
        <v>245</v>
      </c>
      <c r="CA2275" s="2" t="s">
        <v>2632</v>
      </c>
      <c r="CB2275" s="2" t="s">
        <v>9489</v>
      </c>
      <c r="CC2275" s="2" t="s">
        <v>246</v>
      </c>
      <c r="CD2275" s="2" t="s">
        <v>233</v>
      </c>
      <c r="CE2275" s="4">
        <v>301</v>
      </c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/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/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  <c r="HF2275" s="4"/>
      <c r="HG2275" s="4"/>
      <c r="HH2275" s="4"/>
      <c r="HI2275" s="4"/>
      <c r="HJ2275" s="4"/>
      <c r="HK2275" s="4"/>
      <c r="HL2275" s="4"/>
      <c r="HM2275" s="4"/>
      <c r="HN2275" s="4"/>
      <c r="HO2275" s="4"/>
      <c r="HP2275" s="4"/>
      <c r="HQ2275" s="4"/>
      <c r="HR2275" s="4"/>
    </row>
    <row r="2276">
      <c r="A2276" s="2" t="s">
        <v>10154</v>
      </c>
      <c r="B2276" s="2" t="s">
        <v>1174</v>
      </c>
      <c r="C2276" s="2" t="s">
        <v>530</v>
      </c>
      <c r="D2276" s="2" t="s">
        <v>1175</v>
      </c>
      <c r="E2276" s="2" t="s">
        <v>1448</v>
      </c>
      <c r="F2276" s="2" t="s">
        <v>10146</v>
      </c>
      <c r="G2276" s="2" t="s">
        <v>10147</v>
      </c>
      <c r="H2276" s="2" t="s">
        <v>10148</v>
      </c>
      <c r="I2276" s="2" t="s">
        <v>10149</v>
      </c>
      <c r="J2276" s="2" t="s">
        <v>1490</v>
      </c>
      <c r="K2276" s="2" t="s">
        <v>10155</v>
      </c>
      <c r="L2276" s="3">
        <v>18.4</v>
      </c>
      <c r="M2276" s="3">
        <v>19.32</v>
      </c>
      <c r="N2276" s="3">
        <v>39.99</v>
      </c>
      <c r="O2276" s="2" t="s">
        <v>245</v>
      </c>
      <c r="P2276" s="2" t="s">
        <v>272</v>
      </c>
      <c r="Q2276" s="2" t="s">
        <v>239</v>
      </c>
      <c r="R2276" s="2" t="s">
        <v>233</v>
      </c>
      <c r="S2276" s="2" t="s">
        <v>10156</v>
      </c>
      <c r="T2276" s="2" t="s">
        <v>233</v>
      </c>
      <c r="U2276" s="2" t="s">
        <v>396</v>
      </c>
      <c r="V2276" s="2" t="s">
        <v>1658</v>
      </c>
      <c r="W2276" s="2" t="s">
        <v>397</v>
      </c>
      <c r="X2276" s="2" t="s">
        <v>1526</v>
      </c>
      <c r="Y2276" s="2" t="s">
        <v>276</v>
      </c>
      <c r="Z2276" s="4">
        <v>218</v>
      </c>
      <c r="AA2276" s="4">
        <f>=ROUNDDOWN(27.25,0)</f>
      </c>
      <c r="AB2276" s="5">
        <v>8</v>
      </c>
      <c r="AC2276" s="2" t="s">
        <v>825</v>
      </c>
      <c r="AD2276" s="4">
        <v>176</v>
      </c>
      <c r="AE2276" s="4">
        <v>176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233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 t="s">
        <v>233</v>
      </c>
      <c r="BD2276" s="8" t="s">
        <v>233</v>
      </c>
      <c r="BE2276" s="4" t="s">
        <v>233</v>
      </c>
      <c r="BF2276" s="8" t="s">
        <v>233</v>
      </c>
      <c r="BG2276" s="7" t="s">
        <v>233</v>
      </c>
      <c r="BH2276" s="7" t="s">
        <v>233</v>
      </c>
      <c r="BI2276" s="7"/>
      <c r="BJ2276" s="4">
        <v>31</v>
      </c>
      <c r="BK2276" s="8">
        <v>556.31</v>
      </c>
      <c r="BL2276" s="2" t="s">
        <v>10157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10158</v>
      </c>
      <c r="BV2276" s="2" t="s">
        <v>233</v>
      </c>
      <c r="BW2276" s="2" t="s">
        <v>233</v>
      </c>
      <c r="BX2276" s="2" t="s">
        <v>243</v>
      </c>
      <c r="BY2276" s="2" t="s">
        <v>280</v>
      </c>
      <c r="BZ2276" s="2" t="s">
        <v>245</v>
      </c>
      <c r="CA2276" s="2" t="s">
        <v>281</v>
      </c>
      <c r="CB2276" s="2" t="s">
        <v>670</v>
      </c>
      <c r="CC2276" s="2" t="s">
        <v>246</v>
      </c>
      <c r="CD2276" s="2" t="s">
        <v>233</v>
      </c>
      <c r="CE2276" s="4">
        <v>218</v>
      </c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>
        <v>176</v>
      </c>
      <c r="GF2276" s="4"/>
      <c r="GG2276" s="4"/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/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  <c r="HF2276" s="4"/>
      <c r="HG2276" s="4"/>
      <c r="HH2276" s="4"/>
      <c r="HI2276" s="4"/>
      <c r="HJ2276" s="4"/>
      <c r="HK2276" s="4"/>
      <c r="HL2276" s="4"/>
      <c r="HM2276" s="4"/>
      <c r="HN2276" s="4"/>
      <c r="HO2276" s="4"/>
      <c r="HP2276" s="4"/>
      <c r="HQ2276" s="4"/>
      <c r="HR2276" s="4"/>
    </row>
    <row r="2277">
      <c r="A2277" s="2" t="s">
        <v>10159</v>
      </c>
      <c r="B2277" s="2" t="s">
        <v>1174</v>
      </c>
      <c r="C2277" s="2" t="s">
        <v>530</v>
      </c>
      <c r="D2277" s="2" t="s">
        <v>1175</v>
      </c>
      <c r="E2277" s="2" t="s">
        <v>1448</v>
      </c>
      <c r="F2277" s="2" t="s">
        <v>10146</v>
      </c>
      <c r="G2277" s="2" t="s">
        <v>10147</v>
      </c>
      <c r="H2277" s="2" t="s">
        <v>10148</v>
      </c>
      <c r="I2277" s="2" t="s">
        <v>10149</v>
      </c>
      <c r="J2277" s="2" t="s">
        <v>5014</v>
      </c>
      <c r="K2277" s="2" t="s">
        <v>10160</v>
      </c>
      <c r="L2277" s="3">
        <v>13.5</v>
      </c>
      <c r="M2277" s="3">
        <v>14.18</v>
      </c>
      <c r="N2277" s="3">
        <v>29.99</v>
      </c>
      <c r="O2277" s="2" t="s">
        <v>245</v>
      </c>
      <c r="P2277" s="2" t="s">
        <v>311</v>
      </c>
      <c r="Q2277" s="2" t="s">
        <v>239</v>
      </c>
      <c r="R2277" s="2" t="s">
        <v>233</v>
      </c>
      <c r="S2277" s="2" t="s">
        <v>10161</v>
      </c>
      <c r="T2277" s="2" t="s">
        <v>233</v>
      </c>
      <c r="U2277" s="2" t="s">
        <v>396</v>
      </c>
      <c r="V2277" s="2" t="s">
        <v>1658</v>
      </c>
      <c r="W2277" s="2" t="s">
        <v>397</v>
      </c>
      <c r="X2277" s="2" t="s">
        <v>233</v>
      </c>
      <c r="Y2277" s="2" t="s">
        <v>276</v>
      </c>
      <c r="Z2277" s="4">
        <v>10</v>
      </c>
      <c r="AA2277" s="4">
        <f>=ROUNDDOWN(1.66666666666667,0)</f>
      </c>
      <c r="AB2277" s="5">
        <v>6</v>
      </c>
      <c r="AC2277" s="2" t="s">
        <v>233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233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233</v>
      </c>
      <c r="AW2277" s="8" t="s">
        <v>233</v>
      </c>
      <c r="AX2277" s="4" t="s">
        <v>233</v>
      </c>
      <c r="AY2277" s="8" t="s">
        <v>233</v>
      </c>
      <c r="AZ2277" s="7" t="s">
        <v>233</v>
      </c>
      <c r="BA2277" s="7" t="s">
        <v>233</v>
      </c>
      <c r="BB2277" s="7"/>
      <c r="BC2277" s="4" t="s">
        <v>233</v>
      </c>
      <c r="BD2277" s="8" t="s">
        <v>233</v>
      </c>
      <c r="BE2277" s="4" t="s">
        <v>233</v>
      </c>
      <c r="BF2277" s="8" t="s">
        <v>233</v>
      </c>
      <c r="BG2277" s="7" t="s">
        <v>233</v>
      </c>
      <c r="BH2277" s="7" t="s">
        <v>233</v>
      </c>
      <c r="BI2277" s="7"/>
      <c r="BJ2277" s="4">
        <v>20</v>
      </c>
      <c r="BK2277" s="8">
        <v>273.32</v>
      </c>
      <c r="BL2277" s="2" t="s">
        <v>10162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10163</v>
      </c>
      <c r="BV2277" s="2" t="s">
        <v>233</v>
      </c>
      <c r="BW2277" s="2" t="s">
        <v>233</v>
      </c>
      <c r="BX2277" s="2" t="s">
        <v>233</v>
      </c>
      <c r="BY2277" s="2" t="s">
        <v>280</v>
      </c>
      <c r="BZ2277" s="2" t="s">
        <v>245</v>
      </c>
      <c r="CA2277" s="2" t="s">
        <v>281</v>
      </c>
      <c r="CB2277" s="2" t="s">
        <v>10164</v>
      </c>
      <c r="CC2277" s="2" t="s">
        <v>246</v>
      </c>
      <c r="CD2277" s="2" t="s">
        <v>233</v>
      </c>
      <c r="CE2277" s="4">
        <v>10</v>
      </c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/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/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  <c r="HF2277" s="4"/>
      <c r="HG2277" s="4"/>
      <c r="HH2277" s="4"/>
      <c r="HI2277" s="4"/>
      <c r="HJ2277" s="4"/>
      <c r="HK2277" s="4"/>
      <c r="HL2277" s="4"/>
      <c r="HM2277" s="4"/>
      <c r="HN2277" s="4"/>
      <c r="HO2277" s="4"/>
      <c r="HP2277" s="4"/>
      <c r="HQ2277" s="4"/>
      <c r="HR2277" s="4"/>
    </row>
    <row r="2278">
      <c r="A2278" s="2" t="s">
        <v>10165</v>
      </c>
      <c r="B2278" s="2" t="s">
        <v>1174</v>
      </c>
      <c r="C2278" s="2" t="s">
        <v>530</v>
      </c>
      <c r="D2278" s="2" t="s">
        <v>1175</v>
      </c>
      <c r="E2278" s="2" t="s">
        <v>1448</v>
      </c>
      <c r="F2278" s="2" t="s">
        <v>10146</v>
      </c>
      <c r="G2278" s="2" t="s">
        <v>10147</v>
      </c>
      <c r="H2278" s="2" t="s">
        <v>10148</v>
      </c>
      <c r="I2278" s="2" t="s">
        <v>10149</v>
      </c>
      <c r="J2278" s="2" t="s">
        <v>1453</v>
      </c>
      <c r="K2278" s="2" t="s">
        <v>10160</v>
      </c>
      <c r="L2278" s="3">
        <v>20.7</v>
      </c>
      <c r="M2278" s="3">
        <v>21.74</v>
      </c>
      <c r="N2278" s="3">
        <v>44.99</v>
      </c>
      <c r="O2278" s="2" t="s">
        <v>237</v>
      </c>
      <c r="P2278" s="2" t="s">
        <v>311</v>
      </c>
      <c r="Q2278" s="2" t="s">
        <v>239</v>
      </c>
      <c r="R2278" s="2" t="s">
        <v>233</v>
      </c>
      <c r="S2278" s="2" t="s">
        <v>10161</v>
      </c>
      <c r="T2278" s="2" t="s">
        <v>233</v>
      </c>
      <c r="U2278" s="2" t="s">
        <v>396</v>
      </c>
      <c r="V2278" s="2" t="s">
        <v>1658</v>
      </c>
      <c r="W2278" s="2" t="s">
        <v>397</v>
      </c>
      <c r="X2278" s="2" t="s">
        <v>233</v>
      </c>
      <c r="Y2278" s="2" t="s">
        <v>276</v>
      </c>
      <c r="Z2278" s="4">
        <v>72</v>
      </c>
      <c r="AA2278" s="4">
        <f>=ROUNDDOWN(32.7272727272727,0)</f>
      </c>
      <c r="AB2278" s="5">
        <v>2.2</v>
      </c>
      <c r="AC2278" s="2" t="s">
        <v>233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233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 t="s">
        <v>233</v>
      </c>
      <c r="AW2278" s="8" t="s">
        <v>233</v>
      </c>
      <c r="AX2278" s="4" t="s">
        <v>233</v>
      </c>
      <c r="AY2278" s="8" t="s">
        <v>233</v>
      </c>
      <c r="AZ2278" s="7" t="s">
        <v>233</v>
      </c>
      <c r="BA2278" s="7" t="s">
        <v>233</v>
      </c>
      <c r="BB2278" s="7"/>
      <c r="BC2278" s="4" t="s">
        <v>233</v>
      </c>
      <c r="BD2278" s="8" t="s">
        <v>233</v>
      </c>
      <c r="BE2278" s="4" t="s">
        <v>233</v>
      </c>
      <c r="BF2278" s="8" t="s">
        <v>233</v>
      </c>
      <c r="BG2278" s="7" t="s">
        <v>233</v>
      </c>
      <c r="BH2278" s="7" t="s">
        <v>233</v>
      </c>
      <c r="BI2278" s="7"/>
      <c r="BJ2278" s="4">
        <v>4</v>
      </c>
      <c r="BK2278" s="8">
        <v>49.12</v>
      </c>
      <c r="BL2278" s="2" t="s">
        <v>10166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10167</v>
      </c>
      <c r="BV2278" s="2" t="s">
        <v>233</v>
      </c>
      <c r="BW2278" s="2" t="s">
        <v>233</v>
      </c>
      <c r="BX2278" s="2" t="s">
        <v>233</v>
      </c>
      <c r="BY2278" s="2" t="s">
        <v>280</v>
      </c>
      <c r="BZ2278" s="2" t="s">
        <v>245</v>
      </c>
      <c r="CA2278" s="2" t="s">
        <v>281</v>
      </c>
      <c r="CB2278" s="2" t="s">
        <v>10168</v>
      </c>
      <c r="CC2278" s="2" t="s">
        <v>246</v>
      </c>
      <c r="CD2278" s="2" t="s">
        <v>233</v>
      </c>
      <c r="CE2278" s="4">
        <v>72</v>
      </c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/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  <c r="HF2278" s="4"/>
      <c r="HG2278" s="4"/>
      <c r="HH2278" s="4"/>
      <c r="HI2278" s="4"/>
      <c r="HJ2278" s="4"/>
      <c r="HK2278" s="4"/>
      <c r="HL2278" s="4"/>
      <c r="HM2278" s="4"/>
      <c r="HN2278" s="4"/>
      <c r="HO2278" s="4"/>
      <c r="HP2278" s="4"/>
      <c r="HQ2278" s="4"/>
      <c r="HR2278" s="4"/>
    </row>
    <row r="2279">
      <c r="A2279" s="2" t="s">
        <v>10169</v>
      </c>
      <c r="B2279" s="2" t="s">
        <v>1174</v>
      </c>
      <c r="C2279" s="2" t="s">
        <v>530</v>
      </c>
      <c r="D2279" s="2" t="s">
        <v>3304</v>
      </c>
      <c r="E2279" s="2" t="s">
        <v>3305</v>
      </c>
      <c r="F2279" s="2" t="s">
        <v>10146</v>
      </c>
      <c r="G2279" s="2" t="s">
        <v>10147</v>
      </c>
      <c r="H2279" s="2" t="s">
        <v>10148</v>
      </c>
      <c r="I2279" s="2" t="s">
        <v>10170</v>
      </c>
      <c r="J2279" s="2" t="s">
        <v>4833</v>
      </c>
      <c r="K2279" s="2" t="s">
        <v>10160</v>
      </c>
      <c r="L2279" s="3">
        <v>11.25</v>
      </c>
      <c r="M2279" s="3">
        <v>11.81</v>
      </c>
      <c r="N2279" s="3">
        <v>24.99</v>
      </c>
      <c r="O2279" s="2" t="s">
        <v>245</v>
      </c>
      <c r="P2279" s="2" t="s">
        <v>311</v>
      </c>
      <c r="Q2279" s="2" t="s">
        <v>239</v>
      </c>
      <c r="R2279" s="2" t="s">
        <v>233</v>
      </c>
      <c r="S2279" s="2" t="s">
        <v>10161</v>
      </c>
      <c r="T2279" s="2" t="s">
        <v>233</v>
      </c>
      <c r="U2279" s="2" t="s">
        <v>396</v>
      </c>
      <c r="V2279" s="2" t="s">
        <v>1658</v>
      </c>
      <c r="W2279" s="2" t="s">
        <v>397</v>
      </c>
      <c r="X2279" s="2" t="s">
        <v>233</v>
      </c>
      <c r="Y2279" s="2" t="s">
        <v>276</v>
      </c>
      <c r="Z2279" s="4">
        <v>101</v>
      </c>
      <c r="AA2279" s="4">
        <f>=ROUNDDOWN(12.4691358024691,0)</f>
      </c>
      <c r="AB2279" s="5">
        <v>8.1</v>
      </c>
      <c r="AC2279" s="2" t="s">
        <v>233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233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 t="s">
        <v>233</v>
      </c>
      <c r="AW2279" s="8" t="s">
        <v>233</v>
      </c>
      <c r="AX2279" s="4" t="s">
        <v>233</v>
      </c>
      <c r="AY2279" s="8" t="s">
        <v>233</v>
      </c>
      <c r="AZ2279" s="7" t="s">
        <v>233</v>
      </c>
      <c r="BA2279" s="7" t="s">
        <v>233</v>
      </c>
      <c r="BB2279" s="7"/>
      <c r="BC2279" s="4" t="s">
        <v>233</v>
      </c>
      <c r="BD2279" s="8" t="s">
        <v>233</v>
      </c>
      <c r="BE2279" s="4" t="s">
        <v>233</v>
      </c>
      <c r="BF2279" s="8" t="s">
        <v>233</v>
      </c>
      <c r="BG2279" s="7" t="s">
        <v>233</v>
      </c>
      <c r="BH2279" s="7" t="s">
        <v>233</v>
      </c>
      <c r="BI2279" s="7"/>
      <c r="BJ2279" s="4">
        <v>63</v>
      </c>
      <c r="BK2279" s="8">
        <v>701.5</v>
      </c>
      <c r="BL2279" s="2" t="s">
        <v>10171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10172</v>
      </c>
      <c r="BV2279" s="2" t="s">
        <v>233</v>
      </c>
      <c r="BW2279" s="2" t="s">
        <v>233</v>
      </c>
      <c r="BX2279" s="2" t="s">
        <v>233</v>
      </c>
      <c r="BY2279" s="2" t="s">
        <v>280</v>
      </c>
      <c r="BZ2279" s="2" t="s">
        <v>245</v>
      </c>
      <c r="CA2279" s="2" t="s">
        <v>281</v>
      </c>
      <c r="CB2279" s="2" t="s">
        <v>293</v>
      </c>
      <c r="CC2279" s="2" t="s">
        <v>246</v>
      </c>
      <c r="CD2279" s="2" t="s">
        <v>233</v>
      </c>
      <c r="CE2279" s="4">
        <v>101</v>
      </c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/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  <c r="HF2279" s="4"/>
      <c r="HG2279" s="4"/>
      <c r="HH2279" s="4"/>
      <c r="HI2279" s="4"/>
      <c r="HJ2279" s="4"/>
      <c r="HK2279" s="4"/>
      <c r="HL2279" s="4"/>
      <c r="HM2279" s="4"/>
      <c r="HN2279" s="4"/>
      <c r="HO2279" s="4"/>
      <c r="HP2279" s="4"/>
      <c r="HQ2279" s="4"/>
      <c r="HR2279" s="4"/>
    </row>
    <row r="2280">
      <c r="A2280" s="2" t="s">
        <v>10173</v>
      </c>
      <c r="B2280" s="2" t="s">
        <v>1174</v>
      </c>
      <c r="C2280" s="2" t="s">
        <v>530</v>
      </c>
      <c r="D2280" s="2" t="s">
        <v>1175</v>
      </c>
      <c r="E2280" s="2" t="s">
        <v>1448</v>
      </c>
      <c r="F2280" s="2" t="s">
        <v>10146</v>
      </c>
      <c r="G2280" s="2" t="s">
        <v>10147</v>
      </c>
      <c r="H2280" s="2" t="s">
        <v>10148</v>
      </c>
      <c r="I2280" s="2" t="s">
        <v>10149</v>
      </c>
      <c r="J2280" s="2" t="s">
        <v>1453</v>
      </c>
      <c r="K2280" s="2" t="s">
        <v>9433</v>
      </c>
      <c r="L2280" s="3">
        <v>20.7</v>
      </c>
      <c r="M2280" s="3">
        <v>21.74</v>
      </c>
      <c r="N2280" s="3">
        <v>44.99</v>
      </c>
      <c r="O2280" s="2" t="s">
        <v>245</v>
      </c>
      <c r="P2280" s="2" t="s">
        <v>311</v>
      </c>
      <c r="Q2280" s="2" t="s">
        <v>239</v>
      </c>
      <c r="R2280" s="2" t="s">
        <v>233</v>
      </c>
      <c r="S2280" s="2" t="s">
        <v>10174</v>
      </c>
      <c r="T2280" s="2" t="s">
        <v>233</v>
      </c>
      <c r="U2280" s="2" t="s">
        <v>396</v>
      </c>
      <c r="V2280" s="2" t="s">
        <v>1658</v>
      </c>
      <c r="W2280" s="2" t="s">
        <v>397</v>
      </c>
      <c r="X2280" s="2" t="s">
        <v>1526</v>
      </c>
      <c r="Y2280" s="2" t="s">
        <v>276</v>
      </c>
      <c r="Z2280" s="4">
        <v>297</v>
      </c>
      <c r="AA2280" s="4">
        <f>=ROUNDDOWN(99,0)</f>
      </c>
      <c r="AB2280" s="5">
        <v>3</v>
      </c>
      <c r="AC2280" s="2" t="s">
        <v>233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233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233</v>
      </c>
      <c r="AW2280" s="8" t="s">
        <v>233</v>
      </c>
      <c r="AX2280" s="4" t="s">
        <v>233</v>
      </c>
      <c r="AY2280" s="8" t="s">
        <v>233</v>
      </c>
      <c r="AZ2280" s="7" t="s">
        <v>233</v>
      </c>
      <c r="BA2280" s="7" t="s">
        <v>233</v>
      </c>
      <c r="BB2280" s="7"/>
      <c r="BC2280" s="4" t="s">
        <v>233</v>
      </c>
      <c r="BD2280" s="8" t="s">
        <v>233</v>
      </c>
      <c r="BE2280" s="4" t="s">
        <v>233</v>
      </c>
      <c r="BF2280" s="8" t="s">
        <v>233</v>
      </c>
      <c r="BG2280" s="7" t="s">
        <v>233</v>
      </c>
      <c r="BH2280" s="7" t="s">
        <v>233</v>
      </c>
      <c r="BI2280" s="7"/>
      <c r="BJ2280" s="4">
        <v>2</v>
      </c>
      <c r="BK2280" s="8">
        <v>37.22</v>
      </c>
      <c r="BL2280" s="2" t="s">
        <v>496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10175</v>
      </c>
      <c r="BV2280" s="2" t="s">
        <v>233</v>
      </c>
      <c r="BW2280" s="2" t="s">
        <v>233</v>
      </c>
      <c r="BX2280" s="2" t="s">
        <v>243</v>
      </c>
      <c r="BY2280" s="2" t="s">
        <v>280</v>
      </c>
      <c r="BZ2280" s="2" t="s">
        <v>245</v>
      </c>
      <c r="CA2280" s="2" t="s">
        <v>281</v>
      </c>
      <c r="CB2280" s="2" t="s">
        <v>576</v>
      </c>
      <c r="CC2280" s="2" t="s">
        <v>246</v>
      </c>
      <c r="CD2280" s="2" t="s">
        <v>233</v>
      </c>
      <c r="CE2280" s="4">
        <v>297</v>
      </c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  <c r="HF2280" s="4"/>
      <c r="HG2280" s="4"/>
      <c r="HH2280" s="4"/>
      <c r="HI2280" s="4"/>
      <c r="HJ2280" s="4"/>
      <c r="HK2280" s="4"/>
      <c r="HL2280" s="4"/>
      <c r="HM2280" s="4"/>
      <c r="HN2280" s="4"/>
      <c r="HO2280" s="4"/>
      <c r="HP2280" s="4"/>
      <c r="HQ2280" s="4"/>
      <c r="HR2280" s="4"/>
    </row>
    <row r="2281">
      <c r="A2281" s="2" t="s">
        <v>10176</v>
      </c>
      <c r="B2281" s="2" t="s">
        <v>1174</v>
      </c>
      <c r="C2281" s="2" t="s">
        <v>530</v>
      </c>
      <c r="D2281" s="2" t="s">
        <v>3304</v>
      </c>
      <c r="E2281" s="2" t="s">
        <v>3305</v>
      </c>
      <c r="F2281" s="2" t="s">
        <v>10146</v>
      </c>
      <c r="G2281" s="2" t="s">
        <v>10147</v>
      </c>
      <c r="H2281" s="2" t="s">
        <v>10148</v>
      </c>
      <c r="I2281" s="2" t="s">
        <v>10170</v>
      </c>
      <c r="J2281" s="2" t="s">
        <v>4833</v>
      </c>
      <c r="K2281" s="2" t="s">
        <v>9433</v>
      </c>
      <c r="L2281" s="3">
        <v>11.25</v>
      </c>
      <c r="M2281" s="3">
        <v>11.81</v>
      </c>
      <c r="N2281" s="3">
        <v>24.99</v>
      </c>
      <c r="O2281" s="2" t="s">
        <v>245</v>
      </c>
      <c r="P2281" s="2" t="s">
        <v>311</v>
      </c>
      <c r="Q2281" s="2" t="s">
        <v>239</v>
      </c>
      <c r="R2281" s="2" t="s">
        <v>233</v>
      </c>
      <c r="S2281" s="2" t="s">
        <v>10174</v>
      </c>
      <c r="T2281" s="2" t="s">
        <v>233</v>
      </c>
      <c r="U2281" s="2" t="s">
        <v>396</v>
      </c>
      <c r="V2281" s="2" t="s">
        <v>1658</v>
      </c>
      <c r="W2281" s="2" t="s">
        <v>397</v>
      </c>
      <c r="X2281" s="2" t="s">
        <v>233</v>
      </c>
      <c r="Y2281" s="2" t="s">
        <v>276</v>
      </c>
      <c r="Z2281" s="4">
        <v>191</v>
      </c>
      <c r="AA2281" s="4">
        <f>=ROUNDDOWN(21.9540229885057,0)</f>
      </c>
      <c r="AB2281" s="5">
        <v>8.7</v>
      </c>
      <c r="AC2281" s="2" t="s">
        <v>233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233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233</v>
      </c>
      <c r="AW2281" s="8" t="s">
        <v>233</v>
      </c>
      <c r="AX2281" s="4" t="s">
        <v>233</v>
      </c>
      <c r="AY2281" s="8" t="s">
        <v>233</v>
      </c>
      <c r="AZ2281" s="7" t="s">
        <v>233</v>
      </c>
      <c r="BA2281" s="7" t="s">
        <v>233</v>
      </c>
      <c r="BB2281" s="7"/>
      <c r="BC2281" s="4" t="s">
        <v>233</v>
      </c>
      <c r="BD2281" s="8" t="s">
        <v>233</v>
      </c>
      <c r="BE2281" s="4" t="s">
        <v>233</v>
      </c>
      <c r="BF2281" s="8" t="s">
        <v>233</v>
      </c>
      <c r="BG2281" s="7" t="s">
        <v>233</v>
      </c>
      <c r="BH2281" s="7" t="s">
        <v>233</v>
      </c>
      <c r="BI2281" s="7"/>
      <c r="BJ2281" s="4">
        <v>38</v>
      </c>
      <c r="BK2281" s="8">
        <v>450.82</v>
      </c>
      <c r="BL2281" s="2" t="s">
        <v>10177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10178</v>
      </c>
      <c r="BV2281" s="2" t="s">
        <v>233</v>
      </c>
      <c r="BW2281" s="2" t="s">
        <v>233</v>
      </c>
      <c r="BX2281" s="2" t="s">
        <v>233</v>
      </c>
      <c r="BY2281" s="2" t="s">
        <v>280</v>
      </c>
      <c r="BZ2281" s="2" t="s">
        <v>245</v>
      </c>
      <c r="CA2281" s="2" t="s">
        <v>281</v>
      </c>
      <c r="CB2281" s="2" t="s">
        <v>602</v>
      </c>
      <c r="CC2281" s="2" t="s">
        <v>246</v>
      </c>
      <c r="CD2281" s="2" t="s">
        <v>233</v>
      </c>
      <c r="CE2281" s="4">
        <v>191</v>
      </c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4"/>
      <c r="HG2281" s="4"/>
      <c r="HH2281" s="4"/>
      <c r="HI2281" s="4"/>
      <c r="HJ2281" s="4"/>
      <c r="HK2281" s="4"/>
      <c r="HL2281" s="4"/>
      <c r="HM2281" s="4"/>
      <c r="HN2281" s="4"/>
      <c r="HO2281" s="4"/>
      <c r="HP2281" s="4"/>
      <c r="HQ2281" s="4"/>
      <c r="HR2281" s="4"/>
    </row>
    <row r="2282">
      <c r="A2282" s="2" t="s">
        <v>10179</v>
      </c>
      <c r="B2282" s="2" t="s">
        <v>1174</v>
      </c>
      <c r="C2282" s="2" t="s">
        <v>530</v>
      </c>
      <c r="D2282" s="2" t="s">
        <v>1175</v>
      </c>
      <c r="E2282" s="2" t="s">
        <v>1448</v>
      </c>
      <c r="F2282" s="2" t="s">
        <v>10146</v>
      </c>
      <c r="G2282" s="2" t="s">
        <v>10147</v>
      </c>
      <c r="H2282" s="2" t="s">
        <v>10148</v>
      </c>
      <c r="I2282" s="2" t="s">
        <v>10149</v>
      </c>
      <c r="J2282" s="2" t="s">
        <v>1490</v>
      </c>
      <c r="K2282" s="2" t="s">
        <v>2817</v>
      </c>
      <c r="L2282" s="3">
        <v>18.4</v>
      </c>
      <c r="M2282" s="3">
        <v>19.32</v>
      </c>
      <c r="N2282" s="3">
        <v>39.99</v>
      </c>
      <c r="O2282" s="2" t="s">
        <v>245</v>
      </c>
      <c r="P2282" s="2" t="s">
        <v>272</v>
      </c>
      <c r="Q2282" s="2" t="s">
        <v>239</v>
      </c>
      <c r="R2282" s="2" t="s">
        <v>233</v>
      </c>
      <c r="S2282" s="2" t="s">
        <v>10180</v>
      </c>
      <c r="T2282" s="2" t="s">
        <v>233</v>
      </c>
      <c r="U2282" s="2" t="s">
        <v>396</v>
      </c>
      <c r="V2282" s="2" t="s">
        <v>1658</v>
      </c>
      <c r="W2282" s="2" t="s">
        <v>397</v>
      </c>
      <c r="X2282" s="2" t="s">
        <v>1526</v>
      </c>
      <c r="Y2282" s="2" t="s">
        <v>276</v>
      </c>
      <c r="Z2282" s="4">
        <v>134</v>
      </c>
      <c r="AA2282" s="4">
        <f>=ROUNDDOWN(26.8,0)</f>
      </c>
      <c r="AB2282" s="5">
        <v>5</v>
      </c>
      <c r="AC2282" s="2" t="s">
        <v>414</v>
      </c>
      <c r="AD2282" s="4">
        <v>100</v>
      </c>
      <c r="AE2282" s="4">
        <v>100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233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233</v>
      </c>
      <c r="AW2282" s="8" t="s">
        <v>233</v>
      </c>
      <c r="AX2282" s="4" t="s">
        <v>233</v>
      </c>
      <c r="AY2282" s="8" t="s">
        <v>233</v>
      </c>
      <c r="AZ2282" s="7" t="s">
        <v>233</v>
      </c>
      <c r="BA2282" s="7" t="s">
        <v>233</v>
      </c>
      <c r="BB2282" s="7"/>
      <c r="BC2282" s="4" t="s">
        <v>233</v>
      </c>
      <c r="BD2282" s="8" t="s">
        <v>233</v>
      </c>
      <c r="BE2282" s="4" t="s">
        <v>233</v>
      </c>
      <c r="BF2282" s="8" t="s">
        <v>233</v>
      </c>
      <c r="BG2282" s="7" t="s">
        <v>233</v>
      </c>
      <c r="BH2282" s="7" t="s">
        <v>233</v>
      </c>
      <c r="BI2282" s="7"/>
      <c r="BJ2282" s="4">
        <v>15</v>
      </c>
      <c r="BK2282" s="8">
        <v>402.37</v>
      </c>
      <c r="BL2282" s="2" t="s">
        <v>10181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10182</v>
      </c>
      <c r="BV2282" s="2" t="s">
        <v>233</v>
      </c>
      <c r="BW2282" s="2" t="s">
        <v>233</v>
      </c>
      <c r="BX2282" s="2" t="s">
        <v>243</v>
      </c>
      <c r="BY2282" s="2" t="s">
        <v>280</v>
      </c>
      <c r="BZ2282" s="2" t="s">
        <v>245</v>
      </c>
      <c r="CA2282" s="2" t="s">
        <v>281</v>
      </c>
      <c r="CB2282" s="2" t="s">
        <v>670</v>
      </c>
      <c r="CC2282" s="2" t="s">
        <v>246</v>
      </c>
      <c r="CD2282" s="2" t="s">
        <v>233</v>
      </c>
      <c r="CE2282" s="4">
        <v>134</v>
      </c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/>
      <c r="GO2282" s="4"/>
      <c r="GP2282" s="4"/>
      <c r="GQ2282" s="4">
        <v>100</v>
      </c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  <c r="HF2282" s="4"/>
      <c r="HG2282" s="4"/>
      <c r="HH2282" s="4"/>
      <c r="HI2282" s="4"/>
      <c r="HJ2282" s="4"/>
      <c r="HK2282" s="4"/>
      <c r="HL2282" s="4"/>
      <c r="HM2282" s="4"/>
      <c r="HN2282" s="4"/>
      <c r="HO2282" s="4"/>
      <c r="HP2282" s="4"/>
      <c r="HQ2282" s="4"/>
      <c r="HR2282" s="4"/>
    </row>
    <row r="2283">
      <c r="A2283" s="2" t="s">
        <v>10183</v>
      </c>
      <c r="B2283" s="2" t="s">
        <v>1174</v>
      </c>
      <c r="C2283" s="2" t="s">
        <v>530</v>
      </c>
      <c r="D2283" s="2" t="s">
        <v>1175</v>
      </c>
      <c r="E2283" s="2" t="s">
        <v>1448</v>
      </c>
      <c r="F2283" s="2" t="s">
        <v>10146</v>
      </c>
      <c r="G2283" s="2" t="s">
        <v>10147</v>
      </c>
      <c r="H2283" s="2" t="s">
        <v>10148</v>
      </c>
      <c r="I2283" s="2" t="s">
        <v>10149</v>
      </c>
      <c r="J2283" s="2" t="s">
        <v>1453</v>
      </c>
      <c r="K2283" s="2" t="s">
        <v>2817</v>
      </c>
      <c r="L2283" s="3">
        <v>20.7</v>
      </c>
      <c r="M2283" s="3">
        <v>21.74</v>
      </c>
      <c r="N2283" s="3">
        <v>44.99</v>
      </c>
      <c r="O2283" s="2" t="s">
        <v>245</v>
      </c>
      <c r="P2283" s="2" t="s">
        <v>272</v>
      </c>
      <c r="Q2283" s="2" t="s">
        <v>239</v>
      </c>
      <c r="R2283" s="2" t="s">
        <v>233</v>
      </c>
      <c r="S2283" s="2" t="s">
        <v>10180</v>
      </c>
      <c r="T2283" s="2" t="s">
        <v>233</v>
      </c>
      <c r="U2283" s="2" t="s">
        <v>396</v>
      </c>
      <c r="V2283" s="2" t="s">
        <v>1658</v>
      </c>
      <c r="W2283" s="2" t="s">
        <v>397</v>
      </c>
      <c r="X2283" s="2" t="s">
        <v>1526</v>
      </c>
      <c r="Y2283" s="2" t="s">
        <v>276</v>
      </c>
      <c r="Z2283" s="4">
        <v>8</v>
      </c>
      <c r="AA2283" s="4">
        <f>=ROUNDDOWN(2,0)</f>
      </c>
      <c r="AB2283" s="5">
        <v>4</v>
      </c>
      <c r="AC2283" s="2" t="s">
        <v>1107</v>
      </c>
      <c r="AD2283" s="4">
        <v>76</v>
      </c>
      <c r="AE2283" s="4">
        <v>128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233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 t="s">
        <v>233</v>
      </c>
      <c r="AW2283" s="8" t="s">
        <v>233</v>
      </c>
      <c r="AX2283" s="4" t="s">
        <v>233</v>
      </c>
      <c r="AY2283" s="8" t="s">
        <v>233</v>
      </c>
      <c r="AZ2283" s="7" t="s">
        <v>233</v>
      </c>
      <c r="BA2283" s="7" t="s">
        <v>233</v>
      </c>
      <c r="BB2283" s="7"/>
      <c r="BC2283" s="4" t="s">
        <v>233</v>
      </c>
      <c r="BD2283" s="8" t="s">
        <v>233</v>
      </c>
      <c r="BE2283" s="4" t="s">
        <v>233</v>
      </c>
      <c r="BF2283" s="8" t="s">
        <v>233</v>
      </c>
      <c r="BG2283" s="7" t="s">
        <v>233</v>
      </c>
      <c r="BH2283" s="7" t="s">
        <v>233</v>
      </c>
      <c r="BI2283" s="7"/>
      <c r="BJ2283" s="4">
        <v>20</v>
      </c>
      <c r="BK2283" s="8">
        <v>383.3</v>
      </c>
      <c r="BL2283" s="2" t="s">
        <v>10184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10185</v>
      </c>
      <c r="BV2283" s="2" t="s">
        <v>233</v>
      </c>
      <c r="BW2283" s="2" t="s">
        <v>233</v>
      </c>
      <c r="BX2283" s="2" t="s">
        <v>243</v>
      </c>
      <c r="BY2283" s="2" t="s">
        <v>280</v>
      </c>
      <c r="BZ2283" s="2" t="s">
        <v>245</v>
      </c>
      <c r="CA2283" s="2" t="s">
        <v>281</v>
      </c>
      <c r="CB2283" s="2" t="s">
        <v>10186</v>
      </c>
      <c r="CC2283" s="2" t="s">
        <v>246</v>
      </c>
      <c r="CD2283" s="2" t="s">
        <v>233</v>
      </c>
      <c r="CE2283" s="4">
        <v>8</v>
      </c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>
        <v>76</v>
      </c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>
        <v>52</v>
      </c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  <c r="HF2283" s="4"/>
      <c r="HG2283" s="4"/>
      <c r="HH2283" s="4"/>
      <c r="HI2283" s="4"/>
      <c r="HJ2283" s="4"/>
      <c r="HK2283" s="4"/>
      <c r="HL2283" s="4"/>
      <c r="HM2283" s="4"/>
      <c r="HN2283" s="4"/>
      <c r="HO2283" s="4"/>
      <c r="HP2283" s="4"/>
      <c r="HQ2283" s="4"/>
      <c r="HR2283" s="4"/>
    </row>
    <row r="2284">
      <c r="A2284" s="2" t="s">
        <v>10187</v>
      </c>
      <c r="B2284" s="2" t="s">
        <v>1174</v>
      </c>
      <c r="C2284" s="2" t="s">
        <v>530</v>
      </c>
      <c r="D2284" s="2" t="s">
        <v>3304</v>
      </c>
      <c r="E2284" s="2" t="s">
        <v>3305</v>
      </c>
      <c r="F2284" s="2" t="s">
        <v>10146</v>
      </c>
      <c r="G2284" s="2" t="s">
        <v>10147</v>
      </c>
      <c r="H2284" s="2" t="s">
        <v>10148</v>
      </c>
      <c r="I2284" s="2" t="s">
        <v>10170</v>
      </c>
      <c r="J2284" s="2" t="s">
        <v>4833</v>
      </c>
      <c r="K2284" s="2" t="s">
        <v>10188</v>
      </c>
      <c r="L2284" s="3">
        <v>11.25</v>
      </c>
      <c r="M2284" s="3">
        <v>11.81</v>
      </c>
      <c r="N2284" s="3">
        <v>24.99</v>
      </c>
      <c r="O2284" s="2" t="s">
        <v>245</v>
      </c>
      <c r="P2284" s="2" t="s">
        <v>272</v>
      </c>
      <c r="Q2284" s="2" t="s">
        <v>239</v>
      </c>
      <c r="R2284" s="2" t="s">
        <v>233</v>
      </c>
      <c r="S2284" s="2" t="s">
        <v>10189</v>
      </c>
      <c r="T2284" s="2" t="s">
        <v>233</v>
      </c>
      <c r="U2284" s="2" t="s">
        <v>396</v>
      </c>
      <c r="V2284" s="2" t="s">
        <v>1658</v>
      </c>
      <c r="W2284" s="2" t="s">
        <v>397</v>
      </c>
      <c r="X2284" s="2" t="s">
        <v>233</v>
      </c>
      <c r="Y2284" s="2" t="s">
        <v>276</v>
      </c>
      <c r="Z2284" s="4">
        <v>154</v>
      </c>
      <c r="AA2284" s="4">
        <f>=ROUNDDOWN(6.69565217391304,0)</f>
      </c>
      <c r="AB2284" s="5">
        <v>23</v>
      </c>
      <c r="AC2284" s="2" t="s">
        <v>955</v>
      </c>
      <c r="AD2284" s="4">
        <v>312</v>
      </c>
      <c r="AE2284" s="4">
        <v>896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233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 t="s">
        <v>233</v>
      </c>
      <c r="BD2284" s="8" t="s">
        <v>233</v>
      </c>
      <c r="BE2284" s="4" t="s">
        <v>233</v>
      </c>
      <c r="BF2284" s="8" t="s">
        <v>233</v>
      </c>
      <c r="BG2284" s="7" t="s">
        <v>233</v>
      </c>
      <c r="BH2284" s="7" t="s">
        <v>233</v>
      </c>
      <c r="BI2284" s="7"/>
      <c r="BJ2284" s="4">
        <v>119</v>
      </c>
      <c r="BK2284" s="8">
        <v>1391.85</v>
      </c>
      <c r="BL2284" s="2" t="s">
        <v>7792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10190</v>
      </c>
      <c r="BV2284" s="2" t="s">
        <v>233</v>
      </c>
      <c r="BW2284" s="2" t="s">
        <v>233</v>
      </c>
      <c r="BX2284" s="2" t="s">
        <v>233</v>
      </c>
      <c r="BY2284" s="2" t="s">
        <v>280</v>
      </c>
      <c r="BZ2284" s="2" t="s">
        <v>245</v>
      </c>
      <c r="CA2284" s="2" t="s">
        <v>281</v>
      </c>
      <c r="CB2284" s="2" t="s">
        <v>6191</v>
      </c>
      <c r="CC2284" s="2" t="s">
        <v>246</v>
      </c>
      <c r="CD2284" s="2" t="s">
        <v>233</v>
      </c>
      <c r="CE2284" s="4">
        <v>154</v>
      </c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>
        <v>312</v>
      </c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>
        <v>584</v>
      </c>
      <c r="GF2284" s="4"/>
      <c r="GG2284" s="4"/>
      <c r="GH2284" s="4"/>
      <c r="GI2284" s="4"/>
      <c r="GJ2284" s="4"/>
      <c r="GK2284" s="4"/>
      <c r="GL2284" s="4"/>
      <c r="GM2284" s="4"/>
      <c r="GN2284" s="4"/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  <c r="HF2284" s="4"/>
      <c r="HG2284" s="4"/>
      <c r="HH2284" s="4"/>
      <c r="HI2284" s="4"/>
      <c r="HJ2284" s="4"/>
      <c r="HK2284" s="4"/>
      <c r="HL2284" s="4"/>
      <c r="HM2284" s="4"/>
      <c r="HN2284" s="4"/>
      <c r="HO2284" s="4"/>
      <c r="HP2284" s="4"/>
      <c r="HQ2284" s="4"/>
      <c r="HR2284" s="4"/>
    </row>
    <row r="2285">
      <c r="A2285" s="2" t="s">
        <v>10191</v>
      </c>
      <c r="B2285" s="2" t="s">
        <v>1174</v>
      </c>
      <c r="C2285" s="2" t="s">
        <v>530</v>
      </c>
      <c r="D2285" s="2" t="s">
        <v>1175</v>
      </c>
      <c r="E2285" s="2" t="s">
        <v>1448</v>
      </c>
      <c r="F2285" s="2" t="s">
        <v>10146</v>
      </c>
      <c r="G2285" s="2" t="s">
        <v>10147</v>
      </c>
      <c r="H2285" s="2" t="s">
        <v>10148</v>
      </c>
      <c r="I2285" s="2" t="s">
        <v>10149</v>
      </c>
      <c r="J2285" s="2" t="s">
        <v>1453</v>
      </c>
      <c r="K2285" s="2" t="s">
        <v>10192</v>
      </c>
      <c r="L2285" s="3">
        <v>20.7</v>
      </c>
      <c r="M2285" s="3">
        <v>21.74</v>
      </c>
      <c r="N2285" s="3">
        <v>44.99</v>
      </c>
      <c r="O2285" s="2" t="s">
        <v>237</v>
      </c>
      <c r="P2285" s="2" t="s">
        <v>311</v>
      </c>
      <c r="Q2285" s="2" t="s">
        <v>239</v>
      </c>
      <c r="R2285" s="2" t="s">
        <v>233</v>
      </c>
      <c r="S2285" s="2" t="s">
        <v>10193</v>
      </c>
      <c r="T2285" s="2" t="s">
        <v>233</v>
      </c>
      <c r="U2285" s="2" t="s">
        <v>396</v>
      </c>
      <c r="V2285" s="2" t="s">
        <v>1658</v>
      </c>
      <c r="W2285" s="2" t="s">
        <v>397</v>
      </c>
      <c r="X2285" s="2" t="s">
        <v>233</v>
      </c>
      <c r="Y2285" s="2" t="s">
        <v>276</v>
      </c>
      <c r="Z2285" s="4">
        <v>264</v>
      </c>
      <c r="AA2285" s="4">
        <f>=ROUNDDOWN(176,0)</f>
      </c>
      <c r="AB2285" s="5">
        <v>1.5</v>
      </c>
      <c r="AC2285" s="2" t="s">
        <v>233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233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233</v>
      </c>
      <c r="BD2285" s="8" t="s">
        <v>233</v>
      </c>
      <c r="BE2285" s="4" t="s">
        <v>233</v>
      </c>
      <c r="BF2285" s="8" t="s">
        <v>233</v>
      </c>
      <c r="BG2285" s="7" t="s">
        <v>233</v>
      </c>
      <c r="BH2285" s="7" t="s">
        <v>233</v>
      </c>
      <c r="BI2285" s="7"/>
      <c r="BJ2285" s="4">
        <v>4</v>
      </c>
      <c r="BK2285" s="8">
        <v>44.68</v>
      </c>
      <c r="BL2285" s="2" t="s">
        <v>492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10194</v>
      </c>
      <c r="BV2285" s="2" t="s">
        <v>233</v>
      </c>
      <c r="BW2285" s="2" t="s">
        <v>233</v>
      </c>
      <c r="BX2285" s="2" t="s">
        <v>233</v>
      </c>
      <c r="BY2285" s="2" t="s">
        <v>280</v>
      </c>
      <c r="BZ2285" s="2" t="s">
        <v>245</v>
      </c>
      <c r="CA2285" s="2" t="s">
        <v>281</v>
      </c>
      <c r="CB2285" s="2" t="s">
        <v>10195</v>
      </c>
      <c r="CC2285" s="2" t="s">
        <v>246</v>
      </c>
      <c r="CD2285" s="2" t="s">
        <v>233</v>
      </c>
      <c r="CE2285" s="4">
        <v>264</v>
      </c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/>
      <c r="GS2285" s="4"/>
      <c r="GT2285" s="4"/>
      <c r="GU2285" s="4"/>
      <c r="GV2285" s="4"/>
      <c r="GW2285" s="4"/>
      <c r="GX2285" s="4"/>
      <c r="GY2285" s="4"/>
      <c r="GZ2285" s="4"/>
      <c r="HA2285" s="4"/>
      <c r="HB2285" s="4"/>
      <c r="HC2285" s="4"/>
      <c r="HD2285" s="4"/>
      <c r="HE2285" s="4"/>
      <c r="HF2285" s="4"/>
      <c r="HG2285" s="4"/>
      <c r="HH2285" s="4"/>
      <c r="HI2285" s="4"/>
      <c r="HJ2285" s="4"/>
      <c r="HK2285" s="4"/>
      <c r="HL2285" s="4"/>
      <c r="HM2285" s="4"/>
      <c r="HN2285" s="4"/>
      <c r="HO2285" s="4"/>
      <c r="HP2285" s="4"/>
      <c r="HQ2285" s="4"/>
      <c r="HR2285" s="4"/>
    </row>
    <row r="2286">
      <c r="A2286" s="2" t="s">
        <v>10196</v>
      </c>
      <c r="B2286" s="2" t="s">
        <v>1174</v>
      </c>
      <c r="C2286" s="2" t="s">
        <v>530</v>
      </c>
      <c r="D2286" s="2" t="s">
        <v>1175</v>
      </c>
      <c r="E2286" s="2" t="s">
        <v>1448</v>
      </c>
      <c r="F2286" s="2" t="s">
        <v>10146</v>
      </c>
      <c r="G2286" s="2" t="s">
        <v>10147</v>
      </c>
      <c r="H2286" s="2" t="s">
        <v>10148</v>
      </c>
      <c r="I2286" s="2" t="s">
        <v>10149</v>
      </c>
      <c r="J2286" s="2" t="s">
        <v>5014</v>
      </c>
      <c r="K2286" s="2" t="s">
        <v>10197</v>
      </c>
      <c r="L2286" s="3">
        <v>13.5</v>
      </c>
      <c r="M2286" s="3">
        <v>14.18</v>
      </c>
      <c r="N2286" s="3">
        <v>29.99</v>
      </c>
      <c r="O2286" s="2" t="s">
        <v>245</v>
      </c>
      <c r="P2286" s="2" t="s">
        <v>272</v>
      </c>
      <c r="Q2286" s="2" t="s">
        <v>239</v>
      </c>
      <c r="R2286" s="2" t="s">
        <v>233</v>
      </c>
      <c r="S2286" s="2" t="s">
        <v>10198</v>
      </c>
      <c r="T2286" s="2" t="s">
        <v>233</v>
      </c>
      <c r="U2286" s="2" t="s">
        <v>396</v>
      </c>
      <c r="V2286" s="2" t="s">
        <v>1658</v>
      </c>
      <c r="W2286" s="2" t="s">
        <v>397</v>
      </c>
      <c r="X2286" s="2" t="s">
        <v>1526</v>
      </c>
      <c r="Y2286" s="2" t="s">
        <v>276</v>
      </c>
      <c r="Z2286" s="4">
        <v>51</v>
      </c>
      <c r="AA2286" s="4">
        <f>=ROUNDDOWN(7.5,0)</f>
      </c>
      <c r="AB2286" s="5">
        <v>6.8</v>
      </c>
      <c r="AC2286" s="2" t="s">
        <v>955</v>
      </c>
      <c r="AD2286" s="4">
        <v>88</v>
      </c>
      <c r="AE2286" s="4">
        <v>88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233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233</v>
      </c>
      <c r="AW2286" s="8" t="s">
        <v>233</v>
      </c>
      <c r="AX2286" s="4" t="s">
        <v>233</v>
      </c>
      <c r="AY2286" s="8" t="s">
        <v>233</v>
      </c>
      <c r="AZ2286" s="7" t="s">
        <v>233</v>
      </c>
      <c r="BA2286" s="7" t="s">
        <v>233</v>
      </c>
      <c r="BB2286" s="7"/>
      <c r="BC2286" s="4" t="s">
        <v>233</v>
      </c>
      <c r="BD2286" s="8" t="s">
        <v>233</v>
      </c>
      <c r="BE2286" s="4" t="s">
        <v>233</v>
      </c>
      <c r="BF2286" s="8" t="s">
        <v>233</v>
      </c>
      <c r="BG2286" s="7" t="s">
        <v>233</v>
      </c>
      <c r="BH2286" s="7" t="s">
        <v>233</v>
      </c>
      <c r="BI2286" s="7"/>
      <c r="BJ2286" s="4">
        <v>29</v>
      </c>
      <c r="BK2286" s="8">
        <v>376.07</v>
      </c>
      <c r="BL2286" s="2" t="s">
        <v>10199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10200</v>
      </c>
      <c r="BV2286" s="2" t="s">
        <v>233</v>
      </c>
      <c r="BW2286" s="2" t="s">
        <v>233</v>
      </c>
      <c r="BX2286" s="2" t="s">
        <v>243</v>
      </c>
      <c r="BY2286" s="2" t="s">
        <v>280</v>
      </c>
      <c r="BZ2286" s="2" t="s">
        <v>245</v>
      </c>
      <c r="CA2286" s="2" t="s">
        <v>281</v>
      </c>
      <c r="CB2286" s="2" t="s">
        <v>4956</v>
      </c>
      <c r="CC2286" s="2" t="s">
        <v>246</v>
      </c>
      <c r="CD2286" s="2" t="s">
        <v>233</v>
      </c>
      <c r="CE2286" s="4">
        <v>51</v>
      </c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>
        <v>88</v>
      </c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/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  <c r="HF2286" s="4"/>
      <c r="HG2286" s="4"/>
      <c r="HH2286" s="4"/>
      <c r="HI2286" s="4"/>
      <c r="HJ2286" s="4"/>
      <c r="HK2286" s="4"/>
      <c r="HL2286" s="4"/>
      <c r="HM2286" s="4"/>
      <c r="HN2286" s="4"/>
      <c r="HO2286" s="4"/>
      <c r="HP2286" s="4"/>
      <c r="HQ2286" s="4"/>
      <c r="HR2286" s="4"/>
    </row>
    <row r="2287">
      <c r="A2287" s="2" t="s">
        <v>10201</v>
      </c>
      <c r="B2287" s="2" t="s">
        <v>1174</v>
      </c>
      <c r="C2287" s="2" t="s">
        <v>530</v>
      </c>
      <c r="D2287" s="2" t="s">
        <v>1175</v>
      </c>
      <c r="E2287" s="2" t="s">
        <v>1448</v>
      </c>
      <c r="F2287" s="2" t="s">
        <v>10146</v>
      </c>
      <c r="G2287" s="2" t="s">
        <v>10147</v>
      </c>
      <c r="H2287" s="2" t="s">
        <v>10148</v>
      </c>
      <c r="I2287" s="2" t="s">
        <v>10149</v>
      </c>
      <c r="J2287" s="2" t="s">
        <v>1453</v>
      </c>
      <c r="K2287" s="2" t="s">
        <v>10197</v>
      </c>
      <c r="L2287" s="3">
        <v>20.7</v>
      </c>
      <c r="M2287" s="3">
        <v>21.74</v>
      </c>
      <c r="N2287" s="3">
        <v>44.99</v>
      </c>
      <c r="O2287" s="2" t="s">
        <v>245</v>
      </c>
      <c r="P2287" s="2" t="s">
        <v>272</v>
      </c>
      <c r="Q2287" s="2" t="s">
        <v>239</v>
      </c>
      <c r="R2287" s="2" t="s">
        <v>233</v>
      </c>
      <c r="S2287" s="2" t="s">
        <v>10198</v>
      </c>
      <c r="T2287" s="2" t="s">
        <v>233</v>
      </c>
      <c r="U2287" s="2" t="s">
        <v>396</v>
      </c>
      <c r="V2287" s="2" t="s">
        <v>1658</v>
      </c>
      <c r="W2287" s="2" t="s">
        <v>397</v>
      </c>
      <c r="X2287" s="2" t="s">
        <v>1526</v>
      </c>
      <c r="Y2287" s="2" t="s">
        <v>276</v>
      </c>
      <c r="Z2287" s="4">
        <v>155</v>
      </c>
      <c r="AA2287" s="4">
        <f>=ROUNDDOWN(44.2857142857143,0)</f>
      </c>
      <c r="AB2287" s="5">
        <v>3.5</v>
      </c>
      <c r="AC2287" s="2" t="s">
        <v>233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233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233</v>
      </c>
      <c r="AW2287" s="8" t="s">
        <v>233</v>
      </c>
      <c r="AX2287" s="4" t="s">
        <v>233</v>
      </c>
      <c r="AY2287" s="8" t="s">
        <v>233</v>
      </c>
      <c r="AZ2287" s="7" t="s">
        <v>233</v>
      </c>
      <c r="BA2287" s="7" t="s">
        <v>233</v>
      </c>
      <c r="BB2287" s="7"/>
      <c r="BC2287" s="4" t="s">
        <v>233</v>
      </c>
      <c r="BD2287" s="8" t="s">
        <v>233</v>
      </c>
      <c r="BE2287" s="4" t="s">
        <v>233</v>
      </c>
      <c r="BF2287" s="8" t="s">
        <v>233</v>
      </c>
      <c r="BG2287" s="7" t="s">
        <v>233</v>
      </c>
      <c r="BH2287" s="7" t="s">
        <v>233</v>
      </c>
      <c r="BI2287" s="7"/>
      <c r="BJ2287" s="4">
        <v>6</v>
      </c>
      <c r="BK2287" s="8">
        <v>131.84</v>
      </c>
      <c r="BL2287" s="2" t="s">
        <v>10202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10203</v>
      </c>
      <c r="BV2287" s="2" t="s">
        <v>233</v>
      </c>
      <c r="BW2287" s="2" t="s">
        <v>233</v>
      </c>
      <c r="BX2287" s="2" t="s">
        <v>243</v>
      </c>
      <c r="BY2287" s="2" t="s">
        <v>280</v>
      </c>
      <c r="BZ2287" s="2" t="s">
        <v>245</v>
      </c>
      <c r="CA2287" s="2" t="s">
        <v>281</v>
      </c>
      <c r="CB2287" s="2" t="s">
        <v>10204</v>
      </c>
      <c r="CC2287" s="2" t="s">
        <v>246</v>
      </c>
      <c r="CD2287" s="2" t="s">
        <v>233</v>
      </c>
      <c r="CE2287" s="4">
        <v>155</v>
      </c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/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/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  <c r="HF2287" s="4"/>
      <c r="HG2287" s="4"/>
      <c r="HH2287" s="4"/>
      <c r="HI2287" s="4"/>
      <c r="HJ2287" s="4"/>
      <c r="HK2287" s="4"/>
      <c r="HL2287" s="4"/>
      <c r="HM2287" s="4"/>
      <c r="HN2287" s="4"/>
      <c r="HO2287" s="4"/>
      <c r="HP2287" s="4"/>
      <c r="HQ2287" s="4"/>
      <c r="HR2287" s="4"/>
    </row>
    <row r="2288">
      <c r="A2288" s="2" t="s">
        <v>10205</v>
      </c>
      <c r="B2288" s="2" t="s">
        <v>1174</v>
      </c>
      <c r="C2288" s="2" t="s">
        <v>530</v>
      </c>
      <c r="D2288" s="2" t="s">
        <v>1175</v>
      </c>
      <c r="E2288" s="2" t="s">
        <v>1448</v>
      </c>
      <c r="F2288" s="2" t="s">
        <v>10146</v>
      </c>
      <c r="G2288" s="2" t="s">
        <v>10147</v>
      </c>
      <c r="H2288" s="2" t="s">
        <v>10148</v>
      </c>
      <c r="I2288" s="2" t="s">
        <v>10149</v>
      </c>
      <c r="J2288" s="2" t="s">
        <v>1453</v>
      </c>
      <c r="K2288" s="2" t="s">
        <v>10206</v>
      </c>
      <c r="L2288" s="3">
        <v>20.7</v>
      </c>
      <c r="M2288" s="3">
        <v>21.74</v>
      </c>
      <c r="N2288" s="3">
        <v>44.99</v>
      </c>
      <c r="O2288" s="2" t="s">
        <v>245</v>
      </c>
      <c r="P2288" s="2" t="s">
        <v>311</v>
      </c>
      <c r="Q2288" s="2" t="s">
        <v>239</v>
      </c>
      <c r="R2288" s="2" t="s">
        <v>233</v>
      </c>
      <c r="S2288" s="2" t="s">
        <v>10207</v>
      </c>
      <c r="T2288" s="2" t="s">
        <v>233</v>
      </c>
      <c r="U2288" s="2" t="s">
        <v>396</v>
      </c>
      <c r="V2288" s="2" t="s">
        <v>1658</v>
      </c>
      <c r="W2288" s="2" t="s">
        <v>397</v>
      </c>
      <c r="X2288" s="2" t="s">
        <v>233</v>
      </c>
      <c r="Y2288" s="2" t="s">
        <v>276</v>
      </c>
      <c r="Z2288" s="4"/>
      <c r="AA2288" s="4">
        <f>=ROUNDDOWN({0},0)</f>
      </c>
      <c r="AB2288" s="5">
        <v>2</v>
      </c>
      <c r="AC2288" s="2" t="s">
        <v>233</v>
      </c>
      <c r="AD2288" s="4"/>
      <c r="AE2288" s="4"/>
      <c r="AF2288" s="6">
        <v>65</v>
      </c>
      <c r="AG2288" s="6"/>
      <c r="AH2288" s="7">
        <v>0.7419</v>
      </c>
      <c r="AI2288" s="4"/>
      <c r="AJ2288" s="4">
        <f>=ROUNDDOWN({0},0)</f>
      </c>
      <c r="AK2288" s="5"/>
      <c r="AL2288" s="2" t="s">
        <v>233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/>
      <c r="AW2288" s="8"/>
      <c r="AX2288" s="4"/>
      <c r="AY2288" s="8"/>
      <c r="AZ2288" s="7"/>
      <c r="BA2288" s="7"/>
      <c r="BB2288" s="7"/>
      <c r="BC2288" s="4" t="s">
        <v>233</v>
      </c>
      <c r="BD2288" s="8" t="s">
        <v>233</v>
      </c>
      <c r="BE2288" s="4" t="s">
        <v>233</v>
      </c>
      <c r="BF2288" s="8" t="s">
        <v>233</v>
      </c>
      <c r="BG2288" s="7" t="s">
        <v>233</v>
      </c>
      <c r="BH2288" s="7" t="s">
        <v>233</v>
      </c>
      <c r="BI2288" s="7"/>
      <c r="BJ2288" s="4">
        <v>5</v>
      </c>
      <c r="BK2288" s="8">
        <v>97.41</v>
      </c>
      <c r="BL2288" s="2" t="s">
        <v>10208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10209</v>
      </c>
      <c r="BV2288" s="2" t="s">
        <v>233</v>
      </c>
      <c r="BW2288" s="2" t="s">
        <v>233</v>
      </c>
      <c r="BX2288" s="2" t="s">
        <v>233</v>
      </c>
      <c r="BY2288" s="2" t="s">
        <v>280</v>
      </c>
      <c r="BZ2288" s="2" t="s">
        <v>245</v>
      </c>
      <c r="CA2288" s="2" t="s">
        <v>281</v>
      </c>
      <c r="CB2288" s="2" t="s">
        <v>4264</v>
      </c>
      <c r="CC2288" s="2" t="s">
        <v>246</v>
      </c>
      <c r="CD2288" s="2" t="s">
        <v>233</v>
      </c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/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/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  <c r="HF2288" s="4"/>
      <c r="HG2288" s="4"/>
      <c r="HH2288" s="4"/>
      <c r="HI2288" s="4"/>
      <c r="HJ2288" s="4"/>
      <c r="HK2288" s="4"/>
      <c r="HL2288" s="4"/>
      <c r="HM2288" s="4"/>
      <c r="HN2288" s="4"/>
      <c r="HO2288" s="4"/>
      <c r="HP2288" s="4"/>
      <c r="HQ2288" s="4"/>
      <c r="HR2288" s="4"/>
    </row>
    <row r="2289">
      <c r="A2289" s="2" t="s">
        <v>10210</v>
      </c>
      <c r="B2289" s="2" t="s">
        <v>1066</v>
      </c>
      <c r="C2289" s="2" t="s">
        <v>530</v>
      </c>
      <c r="D2289" s="2" t="s">
        <v>1851</v>
      </c>
      <c r="E2289" s="2" t="s">
        <v>1852</v>
      </c>
      <c r="F2289" s="2" t="s">
        <v>10211</v>
      </c>
      <c r="G2289" s="2" t="s">
        <v>7096</v>
      </c>
      <c r="H2289" s="2" t="s">
        <v>10212</v>
      </c>
      <c r="I2289" s="2" t="s">
        <v>10213</v>
      </c>
      <c r="J2289" s="2" t="s">
        <v>892</v>
      </c>
      <c r="K2289" s="2" t="s">
        <v>271</v>
      </c>
      <c r="L2289" s="3">
        <v>95</v>
      </c>
      <c r="M2289" s="3">
        <v>99.75</v>
      </c>
      <c r="N2289" s="3">
        <v>199</v>
      </c>
      <c r="O2289" s="2" t="s">
        <v>237</v>
      </c>
      <c r="P2289" s="2" t="s">
        <v>311</v>
      </c>
      <c r="Q2289" s="2" t="s">
        <v>239</v>
      </c>
      <c r="R2289" s="2" t="s">
        <v>233</v>
      </c>
      <c r="S2289" s="2" t="s">
        <v>10214</v>
      </c>
      <c r="T2289" s="2" t="s">
        <v>233</v>
      </c>
      <c r="U2289" s="2" t="s">
        <v>233</v>
      </c>
      <c r="V2289" s="2" t="s">
        <v>241</v>
      </c>
      <c r="W2289" s="2" t="s">
        <v>397</v>
      </c>
      <c r="X2289" s="2" t="s">
        <v>233</v>
      </c>
      <c r="Y2289" s="2" t="s">
        <v>276</v>
      </c>
      <c r="Z2289" s="4">
        <v>30</v>
      </c>
      <c r="AA2289" s="4">
        <f>=ROUNDDOWN(42.8571428571429,0)</f>
      </c>
      <c r="AB2289" s="5">
        <v>0.7</v>
      </c>
      <c r="AC2289" s="2" t="s">
        <v>233</v>
      </c>
      <c r="AD2289" s="4"/>
      <c r="AE2289" s="4"/>
      <c r="AF2289" s="6">
        <v>66</v>
      </c>
      <c r="AG2289" s="6"/>
      <c r="AH2289" s="7">
        <v>1</v>
      </c>
      <c r="AI2289" s="4"/>
      <c r="AJ2289" s="4">
        <f>=ROUNDDOWN({0},0)</f>
      </c>
      <c r="AK2289" s="5"/>
      <c r="AL2289" s="2" t="s">
        <v>233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/>
      <c r="BD2289" s="8"/>
      <c r="BE2289" s="4"/>
      <c r="BF2289" s="8"/>
      <c r="BG2289" s="7"/>
      <c r="BH2289" s="7"/>
      <c r="BI2289" s="7"/>
      <c r="BJ2289" s="4">
        <v>4</v>
      </c>
      <c r="BK2289" s="8">
        <v>381.95</v>
      </c>
      <c r="BL2289" s="2" t="s">
        <v>10215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10216</v>
      </c>
      <c r="BV2289" s="2" t="s">
        <v>233</v>
      </c>
      <c r="BW2289" s="2" t="s">
        <v>233</v>
      </c>
      <c r="BX2289" s="2" t="s">
        <v>233</v>
      </c>
      <c r="BY2289" s="2" t="s">
        <v>280</v>
      </c>
      <c r="BZ2289" s="2" t="s">
        <v>245</v>
      </c>
      <c r="CA2289" s="2" t="s">
        <v>281</v>
      </c>
      <c r="CB2289" s="2" t="s">
        <v>1860</v>
      </c>
      <c r="CC2289" s="2" t="s">
        <v>246</v>
      </c>
      <c r="CD2289" s="2" t="s">
        <v>233</v>
      </c>
      <c r="CE2289" s="4"/>
      <c r="CF2289" s="4">
        <v>30</v>
      </c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/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  <c r="HF2289" s="4"/>
      <c r="HG2289" s="4"/>
      <c r="HH2289" s="4"/>
      <c r="HI2289" s="4"/>
      <c r="HJ2289" s="4"/>
      <c r="HK2289" s="4"/>
      <c r="HL2289" s="4"/>
      <c r="HM2289" s="4"/>
      <c r="HN2289" s="4"/>
      <c r="HO2289" s="4"/>
      <c r="HP2289" s="4"/>
      <c r="HQ2289" s="4"/>
      <c r="HR2289" s="4"/>
    </row>
    <row r="2290">
      <c r="A2290" s="2" t="s">
        <v>10217</v>
      </c>
      <c r="B2290" s="2" t="s">
        <v>333</v>
      </c>
      <c r="C2290" s="2" t="s">
        <v>334</v>
      </c>
      <c r="D2290" s="2" t="s">
        <v>335</v>
      </c>
      <c r="E2290" s="2" t="s">
        <v>336</v>
      </c>
      <c r="F2290" s="2" t="s">
        <v>9658</v>
      </c>
      <c r="G2290" s="2" t="s">
        <v>9658</v>
      </c>
      <c r="H2290" s="2" t="s">
        <v>9658</v>
      </c>
      <c r="I2290" s="2" t="s">
        <v>10218</v>
      </c>
      <c r="J2290" s="2" t="s">
        <v>290</v>
      </c>
      <c r="K2290" s="2" t="s">
        <v>1105</v>
      </c>
      <c r="L2290" s="3">
        <v>16.5</v>
      </c>
      <c r="M2290" s="3">
        <v>17.32</v>
      </c>
      <c r="N2290" s="3">
        <v>32.99</v>
      </c>
      <c r="O2290" s="2" t="s">
        <v>245</v>
      </c>
      <c r="P2290" s="2" t="s">
        <v>311</v>
      </c>
      <c r="Q2290" s="2" t="s">
        <v>239</v>
      </c>
      <c r="R2290" s="2" t="s">
        <v>233</v>
      </c>
      <c r="S2290" s="2" t="s">
        <v>10219</v>
      </c>
      <c r="T2290" s="2" t="s">
        <v>9658</v>
      </c>
      <c r="U2290" s="2" t="s">
        <v>233</v>
      </c>
      <c r="V2290" s="2" t="s">
        <v>241</v>
      </c>
      <c r="W2290" s="2" t="s">
        <v>275</v>
      </c>
      <c r="X2290" s="2" t="s">
        <v>233</v>
      </c>
      <c r="Y2290" s="2" t="s">
        <v>276</v>
      </c>
      <c r="Z2290" s="4">
        <v>395</v>
      </c>
      <c r="AA2290" s="4">
        <f>=ROUNDDOWN(35.9090909090909,0)</f>
      </c>
      <c r="AB2290" s="5">
        <v>11</v>
      </c>
      <c r="AC2290" s="2" t="s">
        <v>233</v>
      </c>
      <c r="AD2290" s="4"/>
      <c r="AE2290" s="4"/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233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7"/>
      <c r="BC2290" s="4"/>
      <c r="BD2290" s="8"/>
      <c r="BE2290" s="4"/>
      <c r="BF2290" s="8"/>
      <c r="BG2290" s="7"/>
      <c r="BH2290" s="7"/>
      <c r="BI2290" s="7"/>
      <c r="BJ2290" s="4">
        <v>60</v>
      </c>
      <c r="BK2290" s="8">
        <v>1334.89</v>
      </c>
      <c r="BL2290" s="2" t="s">
        <v>10220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10221</v>
      </c>
      <c r="BV2290" s="2" t="s">
        <v>233</v>
      </c>
      <c r="BW2290" s="2" t="s">
        <v>233</v>
      </c>
      <c r="BX2290" s="2" t="s">
        <v>595</v>
      </c>
      <c r="BY2290" s="2" t="s">
        <v>280</v>
      </c>
      <c r="BZ2290" s="2" t="s">
        <v>245</v>
      </c>
      <c r="CA2290" s="2" t="s">
        <v>281</v>
      </c>
      <c r="CB2290" s="2" t="s">
        <v>1848</v>
      </c>
      <c r="CC2290" s="2" t="s">
        <v>246</v>
      </c>
      <c r="CD2290" s="2" t="s">
        <v>233</v>
      </c>
      <c r="CE2290" s="4">
        <v>313</v>
      </c>
      <c r="CF2290" s="4"/>
      <c r="CG2290" s="4"/>
      <c r="CH2290" s="4"/>
      <c r="CI2290" s="4">
        <v>82</v>
      </c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/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  <c r="HF2290" s="4"/>
      <c r="HG2290" s="4"/>
      <c r="HH2290" s="4"/>
      <c r="HI2290" s="4"/>
      <c r="HJ2290" s="4"/>
      <c r="HK2290" s="4"/>
      <c r="HL2290" s="4"/>
      <c r="HM2290" s="4"/>
      <c r="HN2290" s="4"/>
      <c r="HO2290" s="4"/>
      <c r="HP2290" s="4"/>
      <c r="HQ2290" s="4"/>
      <c r="HR2290" s="4"/>
    </row>
    <row r="2291">
      <c r="A2291" s="2" t="s">
        <v>10222</v>
      </c>
      <c r="B2291" s="2" t="s">
        <v>264</v>
      </c>
      <c r="C2291" s="2" t="s">
        <v>334</v>
      </c>
      <c r="D2291" s="2" t="s">
        <v>969</v>
      </c>
      <c r="E2291" s="2" t="s">
        <v>1078</v>
      </c>
      <c r="F2291" s="2" t="s">
        <v>10223</v>
      </c>
      <c r="G2291" s="2" t="s">
        <v>10223</v>
      </c>
      <c r="H2291" s="2" t="s">
        <v>10223</v>
      </c>
      <c r="I2291" s="2" t="s">
        <v>1082</v>
      </c>
      <c r="J2291" s="2" t="s">
        <v>981</v>
      </c>
      <c r="K2291" s="2" t="s">
        <v>645</v>
      </c>
      <c r="L2291" s="3">
        <v>33.33</v>
      </c>
      <c r="M2291" s="3">
        <v>35</v>
      </c>
      <c r="N2291" s="3">
        <v>69.99</v>
      </c>
      <c r="O2291" s="2" t="s">
        <v>245</v>
      </c>
      <c r="P2291" s="2" t="s">
        <v>238</v>
      </c>
      <c r="Q2291" s="2" t="s">
        <v>239</v>
      </c>
      <c r="R2291" s="2" t="s">
        <v>233</v>
      </c>
      <c r="S2291" s="2" t="s">
        <v>10224</v>
      </c>
      <c r="T2291" s="2" t="s">
        <v>9658</v>
      </c>
      <c r="U2291" s="2" t="s">
        <v>342</v>
      </c>
      <c r="V2291" s="2" t="s">
        <v>241</v>
      </c>
      <c r="W2291" s="2" t="s">
        <v>705</v>
      </c>
      <c r="X2291" s="2" t="s">
        <v>233</v>
      </c>
      <c r="Y2291" s="2" t="s">
        <v>233</v>
      </c>
      <c r="Z2291" s="4"/>
      <c r="AA2291" s="4">
        <f>=ROUNDDOWN({0},0)</f>
      </c>
      <c r="AB2291" s="5"/>
      <c r="AC2291" s="2" t="s">
        <v>3255</v>
      </c>
      <c r="AD2291" s="4">
        <v>170</v>
      </c>
      <c r="AE2291" s="4">
        <v>430</v>
      </c>
      <c r="AF2291" s="6">
        <v>65</v>
      </c>
      <c r="AG2291" s="6"/>
      <c r="AH2291" s="7">
        <v>0</v>
      </c>
      <c r="AI2291" s="4"/>
      <c r="AJ2291" s="4">
        <f>=ROUNDDOWN({0},0)</f>
      </c>
      <c r="AK2291" s="5"/>
      <c r="AL2291" s="2" t="s">
        <v>233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233</v>
      </c>
      <c r="AW2291" s="8" t="s">
        <v>233</v>
      </c>
      <c r="AX2291" s="4" t="s">
        <v>233</v>
      </c>
      <c r="AY2291" s="8" t="s">
        <v>233</v>
      </c>
      <c r="AZ2291" s="7" t="s">
        <v>233</v>
      </c>
      <c r="BA2291" s="7" t="s">
        <v>233</v>
      </c>
      <c r="BB2291" s="7"/>
      <c r="BC2291" s="4" t="s">
        <v>233</v>
      </c>
      <c r="BD2291" s="8" t="s">
        <v>233</v>
      </c>
      <c r="BE2291" s="4" t="s">
        <v>233</v>
      </c>
      <c r="BF2291" s="8" t="s">
        <v>233</v>
      </c>
      <c r="BG2291" s="7" t="s">
        <v>233</v>
      </c>
      <c r="BH2291" s="7" t="s">
        <v>233</v>
      </c>
      <c r="BI2291" s="7"/>
      <c r="BJ2291" s="4"/>
      <c r="BK2291" s="8"/>
      <c r="BL2291" s="2" t="s">
        <v>233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243</v>
      </c>
      <c r="BV2291" s="2" t="s">
        <v>233</v>
      </c>
      <c r="BW2291" s="2" t="s">
        <v>233</v>
      </c>
      <c r="BX2291" s="2" t="s">
        <v>243</v>
      </c>
      <c r="BY2291" s="2" t="s">
        <v>244</v>
      </c>
      <c r="BZ2291" s="2" t="s">
        <v>245</v>
      </c>
      <c r="CA2291" s="2" t="s">
        <v>233</v>
      </c>
      <c r="CB2291" s="2" t="s">
        <v>233</v>
      </c>
      <c r="CC2291" s="2" t="s">
        <v>246</v>
      </c>
      <c r="CD2291" s="2" t="s">
        <v>233</v>
      </c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>
        <v>170</v>
      </c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>
        <v>260</v>
      </c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/>
      <c r="GV2291" s="4"/>
      <c r="GW2291" s="4"/>
      <c r="GX2291" s="4"/>
      <c r="GY2291" s="4"/>
      <c r="GZ2291" s="4"/>
      <c r="HA2291" s="4"/>
      <c r="HB2291" s="4"/>
      <c r="HC2291" s="4"/>
      <c r="HD2291" s="4"/>
      <c r="HE2291" s="4"/>
      <c r="HF2291" s="4"/>
      <c r="HG2291" s="4"/>
      <c r="HH2291" s="4"/>
      <c r="HI2291" s="4"/>
      <c r="HJ2291" s="4"/>
      <c r="HK2291" s="4"/>
      <c r="HL2291" s="4"/>
      <c r="HM2291" s="4"/>
      <c r="HN2291" s="4"/>
      <c r="HO2291" s="4"/>
      <c r="HP2291" s="4"/>
      <c r="HQ2291" s="4"/>
      <c r="HR2291" s="4"/>
    </row>
    <row r="2292">
      <c r="A2292" s="2" t="s">
        <v>10225</v>
      </c>
      <c r="B2292" s="2" t="s">
        <v>264</v>
      </c>
      <c r="C2292" s="2" t="s">
        <v>334</v>
      </c>
      <c r="D2292" s="2" t="s">
        <v>969</v>
      </c>
      <c r="E2292" s="2" t="s">
        <v>1078</v>
      </c>
      <c r="F2292" s="2" t="s">
        <v>10223</v>
      </c>
      <c r="G2292" s="2" t="s">
        <v>10223</v>
      </c>
      <c r="H2292" s="2" t="s">
        <v>10223</v>
      </c>
      <c r="I2292" s="2" t="s">
        <v>1082</v>
      </c>
      <c r="J2292" s="2" t="s">
        <v>1142</v>
      </c>
      <c r="K2292" s="2" t="s">
        <v>645</v>
      </c>
      <c r="L2292" s="3">
        <v>38.09</v>
      </c>
      <c r="M2292" s="3">
        <v>39.99</v>
      </c>
      <c r="N2292" s="3">
        <v>79.99</v>
      </c>
      <c r="O2292" s="2" t="s">
        <v>245</v>
      </c>
      <c r="P2292" s="2" t="s">
        <v>238</v>
      </c>
      <c r="Q2292" s="2" t="s">
        <v>239</v>
      </c>
      <c r="R2292" s="2" t="s">
        <v>233</v>
      </c>
      <c r="S2292" s="2" t="s">
        <v>10224</v>
      </c>
      <c r="T2292" s="2" t="s">
        <v>9658</v>
      </c>
      <c r="U2292" s="2" t="s">
        <v>342</v>
      </c>
      <c r="V2292" s="2" t="s">
        <v>241</v>
      </c>
      <c r="W2292" s="2" t="s">
        <v>705</v>
      </c>
      <c r="X2292" s="2" t="s">
        <v>233</v>
      </c>
      <c r="Y2292" s="2" t="s">
        <v>233</v>
      </c>
      <c r="Z2292" s="4"/>
      <c r="AA2292" s="4">
        <f>=ROUNDDOWN({0},0)</f>
      </c>
      <c r="AB2292" s="5"/>
      <c r="AC2292" s="2" t="s">
        <v>3255</v>
      </c>
      <c r="AD2292" s="4">
        <v>150</v>
      </c>
      <c r="AE2292" s="4">
        <v>370</v>
      </c>
      <c r="AF2292" s="6">
        <v>65</v>
      </c>
      <c r="AG2292" s="6"/>
      <c r="AH2292" s="7">
        <v>0</v>
      </c>
      <c r="AI2292" s="4"/>
      <c r="AJ2292" s="4">
        <f>=ROUNDDOWN({0},0)</f>
      </c>
      <c r="AK2292" s="5"/>
      <c r="AL2292" s="2" t="s">
        <v>233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233</v>
      </c>
      <c r="AW2292" s="8" t="s">
        <v>233</v>
      </c>
      <c r="AX2292" s="4" t="s">
        <v>233</v>
      </c>
      <c r="AY2292" s="8" t="s">
        <v>233</v>
      </c>
      <c r="AZ2292" s="7" t="s">
        <v>233</v>
      </c>
      <c r="BA2292" s="7" t="s">
        <v>233</v>
      </c>
      <c r="BB2292" s="7"/>
      <c r="BC2292" s="4" t="s">
        <v>233</v>
      </c>
      <c r="BD2292" s="8" t="s">
        <v>233</v>
      </c>
      <c r="BE2292" s="4" t="s">
        <v>233</v>
      </c>
      <c r="BF2292" s="8" t="s">
        <v>233</v>
      </c>
      <c r="BG2292" s="7" t="s">
        <v>233</v>
      </c>
      <c r="BH2292" s="7" t="s">
        <v>233</v>
      </c>
      <c r="BI2292" s="7"/>
      <c r="BJ2292" s="4"/>
      <c r="BK2292" s="8"/>
      <c r="BL2292" s="2" t="s">
        <v>233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243</v>
      </c>
      <c r="BV2292" s="2" t="s">
        <v>233</v>
      </c>
      <c r="BW2292" s="2" t="s">
        <v>233</v>
      </c>
      <c r="BX2292" s="2" t="s">
        <v>243</v>
      </c>
      <c r="BY2292" s="2" t="s">
        <v>244</v>
      </c>
      <c r="BZ2292" s="2" t="s">
        <v>245</v>
      </c>
      <c r="CA2292" s="2" t="s">
        <v>233</v>
      </c>
      <c r="CB2292" s="2" t="s">
        <v>233</v>
      </c>
      <c r="CC2292" s="2" t="s">
        <v>246</v>
      </c>
      <c r="CD2292" s="2" t="s">
        <v>233</v>
      </c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>
        <v>150</v>
      </c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>
        <v>220</v>
      </c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/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  <c r="HF2292" s="4"/>
      <c r="HG2292" s="4"/>
      <c r="HH2292" s="4"/>
      <c r="HI2292" s="4"/>
      <c r="HJ2292" s="4"/>
      <c r="HK2292" s="4"/>
      <c r="HL2292" s="4"/>
      <c r="HM2292" s="4"/>
      <c r="HN2292" s="4"/>
      <c r="HO2292" s="4"/>
      <c r="HP2292" s="4"/>
      <c r="HQ2292" s="4"/>
      <c r="HR2292" s="4"/>
    </row>
    <row r="2293">
      <c r="A2293" s="2" t="s">
        <v>10226</v>
      </c>
      <c r="B2293" s="2" t="s">
        <v>264</v>
      </c>
      <c r="C2293" s="2" t="s">
        <v>334</v>
      </c>
      <c r="D2293" s="2" t="s">
        <v>969</v>
      </c>
      <c r="E2293" s="2" t="s">
        <v>1078</v>
      </c>
      <c r="F2293" s="2" t="s">
        <v>10223</v>
      </c>
      <c r="G2293" s="2" t="s">
        <v>10223</v>
      </c>
      <c r="H2293" s="2" t="s">
        <v>10223</v>
      </c>
      <c r="I2293" s="2" t="s">
        <v>1082</v>
      </c>
      <c r="J2293" s="2" t="s">
        <v>981</v>
      </c>
      <c r="K2293" s="2" t="s">
        <v>255</v>
      </c>
      <c r="L2293" s="3">
        <v>33.33</v>
      </c>
      <c r="M2293" s="3">
        <v>35</v>
      </c>
      <c r="N2293" s="3">
        <v>69.99</v>
      </c>
      <c r="O2293" s="2" t="s">
        <v>245</v>
      </c>
      <c r="P2293" s="2" t="s">
        <v>238</v>
      </c>
      <c r="Q2293" s="2" t="s">
        <v>239</v>
      </c>
      <c r="R2293" s="2" t="s">
        <v>233</v>
      </c>
      <c r="S2293" s="2" t="s">
        <v>10227</v>
      </c>
      <c r="T2293" s="2" t="s">
        <v>9658</v>
      </c>
      <c r="U2293" s="2" t="s">
        <v>342</v>
      </c>
      <c r="V2293" s="2" t="s">
        <v>241</v>
      </c>
      <c r="W2293" s="2" t="s">
        <v>705</v>
      </c>
      <c r="X2293" s="2" t="s">
        <v>233</v>
      </c>
      <c r="Y2293" s="2" t="s">
        <v>233</v>
      </c>
      <c r="Z2293" s="4"/>
      <c r="AA2293" s="4">
        <f>=ROUNDDOWN({0},0)</f>
      </c>
      <c r="AB2293" s="5"/>
      <c r="AC2293" s="2" t="s">
        <v>3255</v>
      </c>
      <c r="AD2293" s="4">
        <v>170</v>
      </c>
      <c r="AE2293" s="4">
        <v>430</v>
      </c>
      <c r="AF2293" s="6">
        <v>65</v>
      </c>
      <c r="AG2293" s="6"/>
      <c r="AH2293" s="7">
        <v>0</v>
      </c>
      <c r="AI2293" s="4"/>
      <c r="AJ2293" s="4">
        <f>=ROUNDDOWN({0},0)</f>
      </c>
      <c r="AK2293" s="5"/>
      <c r="AL2293" s="2" t="s">
        <v>233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233</v>
      </c>
      <c r="AW2293" s="8" t="s">
        <v>233</v>
      </c>
      <c r="AX2293" s="4" t="s">
        <v>233</v>
      </c>
      <c r="AY2293" s="8" t="s">
        <v>233</v>
      </c>
      <c r="AZ2293" s="7" t="s">
        <v>233</v>
      </c>
      <c r="BA2293" s="7" t="s">
        <v>233</v>
      </c>
      <c r="BB2293" s="7"/>
      <c r="BC2293" s="4" t="s">
        <v>233</v>
      </c>
      <c r="BD2293" s="8" t="s">
        <v>233</v>
      </c>
      <c r="BE2293" s="4" t="s">
        <v>233</v>
      </c>
      <c r="BF2293" s="8" t="s">
        <v>233</v>
      </c>
      <c r="BG2293" s="7" t="s">
        <v>233</v>
      </c>
      <c r="BH2293" s="7" t="s">
        <v>233</v>
      </c>
      <c r="BI2293" s="7"/>
      <c r="BJ2293" s="4"/>
      <c r="BK2293" s="8"/>
      <c r="BL2293" s="2" t="s">
        <v>233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243</v>
      </c>
      <c r="BV2293" s="2" t="s">
        <v>233</v>
      </c>
      <c r="BW2293" s="2" t="s">
        <v>233</v>
      </c>
      <c r="BX2293" s="2" t="s">
        <v>243</v>
      </c>
      <c r="BY2293" s="2" t="s">
        <v>244</v>
      </c>
      <c r="BZ2293" s="2" t="s">
        <v>245</v>
      </c>
      <c r="CA2293" s="2" t="s">
        <v>233</v>
      </c>
      <c r="CB2293" s="2" t="s">
        <v>233</v>
      </c>
      <c r="CC2293" s="2" t="s">
        <v>246</v>
      </c>
      <c r="CD2293" s="2" t="s">
        <v>233</v>
      </c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>
        <v>170</v>
      </c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>
        <v>260</v>
      </c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/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  <c r="HF2293" s="4"/>
      <c r="HG2293" s="4"/>
      <c r="HH2293" s="4"/>
      <c r="HI2293" s="4"/>
      <c r="HJ2293" s="4"/>
      <c r="HK2293" s="4"/>
      <c r="HL2293" s="4"/>
      <c r="HM2293" s="4"/>
      <c r="HN2293" s="4"/>
      <c r="HO2293" s="4"/>
      <c r="HP2293" s="4"/>
      <c r="HQ2293" s="4"/>
      <c r="HR2293" s="4"/>
    </row>
    <row r="2294">
      <c r="A2294" s="2" t="s">
        <v>10228</v>
      </c>
      <c r="B2294" s="2" t="s">
        <v>264</v>
      </c>
      <c r="C2294" s="2" t="s">
        <v>334</v>
      </c>
      <c r="D2294" s="2" t="s">
        <v>969</v>
      </c>
      <c r="E2294" s="2" t="s">
        <v>1078</v>
      </c>
      <c r="F2294" s="2" t="s">
        <v>10223</v>
      </c>
      <c r="G2294" s="2" t="s">
        <v>10223</v>
      </c>
      <c r="H2294" s="2" t="s">
        <v>10223</v>
      </c>
      <c r="I2294" s="2" t="s">
        <v>1082</v>
      </c>
      <c r="J2294" s="2" t="s">
        <v>1142</v>
      </c>
      <c r="K2294" s="2" t="s">
        <v>255</v>
      </c>
      <c r="L2294" s="3">
        <v>38.09</v>
      </c>
      <c r="M2294" s="3">
        <v>39.99</v>
      </c>
      <c r="N2294" s="3">
        <v>79.99</v>
      </c>
      <c r="O2294" s="2" t="s">
        <v>245</v>
      </c>
      <c r="P2294" s="2" t="s">
        <v>238</v>
      </c>
      <c r="Q2294" s="2" t="s">
        <v>239</v>
      </c>
      <c r="R2294" s="2" t="s">
        <v>233</v>
      </c>
      <c r="S2294" s="2" t="s">
        <v>10227</v>
      </c>
      <c r="T2294" s="2" t="s">
        <v>9658</v>
      </c>
      <c r="U2294" s="2" t="s">
        <v>342</v>
      </c>
      <c r="V2294" s="2" t="s">
        <v>241</v>
      </c>
      <c r="W2294" s="2" t="s">
        <v>705</v>
      </c>
      <c r="X2294" s="2" t="s">
        <v>233</v>
      </c>
      <c r="Y2294" s="2" t="s">
        <v>233</v>
      </c>
      <c r="Z2294" s="4"/>
      <c r="AA2294" s="4">
        <f>=ROUNDDOWN({0},0)</f>
      </c>
      <c r="AB2294" s="5"/>
      <c r="AC2294" s="2" t="s">
        <v>3255</v>
      </c>
      <c r="AD2294" s="4">
        <v>150</v>
      </c>
      <c r="AE2294" s="4">
        <v>370</v>
      </c>
      <c r="AF2294" s="6">
        <v>65</v>
      </c>
      <c r="AG2294" s="6"/>
      <c r="AH2294" s="7">
        <v>0</v>
      </c>
      <c r="AI2294" s="4"/>
      <c r="AJ2294" s="4">
        <f>=ROUNDDOWN({0},0)</f>
      </c>
      <c r="AK2294" s="5"/>
      <c r="AL2294" s="2" t="s">
        <v>233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233</v>
      </c>
      <c r="AW2294" s="8" t="s">
        <v>233</v>
      </c>
      <c r="AX2294" s="4" t="s">
        <v>233</v>
      </c>
      <c r="AY2294" s="8" t="s">
        <v>233</v>
      </c>
      <c r="AZ2294" s="7" t="s">
        <v>233</v>
      </c>
      <c r="BA2294" s="7" t="s">
        <v>233</v>
      </c>
      <c r="BB2294" s="7"/>
      <c r="BC2294" s="4" t="s">
        <v>233</v>
      </c>
      <c r="BD2294" s="8" t="s">
        <v>233</v>
      </c>
      <c r="BE2294" s="4" t="s">
        <v>233</v>
      </c>
      <c r="BF2294" s="8" t="s">
        <v>233</v>
      </c>
      <c r="BG2294" s="7" t="s">
        <v>233</v>
      </c>
      <c r="BH2294" s="7" t="s">
        <v>233</v>
      </c>
      <c r="BI2294" s="7"/>
      <c r="BJ2294" s="4"/>
      <c r="BK2294" s="8"/>
      <c r="BL2294" s="2" t="s">
        <v>233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243</v>
      </c>
      <c r="BV2294" s="2" t="s">
        <v>233</v>
      </c>
      <c r="BW2294" s="2" t="s">
        <v>233</v>
      </c>
      <c r="BX2294" s="2" t="s">
        <v>243</v>
      </c>
      <c r="BY2294" s="2" t="s">
        <v>244</v>
      </c>
      <c r="BZ2294" s="2" t="s">
        <v>245</v>
      </c>
      <c r="CA2294" s="2" t="s">
        <v>233</v>
      </c>
      <c r="CB2294" s="2" t="s">
        <v>233</v>
      </c>
      <c r="CC2294" s="2" t="s">
        <v>246</v>
      </c>
      <c r="CD2294" s="2" t="s">
        <v>233</v>
      </c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>
        <v>150</v>
      </c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>
        <v>220</v>
      </c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  <c r="HG2294" s="4"/>
      <c r="HH2294" s="4"/>
      <c r="HI2294" s="4"/>
      <c r="HJ2294" s="4"/>
      <c r="HK2294" s="4"/>
      <c r="HL2294" s="4"/>
      <c r="HM2294" s="4"/>
      <c r="HN2294" s="4"/>
      <c r="HO2294" s="4"/>
      <c r="HP2294" s="4"/>
      <c r="HQ2294" s="4"/>
      <c r="HR2294" s="4"/>
    </row>
    <row r="2295">
      <c r="A2295" s="2" t="s">
        <v>10229</v>
      </c>
      <c r="B2295" s="2" t="s">
        <v>264</v>
      </c>
      <c r="C2295" s="2" t="s">
        <v>334</v>
      </c>
      <c r="D2295" s="2" t="s">
        <v>969</v>
      </c>
      <c r="E2295" s="2" t="s">
        <v>1078</v>
      </c>
      <c r="F2295" s="2" t="s">
        <v>10223</v>
      </c>
      <c r="G2295" s="2" t="s">
        <v>10223</v>
      </c>
      <c r="H2295" s="2" t="s">
        <v>10223</v>
      </c>
      <c r="I2295" s="2" t="s">
        <v>1082</v>
      </c>
      <c r="J2295" s="2" t="s">
        <v>981</v>
      </c>
      <c r="K2295" s="2" t="s">
        <v>569</v>
      </c>
      <c r="L2295" s="3">
        <v>33.33</v>
      </c>
      <c r="M2295" s="3">
        <v>35</v>
      </c>
      <c r="N2295" s="3">
        <v>69.99</v>
      </c>
      <c r="O2295" s="2" t="s">
        <v>245</v>
      </c>
      <c r="P2295" s="2" t="s">
        <v>238</v>
      </c>
      <c r="Q2295" s="2" t="s">
        <v>239</v>
      </c>
      <c r="R2295" s="2" t="s">
        <v>233</v>
      </c>
      <c r="S2295" s="2" t="s">
        <v>10230</v>
      </c>
      <c r="T2295" s="2" t="s">
        <v>9658</v>
      </c>
      <c r="U2295" s="2" t="s">
        <v>342</v>
      </c>
      <c r="V2295" s="2" t="s">
        <v>241</v>
      </c>
      <c r="W2295" s="2" t="s">
        <v>705</v>
      </c>
      <c r="X2295" s="2" t="s">
        <v>233</v>
      </c>
      <c r="Y2295" s="2" t="s">
        <v>233</v>
      </c>
      <c r="Z2295" s="4"/>
      <c r="AA2295" s="4">
        <f>=ROUNDDOWN({0},0)</f>
      </c>
      <c r="AB2295" s="5"/>
      <c r="AC2295" s="2" t="s">
        <v>3255</v>
      </c>
      <c r="AD2295" s="4">
        <v>340</v>
      </c>
      <c r="AE2295" s="4">
        <v>600</v>
      </c>
      <c r="AF2295" s="6">
        <v>65</v>
      </c>
      <c r="AG2295" s="6"/>
      <c r="AH2295" s="7">
        <v>0</v>
      </c>
      <c r="AI2295" s="4"/>
      <c r="AJ2295" s="4">
        <f>=ROUNDDOWN({0},0)</f>
      </c>
      <c r="AK2295" s="5"/>
      <c r="AL2295" s="2" t="s">
        <v>233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233</v>
      </c>
      <c r="AW2295" s="8" t="s">
        <v>233</v>
      </c>
      <c r="AX2295" s="4" t="s">
        <v>233</v>
      </c>
      <c r="AY2295" s="8" t="s">
        <v>233</v>
      </c>
      <c r="AZ2295" s="7" t="s">
        <v>233</v>
      </c>
      <c r="BA2295" s="7" t="s">
        <v>233</v>
      </c>
      <c r="BB2295" s="7"/>
      <c r="BC2295" s="4" t="s">
        <v>233</v>
      </c>
      <c r="BD2295" s="8" t="s">
        <v>233</v>
      </c>
      <c r="BE2295" s="4" t="s">
        <v>233</v>
      </c>
      <c r="BF2295" s="8" t="s">
        <v>233</v>
      </c>
      <c r="BG2295" s="7" t="s">
        <v>233</v>
      </c>
      <c r="BH2295" s="7" t="s">
        <v>233</v>
      </c>
      <c r="BI2295" s="7"/>
      <c r="BJ2295" s="4"/>
      <c r="BK2295" s="8"/>
      <c r="BL2295" s="2" t="s">
        <v>233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243</v>
      </c>
      <c r="BV2295" s="2" t="s">
        <v>233</v>
      </c>
      <c r="BW2295" s="2" t="s">
        <v>233</v>
      </c>
      <c r="BX2295" s="2" t="s">
        <v>243</v>
      </c>
      <c r="BY2295" s="2" t="s">
        <v>244</v>
      </c>
      <c r="BZ2295" s="2" t="s">
        <v>245</v>
      </c>
      <c r="CA2295" s="2" t="s">
        <v>233</v>
      </c>
      <c r="CB2295" s="2" t="s">
        <v>233</v>
      </c>
      <c r="CC2295" s="2" t="s">
        <v>246</v>
      </c>
      <c r="CD2295" s="2" t="s">
        <v>233</v>
      </c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>
        <v>340</v>
      </c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>
        <v>260</v>
      </c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  <c r="HF2295" s="4"/>
      <c r="HG2295" s="4"/>
      <c r="HH2295" s="4"/>
      <c r="HI2295" s="4"/>
      <c r="HJ2295" s="4"/>
      <c r="HK2295" s="4"/>
      <c r="HL2295" s="4"/>
      <c r="HM2295" s="4"/>
      <c r="HN2295" s="4"/>
      <c r="HO2295" s="4"/>
      <c r="HP2295" s="4"/>
      <c r="HQ2295" s="4"/>
      <c r="HR2295" s="4"/>
    </row>
    <row r="2296">
      <c r="A2296" s="2" t="s">
        <v>10231</v>
      </c>
      <c r="B2296" s="2" t="s">
        <v>264</v>
      </c>
      <c r="C2296" s="2" t="s">
        <v>334</v>
      </c>
      <c r="D2296" s="2" t="s">
        <v>969</v>
      </c>
      <c r="E2296" s="2" t="s">
        <v>1078</v>
      </c>
      <c r="F2296" s="2" t="s">
        <v>10223</v>
      </c>
      <c r="G2296" s="2" t="s">
        <v>10223</v>
      </c>
      <c r="H2296" s="2" t="s">
        <v>10223</v>
      </c>
      <c r="I2296" s="2" t="s">
        <v>1082</v>
      </c>
      <c r="J2296" s="2" t="s">
        <v>1142</v>
      </c>
      <c r="K2296" s="2" t="s">
        <v>569</v>
      </c>
      <c r="L2296" s="3">
        <v>38.09</v>
      </c>
      <c r="M2296" s="3">
        <v>39.99</v>
      </c>
      <c r="N2296" s="3">
        <v>79.99</v>
      </c>
      <c r="O2296" s="2" t="s">
        <v>245</v>
      </c>
      <c r="P2296" s="2" t="s">
        <v>238</v>
      </c>
      <c r="Q2296" s="2" t="s">
        <v>239</v>
      </c>
      <c r="R2296" s="2" t="s">
        <v>233</v>
      </c>
      <c r="S2296" s="2" t="s">
        <v>10230</v>
      </c>
      <c r="T2296" s="2" t="s">
        <v>9658</v>
      </c>
      <c r="U2296" s="2" t="s">
        <v>342</v>
      </c>
      <c r="V2296" s="2" t="s">
        <v>241</v>
      </c>
      <c r="W2296" s="2" t="s">
        <v>705</v>
      </c>
      <c r="X2296" s="2" t="s">
        <v>233</v>
      </c>
      <c r="Y2296" s="2" t="s">
        <v>233</v>
      </c>
      <c r="Z2296" s="4"/>
      <c r="AA2296" s="4">
        <f>=ROUNDDOWN({0},0)</f>
      </c>
      <c r="AB2296" s="5"/>
      <c r="AC2296" s="2" t="s">
        <v>3255</v>
      </c>
      <c r="AD2296" s="4">
        <v>150</v>
      </c>
      <c r="AE2296" s="4">
        <v>370</v>
      </c>
      <c r="AF2296" s="6">
        <v>65</v>
      </c>
      <c r="AG2296" s="6"/>
      <c r="AH2296" s="7">
        <v>0</v>
      </c>
      <c r="AI2296" s="4"/>
      <c r="AJ2296" s="4">
        <f>=ROUNDDOWN({0},0)</f>
      </c>
      <c r="AK2296" s="5"/>
      <c r="AL2296" s="2" t="s">
        <v>233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233</v>
      </c>
      <c r="AW2296" s="8" t="s">
        <v>233</v>
      </c>
      <c r="AX2296" s="4" t="s">
        <v>233</v>
      </c>
      <c r="AY2296" s="8" t="s">
        <v>233</v>
      </c>
      <c r="AZ2296" s="7" t="s">
        <v>233</v>
      </c>
      <c r="BA2296" s="7" t="s">
        <v>233</v>
      </c>
      <c r="BB2296" s="7"/>
      <c r="BC2296" s="4" t="s">
        <v>233</v>
      </c>
      <c r="BD2296" s="8" t="s">
        <v>233</v>
      </c>
      <c r="BE2296" s="4" t="s">
        <v>233</v>
      </c>
      <c r="BF2296" s="8" t="s">
        <v>233</v>
      </c>
      <c r="BG2296" s="7" t="s">
        <v>233</v>
      </c>
      <c r="BH2296" s="7" t="s">
        <v>233</v>
      </c>
      <c r="BI2296" s="7"/>
      <c r="BJ2296" s="4"/>
      <c r="BK2296" s="8"/>
      <c r="BL2296" s="2" t="s">
        <v>233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243</v>
      </c>
      <c r="BV2296" s="2" t="s">
        <v>233</v>
      </c>
      <c r="BW2296" s="2" t="s">
        <v>233</v>
      </c>
      <c r="BX2296" s="2" t="s">
        <v>243</v>
      </c>
      <c r="BY2296" s="2" t="s">
        <v>244</v>
      </c>
      <c r="BZ2296" s="2" t="s">
        <v>245</v>
      </c>
      <c r="CA2296" s="2" t="s">
        <v>233</v>
      </c>
      <c r="CB2296" s="2" t="s">
        <v>233</v>
      </c>
      <c r="CC2296" s="2" t="s">
        <v>246</v>
      </c>
      <c r="CD2296" s="2" t="s">
        <v>233</v>
      </c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>
        <v>150</v>
      </c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>
        <v>220</v>
      </c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  <c r="HF2296" s="4"/>
      <c r="HG2296" s="4"/>
      <c r="HH2296" s="4"/>
      <c r="HI2296" s="4"/>
      <c r="HJ2296" s="4"/>
      <c r="HK2296" s="4"/>
      <c r="HL2296" s="4"/>
      <c r="HM2296" s="4"/>
      <c r="HN2296" s="4"/>
      <c r="HO2296" s="4"/>
      <c r="HP2296" s="4"/>
      <c r="HQ2296" s="4"/>
      <c r="HR2296" s="4"/>
    </row>
    <row r="2297">
      <c r="A2297" s="2" t="s">
        <v>10232</v>
      </c>
      <c r="B2297" s="2" t="s">
        <v>228</v>
      </c>
      <c r="C2297" s="2" t="s">
        <v>530</v>
      </c>
      <c r="D2297" s="2" t="s">
        <v>969</v>
      </c>
      <c r="E2297" s="2" t="s">
        <v>970</v>
      </c>
      <c r="F2297" s="2" t="s">
        <v>10233</v>
      </c>
      <c r="G2297" s="2" t="s">
        <v>10234</v>
      </c>
      <c r="H2297" s="2" t="s">
        <v>10234</v>
      </c>
      <c r="I2297" s="2" t="s">
        <v>10235</v>
      </c>
      <c r="J2297" s="2" t="s">
        <v>981</v>
      </c>
      <c r="K2297" s="2" t="s">
        <v>569</v>
      </c>
      <c r="L2297" s="3">
        <v>42.85</v>
      </c>
      <c r="M2297" s="3">
        <v>44.99</v>
      </c>
      <c r="N2297" s="3">
        <v>89.99</v>
      </c>
      <c r="O2297" s="2" t="s">
        <v>237</v>
      </c>
      <c r="P2297" s="2" t="s">
        <v>311</v>
      </c>
      <c r="Q2297" s="2" t="s">
        <v>239</v>
      </c>
      <c r="R2297" s="2" t="s">
        <v>233</v>
      </c>
      <c r="S2297" s="2" t="s">
        <v>10236</v>
      </c>
      <c r="T2297" s="2" t="s">
        <v>976</v>
      </c>
      <c r="U2297" s="2" t="s">
        <v>475</v>
      </c>
      <c r="V2297" s="2" t="s">
        <v>241</v>
      </c>
      <c r="W2297" s="2" t="s">
        <v>705</v>
      </c>
      <c r="X2297" s="2" t="s">
        <v>10237</v>
      </c>
      <c r="Y2297" s="2" t="s">
        <v>2008</v>
      </c>
      <c r="Z2297" s="4">
        <v>241</v>
      </c>
      <c r="AA2297" s="4">
        <f>=ROUNDDOWN(80.3333333333333,0)</f>
      </c>
      <c r="AB2297" s="5">
        <v>3</v>
      </c>
      <c r="AC2297" s="2" t="s">
        <v>233</v>
      </c>
      <c r="AD2297" s="4"/>
      <c r="AE2297" s="4"/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233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233</v>
      </c>
      <c r="AW2297" s="8" t="s">
        <v>233</v>
      </c>
      <c r="AX2297" s="4" t="s">
        <v>233</v>
      </c>
      <c r="AY2297" s="8" t="s">
        <v>233</v>
      </c>
      <c r="AZ2297" s="7" t="s">
        <v>233</v>
      </c>
      <c r="BA2297" s="7" t="s">
        <v>233</v>
      </c>
      <c r="BB2297" s="7"/>
      <c r="BC2297" s="4" t="s">
        <v>233</v>
      </c>
      <c r="BD2297" s="8" t="s">
        <v>233</v>
      </c>
      <c r="BE2297" s="4" t="s">
        <v>233</v>
      </c>
      <c r="BF2297" s="8" t="s">
        <v>233</v>
      </c>
      <c r="BG2297" s="7" t="s">
        <v>233</v>
      </c>
      <c r="BH2297" s="7" t="s">
        <v>233</v>
      </c>
      <c r="BI2297" s="7"/>
      <c r="BJ2297" s="4">
        <v>2</v>
      </c>
      <c r="BK2297" s="8">
        <v>94.48</v>
      </c>
      <c r="BL2297" s="2" t="s">
        <v>2404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10238</v>
      </c>
      <c r="BV2297" s="2" t="s">
        <v>233</v>
      </c>
      <c r="BW2297" s="2" t="s">
        <v>233</v>
      </c>
      <c r="BX2297" s="2" t="s">
        <v>233</v>
      </c>
      <c r="BY2297" s="2" t="s">
        <v>280</v>
      </c>
      <c r="BZ2297" s="2" t="s">
        <v>245</v>
      </c>
      <c r="CA2297" s="2" t="s">
        <v>1357</v>
      </c>
      <c r="CB2297" s="2" t="s">
        <v>2115</v>
      </c>
      <c r="CC2297" s="2" t="s">
        <v>246</v>
      </c>
      <c r="CD2297" s="2" t="s">
        <v>233</v>
      </c>
      <c r="CE2297" s="4">
        <v>241</v>
      </c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/>
      <c r="HA2297" s="4"/>
      <c r="HB2297" s="4"/>
      <c r="HC2297" s="4"/>
      <c r="HD2297" s="4"/>
      <c r="HE2297" s="4"/>
      <c r="HF2297" s="4"/>
      <c r="HG2297" s="4"/>
      <c r="HH2297" s="4"/>
      <c r="HI2297" s="4"/>
      <c r="HJ2297" s="4"/>
      <c r="HK2297" s="4"/>
      <c r="HL2297" s="4"/>
      <c r="HM2297" s="4"/>
      <c r="HN2297" s="4"/>
      <c r="HO2297" s="4"/>
      <c r="HP2297" s="4"/>
      <c r="HQ2297" s="4"/>
      <c r="HR2297" s="4"/>
    </row>
    <row r="2298">
      <c r="A2298" s="2" t="s">
        <v>10239</v>
      </c>
      <c r="B2298" s="2" t="s">
        <v>228</v>
      </c>
      <c r="C2298" s="2" t="s">
        <v>530</v>
      </c>
      <c r="D2298" s="2" t="s">
        <v>969</v>
      </c>
      <c r="E2298" s="2" t="s">
        <v>970</v>
      </c>
      <c r="F2298" s="2" t="s">
        <v>10233</v>
      </c>
      <c r="G2298" s="2" t="s">
        <v>10234</v>
      </c>
      <c r="H2298" s="2" t="s">
        <v>10234</v>
      </c>
      <c r="I2298" s="2" t="s">
        <v>10235</v>
      </c>
      <c r="J2298" s="2" t="s">
        <v>1142</v>
      </c>
      <c r="K2298" s="2" t="s">
        <v>569</v>
      </c>
      <c r="L2298" s="3">
        <v>47.61</v>
      </c>
      <c r="M2298" s="3">
        <v>49.99</v>
      </c>
      <c r="N2298" s="3">
        <v>99.99</v>
      </c>
      <c r="O2298" s="2" t="s">
        <v>237</v>
      </c>
      <c r="P2298" s="2" t="s">
        <v>311</v>
      </c>
      <c r="Q2298" s="2" t="s">
        <v>239</v>
      </c>
      <c r="R2298" s="2" t="s">
        <v>233</v>
      </c>
      <c r="S2298" s="2" t="s">
        <v>10236</v>
      </c>
      <c r="T2298" s="2" t="s">
        <v>976</v>
      </c>
      <c r="U2298" s="2" t="s">
        <v>475</v>
      </c>
      <c r="V2298" s="2" t="s">
        <v>241</v>
      </c>
      <c r="W2298" s="2" t="s">
        <v>705</v>
      </c>
      <c r="X2298" s="2" t="s">
        <v>10237</v>
      </c>
      <c r="Y2298" s="2" t="s">
        <v>2008</v>
      </c>
      <c r="Z2298" s="4">
        <v>114</v>
      </c>
      <c r="AA2298" s="4">
        <f>=ROUNDDOWN(10.3636363636364,0)</f>
      </c>
      <c r="AB2298" s="5">
        <v>11</v>
      </c>
      <c r="AC2298" s="2" t="s">
        <v>233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233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233</v>
      </c>
      <c r="AW2298" s="8" t="s">
        <v>233</v>
      </c>
      <c r="AX2298" s="4" t="s">
        <v>233</v>
      </c>
      <c r="AY2298" s="8" t="s">
        <v>233</v>
      </c>
      <c r="AZ2298" s="7" t="s">
        <v>233</v>
      </c>
      <c r="BA2298" s="7" t="s">
        <v>233</v>
      </c>
      <c r="BB2298" s="7"/>
      <c r="BC2298" s="4" t="s">
        <v>233</v>
      </c>
      <c r="BD2298" s="8" t="s">
        <v>233</v>
      </c>
      <c r="BE2298" s="4" t="s">
        <v>233</v>
      </c>
      <c r="BF2298" s="8" t="s">
        <v>233</v>
      </c>
      <c r="BG2298" s="7" t="s">
        <v>233</v>
      </c>
      <c r="BH2298" s="7" t="s">
        <v>233</v>
      </c>
      <c r="BI2298" s="7"/>
      <c r="BJ2298" s="4">
        <v>1</v>
      </c>
      <c r="BK2298" s="8">
        <v>52.49</v>
      </c>
      <c r="BL2298" s="2" t="s">
        <v>2404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10240</v>
      </c>
      <c r="BV2298" s="2" t="s">
        <v>233</v>
      </c>
      <c r="BW2298" s="2" t="s">
        <v>233</v>
      </c>
      <c r="BX2298" s="2" t="s">
        <v>233</v>
      </c>
      <c r="BY2298" s="2" t="s">
        <v>280</v>
      </c>
      <c r="BZ2298" s="2" t="s">
        <v>245</v>
      </c>
      <c r="CA2298" s="2" t="s">
        <v>1357</v>
      </c>
      <c r="CB2298" s="2" t="s">
        <v>3238</v>
      </c>
      <c r="CC2298" s="2" t="s">
        <v>246</v>
      </c>
      <c r="CD2298" s="2" t="s">
        <v>233</v>
      </c>
      <c r="CE2298" s="4">
        <v>114</v>
      </c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/>
      <c r="HA2298" s="4"/>
      <c r="HB2298" s="4"/>
      <c r="HC2298" s="4"/>
      <c r="HD2298" s="4"/>
      <c r="HE2298" s="4"/>
      <c r="HF2298" s="4"/>
      <c r="HG2298" s="4"/>
      <c r="HH2298" s="4"/>
      <c r="HI2298" s="4"/>
      <c r="HJ2298" s="4"/>
      <c r="HK2298" s="4"/>
      <c r="HL2298" s="4"/>
      <c r="HM2298" s="4"/>
      <c r="HN2298" s="4"/>
      <c r="HO2298" s="4"/>
      <c r="HP2298" s="4"/>
      <c r="HQ2298" s="4"/>
      <c r="HR2298" s="4"/>
    </row>
    <row r="2299">
      <c r="A2299" s="2" t="s">
        <v>10241</v>
      </c>
      <c r="B2299" s="2" t="s">
        <v>1066</v>
      </c>
      <c r="C2299" s="2" t="s">
        <v>901</v>
      </c>
      <c r="D2299" s="2" t="s">
        <v>1067</v>
      </c>
      <c r="E2299" s="2" t="s">
        <v>1068</v>
      </c>
      <c r="F2299" s="2" t="s">
        <v>10242</v>
      </c>
      <c r="G2299" s="2" t="s">
        <v>10242</v>
      </c>
      <c r="H2299" s="2" t="s">
        <v>233</v>
      </c>
      <c r="I2299" s="2" t="s">
        <v>2650</v>
      </c>
      <c r="J2299" s="2" t="s">
        <v>892</v>
      </c>
      <c r="K2299" s="2" t="s">
        <v>10243</v>
      </c>
      <c r="L2299" s="3">
        <v>194.75</v>
      </c>
      <c r="M2299" s="3">
        <v>204.49</v>
      </c>
      <c r="N2299" s="3">
        <v>409</v>
      </c>
      <c r="O2299" s="2" t="s">
        <v>245</v>
      </c>
      <c r="P2299" s="2" t="s">
        <v>393</v>
      </c>
      <c r="Q2299" s="2" t="s">
        <v>239</v>
      </c>
      <c r="R2299" s="2" t="s">
        <v>233</v>
      </c>
      <c r="S2299" s="2" t="s">
        <v>10244</v>
      </c>
      <c r="T2299" s="2" t="s">
        <v>233</v>
      </c>
      <c r="U2299" s="2" t="s">
        <v>233</v>
      </c>
      <c r="V2299" s="2" t="s">
        <v>241</v>
      </c>
      <c r="W2299" s="2" t="s">
        <v>776</v>
      </c>
      <c r="X2299" s="2" t="s">
        <v>233</v>
      </c>
      <c r="Y2299" s="2" t="s">
        <v>276</v>
      </c>
      <c r="Z2299" s="4">
        <v>54</v>
      </c>
      <c r="AA2299" s="4">
        <f>=ROUNDDOWN(27,0)</f>
      </c>
      <c r="AB2299" s="5">
        <v>2</v>
      </c>
      <c r="AC2299" s="2" t="s">
        <v>547</v>
      </c>
      <c r="AD2299" s="4">
        <v>102</v>
      </c>
      <c r="AE2299" s="4">
        <v>102</v>
      </c>
      <c r="AF2299" s="6">
        <v>66</v>
      </c>
      <c r="AG2299" s="6">
        <v>49</v>
      </c>
      <c r="AH2299" s="7">
        <v>1</v>
      </c>
      <c r="AI2299" s="4"/>
      <c r="AJ2299" s="4">
        <f>=ROUNDDOWN({0},0)</f>
      </c>
      <c r="AK2299" s="5"/>
      <c r="AL2299" s="2" t="s">
        <v>233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/>
      <c r="BD2299" s="8"/>
      <c r="BE2299" s="4"/>
      <c r="BF2299" s="8"/>
      <c r="BG2299" s="7"/>
      <c r="BH2299" s="7"/>
      <c r="BI2299" s="7"/>
      <c r="BJ2299" s="4">
        <v>6</v>
      </c>
      <c r="BK2299" s="8">
        <v>1139.1</v>
      </c>
      <c r="BL2299" s="2" t="s">
        <v>10245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10246</v>
      </c>
      <c r="BV2299" s="2" t="s">
        <v>233</v>
      </c>
      <c r="BW2299" s="2" t="s">
        <v>233</v>
      </c>
      <c r="BX2299" s="2" t="s">
        <v>233</v>
      </c>
      <c r="BY2299" s="2" t="s">
        <v>280</v>
      </c>
      <c r="BZ2299" s="2" t="s">
        <v>245</v>
      </c>
      <c r="CA2299" s="2" t="s">
        <v>10247</v>
      </c>
      <c r="CB2299" s="2" t="s">
        <v>10248</v>
      </c>
      <c r="CC2299" s="2" t="s">
        <v>246</v>
      </c>
      <c r="CD2299" s="2" t="s">
        <v>233</v>
      </c>
      <c r="CE2299" s="4"/>
      <c r="CF2299" s="4">
        <v>54</v>
      </c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>
        <v>102</v>
      </c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  <c r="HF2299" s="4"/>
      <c r="HG2299" s="4"/>
      <c r="HH2299" s="4"/>
      <c r="HI2299" s="4"/>
      <c r="HJ2299" s="4"/>
      <c r="HK2299" s="4"/>
      <c r="HL2299" s="4"/>
      <c r="HM2299" s="4"/>
      <c r="HN2299" s="4"/>
      <c r="HO2299" s="4"/>
      <c r="HP2299" s="4"/>
      <c r="HQ2299" s="4"/>
      <c r="HR2299" s="4"/>
    </row>
    <row r="2300">
      <c r="A2300" s="2" t="s">
        <v>10249</v>
      </c>
      <c r="B2300" s="2" t="s">
        <v>1066</v>
      </c>
      <c r="C2300" s="2" t="s">
        <v>901</v>
      </c>
      <c r="D2300" s="2" t="s">
        <v>2140</v>
      </c>
      <c r="E2300" s="2" t="s">
        <v>4141</v>
      </c>
      <c r="F2300" s="2" t="s">
        <v>10250</v>
      </c>
      <c r="G2300" s="2" t="s">
        <v>10250</v>
      </c>
      <c r="H2300" s="2" t="s">
        <v>10250</v>
      </c>
      <c r="I2300" s="2" t="s">
        <v>10251</v>
      </c>
      <c r="J2300" s="2" t="s">
        <v>892</v>
      </c>
      <c r="K2300" s="2" t="s">
        <v>1537</v>
      </c>
      <c r="L2300" s="3">
        <v>270.75</v>
      </c>
      <c r="M2300" s="3">
        <v>284.29</v>
      </c>
      <c r="N2300" s="3">
        <v>579</v>
      </c>
      <c r="O2300" s="2" t="s">
        <v>245</v>
      </c>
      <c r="P2300" s="2" t="s">
        <v>393</v>
      </c>
      <c r="Q2300" s="2" t="s">
        <v>239</v>
      </c>
      <c r="R2300" s="2" t="s">
        <v>233</v>
      </c>
      <c r="S2300" s="2" t="s">
        <v>233</v>
      </c>
      <c r="T2300" s="2" t="s">
        <v>233</v>
      </c>
      <c r="U2300" s="2" t="s">
        <v>396</v>
      </c>
      <c r="V2300" s="2" t="s">
        <v>893</v>
      </c>
      <c r="W2300" s="2" t="s">
        <v>451</v>
      </c>
      <c r="X2300" s="2" t="s">
        <v>1763</v>
      </c>
      <c r="Y2300" s="2" t="s">
        <v>2545</v>
      </c>
      <c r="Z2300" s="4">
        <v>63</v>
      </c>
      <c r="AA2300" s="4">
        <f>=ROUNDDOWN(31.5,0)</f>
      </c>
      <c r="AB2300" s="5">
        <v>2</v>
      </c>
      <c r="AC2300" s="2" t="s">
        <v>233</v>
      </c>
      <c r="AD2300" s="4"/>
      <c r="AE2300" s="4"/>
      <c r="AF2300" s="6">
        <v>76</v>
      </c>
      <c r="AG2300" s="6"/>
      <c r="AH2300" s="7">
        <v>1</v>
      </c>
      <c r="AI2300" s="4"/>
      <c r="AJ2300" s="4">
        <f>=ROUNDDOWN({0},0)</f>
      </c>
      <c r="AK2300" s="5"/>
      <c r="AL2300" s="2" t="s">
        <v>233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/>
      <c r="BD2300" s="8"/>
      <c r="BE2300" s="4"/>
      <c r="BF2300" s="8"/>
      <c r="BG2300" s="7"/>
      <c r="BH2300" s="7"/>
      <c r="BI2300" s="7"/>
      <c r="BJ2300" s="4">
        <v>7</v>
      </c>
      <c r="BK2300" s="8">
        <v>1950.95</v>
      </c>
      <c r="BL2300" s="2" t="s">
        <v>1023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10252</v>
      </c>
      <c r="BV2300" s="2" t="s">
        <v>233</v>
      </c>
      <c r="BW2300" s="2" t="s">
        <v>233</v>
      </c>
      <c r="BX2300" s="2" t="s">
        <v>243</v>
      </c>
      <c r="BY2300" s="2" t="s">
        <v>280</v>
      </c>
      <c r="BZ2300" s="2" t="s">
        <v>245</v>
      </c>
      <c r="CA2300" s="2" t="s">
        <v>10253</v>
      </c>
      <c r="CB2300" s="2" t="s">
        <v>5722</v>
      </c>
      <c r="CC2300" s="2" t="s">
        <v>246</v>
      </c>
      <c r="CD2300" s="2" t="s">
        <v>233</v>
      </c>
      <c r="CE2300" s="4"/>
      <c r="CF2300" s="4">
        <v>63</v>
      </c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/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  <c r="HF2300" s="4"/>
      <c r="HG2300" s="4"/>
      <c r="HH2300" s="4"/>
      <c r="HI2300" s="4"/>
      <c r="HJ2300" s="4"/>
      <c r="HK2300" s="4"/>
      <c r="HL2300" s="4"/>
      <c r="HM2300" s="4"/>
      <c r="HN2300" s="4"/>
      <c r="HO2300" s="4"/>
      <c r="HP2300" s="4"/>
      <c r="HQ2300" s="4"/>
      <c r="HR2300" s="4"/>
    </row>
    <row r="2301">
      <c r="A2301" s="2" t="s">
        <v>10254</v>
      </c>
      <c r="B2301" s="2" t="s">
        <v>928</v>
      </c>
      <c r="C2301" s="2" t="s">
        <v>911</v>
      </c>
      <c r="D2301" s="2" t="s">
        <v>961</v>
      </c>
      <c r="E2301" s="2" t="s">
        <v>2028</v>
      </c>
      <c r="F2301" s="2" t="s">
        <v>10255</v>
      </c>
      <c r="G2301" s="2" t="s">
        <v>10255</v>
      </c>
      <c r="H2301" s="2" t="s">
        <v>10255</v>
      </c>
      <c r="I2301" s="2" t="s">
        <v>10256</v>
      </c>
      <c r="J2301" s="2" t="s">
        <v>892</v>
      </c>
      <c r="K2301" s="2" t="s">
        <v>271</v>
      </c>
      <c r="L2301" s="3">
        <v>13.5</v>
      </c>
      <c r="M2301" s="3">
        <v>14.18</v>
      </c>
      <c r="N2301" s="3">
        <v>29.99</v>
      </c>
      <c r="O2301" s="2" t="s">
        <v>252</v>
      </c>
      <c r="P2301" s="2" t="s">
        <v>311</v>
      </c>
      <c r="Q2301" s="2" t="s">
        <v>239</v>
      </c>
      <c r="R2301" s="2" t="s">
        <v>233</v>
      </c>
      <c r="S2301" s="2" t="s">
        <v>10257</v>
      </c>
      <c r="T2301" s="2" t="s">
        <v>233</v>
      </c>
      <c r="U2301" s="2" t="s">
        <v>475</v>
      </c>
      <c r="V2301" s="2" t="s">
        <v>3951</v>
      </c>
      <c r="W2301" s="2" t="s">
        <v>275</v>
      </c>
      <c r="X2301" s="2" t="s">
        <v>233</v>
      </c>
      <c r="Y2301" s="2" t="s">
        <v>8376</v>
      </c>
      <c r="Z2301" s="4"/>
      <c r="AA2301" s="4">
        <f>=ROUNDDOWN({0},0)</f>
      </c>
      <c r="AB2301" s="5"/>
      <c r="AC2301" s="2" t="s">
        <v>233</v>
      </c>
      <c r="AD2301" s="4"/>
      <c r="AE2301" s="4"/>
      <c r="AF2301" s="6"/>
      <c r="AG2301" s="6"/>
      <c r="AH2301" s="7">
        <v>0</v>
      </c>
      <c r="AI2301" s="4"/>
      <c r="AJ2301" s="4">
        <f>=ROUNDDOWN({0},0)</f>
      </c>
      <c r="AK2301" s="5"/>
      <c r="AL2301" s="2" t="s">
        <v>233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/>
      <c r="BD2301" s="8"/>
      <c r="BE2301" s="4"/>
      <c r="BF2301" s="8"/>
      <c r="BG2301" s="7"/>
      <c r="BH2301" s="7"/>
      <c r="BI2301" s="7"/>
      <c r="BJ2301" s="4"/>
      <c r="BK2301" s="8"/>
      <c r="BL2301" s="2" t="s">
        <v>233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10258</v>
      </c>
      <c r="BV2301" s="2" t="s">
        <v>233</v>
      </c>
      <c r="BW2301" s="2" t="s">
        <v>233</v>
      </c>
      <c r="BX2301" s="2" t="s">
        <v>233</v>
      </c>
      <c r="BY2301" s="2" t="s">
        <v>280</v>
      </c>
      <c r="BZ2301" s="2" t="s">
        <v>245</v>
      </c>
      <c r="CA2301" s="2" t="s">
        <v>10259</v>
      </c>
      <c r="CB2301" s="2" t="s">
        <v>10260</v>
      </c>
      <c r="CC2301" s="2" t="s">
        <v>246</v>
      </c>
      <c r="CD2301" s="2" t="s">
        <v>233</v>
      </c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  <c r="HG2301" s="4"/>
      <c r="HH2301" s="4"/>
      <c r="HI2301" s="4"/>
      <c r="HJ2301" s="4"/>
      <c r="HK2301" s="4"/>
      <c r="HL2301" s="4"/>
      <c r="HM2301" s="4"/>
      <c r="HN2301" s="4"/>
      <c r="HO2301" s="4"/>
      <c r="HP2301" s="4"/>
      <c r="HQ2301" s="4"/>
      <c r="HR2301" s="4"/>
    </row>
    <row r="2302">
      <c r="A2302" s="2" t="s">
        <v>10261</v>
      </c>
      <c r="B2302" s="2" t="s">
        <v>1242</v>
      </c>
      <c r="C2302" s="2" t="s">
        <v>530</v>
      </c>
      <c r="D2302" s="2" t="s">
        <v>912</v>
      </c>
      <c r="E2302" s="2" t="s">
        <v>913</v>
      </c>
      <c r="F2302" s="2" t="s">
        <v>7328</v>
      </c>
      <c r="G2302" s="2" t="s">
        <v>10262</v>
      </c>
      <c r="H2302" s="2" t="s">
        <v>6681</v>
      </c>
      <c r="I2302" s="2" t="s">
        <v>10263</v>
      </c>
      <c r="J2302" s="2" t="s">
        <v>328</v>
      </c>
      <c r="K2302" s="2" t="s">
        <v>255</v>
      </c>
      <c r="L2302" s="3">
        <v>59.99</v>
      </c>
      <c r="M2302" s="3">
        <v>62.99</v>
      </c>
      <c r="N2302" s="3">
        <v>119.99</v>
      </c>
      <c r="O2302" s="2" t="s">
        <v>245</v>
      </c>
      <c r="P2302" s="2" t="s">
        <v>393</v>
      </c>
      <c r="Q2302" s="2" t="s">
        <v>239</v>
      </c>
      <c r="R2302" s="2" t="s">
        <v>233</v>
      </c>
      <c r="S2302" s="2" t="s">
        <v>10264</v>
      </c>
      <c r="T2302" s="2" t="s">
        <v>233</v>
      </c>
      <c r="U2302" s="2" t="s">
        <v>871</v>
      </c>
      <c r="V2302" s="2" t="s">
        <v>1272</v>
      </c>
      <c r="W2302" s="2" t="s">
        <v>451</v>
      </c>
      <c r="X2302" s="2" t="s">
        <v>1509</v>
      </c>
      <c r="Y2302" s="2" t="s">
        <v>276</v>
      </c>
      <c r="Z2302" s="4">
        <v>15</v>
      </c>
      <c r="AA2302" s="4">
        <f>=ROUNDDOWN(4.83870967741935,0)</f>
      </c>
      <c r="AB2302" s="5">
        <v>3.1</v>
      </c>
      <c r="AC2302" s="2" t="s">
        <v>795</v>
      </c>
      <c r="AD2302" s="4">
        <v>21</v>
      </c>
      <c r="AE2302" s="4">
        <v>60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233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 t="s">
        <v>233</v>
      </c>
      <c r="BD2302" s="8" t="s">
        <v>233</v>
      </c>
      <c r="BE2302" s="4" t="s">
        <v>233</v>
      </c>
      <c r="BF2302" s="8" t="s">
        <v>233</v>
      </c>
      <c r="BG2302" s="7" t="s">
        <v>233</v>
      </c>
      <c r="BH2302" s="7" t="s">
        <v>233</v>
      </c>
      <c r="BI2302" s="7"/>
      <c r="BJ2302" s="4">
        <v>16</v>
      </c>
      <c r="BK2302" s="8">
        <v>988.82</v>
      </c>
      <c r="BL2302" s="2" t="s">
        <v>10265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10266</v>
      </c>
      <c r="BV2302" s="2" t="s">
        <v>233</v>
      </c>
      <c r="BW2302" s="2" t="s">
        <v>233</v>
      </c>
      <c r="BX2302" s="2" t="s">
        <v>233</v>
      </c>
      <c r="BY2302" s="2" t="s">
        <v>280</v>
      </c>
      <c r="BZ2302" s="2" t="s">
        <v>245</v>
      </c>
      <c r="CA2302" s="2" t="s">
        <v>281</v>
      </c>
      <c r="CB2302" s="2" t="s">
        <v>528</v>
      </c>
      <c r="CC2302" s="2" t="s">
        <v>246</v>
      </c>
      <c r="CD2302" s="2" t="s">
        <v>233</v>
      </c>
      <c r="CE2302" s="4">
        <v>15</v>
      </c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>
        <v>21</v>
      </c>
      <c r="DD2302" s="4"/>
      <c r="DE2302" s="4"/>
      <c r="DF2302" s="4"/>
      <c r="DG2302" s="4"/>
      <c r="DH2302" s="4"/>
      <c r="DI2302" s="4">
        <v>9</v>
      </c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>
        <v>30</v>
      </c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/>
      <c r="HA2302" s="4"/>
      <c r="HB2302" s="4"/>
      <c r="HC2302" s="4"/>
      <c r="HD2302" s="4"/>
      <c r="HE2302" s="4"/>
      <c r="HF2302" s="4"/>
      <c r="HG2302" s="4"/>
      <c r="HH2302" s="4"/>
      <c r="HI2302" s="4"/>
      <c r="HJ2302" s="4"/>
      <c r="HK2302" s="4"/>
      <c r="HL2302" s="4"/>
      <c r="HM2302" s="4"/>
      <c r="HN2302" s="4"/>
      <c r="HO2302" s="4"/>
      <c r="HP2302" s="4"/>
      <c r="HQ2302" s="4"/>
      <c r="HR2302" s="4"/>
    </row>
    <row r="2303">
      <c r="A2303" s="2" t="s">
        <v>10267</v>
      </c>
      <c r="B2303" s="2" t="s">
        <v>1242</v>
      </c>
      <c r="C2303" s="2" t="s">
        <v>901</v>
      </c>
      <c r="D2303" s="2" t="s">
        <v>969</v>
      </c>
      <c r="E2303" s="2" t="s">
        <v>970</v>
      </c>
      <c r="F2303" s="2" t="s">
        <v>7328</v>
      </c>
      <c r="G2303" s="2" t="s">
        <v>7328</v>
      </c>
      <c r="H2303" s="2" t="s">
        <v>7328</v>
      </c>
      <c r="I2303" s="2" t="s">
        <v>10268</v>
      </c>
      <c r="J2303" s="2" t="s">
        <v>1142</v>
      </c>
      <c r="K2303" s="2" t="s">
        <v>257</v>
      </c>
      <c r="L2303" s="3">
        <v>76.8</v>
      </c>
      <c r="M2303" s="3">
        <v>80.64</v>
      </c>
      <c r="N2303" s="3">
        <v>159.99</v>
      </c>
      <c r="O2303" s="2" t="s">
        <v>237</v>
      </c>
      <c r="P2303" s="2" t="s">
        <v>311</v>
      </c>
      <c r="Q2303" s="2" t="s">
        <v>239</v>
      </c>
      <c r="R2303" s="2" t="s">
        <v>233</v>
      </c>
      <c r="S2303" s="2" t="s">
        <v>10269</v>
      </c>
      <c r="T2303" s="2" t="s">
        <v>233</v>
      </c>
      <c r="U2303" s="2" t="s">
        <v>475</v>
      </c>
      <c r="V2303" s="2" t="s">
        <v>5239</v>
      </c>
      <c r="W2303" s="2" t="s">
        <v>894</v>
      </c>
      <c r="X2303" s="2" t="s">
        <v>275</v>
      </c>
      <c r="Y2303" s="2" t="s">
        <v>10270</v>
      </c>
      <c r="Z2303" s="4">
        <v>515</v>
      </c>
      <c r="AA2303" s="4">
        <f>=ROUNDDOWN(128.75,0)</f>
      </c>
      <c r="AB2303" s="5">
        <v>4</v>
      </c>
      <c r="AC2303" s="2" t="s">
        <v>233</v>
      </c>
      <c r="AD2303" s="4"/>
      <c r="AE2303" s="4"/>
      <c r="AF2303" s="6">
        <v>67</v>
      </c>
      <c r="AG2303" s="6"/>
      <c r="AH2303" s="7">
        <v>1</v>
      </c>
      <c r="AI2303" s="4"/>
      <c r="AJ2303" s="4">
        <f>=ROUNDDOWN({0},0)</f>
      </c>
      <c r="AK2303" s="5"/>
      <c r="AL2303" s="2" t="s">
        <v>233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233</v>
      </c>
      <c r="AW2303" s="8" t="s">
        <v>233</v>
      </c>
      <c r="AX2303" s="4" t="s">
        <v>233</v>
      </c>
      <c r="AY2303" s="8" t="s">
        <v>233</v>
      </c>
      <c r="AZ2303" s="7" t="s">
        <v>233</v>
      </c>
      <c r="BA2303" s="7" t="s">
        <v>233</v>
      </c>
      <c r="BB2303" s="7" t="s">
        <v>233</v>
      </c>
      <c r="BC2303" s="4" t="s">
        <v>233</v>
      </c>
      <c r="BD2303" s="8" t="s">
        <v>233</v>
      </c>
      <c r="BE2303" s="4" t="s">
        <v>233</v>
      </c>
      <c r="BF2303" s="8" t="s">
        <v>233</v>
      </c>
      <c r="BG2303" s="7" t="s">
        <v>233</v>
      </c>
      <c r="BH2303" s="7" t="s">
        <v>233</v>
      </c>
      <c r="BI2303" s="7"/>
      <c r="BJ2303" s="4">
        <v>5</v>
      </c>
      <c r="BK2303" s="8">
        <v>245.96</v>
      </c>
      <c r="BL2303" s="2" t="s">
        <v>10271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10272</v>
      </c>
      <c r="BV2303" s="2" t="s">
        <v>233</v>
      </c>
      <c r="BW2303" s="2" t="s">
        <v>233</v>
      </c>
      <c r="BX2303" s="2" t="s">
        <v>233</v>
      </c>
      <c r="BY2303" s="2" t="s">
        <v>280</v>
      </c>
      <c r="BZ2303" s="2" t="s">
        <v>245</v>
      </c>
      <c r="CA2303" s="2" t="s">
        <v>5691</v>
      </c>
      <c r="CB2303" s="2" t="s">
        <v>2545</v>
      </c>
      <c r="CC2303" s="2" t="s">
        <v>246</v>
      </c>
      <c r="CD2303" s="2" t="s">
        <v>233</v>
      </c>
      <c r="CE2303" s="4">
        <v>515</v>
      </c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/>
      <c r="HA2303" s="4"/>
      <c r="HB2303" s="4"/>
      <c r="HC2303" s="4"/>
      <c r="HD2303" s="4"/>
      <c r="HE2303" s="4"/>
      <c r="HF2303" s="4"/>
      <c r="HG2303" s="4"/>
      <c r="HH2303" s="4"/>
      <c r="HI2303" s="4"/>
      <c r="HJ2303" s="4"/>
      <c r="HK2303" s="4"/>
      <c r="HL2303" s="4"/>
      <c r="HM2303" s="4"/>
      <c r="HN2303" s="4"/>
      <c r="HO2303" s="4"/>
      <c r="HP2303" s="4"/>
      <c r="HQ2303" s="4"/>
      <c r="HR2303" s="4"/>
    </row>
    <row r="2304">
      <c r="A2304" s="2" t="s">
        <v>10273</v>
      </c>
      <c r="B2304" s="2" t="s">
        <v>1242</v>
      </c>
      <c r="C2304" s="2" t="s">
        <v>901</v>
      </c>
      <c r="D2304" s="2" t="s">
        <v>912</v>
      </c>
      <c r="E2304" s="2" t="s">
        <v>1139</v>
      </c>
      <c r="F2304" s="2" t="s">
        <v>7328</v>
      </c>
      <c r="G2304" s="2" t="s">
        <v>7328</v>
      </c>
      <c r="H2304" s="2" t="s">
        <v>7328</v>
      </c>
      <c r="I2304" s="2" t="s">
        <v>10274</v>
      </c>
      <c r="J2304" s="2" t="s">
        <v>1142</v>
      </c>
      <c r="K2304" s="2" t="s">
        <v>257</v>
      </c>
      <c r="L2304" s="3">
        <v>67.2</v>
      </c>
      <c r="M2304" s="3">
        <v>70.56</v>
      </c>
      <c r="N2304" s="3">
        <v>139.99</v>
      </c>
      <c r="O2304" s="2" t="s">
        <v>237</v>
      </c>
      <c r="P2304" s="2" t="s">
        <v>311</v>
      </c>
      <c r="Q2304" s="2" t="s">
        <v>239</v>
      </c>
      <c r="R2304" s="2" t="s">
        <v>233</v>
      </c>
      <c r="S2304" s="2" t="s">
        <v>10269</v>
      </c>
      <c r="T2304" s="2" t="s">
        <v>233</v>
      </c>
      <c r="U2304" s="2" t="s">
        <v>475</v>
      </c>
      <c r="V2304" s="2" t="s">
        <v>5239</v>
      </c>
      <c r="W2304" s="2" t="s">
        <v>894</v>
      </c>
      <c r="X2304" s="2" t="s">
        <v>275</v>
      </c>
      <c r="Y2304" s="2" t="s">
        <v>10270</v>
      </c>
      <c r="Z2304" s="4">
        <v>374</v>
      </c>
      <c r="AA2304" s="4">
        <f>=ROUNDDOWN(374,0)</f>
      </c>
      <c r="AB2304" s="5">
        <v>1</v>
      </c>
      <c r="AC2304" s="2" t="s">
        <v>233</v>
      </c>
      <c r="AD2304" s="4"/>
      <c r="AE2304" s="4"/>
      <c r="AF2304" s="6">
        <v>67</v>
      </c>
      <c r="AG2304" s="6"/>
      <c r="AH2304" s="7">
        <v>1</v>
      </c>
      <c r="AI2304" s="4"/>
      <c r="AJ2304" s="4">
        <f>=ROUNDDOWN({0},0)</f>
      </c>
      <c r="AK2304" s="5"/>
      <c r="AL2304" s="2" t="s">
        <v>233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233</v>
      </c>
      <c r="AW2304" s="8" t="s">
        <v>233</v>
      </c>
      <c r="AX2304" s="4" t="s">
        <v>233</v>
      </c>
      <c r="AY2304" s="8" t="s">
        <v>233</v>
      </c>
      <c r="AZ2304" s="7" t="s">
        <v>233</v>
      </c>
      <c r="BA2304" s="7" t="s">
        <v>233</v>
      </c>
      <c r="BB2304" s="7" t="s">
        <v>233</v>
      </c>
      <c r="BC2304" s="4" t="s">
        <v>233</v>
      </c>
      <c r="BD2304" s="8" t="s">
        <v>233</v>
      </c>
      <c r="BE2304" s="4" t="s">
        <v>233</v>
      </c>
      <c r="BF2304" s="8" t="s">
        <v>233</v>
      </c>
      <c r="BG2304" s="7" t="s">
        <v>233</v>
      </c>
      <c r="BH2304" s="7" t="s">
        <v>233</v>
      </c>
      <c r="BI2304" s="7"/>
      <c r="BJ2304" s="4">
        <v>3</v>
      </c>
      <c r="BK2304" s="8">
        <v>190.53</v>
      </c>
      <c r="BL2304" s="2" t="s">
        <v>10275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10276</v>
      </c>
      <c r="BV2304" s="2" t="s">
        <v>233</v>
      </c>
      <c r="BW2304" s="2" t="s">
        <v>233</v>
      </c>
      <c r="BX2304" s="2" t="s">
        <v>233</v>
      </c>
      <c r="BY2304" s="2" t="s">
        <v>280</v>
      </c>
      <c r="BZ2304" s="2" t="s">
        <v>245</v>
      </c>
      <c r="CA2304" s="2" t="s">
        <v>5691</v>
      </c>
      <c r="CB2304" s="2" t="s">
        <v>10277</v>
      </c>
      <c r="CC2304" s="2" t="s">
        <v>246</v>
      </c>
      <c r="CD2304" s="2" t="s">
        <v>233</v>
      </c>
      <c r="CE2304" s="4">
        <v>374</v>
      </c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  <c r="HF2304" s="4"/>
      <c r="HG2304" s="4"/>
      <c r="HH2304" s="4"/>
      <c r="HI2304" s="4"/>
      <c r="HJ2304" s="4"/>
      <c r="HK2304" s="4"/>
      <c r="HL2304" s="4"/>
      <c r="HM2304" s="4"/>
      <c r="HN2304" s="4"/>
      <c r="HO2304" s="4"/>
      <c r="HP2304" s="4"/>
      <c r="HQ2304" s="4"/>
      <c r="HR2304" s="4"/>
    </row>
    <row r="2305">
      <c r="A2305" s="2" t="s">
        <v>10278</v>
      </c>
      <c r="B2305" s="2" t="s">
        <v>1242</v>
      </c>
      <c r="C2305" s="2" t="s">
        <v>530</v>
      </c>
      <c r="D2305" s="2" t="s">
        <v>969</v>
      </c>
      <c r="E2305" s="2" t="s">
        <v>1078</v>
      </c>
      <c r="F2305" s="2" t="s">
        <v>10279</v>
      </c>
      <c r="G2305" s="2" t="s">
        <v>10280</v>
      </c>
      <c r="H2305" s="2" t="s">
        <v>10281</v>
      </c>
      <c r="I2305" s="2" t="s">
        <v>10282</v>
      </c>
      <c r="J2305" s="2" t="s">
        <v>918</v>
      </c>
      <c r="K2305" s="2" t="s">
        <v>10283</v>
      </c>
      <c r="L2305" s="3">
        <v>72</v>
      </c>
      <c r="M2305" s="3">
        <v>75.59</v>
      </c>
      <c r="N2305" s="3">
        <v>149.99</v>
      </c>
      <c r="O2305" s="2" t="s">
        <v>245</v>
      </c>
      <c r="P2305" s="2" t="s">
        <v>311</v>
      </c>
      <c r="Q2305" s="2" t="s">
        <v>239</v>
      </c>
      <c r="R2305" s="2" t="s">
        <v>233</v>
      </c>
      <c r="S2305" s="2" t="s">
        <v>10284</v>
      </c>
      <c r="T2305" s="2" t="s">
        <v>233</v>
      </c>
      <c r="U2305" s="2" t="s">
        <v>1507</v>
      </c>
      <c r="V2305" s="2" t="s">
        <v>1272</v>
      </c>
      <c r="W2305" s="2" t="s">
        <v>1056</v>
      </c>
      <c r="X2305" s="2" t="s">
        <v>10285</v>
      </c>
      <c r="Y2305" s="2" t="s">
        <v>276</v>
      </c>
      <c r="Z2305" s="4">
        <v>88</v>
      </c>
      <c r="AA2305" s="4">
        <f>=ROUNDDOWN(29.3333333333333,0)</f>
      </c>
      <c r="AB2305" s="5">
        <v>3</v>
      </c>
      <c r="AC2305" s="2" t="s">
        <v>233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233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/>
      <c r="BD2305" s="8"/>
      <c r="BE2305" s="4"/>
      <c r="BF2305" s="8"/>
      <c r="BG2305" s="7"/>
      <c r="BH2305" s="7"/>
      <c r="BI2305" s="7"/>
      <c r="BJ2305" s="4">
        <v>9</v>
      </c>
      <c r="BK2305" s="8">
        <v>673.97</v>
      </c>
      <c r="BL2305" s="2" t="s">
        <v>1687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10286</v>
      </c>
      <c r="BV2305" s="2" t="s">
        <v>233</v>
      </c>
      <c r="BW2305" s="2" t="s">
        <v>233</v>
      </c>
      <c r="BX2305" s="2" t="s">
        <v>233</v>
      </c>
      <c r="BY2305" s="2" t="s">
        <v>280</v>
      </c>
      <c r="BZ2305" s="2" t="s">
        <v>245</v>
      </c>
      <c r="CA2305" s="2" t="s">
        <v>10287</v>
      </c>
      <c r="CB2305" s="2" t="s">
        <v>4536</v>
      </c>
      <c r="CC2305" s="2" t="s">
        <v>246</v>
      </c>
      <c r="CD2305" s="2" t="s">
        <v>233</v>
      </c>
      <c r="CE2305" s="4">
        <v>88</v>
      </c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/>
      <c r="GV2305" s="4"/>
      <c r="GW2305" s="4"/>
      <c r="GX2305" s="4"/>
      <c r="GY2305" s="4"/>
      <c r="GZ2305" s="4"/>
      <c r="HA2305" s="4"/>
      <c r="HB2305" s="4"/>
      <c r="HC2305" s="4"/>
      <c r="HD2305" s="4"/>
      <c r="HE2305" s="4"/>
      <c r="HF2305" s="4"/>
      <c r="HG2305" s="4"/>
      <c r="HH2305" s="4"/>
      <c r="HI2305" s="4"/>
      <c r="HJ2305" s="4"/>
      <c r="HK2305" s="4"/>
      <c r="HL2305" s="4"/>
      <c r="HM2305" s="4"/>
      <c r="HN2305" s="4"/>
      <c r="HO2305" s="4"/>
      <c r="HP2305" s="4"/>
      <c r="HQ2305" s="4"/>
      <c r="HR2305" s="4"/>
    </row>
    <row r="2306">
      <c r="A2306" s="2" t="s">
        <v>10288</v>
      </c>
      <c r="B2306" s="2" t="s">
        <v>1174</v>
      </c>
      <c r="C2306" s="2" t="s">
        <v>530</v>
      </c>
      <c r="D2306" s="2" t="s">
        <v>1175</v>
      </c>
      <c r="E2306" s="2" t="s">
        <v>1448</v>
      </c>
      <c r="F2306" s="2" t="s">
        <v>10289</v>
      </c>
      <c r="G2306" s="2" t="s">
        <v>10290</v>
      </c>
      <c r="H2306" s="2" t="s">
        <v>10291</v>
      </c>
      <c r="I2306" s="2" t="s">
        <v>10292</v>
      </c>
      <c r="J2306" s="2" t="s">
        <v>1524</v>
      </c>
      <c r="K2306" s="2" t="s">
        <v>271</v>
      </c>
      <c r="L2306" s="3">
        <v>16.45</v>
      </c>
      <c r="M2306" s="3">
        <v>17.27</v>
      </c>
      <c r="N2306" s="3">
        <v>34.99</v>
      </c>
      <c r="O2306" s="2" t="s">
        <v>245</v>
      </c>
      <c r="P2306" s="2" t="s">
        <v>311</v>
      </c>
      <c r="Q2306" s="2" t="s">
        <v>239</v>
      </c>
      <c r="R2306" s="2" t="s">
        <v>233</v>
      </c>
      <c r="S2306" s="2" t="s">
        <v>10293</v>
      </c>
      <c r="T2306" s="2" t="s">
        <v>233</v>
      </c>
      <c r="U2306" s="2" t="s">
        <v>233</v>
      </c>
      <c r="V2306" s="2" t="s">
        <v>1483</v>
      </c>
      <c r="W2306" s="2" t="s">
        <v>451</v>
      </c>
      <c r="X2306" s="2" t="s">
        <v>1526</v>
      </c>
      <c r="Y2306" s="2" t="s">
        <v>276</v>
      </c>
      <c r="Z2306" s="4">
        <v>295</v>
      </c>
      <c r="AA2306" s="4">
        <f>=ROUNDDOWN(21.8518518518519,0)</f>
      </c>
      <c r="AB2306" s="5">
        <v>13.5</v>
      </c>
      <c r="AC2306" s="2" t="s">
        <v>233</v>
      </c>
      <c r="AD2306" s="4"/>
      <c r="AE2306" s="4"/>
      <c r="AF2306" s="6">
        <v>64</v>
      </c>
      <c r="AG2306" s="6"/>
      <c r="AH2306" s="7">
        <v>1</v>
      </c>
      <c r="AI2306" s="4"/>
      <c r="AJ2306" s="4">
        <f>=ROUNDDOWN({0},0)</f>
      </c>
      <c r="AK2306" s="5"/>
      <c r="AL2306" s="2" t="s">
        <v>233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 t="s">
        <v>233</v>
      </c>
      <c r="BD2306" s="8" t="s">
        <v>233</v>
      </c>
      <c r="BE2306" s="4" t="s">
        <v>233</v>
      </c>
      <c r="BF2306" s="8" t="s">
        <v>233</v>
      </c>
      <c r="BG2306" s="7" t="s">
        <v>233</v>
      </c>
      <c r="BH2306" s="7" t="s">
        <v>233</v>
      </c>
      <c r="BI2306" s="7"/>
      <c r="BJ2306" s="4">
        <v>46</v>
      </c>
      <c r="BK2306" s="8">
        <v>803.4</v>
      </c>
      <c r="BL2306" s="2" t="s">
        <v>10294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10295</v>
      </c>
      <c r="BV2306" s="2" t="s">
        <v>233</v>
      </c>
      <c r="BW2306" s="2" t="s">
        <v>233</v>
      </c>
      <c r="BX2306" s="2" t="s">
        <v>243</v>
      </c>
      <c r="BY2306" s="2" t="s">
        <v>280</v>
      </c>
      <c r="BZ2306" s="2" t="s">
        <v>245</v>
      </c>
      <c r="CA2306" s="2" t="s">
        <v>2632</v>
      </c>
      <c r="CB2306" s="2" t="s">
        <v>10296</v>
      </c>
      <c r="CC2306" s="2" t="s">
        <v>246</v>
      </c>
      <c r="CD2306" s="2" t="s">
        <v>233</v>
      </c>
      <c r="CE2306" s="4">
        <v>295</v>
      </c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/>
      <c r="GY2306" s="4"/>
      <c r="GZ2306" s="4"/>
      <c r="HA2306" s="4"/>
      <c r="HB2306" s="4"/>
      <c r="HC2306" s="4"/>
      <c r="HD2306" s="4"/>
      <c r="HE2306" s="4"/>
      <c r="HF2306" s="4"/>
      <c r="HG2306" s="4"/>
      <c r="HH2306" s="4"/>
      <c r="HI2306" s="4"/>
      <c r="HJ2306" s="4"/>
      <c r="HK2306" s="4"/>
      <c r="HL2306" s="4"/>
      <c r="HM2306" s="4"/>
      <c r="HN2306" s="4"/>
      <c r="HO2306" s="4"/>
      <c r="HP2306" s="4"/>
      <c r="HQ2306" s="4"/>
      <c r="HR2306" s="4"/>
    </row>
    <row r="2307">
      <c r="A2307" s="2" t="s">
        <v>10297</v>
      </c>
      <c r="B2307" s="2" t="s">
        <v>1174</v>
      </c>
      <c r="C2307" s="2" t="s">
        <v>530</v>
      </c>
      <c r="D2307" s="2" t="s">
        <v>3304</v>
      </c>
      <c r="E2307" s="2" t="s">
        <v>3305</v>
      </c>
      <c r="F2307" s="2" t="s">
        <v>10289</v>
      </c>
      <c r="G2307" s="2" t="s">
        <v>10290</v>
      </c>
      <c r="H2307" s="2" t="s">
        <v>10291</v>
      </c>
      <c r="I2307" s="2" t="s">
        <v>10298</v>
      </c>
      <c r="J2307" s="2" t="s">
        <v>4833</v>
      </c>
      <c r="K2307" s="2" t="s">
        <v>449</v>
      </c>
      <c r="L2307" s="3">
        <v>11.25</v>
      </c>
      <c r="M2307" s="3">
        <v>11.81</v>
      </c>
      <c r="N2307" s="3">
        <v>24.99</v>
      </c>
      <c r="O2307" s="2" t="s">
        <v>245</v>
      </c>
      <c r="P2307" s="2" t="s">
        <v>311</v>
      </c>
      <c r="Q2307" s="2" t="s">
        <v>239</v>
      </c>
      <c r="R2307" s="2" t="s">
        <v>233</v>
      </c>
      <c r="S2307" s="2" t="s">
        <v>10299</v>
      </c>
      <c r="T2307" s="2" t="s">
        <v>233</v>
      </c>
      <c r="U2307" s="2" t="s">
        <v>233</v>
      </c>
      <c r="V2307" s="2" t="s">
        <v>1483</v>
      </c>
      <c r="W2307" s="2" t="s">
        <v>451</v>
      </c>
      <c r="X2307" s="2" t="s">
        <v>233</v>
      </c>
      <c r="Y2307" s="2" t="s">
        <v>10300</v>
      </c>
      <c r="Z2307" s="4">
        <v>319</v>
      </c>
      <c r="AA2307" s="4">
        <f>=ROUNDDOWN(46.231884057971,0)</f>
      </c>
      <c r="AB2307" s="5">
        <v>6.9</v>
      </c>
      <c r="AC2307" s="2" t="s">
        <v>233</v>
      </c>
      <c r="AD2307" s="4"/>
      <c r="AE2307" s="4"/>
      <c r="AF2307" s="6">
        <v>64</v>
      </c>
      <c r="AG2307" s="6"/>
      <c r="AH2307" s="7">
        <v>1</v>
      </c>
      <c r="AI2307" s="4"/>
      <c r="AJ2307" s="4">
        <f>=ROUNDDOWN({0},0)</f>
      </c>
      <c r="AK2307" s="5"/>
      <c r="AL2307" s="2" t="s">
        <v>233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 t="s">
        <v>233</v>
      </c>
      <c r="BD2307" s="8" t="s">
        <v>233</v>
      </c>
      <c r="BE2307" s="4" t="s">
        <v>233</v>
      </c>
      <c r="BF2307" s="8" t="s">
        <v>233</v>
      </c>
      <c r="BG2307" s="7" t="s">
        <v>233</v>
      </c>
      <c r="BH2307" s="7" t="s">
        <v>233</v>
      </c>
      <c r="BI2307" s="7"/>
      <c r="BJ2307" s="4">
        <v>44</v>
      </c>
      <c r="BK2307" s="8">
        <v>533.14</v>
      </c>
      <c r="BL2307" s="2" t="s">
        <v>4476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10301</v>
      </c>
      <c r="BV2307" s="2" t="s">
        <v>233</v>
      </c>
      <c r="BW2307" s="2" t="s">
        <v>233</v>
      </c>
      <c r="BX2307" s="2" t="s">
        <v>233</v>
      </c>
      <c r="BY2307" s="2" t="s">
        <v>280</v>
      </c>
      <c r="BZ2307" s="2" t="s">
        <v>245</v>
      </c>
      <c r="CA2307" s="2" t="s">
        <v>2632</v>
      </c>
      <c r="CB2307" s="2" t="s">
        <v>10302</v>
      </c>
      <c r="CC2307" s="2" t="s">
        <v>246</v>
      </c>
      <c r="CD2307" s="2" t="s">
        <v>233</v>
      </c>
      <c r="CE2307" s="4">
        <v>319</v>
      </c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/>
      <c r="GP2307" s="4"/>
      <c r="GQ2307" s="4"/>
      <c r="GR2307" s="4"/>
      <c r="GS2307" s="4"/>
      <c r="GT2307" s="4"/>
      <c r="GU2307" s="4"/>
      <c r="GV2307" s="4"/>
      <c r="GW2307" s="4"/>
      <c r="GX2307" s="4"/>
      <c r="GY2307" s="4"/>
      <c r="GZ2307" s="4"/>
      <c r="HA2307" s="4"/>
      <c r="HB2307" s="4"/>
      <c r="HC2307" s="4"/>
      <c r="HD2307" s="4"/>
      <c r="HE2307" s="4"/>
      <c r="HF2307" s="4"/>
      <c r="HG2307" s="4"/>
      <c r="HH2307" s="4"/>
      <c r="HI2307" s="4"/>
      <c r="HJ2307" s="4"/>
      <c r="HK2307" s="4"/>
      <c r="HL2307" s="4"/>
      <c r="HM2307" s="4"/>
      <c r="HN2307" s="4"/>
      <c r="HO2307" s="4"/>
      <c r="HP2307" s="4"/>
      <c r="HQ2307" s="4"/>
      <c r="HR2307" s="4"/>
    </row>
    <row r="2308">
      <c r="A2308" s="2" t="s">
        <v>10303</v>
      </c>
      <c r="B2308" s="2" t="s">
        <v>1242</v>
      </c>
      <c r="C2308" s="2" t="s">
        <v>530</v>
      </c>
      <c r="D2308" s="2" t="s">
        <v>969</v>
      </c>
      <c r="E2308" s="2" t="s">
        <v>1078</v>
      </c>
      <c r="F2308" s="2" t="s">
        <v>10289</v>
      </c>
      <c r="G2308" s="2" t="s">
        <v>10290</v>
      </c>
      <c r="H2308" s="2" t="s">
        <v>10291</v>
      </c>
      <c r="I2308" s="2" t="s">
        <v>10304</v>
      </c>
      <c r="J2308" s="2" t="s">
        <v>546</v>
      </c>
      <c r="K2308" s="2" t="s">
        <v>257</v>
      </c>
      <c r="L2308" s="3">
        <v>76.49</v>
      </c>
      <c r="M2308" s="3">
        <v>80.32</v>
      </c>
      <c r="N2308" s="3">
        <v>159.99</v>
      </c>
      <c r="O2308" s="2" t="s">
        <v>245</v>
      </c>
      <c r="P2308" s="2" t="s">
        <v>272</v>
      </c>
      <c r="Q2308" s="2" t="s">
        <v>239</v>
      </c>
      <c r="R2308" s="2" t="s">
        <v>233</v>
      </c>
      <c r="S2308" s="2" t="s">
        <v>10305</v>
      </c>
      <c r="T2308" s="2" t="s">
        <v>233</v>
      </c>
      <c r="U2308" s="2" t="s">
        <v>1507</v>
      </c>
      <c r="V2308" s="2" t="s">
        <v>1483</v>
      </c>
      <c r="W2308" s="2" t="s">
        <v>451</v>
      </c>
      <c r="X2308" s="2" t="s">
        <v>10306</v>
      </c>
      <c r="Y2308" s="2" t="s">
        <v>276</v>
      </c>
      <c r="Z2308" s="4">
        <v>183</v>
      </c>
      <c r="AA2308" s="4">
        <f>=ROUNDDOWN(45.75,0)</f>
      </c>
      <c r="AB2308" s="5">
        <v>4</v>
      </c>
      <c r="AC2308" s="2" t="s">
        <v>2388</v>
      </c>
      <c r="AD2308" s="4">
        <v>30</v>
      </c>
      <c r="AE2308" s="4">
        <v>30</v>
      </c>
      <c r="AF2308" s="6">
        <v>64</v>
      </c>
      <c r="AG2308" s="6">
        <v>47</v>
      </c>
      <c r="AH2308" s="7">
        <v>1</v>
      </c>
      <c r="AI2308" s="4"/>
      <c r="AJ2308" s="4">
        <f>=ROUNDDOWN({0},0)</f>
      </c>
      <c r="AK2308" s="5"/>
      <c r="AL2308" s="2" t="s">
        <v>233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233</v>
      </c>
      <c r="AW2308" s="8" t="s">
        <v>233</v>
      </c>
      <c r="AX2308" s="4" t="s">
        <v>233</v>
      </c>
      <c r="AY2308" s="8" t="s">
        <v>233</v>
      </c>
      <c r="AZ2308" s="7" t="s">
        <v>233</v>
      </c>
      <c r="BA2308" s="7" t="s">
        <v>233</v>
      </c>
      <c r="BB2308" s="7"/>
      <c r="BC2308" s="4" t="s">
        <v>233</v>
      </c>
      <c r="BD2308" s="8" t="s">
        <v>233</v>
      </c>
      <c r="BE2308" s="4" t="s">
        <v>233</v>
      </c>
      <c r="BF2308" s="8" t="s">
        <v>233</v>
      </c>
      <c r="BG2308" s="7" t="s">
        <v>233</v>
      </c>
      <c r="BH2308" s="7" t="s">
        <v>233</v>
      </c>
      <c r="BI2308" s="7"/>
      <c r="BJ2308" s="4">
        <v>4</v>
      </c>
      <c r="BK2308" s="8">
        <v>293.62</v>
      </c>
      <c r="BL2308" s="2" t="s">
        <v>10307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10308</v>
      </c>
      <c r="BV2308" s="2" t="s">
        <v>233</v>
      </c>
      <c r="BW2308" s="2" t="s">
        <v>233</v>
      </c>
      <c r="BX2308" s="2" t="s">
        <v>233</v>
      </c>
      <c r="BY2308" s="2" t="s">
        <v>280</v>
      </c>
      <c r="BZ2308" s="2" t="s">
        <v>245</v>
      </c>
      <c r="CA2308" s="2" t="s">
        <v>4010</v>
      </c>
      <c r="CB2308" s="2" t="s">
        <v>421</v>
      </c>
      <c r="CC2308" s="2" t="s">
        <v>246</v>
      </c>
      <c r="CD2308" s="2" t="s">
        <v>233</v>
      </c>
      <c r="CE2308" s="4">
        <v>76</v>
      </c>
      <c r="CF2308" s="4"/>
      <c r="CG2308" s="4"/>
      <c r="CH2308" s="4"/>
      <c r="CI2308" s="4">
        <v>107</v>
      </c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>
        <v>30</v>
      </c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/>
      <c r="HD2308" s="4"/>
      <c r="HE2308" s="4"/>
      <c r="HF2308" s="4"/>
      <c r="HG2308" s="4"/>
      <c r="HH2308" s="4"/>
      <c r="HI2308" s="4"/>
      <c r="HJ2308" s="4"/>
      <c r="HK2308" s="4"/>
      <c r="HL2308" s="4"/>
      <c r="HM2308" s="4"/>
      <c r="HN2308" s="4"/>
      <c r="HO2308" s="4"/>
      <c r="HP2308" s="4"/>
      <c r="HQ2308" s="4"/>
      <c r="HR2308" s="4"/>
    </row>
    <row r="2309">
      <c r="A2309" s="2" t="s">
        <v>10309</v>
      </c>
      <c r="B2309" s="2" t="s">
        <v>1174</v>
      </c>
      <c r="C2309" s="2" t="s">
        <v>530</v>
      </c>
      <c r="D2309" s="2" t="s">
        <v>1175</v>
      </c>
      <c r="E2309" s="2" t="s">
        <v>1448</v>
      </c>
      <c r="F2309" s="2" t="s">
        <v>10289</v>
      </c>
      <c r="G2309" s="2" t="s">
        <v>10290</v>
      </c>
      <c r="H2309" s="2" t="s">
        <v>10291</v>
      </c>
      <c r="I2309" s="2" t="s">
        <v>10292</v>
      </c>
      <c r="J2309" s="2" t="s">
        <v>1524</v>
      </c>
      <c r="K2309" s="2" t="s">
        <v>257</v>
      </c>
      <c r="L2309" s="3">
        <v>16.45</v>
      </c>
      <c r="M2309" s="3">
        <v>17.27</v>
      </c>
      <c r="N2309" s="3">
        <v>34.99</v>
      </c>
      <c r="O2309" s="2" t="s">
        <v>245</v>
      </c>
      <c r="P2309" s="2" t="s">
        <v>393</v>
      </c>
      <c r="Q2309" s="2" t="s">
        <v>239</v>
      </c>
      <c r="R2309" s="2" t="s">
        <v>233</v>
      </c>
      <c r="S2309" s="2" t="s">
        <v>10305</v>
      </c>
      <c r="T2309" s="2" t="s">
        <v>233</v>
      </c>
      <c r="U2309" s="2" t="s">
        <v>233</v>
      </c>
      <c r="V2309" s="2" t="s">
        <v>1483</v>
      </c>
      <c r="W2309" s="2" t="s">
        <v>776</v>
      </c>
      <c r="X2309" s="2" t="s">
        <v>1526</v>
      </c>
      <c r="Y2309" s="2" t="s">
        <v>4026</v>
      </c>
      <c r="Z2309" s="4">
        <v>260</v>
      </c>
      <c r="AA2309" s="4">
        <f>=ROUNDDOWN(26,0)</f>
      </c>
      <c r="AB2309" s="5">
        <v>10</v>
      </c>
      <c r="AC2309" s="2" t="s">
        <v>233</v>
      </c>
      <c r="AD2309" s="4"/>
      <c r="AE2309" s="4"/>
      <c r="AF2309" s="6">
        <v>64</v>
      </c>
      <c r="AG2309" s="6"/>
      <c r="AH2309" s="7">
        <v>1</v>
      </c>
      <c r="AI2309" s="4"/>
      <c r="AJ2309" s="4">
        <f>=ROUNDDOWN({0},0)</f>
      </c>
      <c r="AK2309" s="5"/>
      <c r="AL2309" s="2" t="s">
        <v>233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233</v>
      </c>
      <c r="AW2309" s="8" t="s">
        <v>233</v>
      </c>
      <c r="AX2309" s="4" t="s">
        <v>233</v>
      </c>
      <c r="AY2309" s="8" t="s">
        <v>233</v>
      </c>
      <c r="AZ2309" s="7" t="s">
        <v>233</v>
      </c>
      <c r="BA2309" s="7" t="s">
        <v>233</v>
      </c>
      <c r="BB2309" s="7"/>
      <c r="BC2309" s="4" t="s">
        <v>233</v>
      </c>
      <c r="BD2309" s="8" t="s">
        <v>233</v>
      </c>
      <c r="BE2309" s="4" t="s">
        <v>233</v>
      </c>
      <c r="BF2309" s="8" t="s">
        <v>233</v>
      </c>
      <c r="BG2309" s="7" t="s">
        <v>233</v>
      </c>
      <c r="BH2309" s="7" t="s">
        <v>233</v>
      </c>
      <c r="BI2309" s="7"/>
      <c r="BJ2309" s="4">
        <v>15</v>
      </c>
      <c r="BK2309" s="8">
        <v>268.02</v>
      </c>
      <c r="BL2309" s="2" t="s">
        <v>10310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10311</v>
      </c>
      <c r="BV2309" s="2" t="s">
        <v>233</v>
      </c>
      <c r="BW2309" s="2" t="s">
        <v>233</v>
      </c>
      <c r="BX2309" s="2" t="s">
        <v>243</v>
      </c>
      <c r="BY2309" s="2" t="s">
        <v>280</v>
      </c>
      <c r="BZ2309" s="2" t="s">
        <v>245</v>
      </c>
      <c r="CA2309" s="2" t="s">
        <v>10312</v>
      </c>
      <c r="CB2309" s="2" t="s">
        <v>667</v>
      </c>
      <c r="CC2309" s="2" t="s">
        <v>246</v>
      </c>
      <c r="CD2309" s="2" t="s">
        <v>233</v>
      </c>
      <c r="CE2309" s="4">
        <v>260</v>
      </c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/>
      <c r="GP2309" s="4"/>
      <c r="GQ2309" s="4"/>
      <c r="GR2309" s="4"/>
      <c r="GS2309" s="4"/>
      <c r="GT2309" s="4"/>
      <c r="GU2309" s="4"/>
      <c r="GV2309" s="4"/>
      <c r="GW2309" s="4"/>
      <c r="GX2309" s="4"/>
      <c r="GY2309" s="4"/>
      <c r="GZ2309" s="4"/>
      <c r="HA2309" s="4"/>
      <c r="HB2309" s="4"/>
      <c r="HC2309" s="4"/>
      <c r="HD2309" s="4"/>
      <c r="HE2309" s="4"/>
      <c r="HF2309" s="4"/>
      <c r="HG2309" s="4"/>
      <c r="HH2309" s="4"/>
      <c r="HI2309" s="4"/>
      <c r="HJ2309" s="4"/>
      <c r="HK2309" s="4"/>
      <c r="HL2309" s="4"/>
      <c r="HM2309" s="4"/>
      <c r="HN2309" s="4"/>
      <c r="HO2309" s="4"/>
      <c r="HP2309" s="4"/>
      <c r="HQ2309" s="4"/>
      <c r="HR2309" s="4"/>
    </row>
    <row r="2310">
      <c r="A2310" s="2" t="s">
        <v>10313</v>
      </c>
      <c r="B2310" s="2" t="s">
        <v>1242</v>
      </c>
      <c r="C2310" s="2" t="s">
        <v>530</v>
      </c>
      <c r="D2310" s="2" t="s">
        <v>969</v>
      </c>
      <c r="E2310" s="2" t="s">
        <v>1078</v>
      </c>
      <c r="F2310" s="2" t="s">
        <v>10289</v>
      </c>
      <c r="G2310" s="2" t="s">
        <v>10290</v>
      </c>
      <c r="H2310" s="2" t="s">
        <v>10291</v>
      </c>
      <c r="I2310" s="2" t="s">
        <v>10304</v>
      </c>
      <c r="J2310" s="2" t="s">
        <v>546</v>
      </c>
      <c r="K2310" s="2" t="s">
        <v>1561</v>
      </c>
      <c r="L2310" s="3">
        <v>76.49</v>
      </c>
      <c r="M2310" s="3">
        <v>80.32</v>
      </c>
      <c r="N2310" s="3">
        <v>159.99</v>
      </c>
      <c r="O2310" s="2" t="s">
        <v>245</v>
      </c>
      <c r="P2310" s="2" t="s">
        <v>741</v>
      </c>
      <c r="Q2310" s="2" t="s">
        <v>239</v>
      </c>
      <c r="R2310" s="2" t="s">
        <v>233</v>
      </c>
      <c r="S2310" s="2" t="s">
        <v>10314</v>
      </c>
      <c r="T2310" s="2" t="s">
        <v>233</v>
      </c>
      <c r="U2310" s="2" t="s">
        <v>1507</v>
      </c>
      <c r="V2310" s="2" t="s">
        <v>1483</v>
      </c>
      <c r="W2310" s="2" t="s">
        <v>451</v>
      </c>
      <c r="X2310" s="2" t="s">
        <v>10306</v>
      </c>
      <c r="Y2310" s="2" t="s">
        <v>276</v>
      </c>
      <c r="Z2310" s="4">
        <v>284</v>
      </c>
      <c r="AA2310" s="4">
        <f>=ROUNDDOWN(56.8,0)</f>
      </c>
      <c r="AB2310" s="5">
        <v>5</v>
      </c>
      <c r="AC2310" s="2" t="s">
        <v>233</v>
      </c>
      <c r="AD2310" s="4"/>
      <c r="AE2310" s="4"/>
      <c r="AF2310" s="6">
        <v>64</v>
      </c>
      <c r="AG2310" s="6">
        <v>47</v>
      </c>
      <c r="AH2310" s="7">
        <v>1</v>
      </c>
      <c r="AI2310" s="4"/>
      <c r="AJ2310" s="4">
        <f>=ROUNDDOWN({0},0)</f>
      </c>
      <c r="AK2310" s="5"/>
      <c r="AL2310" s="2" t="s">
        <v>233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233</v>
      </c>
      <c r="BD2310" s="8" t="s">
        <v>233</v>
      </c>
      <c r="BE2310" s="4" t="s">
        <v>233</v>
      </c>
      <c r="BF2310" s="8" t="s">
        <v>233</v>
      </c>
      <c r="BG2310" s="7" t="s">
        <v>233</v>
      </c>
      <c r="BH2310" s="7" t="s">
        <v>233</v>
      </c>
      <c r="BI2310" s="7"/>
      <c r="BJ2310" s="4">
        <v>10</v>
      </c>
      <c r="BK2310" s="8">
        <v>776.44</v>
      </c>
      <c r="BL2310" s="2" t="s">
        <v>10315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10316</v>
      </c>
      <c r="BV2310" s="2" t="s">
        <v>233</v>
      </c>
      <c r="BW2310" s="2" t="s">
        <v>233</v>
      </c>
      <c r="BX2310" s="2" t="s">
        <v>233</v>
      </c>
      <c r="BY2310" s="2" t="s">
        <v>280</v>
      </c>
      <c r="BZ2310" s="2" t="s">
        <v>245</v>
      </c>
      <c r="CA2310" s="2" t="s">
        <v>281</v>
      </c>
      <c r="CB2310" s="2" t="s">
        <v>670</v>
      </c>
      <c r="CC2310" s="2" t="s">
        <v>246</v>
      </c>
      <c r="CD2310" s="2" t="s">
        <v>233</v>
      </c>
      <c r="CE2310" s="4">
        <v>159</v>
      </c>
      <c r="CF2310" s="4"/>
      <c r="CG2310" s="4"/>
      <c r="CH2310" s="4"/>
      <c r="CI2310" s="4">
        <v>125</v>
      </c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/>
      <c r="GE2310" s="4"/>
      <c r="GF2310" s="4"/>
      <c r="GG2310" s="4"/>
      <c r="GH2310" s="4"/>
      <c r="GI2310" s="4"/>
      <c r="GJ2310" s="4"/>
      <c r="GK2310" s="4"/>
      <c r="GL2310" s="4"/>
      <c r="GM2310" s="4"/>
      <c r="GN2310" s="4"/>
      <c r="GO2310" s="4"/>
      <c r="GP2310" s="4"/>
      <c r="GQ2310" s="4"/>
      <c r="GR2310" s="4"/>
      <c r="GS2310" s="4"/>
      <c r="GT2310" s="4"/>
      <c r="GU2310" s="4"/>
      <c r="GV2310" s="4"/>
      <c r="GW2310" s="4"/>
      <c r="GX2310" s="4"/>
      <c r="GY2310" s="4"/>
      <c r="GZ2310" s="4"/>
      <c r="HA2310" s="4"/>
      <c r="HB2310" s="4"/>
      <c r="HC2310" s="4"/>
      <c r="HD2310" s="4"/>
      <c r="HE2310" s="4"/>
      <c r="HF2310" s="4"/>
      <c r="HG2310" s="4"/>
      <c r="HH2310" s="4"/>
      <c r="HI2310" s="4"/>
      <c r="HJ2310" s="4"/>
      <c r="HK2310" s="4"/>
      <c r="HL2310" s="4"/>
      <c r="HM2310" s="4"/>
      <c r="HN2310" s="4"/>
      <c r="HO2310" s="4"/>
      <c r="HP2310" s="4"/>
      <c r="HQ2310" s="4"/>
      <c r="HR2310" s="4"/>
    </row>
    <row r="2311">
      <c r="A2311" s="2" t="s">
        <v>10317</v>
      </c>
      <c r="B2311" s="2" t="s">
        <v>1017</v>
      </c>
      <c r="C2311" s="2" t="s">
        <v>530</v>
      </c>
      <c r="D2311" s="2" t="s">
        <v>1018</v>
      </c>
      <c r="E2311" s="2" t="s">
        <v>1019</v>
      </c>
      <c r="F2311" s="2" t="s">
        <v>10289</v>
      </c>
      <c r="G2311" s="2" t="s">
        <v>10290</v>
      </c>
      <c r="H2311" s="2" t="s">
        <v>10291</v>
      </c>
      <c r="I2311" s="2" t="s">
        <v>1548</v>
      </c>
      <c r="J2311" s="2" t="s">
        <v>10318</v>
      </c>
      <c r="K2311" s="2" t="s">
        <v>2197</v>
      </c>
      <c r="L2311" s="3">
        <v>15.18</v>
      </c>
      <c r="M2311" s="3">
        <v>15.94</v>
      </c>
      <c r="N2311" s="3">
        <v>32.99</v>
      </c>
      <c r="O2311" s="2" t="s">
        <v>245</v>
      </c>
      <c r="P2311" s="2" t="s">
        <v>238</v>
      </c>
      <c r="Q2311" s="2" t="s">
        <v>239</v>
      </c>
      <c r="R2311" s="2" t="s">
        <v>233</v>
      </c>
      <c r="S2311" s="2" t="s">
        <v>10319</v>
      </c>
      <c r="T2311" s="2" t="s">
        <v>341</v>
      </c>
      <c r="U2311" s="2" t="s">
        <v>396</v>
      </c>
      <c r="V2311" s="2" t="s">
        <v>1272</v>
      </c>
      <c r="W2311" s="2" t="s">
        <v>776</v>
      </c>
      <c r="X2311" s="2" t="s">
        <v>451</v>
      </c>
      <c r="Y2311" s="2" t="s">
        <v>2562</v>
      </c>
      <c r="Z2311" s="4">
        <v>240</v>
      </c>
      <c r="AA2311" s="4">
        <f>=ROUNDDOWN({0},0)</f>
      </c>
      <c r="AB2311" s="5"/>
      <c r="AC2311" s="2" t="s">
        <v>3255</v>
      </c>
      <c r="AD2311" s="4">
        <v>240</v>
      </c>
      <c r="AE2311" s="4">
        <v>240</v>
      </c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233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 t="s">
        <v>233</v>
      </c>
      <c r="AW2311" s="8" t="s">
        <v>233</v>
      </c>
      <c r="AX2311" s="4" t="s">
        <v>233</v>
      </c>
      <c r="AY2311" s="8" t="s">
        <v>233</v>
      </c>
      <c r="AZ2311" s="7" t="s">
        <v>233</v>
      </c>
      <c r="BA2311" s="7" t="s">
        <v>233</v>
      </c>
      <c r="BB2311" s="7"/>
      <c r="BC2311" s="4" t="s">
        <v>233</v>
      </c>
      <c r="BD2311" s="8" t="s">
        <v>233</v>
      </c>
      <c r="BE2311" s="4" t="s">
        <v>233</v>
      </c>
      <c r="BF2311" s="8" t="s">
        <v>233</v>
      </c>
      <c r="BG2311" s="7" t="s">
        <v>233</v>
      </c>
      <c r="BH2311" s="7" t="s">
        <v>233</v>
      </c>
      <c r="BI2311" s="7"/>
      <c r="BJ2311" s="4"/>
      <c r="BK2311" s="8"/>
      <c r="BL2311" s="2" t="s">
        <v>233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10320</v>
      </c>
      <c r="BV2311" s="2" t="s">
        <v>233</v>
      </c>
      <c r="BW2311" s="2" t="s">
        <v>233</v>
      </c>
      <c r="BX2311" s="2" t="s">
        <v>243</v>
      </c>
      <c r="BY2311" s="2" t="s">
        <v>280</v>
      </c>
      <c r="BZ2311" s="2" t="s">
        <v>245</v>
      </c>
      <c r="CA2311" s="2" t="s">
        <v>5331</v>
      </c>
      <c r="CB2311" s="2" t="s">
        <v>233</v>
      </c>
      <c r="CC2311" s="2" t="s">
        <v>246</v>
      </c>
      <c r="CD2311" s="2" t="s">
        <v>233</v>
      </c>
      <c r="CE2311" s="4">
        <v>240</v>
      </c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>
        <v>240</v>
      </c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/>
      <c r="GG2311" s="4"/>
      <c r="GH2311" s="4"/>
      <c r="GI2311" s="4"/>
      <c r="GJ2311" s="4"/>
      <c r="GK2311" s="4"/>
      <c r="GL2311" s="4"/>
      <c r="GM2311" s="4"/>
      <c r="GN2311" s="4"/>
      <c r="GO2311" s="4"/>
      <c r="GP2311" s="4"/>
      <c r="GQ2311" s="4"/>
      <c r="GR2311" s="4"/>
      <c r="GS2311" s="4"/>
      <c r="GT2311" s="4"/>
      <c r="GU2311" s="4"/>
      <c r="GV2311" s="4"/>
      <c r="GW2311" s="4"/>
      <c r="GX2311" s="4"/>
      <c r="GY2311" s="4"/>
      <c r="GZ2311" s="4"/>
      <c r="HA2311" s="4"/>
      <c r="HB2311" s="4"/>
      <c r="HC2311" s="4"/>
      <c r="HD2311" s="4"/>
      <c r="HE2311" s="4"/>
      <c r="HF2311" s="4"/>
      <c r="HG2311" s="4"/>
      <c r="HH2311" s="4"/>
      <c r="HI2311" s="4"/>
      <c r="HJ2311" s="4"/>
      <c r="HK2311" s="4"/>
      <c r="HL2311" s="4"/>
      <c r="HM2311" s="4"/>
      <c r="HN2311" s="4"/>
      <c r="HO2311" s="4"/>
      <c r="HP2311" s="4"/>
      <c r="HQ2311" s="4"/>
      <c r="HR2311" s="4"/>
    </row>
    <row r="2312">
      <c r="A2312" s="2" t="s">
        <v>10321</v>
      </c>
      <c r="B2312" s="2" t="s">
        <v>1017</v>
      </c>
      <c r="C2312" s="2" t="s">
        <v>530</v>
      </c>
      <c r="D2312" s="2" t="s">
        <v>1018</v>
      </c>
      <c r="E2312" s="2" t="s">
        <v>1019</v>
      </c>
      <c r="F2312" s="2" t="s">
        <v>10289</v>
      </c>
      <c r="G2312" s="2" t="s">
        <v>10290</v>
      </c>
      <c r="H2312" s="2" t="s">
        <v>10291</v>
      </c>
      <c r="I2312" s="2" t="s">
        <v>1548</v>
      </c>
      <c r="J2312" s="2" t="s">
        <v>10322</v>
      </c>
      <c r="K2312" s="2" t="s">
        <v>2197</v>
      </c>
      <c r="L2312" s="3">
        <v>29.9</v>
      </c>
      <c r="M2312" s="3">
        <v>31.4</v>
      </c>
      <c r="N2312" s="3">
        <v>64.99</v>
      </c>
      <c r="O2312" s="2" t="s">
        <v>245</v>
      </c>
      <c r="P2312" s="2" t="s">
        <v>238</v>
      </c>
      <c r="Q2312" s="2" t="s">
        <v>239</v>
      </c>
      <c r="R2312" s="2" t="s">
        <v>233</v>
      </c>
      <c r="S2312" s="2" t="s">
        <v>10319</v>
      </c>
      <c r="T2312" s="2" t="s">
        <v>341</v>
      </c>
      <c r="U2312" s="2" t="s">
        <v>396</v>
      </c>
      <c r="V2312" s="2" t="s">
        <v>1272</v>
      </c>
      <c r="W2312" s="2" t="s">
        <v>776</v>
      </c>
      <c r="X2312" s="2" t="s">
        <v>451</v>
      </c>
      <c r="Y2312" s="2" t="s">
        <v>2562</v>
      </c>
      <c r="Z2312" s="4">
        <v>159</v>
      </c>
      <c r="AA2312" s="4">
        <f>=ROUNDDOWN(159,0)</f>
      </c>
      <c r="AB2312" s="5">
        <v>1</v>
      </c>
      <c r="AC2312" s="2" t="s">
        <v>3255</v>
      </c>
      <c r="AD2312" s="4">
        <v>160</v>
      </c>
      <c r="AE2312" s="4">
        <v>160</v>
      </c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233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 t="s">
        <v>233</v>
      </c>
      <c r="AW2312" s="8" t="s">
        <v>233</v>
      </c>
      <c r="AX2312" s="4" t="s">
        <v>233</v>
      </c>
      <c r="AY2312" s="8" t="s">
        <v>233</v>
      </c>
      <c r="AZ2312" s="7" t="s">
        <v>233</v>
      </c>
      <c r="BA2312" s="7" t="s">
        <v>233</v>
      </c>
      <c r="BB2312" s="7"/>
      <c r="BC2312" s="4" t="s">
        <v>233</v>
      </c>
      <c r="BD2312" s="8" t="s">
        <v>233</v>
      </c>
      <c r="BE2312" s="4" t="s">
        <v>233</v>
      </c>
      <c r="BF2312" s="8" t="s">
        <v>233</v>
      </c>
      <c r="BG2312" s="7" t="s">
        <v>233</v>
      </c>
      <c r="BH2312" s="7" t="s">
        <v>233</v>
      </c>
      <c r="BI2312" s="7"/>
      <c r="BJ2312" s="4"/>
      <c r="BK2312" s="8"/>
      <c r="BL2312" s="2" t="s">
        <v>233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10323</v>
      </c>
      <c r="BV2312" s="2" t="s">
        <v>233</v>
      </c>
      <c r="BW2312" s="2" t="s">
        <v>233</v>
      </c>
      <c r="BX2312" s="2" t="s">
        <v>243</v>
      </c>
      <c r="BY2312" s="2" t="s">
        <v>280</v>
      </c>
      <c r="BZ2312" s="2" t="s">
        <v>245</v>
      </c>
      <c r="CA2312" s="2" t="s">
        <v>5331</v>
      </c>
      <c r="CB2312" s="2" t="s">
        <v>233</v>
      </c>
      <c r="CC2312" s="2" t="s">
        <v>246</v>
      </c>
      <c r="CD2312" s="2" t="s">
        <v>233</v>
      </c>
      <c r="CE2312" s="4">
        <v>159</v>
      </c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>
        <v>160</v>
      </c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/>
      <c r="GG2312" s="4"/>
      <c r="GH2312" s="4"/>
      <c r="GI2312" s="4"/>
      <c r="GJ2312" s="4"/>
      <c r="GK2312" s="4"/>
      <c r="GL2312" s="4"/>
      <c r="GM2312" s="4"/>
      <c r="GN2312" s="4"/>
      <c r="GO2312" s="4"/>
      <c r="GP2312" s="4"/>
      <c r="GQ2312" s="4"/>
      <c r="GR2312" s="4"/>
      <c r="GS2312" s="4"/>
      <c r="GT2312" s="4"/>
      <c r="GU2312" s="4"/>
      <c r="GV2312" s="4"/>
      <c r="GW2312" s="4"/>
      <c r="GX2312" s="4"/>
      <c r="GY2312" s="4"/>
      <c r="GZ2312" s="4"/>
      <c r="HA2312" s="4"/>
      <c r="HB2312" s="4"/>
      <c r="HC2312" s="4"/>
      <c r="HD2312" s="4"/>
      <c r="HE2312" s="4"/>
      <c r="HF2312" s="4"/>
      <c r="HG2312" s="4"/>
      <c r="HH2312" s="4"/>
      <c r="HI2312" s="4"/>
      <c r="HJ2312" s="4"/>
      <c r="HK2312" s="4"/>
      <c r="HL2312" s="4"/>
      <c r="HM2312" s="4"/>
      <c r="HN2312" s="4"/>
      <c r="HO2312" s="4"/>
      <c r="HP2312" s="4"/>
      <c r="HQ2312" s="4"/>
      <c r="HR2312" s="4"/>
    </row>
    <row r="2313">
      <c r="A2313" s="2" t="s">
        <v>10324</v>
      </c>
      <c r="B2313" s="2" t="s">
        <v>1174</v>
      </c>
      <c r="C2313" s="2" t="s">
        <v>530</v>
      </c>
      <c r="D2313" s="2" t="s">
        <v>3304</v>
      </c>
      <c r="E2313" s="2" t="s">
        <v>3305</v>
      </c>
      <c r="F2313" s="2" t="s">
        <v>10289</v>
      </c>
      <c r="G2313" s="2" t="s">
        <v>10290</v>
      </c>
      <c r="H2313" s="2" t="s">
        <v>10291</v>
      </c>
      <c r="I2313" s="2" t="s">
        <v>10298</v>
      </c>
      <c r="J2313" s="2" t="s">
        <v>4833</v>
      </c>
      <c r="K2313" s="2" t="s">
        <v>1218</v>
      </c>
      <c r="L2313" s="3">
        <v>11.25</v>
      </c>
      <c r="M2313" s="3">
        <v>11.81</v>
      </c>
      <c r="N2313" s="3">
        <v>24.99</v>
      </c>
      <c r="O2313" s="2" t="s">
        <v>245</v>
      </c>
      <c r="P2313" s="2" t="s">
        <v>272</v>
      </c>
      <c r="Q2313" s="2" t="s">
        <v>239</v>
      </c>
      <c r="R2313" s="2" t="s">
        <v>233</v>
      </c>
      <c r="S2313" s="2" t="s">
        <v>10325</v>
      </c>
      <c r="T2313" s="2" t="s">
        <v>233</v>
      </c>
      <c r="U2313" s="2" t="s">
        <v>396</v>
      </c>
      <c r="V2313" s="2" t="s">
        <v>1483</v>
      </c>
      <c r="W2313" s="2" t="s">
        <v>776</v>
      </c>
      <c r="X2313" s="2" t="s">
        <v>233</v>
      </c>
      <c r="Y2313" s="2" t="s">
        <v>884</v>
      </c>
      <c r="Z2313" s="4">
        <v>36</v>
      </c>
      <c r="AA2313" s="4">
        <f>=ROUNDDOWN(2.88,0)</f>
      </c>
      <c r="AB2313" s="5">
        <v>12.5</v>
      </c>
      <c r="AC2313" s="2" t="s">
        <v>547</v>
      </c>
      <c r="AD2313" s="4">
        <v>280</v>
      </c>
      <c r="AE2313" s="4">
        <v>384</v>
      </c>
      <c r="AF2313" s="6">
        <v>64</v>
      </c>
      <c r="AG2313" s="6"/>
      <c r="AH2313" s="7">
        <v>1</v>
      </c>
      <c r="AI2313" s="4"/>
      <c r="AJ2313" s="4">
        <f>=ROUNDDOWN({0},0)</f>
      </c>
      <c r="AK2313" s="5"/>
      <c r="AL2313" s="2" t="s">
        <v>233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 t="s">
        <v>233</v>
      </c>
      <c r="BD2313" s="8" t="s">
        <v>233</v>
      </c>
      <c r="BE2313" s="4" t="s">
        <v>233</v>
      </c>
      <c r="BF2313" s="8" t="s">
        <v>233</v>
      </c>
      <c r="BG2313" s="7" t="s">
        <v>233</v>
      </c>
      <c r="BH2313" s="7" t="s">
        <v>233</v>
      </c>
      <c r="BI2313" s="7"/>
      <c r="BJ2313" s="4">
        <v>52</v>
      </c>
      <c r="BK2313" s="8">
        <v>628</v>
      </c>
      <c r="BL2313" s="2" t="s">
        <v>6726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10326</v>
      </c>
      <c r="BV2313" s="2" t="s">
        <v>233</v>
      </c>
      <c r="BW2313" s="2" t="s">
        <v>233</v>
      </c>
      <c r="BX2313" s="2" t="s">
        <v>233</v>
      </c>
      <c r="BY2313" s="2" t="s">
        <v>280</v>
      </c>
      <c r="BZ2313" s="2" t="s">
        <v>245</v>
      </c>
      <c r="CA2313" s="2" t="s">
        <v>10327</v>
      </c>
      <c r="CB2313" s="2" t="s">
        <v>2592</v>
      </c>
      <c r="CC2313" s="2" t="s">
        <v>246</v>
      </c>
      <c r="CD2313" s="2" t="s">
        <v>233</v>
      </c>
      <c r="CE2313" s="4">
        <v>36</v>
      </c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>
        <v>280</v>
      </c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/>
      <c r="GG2313" s="4"/>
      <c r="GH2313" s="4"/>
      <c r="GI2313" s="4"/>
      <c r="GJ2313" s="4"/>
      <c r="GK2313" s="4">
        <v>104</v>
      </c>
      <c r="GL2313" s="4"/>
      <c r="GM2313" s="4"/>
      <c r="GN2313" s="4"/>
      <c r="GO2313" s="4"/>
      <c r="GP2313" s="4"/>
      <c r="GQ2313" s="4"/>
      <c r="GR2313" s="4"/>
      <c r="GS2313" s="4"/>
      <c r="GT2313" s="4"/>
      <c r="GU2313" s="4"/>
      <c r="GV2313" s="4"/>
      <c r="GW2313" s="4"/>
      <c r="GX2313" s="4"/>
      <c r="GY2313" s="4"/>
      <c r="GZ2313" s="4"/>
      <c r="HA2313" s="4"/>
      <c r="HB2313" s="4"/>
      <c r="HC2313" s="4"/>
      <c r="HD2313" s="4"/>
      <c r="HE2313" s="4"/>
      <c r="HF2313" s="4"/>
      <c r="HG2313" s="4"/>
      <c r="HH2313" s="4"/>
      <c r="HI2313" s="4"/>
      <c r="HJ2313" s="4"/>
      <c r="HK2313" s="4"/>
      <c r="HL2313" s="4"/>
      <c r="HM2313" s="4"/>
      <c r="HN2313" s="4"/>
      <c r="HO2313" s="4"/>
      <c r="HP2313" s="4"/>
      <c r="HQ2313" s="4"/>
      <c r="HR2313" s="4"/>
    </row>
    <row r="2314">
      <c r="A2314" s="2" t="s">
        <v>10328</v>
      </c>
      <c r="B2314" s="2" t="s">
        <v>886</v>
      </c>
      <c r="C2314" s="2" t="s">
        <v>901</v>
      </c>
      <c r="D2314" s="2" t="s">
        <v>888</v>
      </c>
      <c r="E2314" s="2" t="s">
        <v>889</v>
      </c>
      <c r="F2314" s="2" t="s">
        <v>10329</v>
      </c>
      <c r="G2314" s="2" t="s">
        <v>10329</v>
      </c>
      <c r="H2314" s="2" t="s">
        <v>10329</v>
      </c>
      <c r="I2314" s="2" t="s">
        <v>10330</v>
      </c>
      <c r="J2314" s="2" t="s">
        <v>892</v>
      </c>
      <c r="K2314" s="2" t="s">
        <v>5036</v>
      </c>
      <c r="L2314" s="3">
        <v>132</v>
      </c>
      <c r="M2314" s="3">
        <v>138.6</v>
      </c>
      <c r="N2314" s="3">
        <v>279.99</v>
      </c>
      <c r="O2314" s="2" t="s">
        <v>245</v>
      </c>
      <c r="P2314" s="2" t="s">
        <v>238</v>
      </c>
      <c r="Q2314" s="2" t="s">
        <v>239</v>
      </c>
      <c r="R2314" s="2" t="s">
        <v>233</v>
      </c>
      <c r="S2314" s="2" t="s">
        <v>233</v>
      </c>
      <c r="T2314" s="2" t="s">
        <v>233</v>
      </c>
      <c r="U2314" s="2" t="s">
        <v>396</v>
      </c>
      <c r="V2314" s="2" t="s">
        <v>893</v>
      </c>
      <c r="W2314" s="2" t="s">
        <v>977</v>
      </c>
      <c r="X2314" s="2" t="s">
        <v>275</v>
      </c>
      <c r="Y2314" s="2" t="s">
        <v>2795</v>
      </c>
      <c r="Z2314" s="4">
        <v>91</v>
      </c>
      <c r="AA2314" s="4">
        <f>=ROUNDDOWN(303.333333333333,0)</f>
      </c>
      <c r="AB2314" s="5">
        <v>0.3</v>
      </c>
      <c r="AC2314" s="2" t="s">
        <v>233</v>
      </c>
      <c r="AD2314" s="4"/>
      <c r="AE2314" s="4"/>
      <c r="AF2314" s="6">
        <v>63</v>
      </c>
      <c r="AG2314" s="6"/>
      <c r="AH2314" s="7">
        <v>1</v>
      </c>
      <c r="AI2314" s="4"/>
      <c r="AJ2314" s="4">
        <f>=ROUNDDOWN({0},0)</f>
      </c>
      <c r="AK2314" s="5"/>
      <c r="AL2314" s="2" t="s">
        <v>233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/>
      <c r="BD2314" s="8"/>
      <c r="BE2314" s="4"/>
      <c r="BF2314" s="8"/>
      <c r="BG2314" s="7"/>
      <c r="BH2314" s="7"/>
      <c r="BI2314" s="7"/>
      <c r="BJ2314" s="4">
        <v>1</v>
      </c>
      <c r="BK2314" s="8">
        <v>138.6</v>
      </c>
      <c r="BL2314" s="2" t="s">
        <v>1028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10331</v>
      </c>
      <c r="BV2314" s="2" t="s">
        <v>233</v>
      </c>
      <c r="BW2314" s="2" t="s">
        <v>233</v>
      </c>
      <c r="BX2314" s="2" t="s">
        <v>243</v>
      </c>
      <c r="BY2314" s="2" t="s">
        <v>280</v>
      </c>
      <c r="BZ2314" s="2" t="s">
        <v>245</v>
      </c>
      <c r="CA2314" s="2" t="s">
        <v>1106</v>
      </c>
      <c r="CB2314" s="2" t="s">
        <v>2959</v>
      </c>
      <c r="CC2314" s="2" t="s">
        <v>246</v>
      </c>
      <c r="CD2314" s="2" t="s">
        <v>233</v>
      </c>
      <c r="CE2314" s="4"/>
      <c r="CF2314" s="4">
        <v>91</v>
      </c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/>
      <c r="GG2314" s="4"/>
      <c r="GH2314" s="4"/>
      <c r="GI2314" s="4"/>
      <c r="GJ2314" s="4"/>
      <c r="GK2314" s="4"/>
      <c r="GL2314" s="4"/>
      <c r="GM2314" s="4"/>
      <c r="GN2314" s="4"/>
      <c r="GO2314" s="4"/>
      <c r="GP2314" s="4"/>
      <c r="GQ2314" s="4"/>
      <c r="GR2314" s="4"/>
      <c r="GS2314" s="4"/>
      <c r="GT2314" s="4"/>
      <c r="GU2314" s="4"/>
      <c r="GV2314" s="4"/>
      <c r="GW2314" s="4"/>
      <c r="GX2314" s="4"/>
      <c r="GY2314" s="4"/>
      <c r="GZ2314" s="4"/>
      <c r="HA2314" s="4"/>
      <c r="HB2314" s="4"/>
      <c r="HC2314" s="4"/>
      <c r="HD2314" s="4"/>
      <c r="HE2314" s="4"/>
      <c r="HF2314" s="4"/>
      <c r="HG2314" s="4"/>
      <c r="HH2314" s="4"/>
      <c r="HI2314" s="4"/>
      <c r="HJ2314" s="4"/>
      <c r="HK2314" s="4"/>
      <c r="HL2314" s="4"/>
      <c r="HM2314" s="4"/>
      <c r="HN2314" s="4"/>
      <c r="HO2314" s="4"/>
      <c r="HP2314" s="4"/>
      <c r="HQ2314" s="4"/>
      <c r="HR2314" s="4"/>
    </row>
    <row r="2315">
      <c r="A2315" s="2" t="s">
        <v>10332</v>
      </c>
      <c r="B2315" s="2" t="s">
        <v>1242</v>
      </c>
      <c r="C2315" s="2" t="s">
        <v>334</v>
      </c>
      <c r="D2315" s="2" t="s">
        <v>969</v>
      </c>
      <c r="E2315" s="2" t="s">
        <v>3334</v>
      </c>
      <c r="F2315" s="2" t="s">
        <v>10333</v>
      </c>
      <c r="G2315" s="2" t="s">
        <v>10334</v>
      </c>
      <c r="H2315" s="2" t="s">
        <v>10335</v>
      </c>
      <c r="I2315" s="2" t="s">
        <v>3338</v>
      </c>
      <c r="J2315" s="2" t="s">
        <v>270</v>
      </c>
      <c r="K2315" s="2" t="s">
        <v>2197</v>
      </c>
      <c r="L2315" s="3">
        <v>49.39</v>
      </c>
      <c r="M2315" s="3">
        <v>51.86</v>
      </c>
      <c r="N2315" s="3">
        <v>89.99</v>
      </c>
      <c r="O2315" s="2" t="s">
        <v>245</v>
      </c>
      <c r="P2315" s="2" t="s">
        <v>393</v>
      </c>
      <c r="Q2315" s="2" t="s">
        <v>239</v>
      </c>
      <c r="R2315" s="2" t="s">
        <v>233</v>
      </c>
      <c r="S2315" s="2" t="s">
        <v>10336</v>
      </c>
      <c r="T2315" s="2" t="s">
        <v>233</v>
      </c>
      <c r="U2315" s="2" t="s">
        <v>1507</v>
      </c>
      <c r="V2315" s="2" t="s">
        <v>1762</v>
      </c>
      <c r="W2315" s="2" t="s">
        <v>1763</v>
      </c>
      <c r="X2315" s="2" t="s">
        <v>10337</v>
      </c>
      <c r="Y2315" s="2" t="s">
        <v>276</v>
      </c>
      <c r="Z2315" s="4">
        <v>101</v>
      </c>
      <c r="AA2315" s="4">
        <f>=ROUNDDOWN(25.25,0)</f>
      </c>
      <c r="AB2315" s="5">
        <v>4</v>
      </c>
      <c r="AC2315" s="2" t="s">
        <v>795</v>
      </c>
      <c r="AD2315" s="4">
        <v>40</v>
      </c>
      <c r="AE2315" s="4">
        <v>100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233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/>
      <c r="BD2315" s="8"/>
      <c r="BE2315" s="4"/>
      <c r="BF2315" s="8"/>
      <c r="BG2315" s="7"/>
      <c r="BH2315" s="7"/>
      <c r="BI2315" s="7"/>
      <c r="BJ2315" s="4">
        <v>3</v>
      </c>
      <c r="BK2315" s="8">
        <v>152.31</v>
      </c>
      <c r="BL2315" s="2" t="s">
        <v>2741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10338</v>
      </c>
      <c r="BV2315" s="2" t="s">
        <v>233</v>
      </c>
      <c r="BW2315" s="2" t="s">
        <v>233</v>
      </c>
      <c r="BX2315" s="2" t="s">
        <v>233</v>
      </c>
      <c r="BY2315" s="2" t="s">
        <v>280</v>
      </c>
      <c r="BZ2315" s="2" t="s">
        <v>245</v>
      </c>
      <c r="CA2315" s="2" t="s">
        <v>281</v>
      </c>
      <c r="CB2315" s="2" t="s">
        <v>10339</v>
      </c>
      <c r="CC2315" s="2" t="s">
        <v>246</v>
      </c>
      <c r="CD2315" s="2" t="s">
        <v>233</v>
      </c>
      <c r="CE2315" s="4">
        <v>101</v>
      </c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>
        <v>40</v>
      </c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>
        <v>60</v>
      </c>
      <c r="GL2315" s="4"/>
      <c r="GM2315" s="4"/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4"/>
      <c r="HE2315" s="4"/>
      <c r="HF2315" s="4"/>
      <c r="HG2315" s="4"/>
      <c r="HH2315" s="4"/>
      <c r="HI2315" s="4"/>
      <c r="HJ2315" s="4"/>
      <c r="HK2315" s="4"/>
      <c r="HL2315" s="4"/>
      <c r="HM2315" s="4"/>
      <c r="HN2315" s="4"/>
      <c r="HO2315" s="4"/>
      <c r="HP2315" s="4"/>
      <c r="HQ2315" s="4"/>
      <c r="HR2315" s="4"/>
    </row>
    <row r="2316">
      <c r="A2316" s="2" t="s">
        <v>10340</v>
      </c>
      <c r="B2316" s="2" t="s">
        <v>1017</v>
      </c>
      <c r="C2316" s="2" t="s">
        <v>990</v>
      </c>
      <c r="D2316" s="2" t="s">
        <v>3887</v>
      </c>
      <c r="E2316" s="2" t="s">
        <v>3888</v>
      </c>
      <c r="F2316" s="2" t="s">
        <v>10341</v>
      </c>
      <c r="G2316" s="2" t="s">
        <v>10341</v>
      </c>
      <c r="H2316" s="2" t="s">
        <v>10341</v>
      </c>
      <c r="I2316" s="2" t="s">
        <v>10342</v>
      </c>
      <c r="J2316" s="2" t="s">
        <v>3031</v>
      </c>
      <c r="K2316" s="2" t="s">
        <v>525</v>
      </c>
      <c r="L2316" s="3">
        <v>7.74</v>
      </c>
      <c r="M2316" s="3">
        <v>8.13</v>
      </c>
      <c r="N2316" s="3">
        <v>24.99</v>
      </c>
      <c r="O2316" s="2" t="s">
        <v>245</v>
      </c>
      <c r="P2316" s="2" t="s">
        <v>272</v>
      </c>
      <c r="Q2316" s="2" t="s">
        <v>239</v>
      </c>
      <c r="R2316" s="2" t="s">
        <v>233</v>
      </c>
      <c r="S2316" s="2" t="s">
        <v>233</v>
      </c>
      <c r="T2316" s="2" t="s">
        <v>233</v>
      </c>
      <c r="U2316" s="2" t="s">
        <v>396</v>
      </c>
      <c r="V2316" s="2" t="s">
        <v>1085</v>
      </c>
      <c r="W2316" s="2" t="s">
        <v>705</v>
      </c>
      <c r="X2316" s="2" t="s">
        <v>233</v>
      </c>
      <c r="Y2316" s="2" t="s">
        <v>1610</v>
      </c>
      <c r="Z2316" s="4">
        <v>78</v>
      </c>
      <c r="AA2316" s="4">
        <f>=ROUNDDOWN(9.75,0)</f>
      </c>
      <c r="AB2316" s="5">
        <v>8</v>
      </c>
      <c r="AC2316" s="2" t="s">
        <v>2277</v>
      </c>
      <c r="AD2316" s="4">
        <v>216</v>
      </c>
      <c r="AE2316" s="4">
        <v>216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233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/>
      <c r="BD2316" s="8"/>
      <c r="BE2316" s="4"/>
      <c r="BF2316" s="8"/>
      <c r="BG2316" s="7"/>
      <c r="BH2316" s="7"/>
      <c r="BI2316" s="7"/>
      <c r="BJ2316" s="4">
        <v>7</v>
      </c>
      <c r="BK2316" s="8">
        <v>77.61</v>
      </c>
      <c r="BL2316" s="2" t="s">
        <v>10343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10344</v>
      </c>
      <c r="BV2316" s="2" t="s">
        <v>233</v>
      </c>
      <c r="BW2316" s="2" t="s">
        <v>233</v>
      </c>
      <c r="BX2316" s="2" t="s">
        <v>243</v>
      </c>
      <c r="BY2316" s="2" t="s">
        <v>280</v>
      </c>
      <c r="BZ2316" s="2" t="s">
        <v>245</v>
      </c>
      <c r="CA2316" s="2" t="s">
        <v>3892</v>
      </c>
      <c r="CB2316" s="2" t="s">
        <v>746</v>
      </c>
      <c r="CC2316" s="2" t="s">
        <v>246</v>
      </c>
      <c r="CD2316" s="2" t="s">
        <v>233</v>
      </c>
      <c r="CE2316" s="4">
        <v>78</v>
      </c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>
        <v>216</v>
      </c>
      <c r="GU2316" s="4"/>
      <c r="GV2316" s="4"/>
      <c r="GW2316" s="4"/>
      <c r="GX2316" s="4"/>
      <c r="GY2316" s="4"/>
      <c r="GZ2316" s="4"/>
      <c r="HA2316" s="4"/>
      <c r="HB2316" s="4"/>
      <c r="HC2316" s="4"/>
      <c r="HD2316" s="4"/>
      <c r="HE2316" s="4"/>
      <c r="HF2316" s="4"/>
      <c r="HG2316" s="4"/>
      <c r="HH2316" s="4"/>
      <c r="HI2316" s="4"/>
      <c r="HJ2316" s="4"/>
      <c r="HK2316" s="4"/>
      <c r="HL2316" s="4"/>
      <c r="HM2316" s="4"/>
      <c r="HN2316" s="4"/>
      <c r="HO2316" s="4"/>
      <c r="HP2316" s="4"/>
      <c r="HQ2316" s="4"/>
      <c r="HR2316" s="4"/>
    </row>
    <row r="2317">
      <c r="A2317" s="2" t="s">
        <v>10345</v>
      </c>
      <c r="B2317" s="2" t="s">
        <v>1066</v>
      </c>
      <c r="C2317" s="2" t="s">
        <v>530</v>
      </c>
      <c r="D2317" s="2" t="s">
        <v>4806</v>
      </c>
      <c r="E2317" s="2" t="s">
        <v>4807</v>
      </c>
      <c r="F2317" s="2" t="s">
        <v>10346</v>
      </c>
      <c r="G2317" s="2" t="s">
        <v>10347</v>
      </c>
      <c r="H2317" s="2" t="s">
        <v>10348</v>
      </c>
      <c r="I2317" s="2" t="s">
        <v>4807</v>
      </c>
      <c r="J2317" s="2" t="s">
        <v>892</v>
      </c>
      <c r="K2317" s="2" t="s">
        <v>7824</v>
      </c>
      <c r="L2317" s="3">
        <v>225</v>
      </c>
      <c r="M2317" s="3">
        <v>236.25</v>
      </c>
      <c r="N2317" s="3">
        <v>469</v>
      </c>
      <c r="O2317" s="2" t="s">
        <v>237</v>
      </c>
      <c r="P2317" s="2" t="s">
        <v>311</v>
      </c>
      <c r="Q2317" s="2" t="s">
        <v>239</v>
      </c>
      <c r="R2317" s="2" t="s">
        <v>233</v>
      </c>
      <c r="S2317" s="2" t="s">
        <v>233</v>
      </c>
      <c r="T2317" s="2" t="s">
        <v>233</v>
      </c>
      <c r="U2317" s="2" t="s">
        <v>396</v>
      </c>
      <c r="V2317" s="2" t="s">
        <v>241</v>
      </c>
      <c r="W2317" s="2" t="s">
        <v>2652</v>
      </c>
      <c r="X2317" s="2" t="s">
        <v>233</v>
      </c>
      <c r="Y2317" s="2" t="s">
        <v>2932</v>
      </c>
      <c r="Z2317" s="4">
        <v>10</v>
      </c>
      <c r="AA2317" s="4">
        <f>=ROUNDDOWN(4.54545454545455,0)</f>
      </c>
      <c r="AB2317" s="5">
        <v>2.2</v>
      </c>
      <c r="AC2317" s="2" t="s">
        <v>233</v>
      </c>
      <c r="AD2317" s="4"/>
      <c r="AE2317" s="4"/>
      <c r="AF2317" s="6">
        <v>74</v>
      </c>
      <c r="AG2317" s="6"/>
      <c r="AH2317" s="7">
        <v>1</v>
      </c>
      <c r="AI2317" s="4"/>
      <c r="AJ2317" s="4">
        <f>=ROUNDDOWN({0},0)</f>
      </c>
      <c r="AK2317" s="5"/>
      <c r="AL2317" s="2" t="s">
        <v>233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/>
      <c r="BD2317" s="8"/>
      <c r="BE2317" s="4"/>
      <c r="BF2317" s="8"/>
      <c r="BG2317" s="7"/>
      <c r="BH2317" s="7"/>
      <c r="BI2317" s="7"/>
      <c r="BJ2317" s="4">
        <v>3</v>
      </c>
      <c r="BK2317" s="8">
        <v>567</v>
      </c>
      <c r="BL2317" s="2" t="s">
        <v>1023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10349</v>
      </c>
      <c r="BV2317" s="2" t="s">
        <v>233</v>
      </c>
      <c r="BW2317" s="2" t="s">
        <v>233</v>
      </c>
      <c r="BX2317" s="2" t="s">
        <v>233</v>
      </c>
      <c r="BY2317" s="2" t="s">
        <v>280</v>
      </c>
      <c r="BZ2317" s="2" t="s">
        <v>245</v>
      </c>
      <c r="CA2317" s="2" t="s">
        <v>5304</v>
      </c>
      <c r="CB2317" s="2" t="s">
        <v>9139</v>
      </c>
      <c r="CC2317" s="2" t="s">
        <v>246</v>
      </c>
      <c r="CD2317" s="2" t="s">
        <v>233</v>
      </c>
      <c r="CE2317" s="4"/>
      <c r="CF2317" s="4">
        <v>10</v>
      </c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/>
      <c r="GU2317" s="4"/>
      <c r="GV2317" s="4"/>
      <c r="GW2317" s="4"/>
      <c r="GX2317" s="4"/>
      <c r="GY2317" s="4"/>
      <c r="GZ2317" s="4"/>
      <c r="HA2317" s="4"/>
      <c r="HB2317" s="4"/>
      <c r="HC2317" s="4"/>
      <c r="HD2317" s="4"/>
      <c r="HE2317" s="4"/>
      <c r="HF2317" s="4"/>
      <c r="HG2317" s="4"/>
      <c r="HH2317" s="4"/>
      <c r="HI2317" s="4"/>
      <c r="HJ2317" s="4"/>
      <c r="HK2317" s="4"/>
      <c r="HL2317" s="4"/>
      <c r="HM2317" s="4"/>
      <c r="HN2317" s="4"/>
      <c r="HO2317" s="4"/>
      <c r="HP2317" s="4"/>
      <c r="HQ2317" s="4"/>
      <c r="HR2317" s="4"/>
    </row>
    <row r="2318">
      <c r="A2318" s="2" t="s">
        <v>10350</v>
      </c>
      <c r="B2318" s="2" t="s">
        <v>1066</v>
      </c>
      <c r="C2318" s="2" t="s">
        <v>530</v>
      </c>
      <c r="D2318" s="2" t="s">
        <v>1713</v>
      </c>
      <c r="E2318" s="2" t="s">
        <v>1913</v>
      </c>
      <c r="F2318" s="2" t="s">
        <v>10351</v>
      </c>
      <c r="G2318" s="2" t="s">
        <v>10211</v>
      </c>
      <c r="H2318" s="2" t="s">
        <v>10352</v>
      </c>
      <c r="I2318" s="2" t="s">
        <v>10353</v>
      </c>
      <c r="J2318" s="2" t="s">
        <v>892</v>
      </c>
      <c r="K2318" s="2" t="s">
        <v>773</v>
      </c>
      <c r="L2318" s="3">
        <v>114</v>
      </c>
      <c r="M2318" s="3">
        <v>119.7</v>
      </c>
      <c r="N2318" s="3">
        <v>239</v>
      </c>
      <c r="O2318" s="2" t="s">
        <v>245</v>
      </c>
      <c r="P2318" s="2" t="s">
        <v>272</v>
      </c>
      <c r="Q2318" s="2" t="s">
        <v>239</v>
      </c>
      <c r="R2318" s="2" t="s">
        <v>233</v>
      </c>
      <c r="S2318" s="2" t="s">
        <v>10354</v>
      </c>
      <c r="T2318" s="2" t="s">
        <v>233</v>
      </c>
      <c r="U2318" s="2" t="s">
        <v>233</v>
      </c>
      <c r="V2318" s="2" t="s">
        <v>241</v>
      </c>
      <c r="W2318" s="2" t="s">
        <v>451</v>
      </c>
      <c r="X2318" s="2" t="s">
        <v>233</v>
      </c>
      <c r="Y2318" s="2" t="s">
        <v>3555</v>
      </c>
      <c r="Z2318" s="4">
        <v>381</v>
      </c>
      <c r="AA2318" s="4">
        <f>=ROUNDDOWN(23.8125,0)</f>
      </c>
      <c r="AB2318" s="5">
        <v>16</v>
      </c>
      <c r="AC2318" s="2" t="s">
        <v>2721</v>
      </c>
      <c r="AD2318" s="4">
        <v>5</v>
      </c>
      <c r="AE2318" s="4">
        <v>221</v>
      </c>
      <c r="AF2318" s="6">
        <v>76</v>
      </c>
      <c r="AG2318" s="6">
        <v>67</v>
      </c>
      <c r="AH2318" s="7">
        <v>1</v>
      </c>
      <c r="AI2318" s="4"/>
      <c r="AJ2318" s="4">
        <f>=ROUNDDOWN({0},0)</f>
      </c>
      <c r="AK2318" s="5"/>
      <c r="AL2318" s="2" t="s">
        <v>233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/>
      <c r="BD2318" s="8"/>
      <c r="BE2318" s="4"/>
      <c r="BF2318" s="8"/>
      <c r="BG2318" s="7"/>
      <c r="BH2318" s="7"/>
      <c r="BI2318" s="7"/>
      <c r="BJ2318" s="4">
        <v>30</v>
      </c>
      <c r="BK2318" s="8">
        <v>3552.05</v>
      </c>
      <c r="BL2318" s="2" t="s">
        <v>10355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10356</v>
      </c>
      <c r="BV2318" s="2" t="s">
        <v>233</v>
      </c>
      <c r="BW2318" s="2" t="s">
        <v>233</v>
      </c>
      <c r="BX2318" s="2" t="s">
        <v>233</v>
      </c>
      <c r="BY2318" s="2" t="s">
        <v>280</v>
      </c>
      <c r="BZ2318" s="2" t="s">
        <v>245</v>
      </c>
      <c r="CA2318" s="2" t="s">
        <v>10357</v>
      </c>
      <c r="CB2318" s="2" t="s">
        <v>10358</v>
      </c>
      <c r="CC2318" s="2" t="s">
        <v>246</v>
      </c>
      <c r="CD2318" s="2" t="s">
        <v>233</v>
      </c>
      <c r="CE2318" s="4"/>
      <c r="CF2318" s="4">
        <v>381</v>
      </c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>
        <v>5</v>
      </c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>
        <v>216</v>
      </c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/>
      <c r="GV2318" s="4"/>
      <c r="GW2318" s="4"/>
      <c r="GX2318" s="4"/>
      <c r="GY2318" s="4"/>
      <c r="GZ2318" s="4"/>
      <c r="HA2318" s="4"/>
      <c r="HB2318" s="4"/>
      <c r="HC2318" s="4"/>
      <c r="HD2318" s="4"/>
      <c r="HE2318" s="4"/>
      <c r="HF2318" s="4"/>
      <c r="HG2318" s="4"/>
      <c r="HH2318" s="4"/>
      <c r="HI2318" s="4"/>
      <c r="HJ2318" s="4"/>
      <c r="HK2318" s="4"/>
      <c r="HL2318" s="4"/>
      <c r="HM2318" s="4"/>
      <c r="HN2318" s="4"/>
      <c r="HO2318" s="4"/>
      <c r="HP2318" s="4"/>
      <c r="HQ2318" s="4"/>
      <c r="HR2318" s="4"/>
    </row>
    <row r="2319">
      <c r="A2319" s="2" t="s">
        <v>10359</v>
      </c>
      <c r="B2319" s="2" t="s">
        <v>1066</v>
      </c>
      <c r="C2319" s="2" t="s">
        <v>530</v>
      </c>
      <c r="D2319" s="2" t="s">
        <v>1713</v>
      </c>
      <c r="E2319" s="2" t="s">
        <v>1913</v>
      </c>
      <c r="F2319" s="2" t="s">
        <v>10360</v>
      </c>
      <c r="G2319" s="2" t="s">
        <v>10361</v>
      </c>
      <c r="H2319" s="2" t="s">
        <v>10362</v>
      </c>
      <c r="I2319" s="2" t="s">
        <v>10353</v>
      </c>
      <c r="J2319" s="2" t="s">
        <v>892</v>
      </c>
      <c r="K2319" s="2" t="s">
        <v>2197</v>
      </c>
      <c r="L2319" s="3">
        <v>85.5</v>
      </c>
      <c r="M2319" s="3">
        <v>89.78</v>
      </c>
      <c r="N2319" s="3">
        <v>179</v>
      </c>
      <c r="O2319" s="2" t="s">
        <v>245</v>
      </c>
      <c r="P2319" s="2" t="s">
        <v>272</v>
      </c>
      <c r="Q2319" s="2" t="s">
        <v>239</v>
      </c>
      <c r="R2319" s="2" t="s">
        <v>233</v>
      </c>
      <c r="S2319" s="2" t="s">
        <v>10363</v>
      </c>
      <c r="T2319" s="2" t="s">
        <v>233</v>
      </c>
      <c r="U2319" s="2" t="s">
        <v>233</v>
      </c>
      <c r="V2319" s="2" t="s">
        <v>241</v>
      </c>
      <c r="W2319" s="2" t="s">
        <v>397</v>
      </c>
      <c r="X2319" s="2" t="s">
        <v>233</v>
      </c>
      <c r="Y2319" s="2" t="s">
        <v>276</v>
      </c>
      <c r="Z2319" s="4">
        <v>110</v>
      </c>
      <c r="AA2319" s="4">
        <f>=ROUNDDOWN(15.7142857142857,0)</f>
      </c>
      <c r="AB2319" s="5">
        <v>7</v>
      </c>
      <c r="AC2319" s="2" t="s">
        <v>1701</v>
      </c>
      <c r="AD2319" s="4">
        <v>48</v>
      </c>
      <c r="AE2319" s="4">
        <v>215</v>
      </c>
      <c r="AF2319" s="6">
        <v>76</v>
      </c>
      <c r="AG2319" s="6">
        <v>67</v>
      </c>
      <c r="AH2319" s="7">
        <v>1</v>
      </c>
      <c r="AI2319" s="4"/>
      <c r="AJ2319" s="4">
        <f>=ROUNDDOWN({0},0)</f>
      </c>
      <c r="AK2319" s="5"/>
      <c r="AL2319" s="2" t="s">
        <v>233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/>
      <c r="BD2319" s="8"/>
      <c r="BE2319" s="4"/>
      <c r="BF2319" s="8"/>
      <c r="BG2319" s="7"/>
      <c r="BH2319" s="7"/>
      <c r="BI2319" s="7"/>
      <c r="BJ2319" s="4">
        <v>29</v>
      </c>
      <c r="BK2319" s="8">
        <v>2739.65</v>
      </c>
      <c r="BL2319" s="2" t="s">
        <v>10364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10365</v>
      </c>
      <c r="BV2319" s="2" t="s">
        <v>233</v>
      </c>
      <c r="BW2319" s="2" t="s">
        <v>233</v>
      </c>
      <c r="BX2319" s="2" t="s">
        <v>243</v>
      </c>
      <c r="BY2319" s="2" t="s">
        <v>280</v>
      </c>
      <c r="BZ2319" s="2" t="s">
        <v>245</v>
      </c>
      <c r="CA2319" s="2" t="s">
        <v>281</v>
      </c>
      <c r="CB2319" s="2" t="s">
        <v>10366</v>
      </c>
      <c r="CC2319" s="2" t="s">
        <v>246</v>
      </c>
      <c r="CD2319" s="2" t="s">
        <v>233</v>
      </c>
      <c r="CE2319" s="4"/>
      <c r="CF2319" s="4">
        <v>110</v>
      </c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>
        <v>48</v>
      </c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/>
      <c r="GN2319" s="4">
        <v>62</v>
      </c>
      <c r="GO2319" s="4"/>
      <c r="GP2319" s="4"/>
      <c r="GQ2319" s="4"/>
      <c r="GR2319" s="4"/>
      <c r="GS2319" s="4"/>
      <c r="GT2319" s="4"/>
      <c r="GU2319" s="4"/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  <c r="HF2319" s="4">
        <v>105</v>
      </c>
      <c r="HG2319" s="4"/>
      <c r="HH2319" s="4"/>
      <c r="HI2319" s="4"/>
      <c r="HJ2319" s="4"/>
      <c r="HK2319" s="4"/>
      <c r="HL2319" s="4"/>
      <c r="HM2319" s="4"/>
      <c r="HN2319" s="4"/>
      <c r="HO2319" s="4"/>
      <c r="HP2319" s="4"/>
      <c r="HQ2319" s="4"/>
      <c r="HR2319" s="4"/>
    </row>
    <row r="2320">
      <c r="A2320" s="2" t="s">
        <v>10367</v>
      </c>
      <c r="B2320" s="2" t="s">
        <v>1066</v>
      </c>
      <c r="C2320" s="2" t="s">
        <v>947</v>
      </c>
      <c r="D2320" s="2" t="s">
        <v>1090</v>
      </c>
      <c r="E2320" s="2" t="s">
        <v>1091</v>
      </c>
      <c r="F2320" s="2" t="s">
        <v>10368</v>
      </c>
      <c r="G2320" s="2" t="s">
        <v>10368</v>
      </c>
      <c r="H2320" s="2" t="s">
        <v>10368</v>
      </c>
      <c r="I2320" s="2" t="s">
        <v>1091</v>
      </c>
      <c r="J2320" s="2" t="s">
        <v>892</v>
      </c>
      <c r="K2320" s="2" t="s">
        <v>10369</v>
      </c>
      <c r="L2320" s="3">
        <v>299</v>
      </c>
      <c r="M2320" s="3">
        <v>313.95</v>
      </c>
      <c r="N2320" s="3">
        <v>629</v>
      </c>
      <c r="O2320" s="2" t="s">
        <v>237</v>
      </c>
      <c r="P2320" s="2" t="s">
        <v>311</v>
      </c>
      <c r="Q2320" s="2" t="s">
        <v>239</v>
      </c>
      <c r="R2320" s="2" t="s">
        <v>233</v>
      </c>
      <c r="S2320" s="2" t="s">
        <v>233</v>
      </c>
      <c r="T2320" s="2" t="s">
        <v>233</v>
      </c>
      <c r="U2320" s="2" t="s">
        <v>396</v>
      </c>
      <c r="V2320" s="2" t="s">
        <v>241</v>
      </c>
      <c r="W2320" s="2" t="s">
        <v>397</v>
      </c>
      <c r="X2320" s="2" t="s">
        <v>1664</v>
      </c>
      <c r="Y2320" s="2" t="s">
        <v>10370</v>
      </c>
      <c r="Z2320" s="4">
        <v>51</v>
      </c>
      <c r="AA2320" s="4">
        <f>=ROUNDDOWN(25.5,0)</f>
      </c>
      <c r="AB2320" s="5">
        <v>2</v>
      </c>
      <c r="AC2320" s="2" t="s">
        <v>233</v>
      </c>
      <c r="AD2320" s="4"/>
      <c r="AE2320" s="4"/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233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/>
      <c r="BD2320" s="8"/>
      <c r="BE2320" s="4"/>
      <c r="BF2320" s="8"/>
      <c r="BG2320" s="7"/>
      <c r="BH2320" s="7"/>
      <c r="BI2320" s="7"/>
      <c r="BJ2320" s="4">
        <v>8</v>
      </c>
      <c r="BK2320" s="8">
        <v>2038.37</v>
      </c>
      <c r="BL2320" s="2" t="s">
        <v>10371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10372</v>
      </c>
      <c r="BV2320" s="2" t="s">
        <v>233</v>
      </c>
      <c r="BW2320" s="2" t="s">
        <v>233</v>
      </c>
      <c r="BX2320" s="2" t="s">
        <v>233</v>
      </c>
      <c r="BY2320" s="2" t="s">
        <v>280</v>
      </c>
      <c r="BZ2320" s="2" t="s">
        <v>245</v>
      </c>
      <c r="CA2320" s="2" t="s">
        <v>9954</v>
      </c>
      <c r="CB2320" s="2" t="s">
        <v>7833</v>
      </c>
      <c r="CC2320" s="2" t="s">
        <v>246</v>
      </c>
      <c r="CD2320" s="2" t="s">
        <v>233</v>
      </c>
      <c r="CE2320" s="4"/>
      <c r="CF2320" s="4">
        <v>51</v>
      </c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/>
      <c r="GG2320" s="4"/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/>
      <c r="GS2320" s="4"/>
      <c r="GT2320" s="4"/>
      <c r="GU2320" s="4"/>
      <c r="GV2320" s="4"/>
      <c r="GW2320" s="4"/>
      <c r="GX2320" s="4"/>
      <c r="GY2320" s="4"/>
      <c r="GZ2320" s="4"/>
      <c r="HA2320" s="4"/>
      <c r="HB2320" s="4"/>
      <c r="HC2320" s="4"/>
      <c r="HD2320" s="4"/>
      <c r="HE2320" s="4"/>
      <c r="HF2320" s="4"/>
      <c r="HG2320" s="4"/>
      <c r="HH2320" s="4"/>
      <c r="HI2320" s="4"/>
      <c r="HJ2320" s="4"/>
      <c r="HK2320" s="4"/>
      <c r="HL2320" s="4"/>
      <c r="HM2320" s="4"/>
      <c r="HN2320" s="4"/>
      <c r="HO2320" s="4"/>
      <c r="HP2320" s="4"/>
      <c r="HQ2320" s="4"/>
      <c r="HR2320" s="4"/>
    </row>
    <row r="2321">
      <c r="A2321" s="2" t="s">
        <v>10373</v>
      </c>
      <c r="B2321" s="2" t="s">
        <v>1066</v>
      </c>
      <c r="C2321" s="2" t="s">
        <v>901</v>
      </c>
      <c r="D2321" s="2" t="s">
        <v>1067</v>
      </c>
      <c r="E2321" s="2" t="s">
        <v>1068</v>
      </c>
      <c r="F2321" s="2" t="s">
        <v>10374</v>
      </c>
      <c r="G2321" s="2" t="s">
        <v>10374</v>
      </c>
      <c r="H2321" s="2" t="s">
        <v>10374</v>
      </c>
      <c r="I2321" s="2" t="s">
        <v>2650</v>
      </c>
      <c r="J2321" s="2" t="s">
        <v>892</v>
      </c>
      <c r="K2321" s="2" t="s">
        <v>984</v>
      </c>
      <c r="L2321" s="3">
        <v>226.1</v>
      </c>
      <c r="M2321" s="3">
        <v>237.4</v>
      </c>
      <c r="N2321" s="3">
        <v>479</v>
      </c>
      <c r="O2321" s="2" t="s">
        <v>245</v>
      </c>
      <c r="P2321" s="2" t="s">
        <v>272</v>
      </c>
      <c r="Q2321" s="2" t="s">
        <v>239</v>
      </c>
      <c r="R2321" s="2" t="s">
        <v>233</v>
      </c>
      <c r="S2321" s="2" t="s">
        <v>10375</v>
      </c>
      <c r="T2321" s="2" t="s">
        <v>233</v>
      </c>
      <c r="U2321" s="2" t="s">
        <v>233</v>
      </c>
      <c r="V2321" s="2" t="s">
        <v>241</v>
      </c>
      <c r="W2321" s="2" t="s">
        <v>2652</v>
      </c>
      <c r="X2321" s="2" t="s">
        <v>233</v>
      </c>
      <c r="Y2321" s="2" t="s">
        <v>10376</v>
      </c>
      <c r="Z2321" s="4">
        <v>154</v>
      </c>
      <c r="AA2321" s="4">
        <f>=ROUNDDOWN(19.25,0)</f>
      </c>
      <c r="AB2321" s="5">
        <v>8</v>
      </c>
      <c r="AC2321" s="2" t="s">
        <v>873</v>
      </c>
      <c r="AD2321" s="4">
        <v>92</v>
      </c>
      <c r="AE2321" s="4">
        <v>92</v>
      </c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233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/>
      <c r="BD2321" s="8"/>
      <c r="BE2321" s="4"/>
      <c r="BF2321" s="8"/>
      <c r="BG2321" s="7"/>
      <c r="BH2321" s="7"/>
      <c r="BI2321" s="7"/>
      <c r="BJ2321" s="4">
        <v>11</v>
      </c>
      <c r="BK2321" s="8">
        <v>2412.54</v>
      </c>
      <c r="BL2321" s="2" t="s">
        <v>10377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10378</v>
      </c>
      <c r="BV2321" s="2" t="s">
        <v>233</v>
      </c>
      <c r="BW2321" s="2" t="s">
        <v>233</v>
      </c>
      <c r="BX2321" s="2" t="s">
        <v>233</v>
      </c>
      <c r="BY2321" s="2" t="s">
        <v>280</v>
      </c>
      <c r="BZ2321" s="2" t="s">
        <v>245</v>
      </c>
      <c r="CA2321" s="2" t="s">
        <v>10379</v>
      </c>
      <c r="CB2321" s="2" t="s">
        <v>10380</v>
      </c>
      <c r="CC2321" s="2" t="s">
        <v>246</v>
      </c>
      <c r="CD2321" s="2" t="s">
        <v>233</v>
      </c>
      <c r="CE2321" s="4"/>
      <c r="CF2321" s="4">
        <v>154</v>
      </c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>
        <v>92</v>
      </c>
      <c r="FU2321" s="4"/>
      <c r="FV2321" s="4"/>
      <c r="FW2321" s="4"/>
      <c r="FX2321" s="4"/>
      <c r="FY2321" s="4"/>
      <c r="FZ2321" s="4"/>
      <c r="GA2321" s="4"/>
      <c r="GB2321" s="4"/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  <c r="HF2321" s="4"/>
      <c r="HG2321" s="4"/>
      <c r="HH2321" s="4"/>
      <c r="HI2321" s="4"/>
      <c r="HJ2321" s="4"/>
      <c r="HK2321" s="4"/>
      <c r="HL2321" s="4"/>
      <c r="HM2321" s="4"/>
      <c r="HN2321" s="4"/>
      <c r="HO2321" s="4"/>
      <c r="HP2321" s="4"/>
      <c r="HQ2321" s="4"/>
      <c r="HR2321" s="4"/>
    </row>
    <row r="2322">
      <c r="A2322" s="2" t="s">
        <v>10381</v>
      </c>
      <c r="B2322" s="2" t="s">
        <v>928</v>
      </c>
      <c r="C2322" s="2" t="s">
        <v>901</v>
      </c>
      <c r="D2322" s="2" t="s">
        <v>961</v>
      </c>
      <c r="E2322" s="2" t="s">
        <v>2028</v>
      </c>
      <c r="F2322" s="2" t="s">
        <v>10382</v>
      </c>
      <c r="G2322" s="2" t="s">
        <v>10382</v>
      </c>
      <c r="H2322" s="2" t="s">
        <v>233</v>
      </c>
      <c r="I2322" s="2" t="s">
        <v>10383</v>
      </c>
      <c r="J2322" s="2" t="s">
        <v>892</v>
      </c>
      <c r="K2322" s="2" t="s">
        <v>271</v>
      </c>
      <c r="L2322" s="3">
        <v>26.76</v>
      </c>
      <c r="M2322" s="3">
        <v>28.1</v>
      </c>
      <c r="N2322" s="3">
        <v>59.49</v>
      </c>
      <c r="O2322" s="2" t="s">
        <v>245</v>
      </c>
      <c r="P2322" s="2" t="s">
        <v>311</v>
      </c>
      <c r="Q2322" s="2" t="s">
        <v>239</v>
      </c>
      <c r="R2322" s="2" t="s">
        <v>233</v>
      </c>
      <c r="S2322" s="2" t="s">
        <v>10384</v>
      </c>
      <c r="T2322" s="2" t="s">
        <v>233</v>
      </c>
      <c r="U2322" s="2" t="s">
        <v>396</v>
      </c>
      <c r="V2322" s="2" t="s">
        <v>921</v>
      </c>
      <c r="W2322" s="2" t="s">
        <v>397</v>
      </c>
      <c r="X2322" s="2" t="s">
        <v>233</v>
      </c>
      <c r="Y2322" s="2" t="s">
        <v>276</v>
      </c>
      <c r="Z2322" s="4">
        <v>10</v>
      </c>
      <c r="AA2322" s="4">
        <f>=ROUNDDOWN(3.33333333333333,0)</f>
      </c>
      <c r="AB2322" s="5">
        <v>3</v>
      </c>
      <c r="AC2322" s="2" t="s">
        <v>233</v>
      </c>
      <c r="AD2322" s="4"/>
      <c r="AE2322" s="4"/>
      <c r="AF2322" s="6">
        <v>63</v>
      </c>
      <c r="AG2322" s="6"/>
      <c r="AH2322" s="7">
        <v>1</v>
      </c>
      <c r="AI2322" s="4"/>
      <c r="AJ2322" s="4">
        <f>=ROUNDDOWN({0},0)</f>
      </c>
      <c r="AK2322" s="5"/>
      <c r="AL2322" s="2" t="s">
        <v>233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/>
      <c r="BD2322" s="8"/>
      <c r="BE2322" s="4"/>
      <c r="BF2322" s="8"/>
      <c r="BG2322" s="7"/>
      <c r="BH2322" s="7"/>
      <c r="BI2322" s="7"/>
      <c r="BJ2322" s="4">
        <v>5</v>
      </c>
      <c r="BK2322" s="8">
        <v>170.46</v>
      </c>
      <c r="BL2322" s="2" t="s">
        <v>10385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10386</v>
      </c>
      <c r="BV2322" s="2" t="s">
        <v>233</v>
      </c>
      <c r="BW2322" s="2" t="s">
        <v>233</v>
      </c>
      <c r="BX2322" s="2" t="s">
        <v>243</v>
      </c>
      <c r="BY2322" s="2" t="s">
        <v>280</v>
      </c>
      <c r="BZ2322" s="2" t="s">
        <v>245</v>
      </c>
      <c r="CA2322" s="2" t="s">
        <v>10287</v>
      </c>
      <c r="CB2322" s="2" t="s">
        <v>4014</v>
      </c>
      <c r="CC2322" s="2" t="s">
        <v>246</v>
      </c>
      <c r="CD2322" s="2" t="s">
        <v>233</v>
      </c>
      <c r="CE2322" s="4"/>
      <c r="CF2322" s="4">
        <v>10</v>
      </c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  <c r="HF2322" s="4"/>
      <c r="HG2322" s="4"/>
      <c r="HH2322" s="4"/>
      <c r="HI2322" s="4"/>
      <c r="HJ2322" s="4"/>
      <c r="HK2322" s="4"/>
      <c r="HL2322" s="4"/>
      <c r="HM2322" s="4"/>
      <c r="HN2322" s="4"/>
      <c r="HO2322" s="4"/>
      <c r="HP2322" s="4"/>
      <c r="HQ2322" s="4"/>
      <c r="HR2322" s="4"/>
    </row>
    <row r="2323">
      <c r="A2323" s="2" t="s">
        <v>10387</v>
      </c>
      <c r="B2323" s="2" t="s">
        <v>910</v>
      </c>
      <c r="C2323" s="2" t="s">
        <v>911</v>
      </c>
      <c r="D2323" s="2" t="s">
        <v>969</v>
      </c>
      <c r="E2323" s="2" t="s">
        <v>970</v>
      </c>
      <c r="F2323" s="2" t="s">
        <v>10388</v>
      </c>
      <c r="G2323" s="2" t="s">
        <v>10389</v>
      </c>
      <c r="H2323" s="2" t="s">
        <v>10390</v>
      </c>
      <c r="I2323" s="2" t="s">
        <v>10391</v>
      </c>
      <c r="J2323" s="2" t="s">
        <v>918</v>
      </c>
      <c r="K2323" s="2" t="s">
        <v>2942</v>
      </c>
      <c r="L2323" s="3">
        <v>23.8</v>
      </c>
      <c r="M2323" s="3">
        <v>24.99</v>
      </c>
      <c r="N2323" s="3">
        <v>49.99</v>
      </c>
      <c r="O2323" s="2" t="s">
        <v>245</v>
      </c>
      <c r="P2323" s="2" t="s">
        <v>238</v>
      </c>
      <c r="Q2323" s="2" t="s">
        <v>239</v>
      </c>
      <c r="R2323" s="2" t="s">
        <v>233</v>
      </c>
      <c r="S2323" s="2" t="s">
        <v>10392</v>
      </c>
      <c r="T2323" s="2" t="s">
        <v>1481</v>
      </c>
      <c r="U2323" s="2" t="s">
        <v>491</v>
      </c>
      <c r="V2323" s="2" t="s">
        <v>1508</v>
      </c>
      <c r="W2323" s="2" t="s">
        <v>275</v>
      </c>
      <c r="X2323" s="2" t="s">
        <v>451</v>
      </c>
      <c r="Y2323" s="2" t="s">
        <v>233</v>
      </c>
      <c r="Z2323" s="4"/>
      <c r="AA2323" s="4">
        <f>=ROUNDDOWN({0},0)</f>
      </c>
      <c r="AB2323" s="5"/>
      <c r="AC2323" s="2" t="s">
        <v>880</v>
      </c>
      <c r="AD2323" s="4">
        <v>75</v>
      </c>
      <c r="AE2323" s="4">
        <v>150</v>
      </c>
      <c r="AF2323" s="6">
        <v>64</v>
      </c>
      <c r="AG2323" s="6"/>
      <c r="AH2323" s="7">
        <v>0</v>
      </c>
      <c r="AI2323" s="4"/>
      <c r="AJ2323" s="4">
        <f>=ROUNDDOWN({0},0)</f>
      </c>
      <c r="AK2323" s="5"/>
      <c r="AL2323" s="2" t="s">
        <v>233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233</v>
      </c>
      <c r="AW2323" s="8" t="s">
        <v>233</v>
      </c>
      <c r="AX2323" s="4" t="s">
        <v>233</v>
      </c>
      <c r="AY2323" s="8" t="s">
        <v>233</v>
      </c>
      <c r="AZ2323" s="7" t="s">
        <v>233</v>
      </c>
      <c r="BA2323" s="7" t="s">
        <v>233</v>
      </c>
      <c r="BB2323" s="7" t="s">
        <v>233</v>
      </c>
      <c r="BC2323" s="4" t="s">
        <v>233</v>
      </c>
      <c r="BD2323" s="8" t="s">
        <v>233</v>
      </c>
      <c r="BE2323" s="4" t="s">
        <v>233</v>
      </c>
      <c r="BF2323" s="8" t="s">
        <v>233</v>
      </c>
      <c r="BG2323" s="7" t="s">
        <v>233</v>
      </c>
      <c r="BH2323" s="7" t="s">
        <v>233</v>
      </c>
      <c r="BI2323" s="7"/>
      <c r="BJ2323" s="4"/>
      <c r="BK2323" s="8"/>
      <c r="BL2323" s="2" t="s">
        <v>233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243</v>
      </c>
      <c r="BV2323" s="2" t="s">
        <v>233</v>
      </c>
      <c r="BW2323" s="2" t="s">
        <v>233</v>
      </c>
      <c r="BX2323" s="2" t="s">
        <v>243</v>
      </c>
      <c r="BY2323" s="2" t="s">
        <v>244</v>
      </c>
      <c r="BZ2323" s="2" t="s">
        <v>245</v>
      </c>
      <c r="CA2323" s="2" t="s">
        <v>233</v>
      </c>
      <c r="CB2323" s="2" t="s">
        <v>233</v>
      </c>
      <c r="CC2323" s="2" t="s">
        <v>246</v>
      </c>
      <c r="CD2323" s="2" t="s">
        <v>233</v>
      </c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>
        <v>75</v>
      </c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>
        <v>75</v>
      </c>
      <c r="HB2323" s="4"/>
      <c r="HC2323" s="4"/>
      <c r="HD2323" s="4"/>
      <c r="HE2323" s="4"/>
      <c r="HF2323" s="4"/>
      <c r="HG2323" s="4"/>
      <c r="HH2323" s="4"/>
      <c r="HI2323" s="4"/>
      <c r="HJ2323" s="4"/>
      <c r="HK2323" s="4"/>
      <c r="HL2323" s="4"/>
      <c r="HM2323" s="4"/>
      <c r="HN2323" s="4"/>
      <c r="HO2323" s="4"/>
      <c r="HP2323" s="4"/>
      <c r="HQ2323" s="4"/>
      <c r="HR2323" s="4"/>
    </row>
    <row r="2324">
      <c r="A2324" s="2" t="s">
        <v>10393</v>
      </c>
      <c r="B2324" s="2" t="s">
        <v>910</v>
      </c>
      <c r="C2324" s="2" t="s">
        <v>911</v>
      </c>
      <c r="D2324" s="2" t="s">
        <v>912</v>
      </c>
      <c r="E2324" s="2" t="s">
        <v>1139</v>
      </c>
      <c r="F2324" s="2" t="s">
        <v>10388</v>
      </c>
      <c r="G2324" s="2" t="s">
        <v>10389</v>
      </c>
      <c r="H2324" s="2" t="s">
        <v>10390</v>
      </c>
      <c r="I2324" s="2" t="s">
        <v>10394</v>
      </c>
      <c r="J2324" s="2" t="s">
        <v>918</v>
      </c>
      <c r="K2324" s="2" t="s">
        <v>2942</v>
      </c>
      <c r="L2324" s="3">
        <v>19.04</v>
      </c>
      <c r="M2324" s="3">
        <v>19.99</v>
      </c>
      <c r="N2324" s="3">
        <v>39.99</v>
      </c>
      <c r="O2324" s="2" t="s">
        <v>245</v>
      </c>
      <c r="P2324" s="2" t="s">
        <v>238</v>
      </c>
      <c r="Q2324" s="2" t="s">
        <v>239</v>
      </c>
      <c r="R2324" s="2" t="s">
        <v>233</v>
      </c>
      <c r="S2324" s="2" t="s">
        <v>10392</v>
      </c>
      <c r="T2324" s="2" t="s">
        <v>1481</v>
      </c>
      <c r="U2324" s="2" t="s">
        <v>491</v>
      </c>
      <c r="V2324" s="2" t="s">
        <v>1508</v>
      </c>
      <c r="W2324" s="2" t="s">
        <v>275</v>
      </c>
      <c r="X2324" s="2" t="s">
        <v>451</v>
      </c>
      <c r="Y2324" s="2" t="s">
        <v>233</v>
      </c>
      <c r="Z2324" s="4"/>
      <c r="AA2324" s="4">
        <f>=ROUNDDOWN({0},0)</f>
      </c>
      <c r="AB2324" s="5"/>
      <c r="AC2324" s="2" t="s">
        <v>880</v>
      </c>
      <c r="AD2324" s="4">
        <v>35</v>
      </c>
      <c r="AE2324" s="4">
        <v>70</v>
      </c>
      <c r="AF2324" s="6">
        <v>64</v>
      </c>
      <c r="AG2324" s="6"/>
      <c r="AH2324" s="7">
        <v>0</v>
      </c>
      <c r="AI2324" s="4"/>
      <c r="AJ2324" s="4">
        <f>=ROUNDDOWN({0},0)</f>
      </c>
      <c r="AK2324" s="5"/>
      <c r="AL2324" s="2" t="s">
        <v>233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233</v>
      </c>
      <c r="AW2324" s="8" t="s">
        <v>233</v>
      </c>
      <c r="AX2324" s="4" t="s">
        <v>233</v>
      </c>
      <c r="AY2324" s="8" t="s">
        <v>233</v>
      </c>
      <c r="AZ2324" s="7" t="s">
        <v>233</v>
      </c>
      <c r="BA2324" s="7" t="s">
        <v>233</v>
      </c>
      <c r="BB2324" s="7" t="s">
        <v>233</v>
      </c>
      <c r="BC2324" s="4" t="s">
        <v>233</v>
      </c>
      <c r="BD2324" s="8" t="s">
        <v>233</v>
      </c>
      <c r="BE2324" s="4" t="s">
        <v>233</v>
      </c>
      <c r="BF2324" s="8" t="s">
        <v>233</v>
      </c>
      <c r="BG2324" s="7" t="s">
        <v>233</v>
      </c>
      <c r="BH2324" s="7" t="s">
        <v>233</v>
      </c>
      <c r="BI2324" s="7"/>
      <c r="BJ2324" s="4"/>
      <c r="BK2324" s="8"/>
      <c r="BL2324" s="2" t="s">
        <v>233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243</v>
      </c>
      <c r="BV2324" s="2" t="s">
        <v>233</v>
      </c>
      <c r="BW2324" s="2" t="s">
        <v>233</v>
      </c>
      <c r="BX2324" s="2" t="s">
        <v>243</v>
      </c>
      <c r="BY2324" s="2" t="s">
        <v>244</v>
      </c>
      <c r="BZ2324" s="2" t="s">
        <v>245</v>
      </c>
      <c r="CA2324" s="2" t="s">
        <v>233</v>
      </c>
      <c r="CB2324" s="2" t="s">
        <v>233</v>
      </c>
      <c r="CC2324" s="2" t="s">
        <v>246</v>
      </c>
      <c r="CD2324" s="2" t="s">
        <v>233</v>
      </c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>
        <v>35</v>
      </c>
      <c r="GD2324" s="4"/>
      <c r="GE2324" s="4"/>
      <c r="GF2324" s="4"/>
      <c r="GG2324" s="4"/>
      <c r="GH2324" s="4"/>
      <c r="GI2324" s="4"/>
      <c r="GJ2324" s="4"/>
      <c r="GK2324" s="4"/>
      <c r="GL2324" s="4"/>
      <c r="GM2324" s="4"/>
      <c r="GN2324" s="4"/>
      <c r="GO2324" s="4"/>
      <c r="GP2324" s="4"/>
      <c r="GQ2324" s="4"/>
      <c r="GR2324" s="4"/>
      <c r="GS2324" s="4"/>
      <c r="GT2324" s="4"/>
      <c r="GU2324" s="4"/>
      <c r="GV2324" s="4"/>
      <c r="GW2324" s="4"/>
      <c r="GX2324" s="4"/>
      <c r="GY2324" s="4"/>
      <c r="GZ2324" s="4"/>
      <c r="HA2324" s="4">
        <v>35</v>
      </c>
      <c r="HB2324" s="4"/>
      <c r="HC2324" s="4"/>
      <c r="HD2324" s="4"/>
      <c r="HE2324" s="4"/>
      <c r="HF2324" s="4"/>
      <c r="HG2324" s="4"/>
      <c r="HH2324" s="4"/>
      <c r="HI2324" s="4"/>
      <c r="HJ2324" s="4"/>
      <c r="HK2324" s="4"/>
      <c r="HL2324" s="4"/>
      <c r="HM2324" s="4"/>
      <c r="HN2324" s="4"/>
      <c r="HO2324" s="4"/>
      <c r="HP2324" s="4"/>
      <c r="HQ2324" s="4"/>
      <c r="HR2324" s="4"/>
    </row>
    <row r="2325">
      <c r="A2325" s="2" t="s">
        <v>10395</v>
      </c>
      <c r="B2325" s="2" t="s">
        <v>910</v>
      </c>
      <c r="C2325" s="2" t="s">
        <v>911</v>
      </c>
      <c r="D2325" s="2" t="s">
        <v>969</v>
      </c>
      <c r="E2325" s="2" t="s">
        <v>970</v>
      </c>
      <c r="F2325" s="2" t="s">
        <v>10388</v>
      </c>
      <c r="G2325" s="2" t="s">
        <v>10389</v>
      </c>
      <c r="H2325" s="2" t="s">
        <v>10390</v>
      </c>
      <c r="I2325" s="2" t="s">
        <v>10391</v>
      </c>
      <c r="J2325" s="2" t="s">
        <v>981</v>
      </c>
      <c r="K2325" s="2" t="s">
        <v>2942</v>
      </c>
      <c r="L2325" s="3">
        <v>28.57</v>
      </c>
      <c r="M2325" s="3">
        <v>30</v>
      </c>
      <c r="N2325" s="3">
        <v>59.99</v>
      </c>
      <c r="O2325" s="2" t="s">
        <v>245</v>
      </c>
      <c r="P2325" s="2" t="s">
        <v>238</v>
      </c>
      <c r="Q2325" s="2" t="s">
        <v>239</v>
      </c>
      <c r="R2325" s="2" t="s">
        <v>233</v>
      </c>
      <c r="S2325" s="2" t="s">
        <v>10392</v>
      </c>
      <c r="T2325" s="2" t="s">
        <v>1481</v>
      </c>
      <c r="U2325" s="2" t="s">
        <v>475</v>
      </c>
      <c r="V2325" s="2" t="s">
        <v>1508</v>
      </c>
      <c r="W2325" s="2" t="s">
        <v>275</v>
      </c>
      <c r="X2325" s="2" t="s">
        <v>451</v>
      </c>
      <c r="Y2325" s="2" t="s">
        <v>233</v>
      </c>
      <c r="Z2325" s="4"/>
      <c r="AA2325" s="4">
        <f>=ROUNDDOWN({0},0)</f>
      </c>
      <c r="AB2325" s="5"/>
      <c r="AC2325" s="2" t="s">
        <v>880</v>
      </c>
      <c r="AD2325" s="4">
        <v>135</v>
      </c>
      <c r="AE2325" s="4">
        <v>270</v>
      </c>
      <c r="AF2325" s="6">
        <v>64</v>
      </c>
      <c r="AG2325" s="6"/>
      <c r="AH2325" s="7">
        <v>0</v>
      </c>
      <c r="AI2325" s="4"/>
      <c r="AJ2325" s="4">
        <f>=ROUNDDOWN({0},0)</f>
      </c>
      <c r="AK2325" s="5"/>
      <c r="AL2325" s="2" t="s">
        <v>233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233</v>
      </c>
      <c r="AW2325" s="8" t="s">
        <v>233</v>
      </c>
      <c r="AX2325" s="4" t="s">
        <v>233</v>
      </c>
      <c r="AY2325" s="8" t="s">
        <v>233</v>
      </c>
      <c r="AZ2325" s="7" t="s">
        <v>233</v>
      </c>
      <c r="BA2325" s="7" t="s">
        <v>233</v>
      </c>
      <c r="BB2325" s="7" t="s">
        <v>233</v>
      </c>
      <c r="BC2325" s="4" t="s">
        <v>233</v>
      </c>
      <c r="BD2325" s="8" t="s">
        <v>233</v>
      </c>
      <c r="BE2325" s="4" t="s">
        <v>233</v>
      </c>
      <c r="BF2325" s="8" t="s">
        <v>233</v>
      </c>
      <c r="BG2325" s="7" t="s">
        <v>233</v>
      </c>
      <c r="BH2325" s="7" t="s">
        <v>233</v>
      </c>
      <c r="BI2325" s="7"/>
      <c r="BJ2325" s="4"/>
      <c r="BK2325" s="8"/>
      <c r="BL2325" s="2" t="s">
        <v>233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243</v>
      </c>
      <c r="BV2325" s="2" t="s">
        <v>233</v>
      </c>
      <c r="BW2325" s="2" t="s">
        <v>233</v>
      </c>
      <c r="BX2325" s="2" t="s">
        <v>243</v>
      </c>
      <c r="BY2325" s="2" t="s">
        <v>244</v>
      </c>
      <c r="BZ2325" s="2" t="s">
        <v>245</v>
      </c>
      <c r="CA2325" s="2" t="s">
        <v>233</v>
      </c>
      <c r="CB2325" s="2" t="s">
        <v>233</v>
      </c>
      <c r="CC2325" s="2" t="s">
        <v>246</v>
      </c>
      <c r="CD2325" s="2" t="s">
        <v>233</v>
      </c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>
        <v>135</v>
      </c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/>
      <c r="GV2325" s="4"/>
      <c r="GW2325" s="4"/>
      <c r="GX2325" s="4"/>
      <c r="GY2325" s="4"/>
      <c r="GZ2325" s="4"/>
      <c r="HA2325" s="4">
        <v>135</v>
      </c>
      <c r="HB2325" s="4"/>
      <c r="HC2325" s="4"/>
      <c r="HD2325" s="4"/>
      <c r="HE2325" s="4"/>
      <c r="HF2325" s="4"/>
      <c r="HG2325" s="4"/>
      <c r="HH2325" s="4"/>
      <c r="HI2325" s="4"/>
      <c r="HJ2325" s="4"/>
      <c r="HK2325" s="4"/>
      <c r="HL2325" s="4"/>
      <c r="HM2325" s="4"/>
      <c r="HN2325" s="4"/>
      <c r="HO2325" s="4"/>
      <c r="HP2325" s="4"/>
      <c r="HQ2325" s="4"/>
      <c r="HR2325" s="4"/>
    </row>
    <row r="2326">
      <c r="A2326" s="2" t="s">
        <v>10396</v>
      </c>
      <c r="B2326" s="2" t="s">
        <v>910</v>
      </c>
      <c r="C2326" s="2" t="s">
        <v>911</v>
      </c>
      <c r="D2326" s="2" t="s">
        <v>912</v>
      </c>
      <c r="E2326" s="2" t="s">
        <v>1139</v>
      </c>
      <c r="F2326" s="2" t="s">
        <v>10388</v>
      </c>
      <c r="G2326" s="2" t="s">
        <v>10389</v>
      </c>
      <c r="H2326" s="2" t="s">
        <v>10390</v>
      </c>
      <c r="I2326" s="2" t="s">
        <v>10394</v>
      </c>
      <c r="J2326" s="2" t="s">
        <v>981</v>
      </c>
      <c r="K2326" s="2" t="s">
        <v>2942</v>
      </c>
      <c r="L2326" s="3">
        <v>23.8</v>
      </c>
      <c r="M2326" s="3">
        <v>24.99</v>
      </c>
      <c r="N2326" s="3">
        <v>49.99</v>
      </c>
      <c r="O2326" s="2" t="s">
        <v>245</v>
      </c>
      <c r="P2326" s="2" t="s">
        <v>238</v>
      </c>
      <c r="Q2326" s="2" t="s">
        <v>239</v>
      </c>
      <c r="R2326" s="2" t="s">
        <v>233</v>
      </c>
      <c r="S2326" s="2" t="s">
        <v>10392</v>
      </c>
      <c r="T2326" s="2" t="s">
        <v>1481</v>
      </c>
      <c r="U2326" s="2" t="s">
        <v>475</v>
      </c>
      <c r="V2326" s="2" t="s">
        <v>1508</v>
      </c>
      <c r="W2326" s="2" t="s">
        <v>275</v>
      </c>
      <c r="X2326" s="2" t="s">
        <v>451</v>
      </c>
      <c r="Y2326" s="2" t="s">
        <v>233</v>
      </c>
      <c r="Z2326" s="4"/>
      <c r="AA2326" s="4">
        <f>=ROUNDDOWN({0},0)</f>
      </c>
      <c r="AB2326" s="5"/>
      <c r="AC2326" s="2" t="s">
        <v>880</v>
      </c>
      <c r="AD2326" s="4">
        <v>115</v>
      </c>
      <c r="AE2326" s="4">
        <v>230</v>
      </c>
      <c r="AF2326" s="6">
        <v>64</v>
      </c>
      <c r="AG2326" s="6"/>
      <c r="AH2326" s="7">
        <v>0</v>
      </c>
      <c r="AI2326" s="4"/>
      <c r="AJ2326" s="4">
        <f>=ROUNDDOWN({0},0)</f>
      </c>
      <c r="AK2326" s="5"/>
      <c r="AL2326" s="2" t="s">
        <v>233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233</v>
      </c>
      <c r="AW2326" s="8" t="s">
        <v>233</v>
      </c>
      <c r="AX2326" s="4" t="s">
        <v>233</v>
      </c>
      <c r="AY2326" s="8" t="s">
        <v>233</v>
      </c>
      <c r="AZ2326" s="7" t="s">
        <v>233</v>
      </c>
      <c r="BA2326" s="7" t="s">
        <v>233</v>
      </c>
      <c r="BB2326" s="7" t="s">
        <v>233</v>
      </c>
      <c r="BC2326" s="4" t="s">
        <v>233</v>
      </c>
      <c r="BD2326" s="8" t="s">
        <v>233</v>
      </c>
      <c r="BE2326" s="4" t="s">
        <v>233</v>
      </c>
      <c r="BF2326" s="8" t="s">
        <v>233</v>
      </c>
      <c r="BG2326" s="7" t="s">
        <v>233</v>
      </c>
      <c r="BH2326" s="7" t="s">
        <v>233</v>
      </c>
      <c r="BI2326" s="7"/>
      <c r="BJ2326" s="4"/>
      <c r="BK2326" s="8"/>
      <c r="BL2326" s="2" t="s">
        <v>233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243</v>
      </c>
      <c r="BV2326" s="2" t="s">
        <v>233</v>
      </c>
      <c r="BW2326" s="2" t="s">
        <v>233</v>
      </c>
      <c r="BX2326" s="2" t="s">
        <v>243</v>
      </c>
      <c r="BY2326" s="2" t="s">
        <v>244</v>
      </c>
      <c r="BZ2326" s="2" t="s">
        <v>245</v>
      </c>
      <c r="CA2326" s="2" t="s">
        <v>233</v>
      </c>
      <c r="CB2326" s="2" t="s">
        <v>233</v>
      </c>
      <c r="CC2326" s="2" t="s">
        <v>246</v>
      </c>
      <c r="CD2326" s="2" t="s">
        <v>233</v>
      </c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>
        <v>115</v>
      </c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/>
      <c r="GV2326" s="4"/>
      <c r="GW2326" s="4"/>
      <c r="GX2326" s="4"/>
      <c r="GY2326" s="4"/>
      <c r="GZ2326" s="4"/>
      <c r="HA2326" s="4">
        <v>115</v>
      </c>
      <c r="HB2326" s="4"/>
      <c r="HC2326" s="4"/>
      <c r="HD2326" s="4"/>
      <c r="HE2326" s="4"/>
      <c r="HF2326" s="4"/>
      <c r="HG2326" s="4"/>
      <c r="HH2326" s="4"/>
      <c r="HI2326" s="4"/>
      <c r="HJ2326" s="4"/>
      <c r="HK2326" s="4"/>
      <c r="HL2326" s="4"/>
      <c r="HM2326" s="4"/>
      <c r="HN2326" s="4"/>
      <c r="HO2326" s="4"/>
      <c r="HP2326" s="4"/>
      <c r="HQ2326" s="4"/>
      <c r="HR2326" s="4"/>
    </row>
    <row r="2327">
      <c r="A2327" s="2" t="s">
        <v>10397</v>
      </c>
      <c r="B2327" s="2" t="s">
        <v>910</v>
      </c>
      <c r="C2327" s="2" t="s">
        <v>911</v>
      </c>
      <c r="D2327" s="2" t="s">
        <v>969</v>
      </c>
      <c r="E2327" s="2" t="s">
        <v>970</v>
      </c>
      <c r="F2327" s="2" t="s">
        <v>10388</v>
      </c>
      <c r="G2327" s="2" t="s">
        <v>10389</v>
      </c>
      <c r="H2327" s="2" t="s">
        <v>10390</v>
      </c>
      <c r="I2327" s="2" t="s">
        <v>10391</v>
      </c>
      <c r="J2327" s="2" t="s">
        <v>1142</v>
      </c>
      <c r="K2327" s="2" t="s">
        <v>2942</v>
      </c>
      <c r="L2327" s="3">
        <v>30.95</v>
      </c>
      <c r="M2327" s="3">
        <v>32.5</v>
      </c>
      <c r="N2327" s="3">
        <v>64.99</v>
      </c>
      <c r="O2327" s="2" t="s">
        <v>245</v>
      </c>
      <c r="P2327" s="2" t="s">
        <v>238</v>
      </c>
      <c r="Q2327" s="2" t="s">
        <v>239</v>
      </c>
      <c r="R2327" s="2" t="s">
        <v>233</v>
      </c>
      <c r="S2327" s="2" t="s">
        <v>10392</v>
      </c>
      <c r="T2327" s="2" t="s">
        <v>1481</v>
      </c>
      <c r="U2327" s="2" t="s">
        <v>475</v>
      </c>
      <c r="V2327" s="2" t="s">
        <v>1508</v>
      </c>
      <c r="W2327" s="2" t="s">
        <v>275</v>
      </c>
      <c r="X2327" s="2" t="s">
        <v>451</v>
      </c>
      <c r="Y2327" s="2" t="s">
        <v>233</v>
      </c>
      <c r="Z2327" s="4"/>
      <c r="AA2327" s="4">
        <f>=ROUNDDOWN({0},0)</f>
      </c>
      <c r="AB2327" s="5"/>
      <c r="AC2327" s="2" t="s">
        <v>880</v>
      </c>
      <c r="AD2327" s="4">
        <v>50</v>
      </c>
      <c r="AE2327" s="4">
        <v>100</v>
      </c>
      <c r="AF2327" s="6">
        <v>64</v>
      </c>
      <c r="AG2327" s="6"/>
      <c r="AH2327" s="7">
        <v>0</v>
      </c>
      <c r="AI2327" s="4"/>
      <c r="AJ2327" s="4">
        <f>=ROUNDDOWN({0},0)</f>
      </c>
      <c r="AK2327" s="5"/>
      <c r="AL2327" s="2" t="s">
        <v>233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233</v>
      </c>
      <c r="AW2327" s="8" t="s">
        <v>233</v>
      </c>
      <c r="AX2327" s="4" t="s">
        <v>233</v>
      </c>
      <c r="AY2327" s="8" t="s">
        <v>233</v>
      </c>
      <c r="AZ2327" s="7" t="s">
        <v>233</v>
      </c>
      <c r="BA2327" s="7" t="s">
        <v>233</v>
      </c>
      <c r="BB2327" s="7" t="s">
        <v>233</v>
      </c>
      <c r="BC2327" s="4" t="s">
        <v>233</v>
      </c>
      <c r="BD2327" s="8" t="s">
        <v>233</v>
      </c>
      <c r="BE2327" s="4" t="s">
        <v>233</v>
      </c>
      <c r="BF2327" s="8" t="s">
        <v>233</v>
      </c>
      <c r="BG2327" s="7" t="s">
        <v>233</v>
      </c>
      <c r="BH2327" s="7" t="s">
        <v>233</v>
      </c>
      <c r="BI2327" s="7"/>
      <c r="BJ2327" s="4"/>
      <c r="BK2327" s="8"/>
      <c r="BL2327" s="2" t="s">
        <v>233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243</v>
      </c>
      <c r="BV2327" s="2" t="s">
        <v>233</v>
      </c>
      <c r="BW2327" s="2" t="s">
        <v>233</v>
      </c>
      <c r="BX2327" s="2" t="s">
        <v>243</v>
      </c>
      <c r="BY2327" s="2" t="s">
        <v>244</v>
      </c>
      <c r="BZ2327" s="2" t="s">
        <v>245</v>
      </c>
      <c r="CA2327" s="2" t="s">
        <v>233</v>
      </c>
      <c r="CB2327" s="2" t="s">
        <v>233</v>
      </c>
      <c r="CC2327" s="2" t="s">
        <v>246</v>
      </c>
      <c r="CD2327" s="2" t="s">
        <v>233</v>
      </c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>
        <v>50</v>
      </c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/>
      <c r="GT2327" s="4"/>
      <c r="GU2327" s="4"/>
      <c r="GV2327" s="4"/>
      <c r="GW2327" s="4"/>
      <c r="GX2327" s="4"/>
      <c r="GY2327" s="4"/>
      <c r="GZ2327" s="4"/>
      <c r="HA2327" s="4">
        <v>50</v>
      </c>
      <c r="HB2327" s="4"/>
      <c r="HC2327" s="4"/>
      <c r="HD2327" s="4"/>
      <c r="HE2327" s="4"/>
      <c r="HF2327" s="4"/>
      <c r="HG2327" s="4"/>
      <c r="HH2327" s="4"/>
      <c r="HI2327" s="4"/>
      <c r="HJ2327" s="4"/>
      <c r="HK2327" s="4"/>
      <c r="HL2327" s="4"/>
      <c r="HM2327" s="4"/>
      <c r="HN2327" s="4"/>
      <c r="HO2327" s="4"/>
      <c r="HP2327" s="4"/>
      <c r="HQ2327" s="4"/>
      <c r="HR2327" s="4"/>
    </row>
    <row r="2328">
      <c r="A2328" s="2" t="s">
        <v>10398</v>
      </c>
      <c r="B2328" s="2" t="s">
        <v>910</v>
      </c>
      <c r="C2328" s="2" t="s">
        <v>911</v>
      </c>
      <c r="D2328" s="2" t="s">
        <v>912</v>
      </c>
      <c r="E2328" s="2" t="s">
        <v>1139</v>
      </c>
      <c r="F2328" s="2" t="s">
        <v>10388</v>
      </c>
      <c r="G2328" s="2" t="s">
        <v>10389</v>
      </c>
      <c r="H2328" s="2" t="s">
        <v>10390</v>
      </c>
      <c r="I2328" s="2" t="s">
        <v>10394</v>
      </c>
      <c r="J2328" s="2" t="s">
        <v>1142</v>
      </c>
      <c r="K2328" s="2" t="s">
        <v>2942</v>
      </c>
      <c r="L2328" s="3">
        <v>26.19</v>
      </c>
      <c r="M2328" s="3">
        <v>27.5</v>
      </c>
      <c r="N2328" s="3">
        <v>54.99</v>
      </c>
      <c r="O2328" s="2" t="s">
        <v>245</v>
      </c>
      <c r="P2328" s="2" t="s">
        <v>238</v>
      </c>
      <c r="Q2328" s="2" t="s">
        <v>239</v>
      </c>
      <c r="R2328" s="2" t="s">
        <v>233</v>
      </c>
      <c r="S2328" s="2" t="s">
        <v>10392</v>
      </c>
      <c r="T2328" s="2" t="s">
        <v>1481</v>
      </c>
      <c r="U2328" s="2" t="s">
        <v>475</v>
      </c>
      <c r="V2328" s="2" t="s">
        <v>1508</v>
      </c>
      <c r="W2328" s="2" t="s">
        <v>275</v>
      </c>
      <c r="X2328" s="2" t="s">
        <v>451</v>
      </c>
      <c r="Y2328" s="2" t="s">
        <v>233</v>
      </c>
      <c r="Z2328" s="4"/>
      <c r="AA2328" s="4">
        <f>=ROUNDDOWN({0},0)</f>
      </c>
      <c r="AB2328" s="5"/>
      <c r="AC2328" s="2" t="s">
        <v>880</v>
      </c>
      <c r="AD2328" s="4">
        <v>40</v>
      </c>
      <c r="AE2328" s="4">
        <v>80</v>
      </c>
      <c r="AF2328" s="6">
        <v>64</v>
      </c>
      <c r="AG2328" s="6"/>
      <c r="AH2328" s="7">
        <v>0</v>
      </c>
      <c r="AI2328" s="4"/>
      <c r="AJ2328" s="4">
        <f>=ROUNDDOWN({0},0)</f>
      </c>
      <c r="AK2328" s="5"/>
      <c r="AL2328" s="2" t="s">
        <v>233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233</v>
      </c>
      <c r="AW2328" s="8" t="s">
        <v>233</v>
      </c>
      <c r="AX2328" s="4" t="s">
        <v>233</v>
      </c>
      <c r="AY2328" s="8" t="s">
        <v>233</v>
      </c>
      <c r="AZ2328" s="7" t="s">
        <v>233</v>
      </c>
      <c r="BA2328" s="7" t="s">
        <v>233</v>
      </c>
      <c r="BB2328" s="7" t="s">
        <v>233</v>
      </c>
      <c r="BC2328" s="4" t="s">
        <v>233</v>
      </c>
      <c r="BD2328" s="8" t="s">
        <v>233</v>
      </c>
      <c r="BE2328" s="4" t="s">
        <v>233</v>
      </c>
      <c r="BF2328" s="8" t="s">
        <v>233</v>
      </c>
      <c r="BG2328" s="7" t="s">
        <v>233</v>
      </c>
      <c r="BH2328" s="7" t="s">
        <v>233</v>
      </c>
      <c r="BI2328" s="7"/>
      <c r="BJ2328" s="4"/>
      <c r="BK2328" s="8"/>
      <c r="BL2328" s="2" t="s">
        <v>233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243</v>
      </c>
      <c r="BV2328" s="2" t="s">
        <v>233</v>
      </c>
      <c r="BW2328" s="2" t="s">
        <v>233</v>
      </c>
      <c r="BX2328" s="2" t="s">
        <v>243</v>
      </c>
      <c r="BY2328" s="2" t="s">
        <v>244</v>
      </c>
      <c r="BZ2328" s="2" t="s">
        <v>245</v>
      </c>
      <c r="CA2328" s="2" t="s">
        <v>233</v>
      </c>
      <c r="CB2328" s="2" t="s">
        <v>233</v>
      </c>
      <c r="CC2328" s="2" t="s">
        <v>246</v>
      </c>
      <c r="CD2328" s="2" t="s">
        <v>233</v>
      </c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>
        <v>40</v>
      </c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/>
      <c r="GX2328" s="4"/>
      <c r="GY2328" s="4"/>
      <c r="GZ2328" s="4"/>
      <c r="HA2328" s="4">
        <v>40</v>
      </c>
      <c r="HB2328" s="4"/>
      <c r="HC2328" s="4"/>
      <c r="HD2328" s="4"/>
      <c r="HE2328" s="4"/>
      <c r="HF2328" s="4"/>
      <c r="HG2328" s="4"/>
      <c r="HH2328" s="4"/>
      <c r="HI2328" s="4"/>
      <c r="HJ2328" s="4"/>
      <c r="HK2328" s="4"/>
      <c r="HL2328" s="4"/>
      <c r="HM2328" s="4"/>
      <c r="HN2328" s="4"/>
      <c r="HO2328" s="4"/>
      <c r="HP2328" s="4"/>
      <c r="HQ2328" s="4"/>
      <c r="HR2328" s="4"/>
    </row>
    <row r="2329">
      <c r="A2329" s="2" t="s">
        <v>10399</v>
      </c>
      <c r="B2329" s="2" t="s">
        <v>1242</v>
      </c>
      <c r="C2329" s="2" t="s">
        <v>901</v>
      </c>
      <c r="D2329" s="2" t="s">
        <v>969</v>
      </c>
      <c r="E2329" s="2" t="s">
        <v>970</v>
      </c>
      <c r="F2329" s="2" t="s">
        <v>10388</v>
      </c>
      <c r="G2329" s="2" t="s">
        <v>10388</v>
      </c>
      <c r="H2329" s="2" t="s">
        <v>10388</v>
      </c>
      <c r="I2329" s="2" t="s">
        <v>10400</v>
      </c>
      <c r="J2329" s="2" t="s">
        <v>981</v>
      </c>
      <c r="K2329" s="2" t="s">
        <v>2158</v>
      </c>
      <c r="L2329" s="3">
        <v>54.85</v>
      </c>
      <c r="M2329" s="3">
        <v>57.59</v>
      </c>
      <c r="N2329" s="3">
        <v>119.99</v>
      </c>
      <c r="O2329" s="2" t="s">
        <v>245</v>
      </c>
      <c r="P2329" s="2" t="s">
        <v>238</v>
      </c>
      <c r="Q2329" s="2" t="s">
        <v>239</v>
      </c>
      <c r="R2329" s="2" t="s">
        <v>233</v>
      </c>
      <c r="S2329" s="2" t="s">
        <v>10401</v>
      </c>
      <c r="T2329" s="2" t="s">
        <v>341</v>
      </c>
      <c r="U2329" s="2" t="s">
        <v>475</v>
      </c>
      <c r="V2329" s="2" t="s">
        <v>359</v>
      </c>
      <c r="W2329" s="2" t="s">
        <v>1774</v>
      </c>
      <c r="X2329" s="2" t="s">
        <v>275</v>
      </c>
      <c r="Y2329" s="2" t="s">
        <v>233</v>
      </c>
      <c r="Z2329" s="4"/>
      <c r="AA2329" s="4">
        <f>=ROUNDDOWN({0},0)</f>
      </c>
      <c r="AB2329" s="5"/>
      <c r="AC2329" s="2" t="s">
        <v>5084</v>
      </c>
      <c r="AD2329" s="4">
        <v>110</v>
      </c>
      <c r="AE2329" s="4">
        <v>220</v>
      </c>
      <c r="AF2329" s="6">
        <v>65</v>
      </c>
      <c r="AG2329" s="6"/>
      <c r="AH2329" s="7">
        <v>0</v>
      </c>
      <c r="AI2329" s="4"/>
      <c r="AJ2329" s="4">
        <f>=ROUNDDOWN({0},0)</f>
      </c>
      <c r="AK2329" s="5"/>
      <c r="AL2329" s="2" t="s">
        <v>233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233</v>
      </c>
      <c r="AW2329" s="8" t="s">
        <v>233</v>
      </c>
      <c r="AX2329" s="4" t="s">
        <v>233</v>
      </c>
      <c r="AY2329" s="8" t="s">
        <v>233</v>
      </c>
      <c r="AZ2329" s="7" t="s">
        <v>233</v>
      </c>
      <c r="BA2329" s="7" t="s">
        <v>233</v>
      </c>
      <c r="BB2329" s="7" t="s">
        <v>233</v>
      </c>
      <c r="BC2329" s="4" t="s">
        <v>233</v>
      </c>
      <c r="BD2329" s="8" t="s">
        <v>233</v>
      </c>
      <c r="BE2329" s="4" t="s">
        <v>233</v>
      </c>
      <c r="BF2329" s="8" t="s">
        <v>233</v>
      </c>
      <c r="BG2329" s="7" t="s">
        <v>233</v>
      </c>
      <c r="BH2329" s="7" t="s">
        <v>233</v>
      </c>
      <c r="BI2329" s="7"/>
      <c r="BJ2329" s="4"/>
      <c r="BK2329" s="8"/>
      <c r="BL2329" s="2" t="s">
        <v>233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243</v>
      </c>
      <c r="BV2329" s="2" t="s">
        <v>233</v>
      </c>
      <c r="BW2329" s="2" t="s">
        <v>233</v>
      </c>
      <c r="BX2329" s="2" t="s">
        <v>243</v>
      </c>
      <c r="BY2329" s="2" t="s">
        <v>244</v>
      </c>
      <c r="BZ2329" s="2" t="s">
        <v>245</v>
      </c>
      <c r="CA2329" s="2" t="s">
        <v>233</v>
      </c>
      <c r="CB2329" s="2" t="s">
        <v>233</v>
      </c>
      <c r="CC2329" s="2" t="s">
        <v>246</v>
      </c>
      <c r="CD2329" s="2" t="s">
        <v>233</v>
      </c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>
        <v>110</v>
      </c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>
        <v>110</v>
      </c>
      <c r="GV2329" s="4"/>
      <c r="GW2329" s="4"/>
      <c r="GX2329" s="4"/>
      <c r="GY2329" s="4"/>
      <c r="GZ2329" s="4"/>
      <c r="HA2329" s="4"/>
      <c r="HB2329" s="4"/>
      <c r="HC2329" s="4"/>
      <c r="HD2329" s="4"/>
      <c r="HE2329" s="4"/>
      <c r="HF2329" s="4"/>
      <c r="HG2329" s="4"/>
      <c r="HH2329" s="4"/>
      <c r="HI2329" s="4"/>
      <c r="HJ2329" s="4"/>
      <c r="HK2329" s="4"/>
      <c r="HL2329" s="4"/>
      <c r="HM2329" s="4"/>
      <c r="HN2329" s="4"/>
      <c r="HO2329" s="4"/>
      <c r="HP2329" s="4"/>
      <c r="HQ2329" s="4"/>
      <c r="HR2329" s="4"/>
    </row>
    <row r="2330">
      <c r="A2330" s="2" t="s">
        <v>10402</v>
      </c>
      <c r="B2330" s="2" t="s">
        <v>1242</v>
      </c>
      <c r="C2330" s="2" t="s">
        <v>901</v>
      </c>
      <c r="D2330" s="2" t="s">
        <v>912</v>
      </c>
      <c r="E2330" s="2" t="s">
        <v>1139</v>
      </c>
      <c r="F2330" s="2" t="s">
        <v>10388</v>
      </c>
      <c r="G2330" s="2" t="s">
        <v>10388</v>
      </c>
      <c r="H2330" s="2" t="s">
        <v>10388</v>
      </c>
      <c r="I2330" s="2" t="s">
        <v>10403</v>
      </c>
      <c r="J2330" s="2" t="s">
        <v>981</v>
      </c>
      <c r="K2330" s="2" t="s">
        <v>2158</v>
      </c>
      <c r="L2330" s="3">
        <v>45.71</v>
      </c>
      <c r="M2330" s="3">
        <v>48</v>
      </c>
      <c r="N2330" s="3">
        <v>99.99</v>
      </c>
      <c r="O2330" s="2" t="s">
        <v>245</v>
      </c>
      <c r="P2330" s="2" t="s">
        <v>238</v>
      </c>
      <c r="Q2330" s="2" t="s">
        <v>239</v>
      </c>
      <c r="R2330" s="2" t="s">
        <v>233</v>
      </c>
      <c r="S2330" s="2" t="s">
        <v>10401</v>
      </c>
      <c r="T2330" s="2" t="s">
        <v>341</v>
      </c>
      <c r="U2330" s="2" t="s">
        <v>475</v>
      </c>
      <c r="V2330" s="2" t="s">
        <v>359</v>
      </c>
      <c r="W2330" s="2" t="s">
        <v>1774</v>
      </c>
      <c r="X2330" s="2" t="s">
        <v>275</v>
      </c>
      <c r="Y2330" s="2" t="s">
        <v>233</v>
      </c>
      <c r="Z2330" s="4"/>
      <c r="AA2330" s="4">
        <f>=ROUNDDOWN({0},0)</f>
      </c>
      <c r="AB2330" s="5"/>
      <c r="AC2330" s="2" t="s">
        <v>5084</v>
      </c>
      <c r="AD2330" s="4">
        <v>100</v>
      </c>
      <c r="AE2330" s="4">
        <v>200</v>
      </c>
      <c r="AF2330" s="6">
        <v>65</v>
      </c>
      <c r="AG2330" s="6"/>
      <c r="AH2330" s="7">
        <v>0</v>
      </c>
      <c r="AI2330" s="4"/>
      <c r="AJ2330" s="4">
        <f>=ROUNDDOWN({0},0)</f>
      </c>
      <c r="AK2330" s="5"/>
      <c r="AL2330" s="2" t="s">
        <v>233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233</v>
      </c>
      <c r="AW2330" s="8" t="s">
        <v>233</v>
      </c>
      <c r="AX2330" s="4" t="s">
        <v>233</v>
      </c>
      <c r="AY2330" s="8" t="s">
        <v>233</v>
      </c>
      <c r="AZ2330" s="7" t="s">
        <v>233</v>
      </c>
      <c r="BA2330" s="7" t="s">
        <v>233</v>
      </c>
      <c r="BB2330" s="7" t="s">
        <v>233</v>
      </c>
      <c r="BC2330" s="4" t="s">
        <v>233</v>
      </c>
      <c r="BD2330" s="8" t="s">
        <v>233</v>
      </c>
      <c r="BE2330" s="4" t="s">
        <v>233</v>
      </c>
      <c r="BF2330" s="8" t="s">
        <v>233</v>
      </c>
      <c r="BG2330" s="7" t="s">
        <v>233</v>
      </c>
      <c r="BH2330" s="7" t="s">
        <v>233</v>
      </c>
      <c r="BI2330" s="7"/>
      <c r="BJ2330" s="4"/>
      <c r="BK2330" s="8"/>
      <c r="BL2330" s="2" t="s">
        <v>233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243</v>
      </c>
      <c r="BV2330" s="2" t="s">
        <v>233</v>
      </c>
      <c r="BW2330" s="2" t="s">
        <v>233</v>
      </c>
      <c r="BX2330" s="2" t="s">
        <v>243</v>
      </c>
      <c r="BY2330" s="2" t="s">
        <v>244</v>
      </c>
      <c r="BZ2330" s="2" t="s">
        <v>245</v>
      </c>
      <c r="CA2330" s="2" t="s">
        <v>233</v>
      </c>
      <c r="CB2330" s="2" t="s">
        <v>233</v>
      </c>
      <c r="CC2330" s="2" t="s">
        <v>246</v>
      </c>
      <c r="CD2330" s="2" t="s">
        <v>233</v>
      </c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>
        <v>100</v>
      </c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/>
      <c r="GQ2330" s="4"/>
      <c r="GR2330" s="4"/>
      <c r="GS2330" s="4"/>
      <c r="GT2330" s="4"/>
      <c r="GU2330" s="4">
        <v>100</v>
      </c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4"/>
      <c r="HG2330" s="4"/>
      <c r="HH2330" s="4"/>
      <c r="HI2330" s="4"/>
      <c r="HJ2330" s="4"/>
      <c r="HK2330" s="4"/>
      <c r="HL2330" s="4"/>
      <c r="HM2330" s="4"/>
      <c r="HN2330" s="4"/>
      <c r="HO2330" s="4"/>
      <c r="HP2330" s="4"/>
      <c r="HQ2330" s="4"/>
      <c r="HR2330" s="4"/>
    </row>
    <row r="2331">
      <c r="A2331" s="2" t="s">
        <v>10404</v>
      </c>
      <c r="B2331" s="2" t="s">
        <v>1242</v>
      </c>
      <c r="C2331" s="2" t="s">
        <v>901</v>
      </c>
      <c r="D2331" s="2" t="s">
        <v>969</v>
      </c>
      <c r="E2331" s="2" t="s">
        <v>970</v>
      </c>
      <c r="F2331" s="2" t="s">
        <v>10388</v>
      </c>
      <c r="G2331" s="2" t="s">
        <v>10388</v>
      </c>
      <c r="H2331" s="2" t="s">
        <v>10388</v>
      </c>
      <c r="I2331" s="2" t="s">
        <v>10400</v>
      </c>
      <c r="J2331" s="2" t="s">
        <v>1142</v>
      </c>
      <c r="K2331" s="2" t="s">
        <v>2158</v>
      </c>
      <c r="L2331" s="3">
        <v>64</v>
      </c>
      <c r="M2331" s="3">
        <v>67.2</v>
      </c>
      <c r="N2331" s="3">
        <v>139.99</v>
      </c>
      <c r="O2331" s="2" t="s">
        <v>245</v>
      </c>
      <c r="P2331" s="2" t="s">
        <v>238</v>
      </c>
      <c r="Q2331" s="2" t="s">
        <v>239</v>
      </c>
      <c r="R2331" s="2" t="s">
        <v>233</v>
      </c>
      <c r="S2331" s="2" t="s">
        <v>10401</v>
      </c>
      <c r="T2331" s="2" t="s">
        <v>341</v>
      </c>
      <c r="U2331" s="2" t="s">
        <v>475</v>
      </c>
      <c r="V2331" s="2" t="s">
        <v>359</v>
      </c>
      <c r="W2331" s="2" t="s">
        <v>1774</v>
      </c>
      <c r="X2331" s="2" t="s">
        <v>275</v>
      </c>
      <c r="Y2331" s="2" t="s">
        <v>233</v>
      </c>
      <c r="Z2331" s="4"/>
      <c r="AA2331" s="4">
        <f>=ROUNDDOWN({0},0)</f>
      </c>
      <c r="AB2331" s="5"/>
      <c r="AC2331" s="2" t="s">
        <v>5084</v>
      </c>
      <c r="AD2331" s="4">
        <v>100</v>
      </c>
      <c r="AE2331" s="4">
        <v>200</v>
      </c>
      <c r="AF2331" s="6">
        <v>65</v>
      </c>
      <c r="AG2331" s="6"/>
      <c r="AH2331" s="7">
        <v>0</v>
      </c>
      <c r="AI2331" s="4"/>
      <c r="AJ2331" s="4">
        <f>=ROUNDDOWN({0},0)</f>
      </c>
      <c r="AK2331" s="5"/>
      <c r="AL2331" s="2" t="s">
        <v>233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233</v>
      </c>
      <c r="AW2331" s="8" t="s">
        <v>233</v>
      </c>
      <c r="AX2331" s="4" t="s">
        <v>233</v>
      </c>
      <c r="AY2331" s="8" t="s">
        <v>233</v>
      </c>
      <c r="AZ2331" s="7" t="s">
        <v>233</v>
      </c>
      <c r="BA2331" s="7" t="s">
        <v>233</v>
      </c>
      <c r="BB2331" s="7" t="s">
        <v>233</v>
      </c>
      <c r="BC2331" s="4" t="s">
        <v>233</v>
      </c>
      <c r="BD2331" s="8" t="s">
        <v>233</v>
      </c>
      <c r="BE2331" s="4" t="s">
        <v>233</v>
      </c>
      <c r="BF2331" s="8" t="s">
        <v>233</v>
      </c>
      <c r="BG2331" s="7" t="s">
        <v>233</v>
      </c>
      <c r="BH2331" s="7" t="s">
        <v>233</v>
      </c>
      <c r="BI2331" s="7"/>
      <c r="BJ2331" s="4"/>
      <c r="BK2331" s="8"/>
      <c r="BL2331" s="2" t="s">
        <v>233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243</v>
      </c>
      <c r="BV2331" s="2" t="s">
        <v>233</v>
      </c>
      <c r="BW2331" s="2" t="s">
        <v>233</v>
      </c>
      <c r="BX2331" s="2" t="s">
        <v>243</v>
      </c>
      <c r="BY2331" s="2" t="s">
        <v>244</v>
      </c>
      <c r="BZ2331" s="2" t="s">
        <v>245</v>
      </c>
      <c r="CA2331" s="2" t="s">
        <v>233</v>
      </c>
      <c r="CB2331" s="2" t="s">
        <v>233</v>
      </c>
      <c r="CC2331" s="2" t="s">
        <v>246</v>
      </c>
      <c r="CD2331" s="2" t="s">
        <v>233</v>
      </c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>
        <v>100</v>
      </c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/>
      <c r="GO2331" s="4"/>
      <c r="GP2331" s="4"/>
      <c r="GQ2331" s="4"/>
      <c r="GR2331" s="4"/>
      <c r="GS2331" s="4"/>
      <c r="GT2331" s="4"/>
      <c r="GU2331" s="4">
        <v>100</v>
      </c>
      <c r="GV2331" s="4"/>
      <c r="GW2331" s="4"/>
      <c r="GX2331" s="4"/>
      <c r="GY2331" s="4"/>
      <c r="GZ2331" s="4"/>
      <c r="HA2331" s="4"/>
      <c r="HB2331" s="4"/>
      <c r="HC2331" s="4"/>
      <c r="HD2331" s="4"/>
      <c r="HE2331" s="4"/>
      <c r="HF2331" s="4"/>
      <c r="HG2331" s="4"/>
      <c r="HH2331" s="4"/>
      <c r="HI2331" s="4"/>
      <c r="HJ2331" s="4"/>
      <c r="HK2331" s="4"/>
      <c r="HL2331" s="4"/>
      <c r="HM2331" s="4"/>
      <c r="HN2331" s="4"/>
      <c r="HO2331" s="4"/>
      <c r="HP2331" s="4"/>
      <c r="HQ2331" s="4"/>
      <c r="HR2331" s="4"/>
    </row>
    <row r="2332">
      <c r="A2332" s="2" t="s">
        <v>10405</v>
      </c>
      <c r="B2332" s="2" t="s">
        <v>1242</v>
      </c>
      <c r="C2332" s="2" t="s">
        <v>901</v>
      </c>
      <c r="D2332" s="2" t="s">
        <v>912</v>
      </c>
      <c r="E2332" s="2" t="s">
        <v>1139</v>
      </c>
      <c r="F2332" s="2" t="s">
        <v>10388</v>
      </c>
      <c r="G2332" s="2" t="s">
        <v>10388</v>
      </c>
      <c r="H2332" s="2" t="s">
        <v>10388</v>
      </c>
      <c r="I2332" s="2" t="s">
        <v>10403</v>
      </c>
      <c r="J2332" s="2" t="s">
        <v>1142</v>
      </c>
      <c r="K2332" s="2" t="s">
        <v>2158</v>
      </c>
      <c r="L2332" s="3">
        <v>54.85</v>
      </c>
      <c r="M2332" s="3">
        <v>57.59</v>
      </c>
      <c r="N2332" s="3">
        <v>119.99</v>
      </c>
      <c r="O2332" s="2" t="s">
        <v>245</v>
      </c>
      <c r="P2332" s="2" t="s">
        <v>238</v>
      </c>
      <c r="Q2332" s="2" t="s">
        <v>239</v>
      </c>
      <c r="R2332" s="2" t="s">
        <v>233</v>
      </c>
      <c r="S2332" s="2" t="s">
        <v>10401</v>
      </c>
      <c r="T2332" s="2" t="s">
        <v>341</v>
      </c>
      <c r="U2332" s="2" t="s">
        <v>475</v>
      </c>
      <c r="V2332" s="2" t="s">
        <v>359</v>
      </c>
      <c r="W2332" s="2" t="s">
        <v>1774</v>
      </c>
      <c r="X2332" s="2" t="s">
        <v>275</v>
      </c>
      <c r="Y2332" s="2" t="s">
        <v>233</v>
      </c>
      <c r="Z2332" s="4"/>
      <c r="AA2332" s="4">
        <f>=ROUNDDOWN({0},0)</f>
      </c>
      <c r="AB2332" s="5"/>
      <c r="AC2332" s="2" t="s">
        <v>5084</v>
      </c>
      <c r="AD2332" s="4">
        <v>90</v>
      </c>
      <c r="AE2332" s="4">
        <v>180</v>
      </c>
      <c r="AF2332" s="6">
        <v>65</v>
      </c>
      <c r="AG2332" s="6"/>
      <c r="AH2332" s="7">
        <v>0</v>
      </c>
      <c r="AI2332" s="4"/>
      <c r="AJ2332" s="4">
        <f>=ROUNDDOWN({0},0)</f>
      </c>
      <c r="AK2332" s="5"/>
      <c r="AL2332" s="2" t="s">
        <v>233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233</v>
      </c>
      <c r="AW2332" s="8" t="s">
        <v>233</v>
      </c>
      <c r="AX2332" s="4" t="s">
        <v>233</v>
      </c>
      <c r="AY2332" s="8" t="s">
        <v>233</v>
      </c>
      <c r="AZ2332" s="7" t="s">
        <v>233</v>
      </c>
      <c r="BA2332" s="7" t="s">
        <v>233</v>
      </c>
      <c r="BB2332" s="7" t="s">
        <v>233</v>
      </c>
      <c r="BC2332" s="4" t="s">
        <v>233</v>
      </c>
      <c r="BD2332" s="8" t="s">
        <v>233</v>
      </c>
      <c r="BE2332" s="4" t="s">
        <v>233</v>
      </c>
      <c r="BF2332" s="8" t="s">
        <v>233</v>
      </c>
      <c r="BG2332" s="7" t="s">
        <v>233</v>
      </c>
      <c r="BH2332" s="7" t="s">
        <v>233</v>
      </c>
      <c r="BI2332" s="7"/>
      <c r="BJ2332" s="4"/>
      <c r="BK2332" s="8"/>
      <c r="BL2332" s="2" t="s">
        <v>233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243</v>
      </c>
      <c r="BV2332" s="2" t="s">
        <v>233</v>
      </c>
      <c r="BW2332" s="2" t="s">
        <v>233</v>
      </c>
      <c r="BX2332" s="2" t="s">
        <v>243</v>
      </c>
      <c r="BY2332" s="2" t="s">
        <v>244</v>
      </c>
      <c r="BZ2332" s="2" t="s">
        <v>245</v>
      </c>
      <c r="CA2332" s="2" t="s">
        <v>233</v>
      </c>
      <c r="CB2332" s="2" t="s">
        <v>233</v>
      </c>
      <c r="CC2332" s="2" t="s">
        <v>246</v>
      </c>
      <c r="CD2332" s="2" t="s">
        <v>233</v>
      </c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>
        <v>90</v>
      </c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>
        <v>90</v>
      </c>
      <c r="GV2332" s="4"/>
      <c r="GW2332" s="4"/>
      <c r="GX2332" s="4"/>
      <c r="GY2332" s="4"/>
      <c r="GZ2332" s="4"/>
      <c r="HA2332" s="4"/>
      <c r="HB2332" s="4"/>
      <c r="HC2332" s="4"/>
      <c r="HD2332" s="4"/>
      <c r="HE2332" s="4"/>
      <c r="HF2332" s="4"/>
      <c r="HG2332" s="4"/>
      <c r="HH2332" s="4"/>
      <c r="HI2332" s="4"/>
      <c r="HJ2332" s="4"/>
      <c r="HK2332" s="4"/>
      <c r="HL2332" s="4"/>
      <c r="HM2332" s="4"/>
      <c r="HN2332" s="4"/>
      <c r="HO2332" s="4"/>
      <c r="HP2332" s="4"/>
      <c r="HQ2332" s="4"/>
      <c r="HR2332" s="4"/>
    </row>
    <row r="2333">
      <c r="A2333" s="2" t="s">
        <v>10406</v>
      </c>
      <c r="B2333" s="2" t="s">
        <v>1242</v>
      </c>
      <c r="C2333" s="2" t="s">
        <v>901</v>
      </c>
      <c r="D2333" s="2" t="s">
        <v>969</v>
      </c>
      <c r="E2333" s="2" t="s">
        <v>970</v>
      </c>
      <c r="F2333" s="2" t="s">
        <v>10388</v>
      </c>
      <c r="G2333" s="2" t="s">
        <v>10388</v>
      </c>
      <c r="H2333" s="2" t="s">
        <v>10388</v>
      </c>
      <c r="I2333" s="2" t="s">
        <v>10400</v>
      </c>
      <c r="J2333" s="2" t="s">
        <v>981</v>
      </c>
      <c r="K2333" s="2" t="s">
        <v>2197</v>
      </c>
      <c r="L2333" s="3">
        <v>54.85</v>
      </c>
      <c r="M2333" s="3">
        <v>57.59</v>
      </c>
      <c r="N2333" s="3">
        <v>119.99</v>
      </c>
      <c r="O2333" s="2" t="s">
        <v>245</v>
      </c>
      <c r="P2333" s="2" t="s">
        <v>238</v>
      </c>
      <c r="Q2333" s="2" t="s">
        <v>239</v>
      </c>
      <c r="R2333" s="2" t="s">
        <v>233</v>
      </c>
      <c r="S2333" s="2" t="s">
        <v>10407</v>
      </c>
      <c r="T2333" s="2" t="s">
        <v>341</v>
      </c>
      <c r="U2333" s="2" t="s">
        <v>475</v>
      </c>
      <c r="V2333" s="2" t="s">
        <v>359</v>
      </c>
      <c r="W2333" s="2" t="s">
        <v>1774</v>
      </c>
      <c r="X2333" s="2" t="s">
        <v>275</v>
      </c>
      <c r="Y2333" s="2" t="s">
        <v>233</v>
      </c>
      <c r="Z2333" s="4"/>
      <c r="AA2333" s="4">
        <f>=ROUNDDOWN({0},0)</f>
      </c>
      <c r="AB2333" s="5"/>
      <c r="AC2333" s="2" t="s">
        <v>5084</v>
      </c>
      <c r="AD2333" s="4">
        <v>110</v>
      </c>
      <c r="AE2333" s="4">
        <v>220</v>
      </c>
      <c r="AF2333" s="6">
        <v>65</v>
      </c>
      <c r="AG2333" s="6"/>
      <c r="AH2333" s="7">
        <v>0</v>
      </c>
      <c r="AI2333" s="4"/>
      <c r="AJ2333" s="4">
        <f>=ROUNDDOWN({0},0)</f>
      </c>
      <c r="AK2333" s="5"/>
      <c r="AL2333" s="2" t="s">
        <v>233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233</v>
      </c>
      <c r="AW2333" s="8" t="s">
        <v>233</v>
      </c>
      <c r="AX2333" s="4" t="s">
        <v>233</v>
      </c>
      <c r="AY2333" s="8" t="s">
        <v>233</v>
      </c>
      <c r="AZ2333" s="7" t="s">
        <v>233</v>
      </c>
      <c r="BA2333" s="7" t="s">
        <v>233</v>
      </c>
      <c r="BB2333" s="7" t="s">
        <v>233</v>
      </c>
      <c r="BC2333" s="4" t="s">
        <v>233</v>
      </c>
      <c r="BD2333" s="8" t="s">
        <v>233</v>
      </c>
      <c r="BE2333" s="4" t="s">
        <v>233</v>
      </c>
      <c r="BF2333" s="8" t="s">
        <v>233</v>
      </c>
      <c r="BG2333" s="7" t="s">
        <v>233</v>
      </c>
      <c r="BH2333" s="7" t="s">
        <v>233</v>
      </c>
      <c r="BI2333" s="7"/>
      <c r="BJ2333" s="4"/>
      <c r="BK2333" s="8"/>
      <c r="BL2333" s="2" t="s">
        <v>233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243</v>
      </c>
      <c r="BV2333" s="2" t="s">
        <v>233</v>
      </c>
      <c r="BW2333" s="2" t="s">
        <v>233</v>
      </c>
      <c r="BX2333" s="2" t="s">
        <v>243</v>
      </c>
      <c r="BY2333" s="2" t="s">
        <v>244</v>
      </c>
      <c r="BZ2333" s="2" t="s">
        <v>245</v>
      </c>
      <c r="CA2333" s="2" t="s">
        <v>233</v>
      </c>
      <c r="CB2333" s="2" t="s">
        <v>233</v>
      </c>
      <c r="CC2333" s="2" t="s">
        <v>246</v>
      </c>
      <c r="CD2333" s="2" t="s">
        <v>233</v>
      </c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>
        <v>110</v>
      </c>
      <c r="EZ2333" s="4"/>
      <c r="FA2333" s="4"/>
      <c r="FB2333" s="4"/>
      <c r="FC2333" s="4"/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>
        <v>110</v>
      </c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4"/>
      <c r="HG2333" s="4"/>
      <c r="HH2333" s="4"/>
      <c r="HI2333" s="4"/>
      <c r="HJ2333" s="4"/>
      <c r="HK2333" s="4"/>
      <c r="HL2333" s="4"/>
      <c r="HM2333" s="4"/>
      <c r="HN2333" s="4"/>
      <c r="HO2333" s="4"/>
      <c r="HP2333" s="4"/>
      <c r="HQ2333" s="4"/>
      <c r="HR2333" s="4"/>
    </row>
    <row r="2334">
      <c r="A2334" s="2" t="s">
        <v>10408</v>
      </c>
      <c r="B2334" s="2" t="s">
        <v>1242</v>
      </c>
      <c r="C2334" s="2" t="s">
        <v>901</v>
      </c>
      <c r="D2334" s="2" t="s">
        <v>912</v>
      </c>
      <c r="E2334" s="2" t="s">
        <v>1139</v>
      </c>
      <c r="F2334" s="2" t="s">
        <v>10388</v>
      </c>
      <c r="G2334" s="2" t="s">
        <v>10388</v>
      </c>
      <c r="H2334" s="2" t="s">
        <v>10388</v>
      </c>
      <c r="I2334" s="2" t="s">
        <v>10403</v>
      </c>
      <c r="J2334" s="2" t="s">
        <v>981</v>
      </c>
      <c r="K2334" s="2" t="s">
        <v>2197</v>
      </c>
      <c r="L2334" s="3">
        <v>45.71</v>
      </c>
      <c r="M2334" s="3">
        <v>48</v>
      </c>
      <c r="N2334" s="3">
        <v>99.99</v>
      </c>
      <c r="O2334" s="2" t="s">
        <v>245</v>
      </c>
      <c r="P2334" s="2" t="s">
        <v>238</v>
      </c>
      <c r="Q2334" s="2" t="s">
        <v>239</v>
      </c>
      <c r="R2334" s="2" t="s">
        <v>233</v>
      </c>
      <c r="S2334" s="2" t="s">
        <v>10407</v>
      </c>
      <c r="T2334" s="2" t="s">
        <v>341</v>
      </c>
      <c r="U2334" s="2" t="s">
        <v>475</v>
      </c>
      <c r="V2334" s="2" t="s">
        <v>359</v>
      </c>
      <c r="W2334" s="2" t="s">
        <v>1774</v>
      </c>
      <c r="X2334" s="2" t="s">
        <v>275</v>
      </c>
      <c r="Y2334" s="2" t="s">
        <v>233</v>
      </c>
      <c r="Z2334" s="4"/>
      <c r="AA2334" s="4">
        <f>=ROUNDDOWN({0},0)</f>
      </c>
      <c r="AB2334" s="5"/>
      <c r="AC2334" s="2" t="s">
        <v>5084</v>
      </c>
      <c r="AD2334" s="4">
        <v>100</v>
      </c>
      <c r="AE2334" s="4">
        <v>200</v>
      </c>
      <c r="AF2334" s="6">
        <v>65</v>
      </c>
      <c r="AG2334" s="6"/>
      <c r="AH2334" s="7">
        <v>0</v>
      </c>
      <c r="AI2334" s="4"/>
      <c r="AJ2334" s="4">
        <f>=ROUNDDOWN({0},0)</f>
      </c>
      <c r="AK2334" s="5"/>
      <c r="AL2334" s="2" t="s">
        <v>233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 t="s">
        <v>233</v>
      </c>
      <c r="AW2334" s="8" t="s">
        <v>233</v>
      </c>
      <c r="AX2334" s="4" t="s">
        <v>233</v>
      </c>
      <c r="AY2334" s="8" t="s">
        <v>233</v>
      </c>
      <c r="AZ2334" s="7" t="s">
        <v>233</v>
      </c>
      <c r="BA2334" s="7" t="s">
        <v>233</v>
      </c>
      <c r="BB2334" s="7" t="s">
        <v>233</v>
      </c>
      <c r="BC2334" s="4" t="s">
        <v>233</v>
      </c>
      <c r="BD2334" s="8" t="s">
        <v>233</v>
      </c>
      <c r="BE2334" s="4" t="s">
        <v>233</v>
      </c>
      <c r="BF2334" s="8" t="s">
        <v>233</v>
      </c>
      <c r="BG2334" s="7" t="s">
        <v>233</v>
      </c>
      <c r="BH2334" s="7" t="s">
        <v>233</v>
      </c>
      <c r="BI2334" s="7"/>
      <c r="BJ2334" s="4"/>
      <c r="BK2334" s="8"/>
      <c r="BL2334" s="2" t="s">
        <v>233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243</v>
      </c>
      <c r="BV2334" s="2" t="s">
        <v>233</v>
      </c>
      <c r="BW2334" s="2" t="s">
        <v>233</v>
      </c>
      <c r="BX2334" s="2" t="s">
        <v>243</v>
      </c>
      <c r="BY2334" s="2" t="s">
        <v>244</v>
      </c>
      <c r="BZ2334" s="2" t="s">
        <v>245</v>
      </c>
      <c r="CA2334" s="2" t="s">
        <v>233</v>
      </c>
      <c r="CB2334" s="2" t="s">
        <v>233</v>
      </c>
      <c r="CC2334" s="2" t="s">
        <v>246</v>
      </c>
      <c r="CD2334" s="2" t="s">
        <v>233</v>
      </c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>
        <v>100</v>
      </c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>
        <v>100</v>
      </c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4"/>
      <c r="HG2334" s="4"/>
      <c r="HH2334" s="4"/>
      <c r="HI2334" s="4"/>
      <c r="HJ2334" s="4"/>
      <c r="HK2334" s="4"/>
      <c r="HL2334" s="4"/>
      <c r="HM2334" s="4"/>
      <c r="HN2334" s="4"/>
      <c r="HO2334" s="4"/>
      <c r="HP2334" s="4"/>
      <c r="HQ2334" s="4"/>
      <c r="HR2334" s="4"/>
    </row>
    <row r="2335">
      <c r="A2335" s="2" t="s">
        <v>10409</v>
      </c>
      <c r="B2335" s="2" t="s">
        <v>1242</v>
      </c>
      <c r="C2335" s="2" t="s">
        <v>901</v>
      </c>
      <c r="D2335" s="2" t="s">
        <v>969</v>
      </c>
      <c r="E2335" s="2" t="s">
        <v>970</v>
      </c>
      <c r="F2335" s="2" t="s">
        <v>10388</v>
      </c>
      <c r="G2335" s="2" t="s">
        <v>10388</v>
      </c>
      <c r="H2335" s="2" t="s">
        <v>10388</v>
      </c>
      <c r="I2335" s="2" t="s">
        <v>10400</v>
      </c>
      <c r="J2335" s="2" t="s">
        <v>1142</v>
      </c>
      <c r="K2335" s="2" t="s">
        <v>2197</v>
      </c>
      <c r="L2335" s="3">
        <v>64</v>
      </c>
      <c r="M2335" s="3">
        <v>67.2</v>
      </c>
      <c r="N2335" s="3">
        <v>139.99</v>
      </c>
      <c r="O2335" s="2" t="s">
        <v>245</v>
      </c>
      <c r="P2335" s="2" t="s">
        <v>238</v>
      </c>
      <c r="Q2335" s="2" t="s">
        <v>239</v>
      </c>
      <c r="R2335" s="2" t="s">
        <v>233</v>
      </c>
      <c r="S2335" s="2" t="s">
        <v>10407</v>
      </c>
      <c r="T2335" s="2" t="s">
        <v>341</v>
      </c>
      <c r="U2335" s="2" t="s">
        <v>475</v>
      </c>
      <c r="V2335" s="2" t="s">
        <v>359</v>
      </c>
      <c r="W2335" s="2" t="s">
        <v>1774</v>
      </c>
      <c r="X2335" s="2" t="s">
        <v>275</v>
      </c>
      <c r="Y2335" s="2" t="s">
        <v>233</v>
      </c>
      <c r="Z2335" s="4"/>
      <c r="AA2335" s="4">
        <f>=ROUNDDOWN({0},0)</f>
      </c>
      <c r="AB2335" s="5"/>
      <c r="AC2335" s="2" t="s">
        <v>5084</v>
      </c>
      <c r="AD2335" s="4">
        <v>100</v>
      </c>
      <c r="AE2335" s="4">
        <v>200</v>
      </c>
      <c r="AF2335" s="6">
        <v>65</v>
      </c>
      <c r="AG2335" s="6"/>
      <c r="AH2335" s="7">
        <v>0</v>
      </c>
      <c r="AI2335" s="4"/>
      <c r="AJ2335" s="4">
        <f>=ROUNDDOWN({0},0)</f>
      </c>
      <c r="AK2335" s="5"/>
      <c r="AL2335" s="2" t="s">
        <v>233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 t="s">
        <v>233</v>
      </c>
      <c r="AW2335" s="8" t="s">
        <v>233</v>
      </c>
      <c r="AX2335" s="4" t="s">
        <v>233</v>
      </c>
      <c r="AY2335" s="8" t="s">
        <v>233</v>
      </c>
      <c r="AZ2335" s="7" t="s">
        <v>233</v>
      </c>
      <c r="BA2335" s="7" t="s">
        <v>233</v>
      </c>
      <c r="BB2335" s="7" t="s">
        <v>233</v>
      </c>
      <c r="BC2335" s="4" t="s">
        <v>233</v>
      </c>
      <c r="BD2335" s="8" t="s">
        <v>233</v>
      </c>
      <c r="BE2335" s="4" t="s">
        <v>233</v>
      </c>
      <c r="BF2335" s="8" t="s">
        <v>233</v>
      </c>
      <c r="BG2335" s="7" t="s">
        <v>233</v>
      </c>
      <c r="BH2335" s="7" t="s">
        <v>233</v>
      </c>
      <c r="BI2335" s="7"/>
      <c r="BJ2335" s="4"/>
      <c r="BK2335" s="8"/>
      <c r="BL2335" s="2" t="s">
        <v>233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243</v>
      </c>
      <c r="BV2335" s="2" t="s">
        <v>233</v>
      </c>
      <c r="BW2335" s="2" t="s">
        <v>233</v>
      </c>
      <c r="BX2335" s="2" t="s">
        <v>243</v>
      </c>
      <c r="BY2335" s="2" t="s">
        <v>244</v>
      </c>
      <c r="BZ2335" s="2" t="s">
        <v>245</v>
      </c>
      <c r="CA2335" s="2" t="s">
        <v>233</v>
      </c>
      <c r="CB2335" s="2" t="s">
        <v>233</v>
      </c>
      <c r="CC2335" s="2" t="s">
        <v>246</v>
      </c>
      <c r="CD2335" s="2" t="s">
        <v>233</v>
      </c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>
        <v>100</v>
      </c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/>
      <c r="GU2335" s="4">
        <v>100</v>
      </c>
      <c r="GV2335" s="4"/>
      <c r="GW2335" s="4"/>
      <c r="GX2335" s="4"/>
      <c r="GY2335" s="4"/>
      <c r="GZ2335" s="4"/>
      <c r="HA2335" s="4"/>
      <c r="HB2335" s="4"/>
      <c r="HC2335" s="4"/>
      <c r="HD2335" s="4"/>
      <c r="HE2335" s="4"/>
      <c r="HF2335" s="4"/>
      <c r="HG2335" s="4"/>
      <c r="HH2335" s="4"/>
      <c r="HI2335" s="4"/>
      <c r="HJ2335" s="4"/>
      <c r="HK2335" s="4"/>
      <c r="HL2335" s="4"/>
      <c r="HM2335" s="4"/>
      <c r="HN2335" s="4"/>
      <c r="HO2335" s="4"/>
      <c r="HP2335" s="4"/>
      <c r="HQ2335" s="4"/>
      <c r="HR2335" s="4"/>
    </row>
    <row r="2336">
      <c r="A2336" s="2" t="s">
        <v>10410</v>
      </c>
      <c r="B2336" s="2" t="s">
        <v>1242</v>
      </c>
      <c r="C2336" s="2" t="s">
        <v>901</v>
      </c>
      <c r="D2336" s="2" t="s">
        <v>912</v>
      </c>
      <c r="E2336" s="2" t="s">
        <v>1139</v>
      </c>
      <c r="F2336" s="2" t="s">
        <v>10388</v>
      </c>
      <c r="G2336" s="2" t="s">
        <v>10388</v>
      </c>
      <c r="H2336" s="2" t="s">
        <v>10388</v>
      </c>
      <c r="I2336" s="2" t="s">
        <v>10403</v>
      </c>
      <c r="J2336" s="2" t="s">
        <v>1142</v>
      </c>
      <c r="K2336" s="2" t="s">
        <v>2197</v>
      </c>
      <c r="L2336" s="3">
        <v>54.85</v>
      </c>
      <c r="M2336" s="3">
        <v>57.59</v>
      </c>
      <c r="N2336" s="3">
        <v>119.99</v>
      </c>
      <c r="O2336" s="2" t="s">
        <v>245</v>
      </c>
      <c r="P2336" s="2" t="s">
        <v>238</v>
      </c>
      <c r="Q2336" s="2" t="s">
        <v>239</v>
      </c>
      <c r="R2336" s="2" t="s">
        <v>233</v>
      </c>
      <c r="S2336" s="2" t="s">
        <v>10407</v>
      </c>
      <c r="T2336" s="2" t="s">
        <v>341</v>
      </c>
      <c r="U2336" s="2" t="s">
        <v>475</v>
      </c>
      <c r="V2336" s="2" t="s">
        <v>359</v>
      </c>
      <c r="W2336" s="2" t="s">
        <v>1774</v>
      </c>
      <c r="X2336" s="2" t="s">
        <v>275</v>
      </c>
      <c r="Y2336" s="2" t="s">
        <v>233</v>
      </c>
      <c r="Z2336" s="4"/>
      <c r="AA2336" s="4">
        <f>=ROUNDDOWN({0},0)</f>
      </c>
      <c r="AB2336" s="5"/>
      <c r="AC2336" s="2" t="s">
        <v>5084</v>
      </c>
      <c r="AD2336" s="4">
        <v>90</v>
      </c>
      <c r="AE2336" s="4">
        <v>180</v>
      </c>
      <c r="AF2336" s="6">
        <v>65</v>
      </c>
      <c r="AG2336" s="6"/>
      <c r="AH2336" s="7">
        <v>0</v>
      </c>
      <c r="AI2336" s="4"/>
      <c r="AJ2336" s="4">
        <f>=ROUNDDOWN({0},0)</f>
      </c>
      <c r="AK2336" s="5"/>
      <c r="AL2336" s="2" t="s">
        <v>233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233</v>
      </c>
      <c r="AW2336" s="8" t="s">
        <v>233</v>
      </c>
      <c r="AX2336" s="4" t="s">
        <v>233</v>
      </c>
      <c r="AY2336" s="8" t="s">
        <v>233</v>
      </c>
      <c r="AZ2336" s="7" t="s">
        <v>233</v>
      </c>
      <c r="BA2336" s="7" t="s">
        <v>233</v>
      </c>
      <c r="BB2336" s="7" t="s">
        <v>233</v>
      </c>
      <c r="BC2336" s="4" t="s">
        <v>233</v>
      </c>
      <c r="BD2336" s="8" t="s">
        <v>233</v>
      </c>
      <c r="BE2336" s="4" t="s">
        <v>233</v>
      </c>
      <c r="BF2336" s="8" t="s">
        <v>233</v>
      </c>
      <c r="BG2336" s="7" t="s">
        <v>233</v>
      </c>
      <c r="BH2336" s="7" t="s">
        <v>233</v>
      </c>
      <c r="BI2336" s="7"/>
      <c r="BJ2336" s="4"/>
      <c r="BK2336" s="8"/>
      <c r="BL2336" s="2" t="s">
        <v>233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243</v>
      </c>
      <c r="BV2336" s="2" t="s">
        <v>233</v>
      </c>
      <c r="BW2336" s="2" t="s">
        <v>233</v>
      </c>
      <c r="BX2336" s="2" t="s">
        <v>243</v>
      </c>
      <c r="BY2336" s="2" t="s">
        <v>244</v>
      </c>
      <c r="BZ2336" s="2" t="s">
        <v>245</v>
      </c>
      <c r="CA2336" s="2" t="s">
        <v>233</v>
      </c>
      <c r="CB2336" s="2" t="s">
        <v>233</v>
      </c>
      <c r="CC2336" s="2" t="s">
        <v>246</v>
      </c>
      <c r="CD2336" s="2" t="s">
        <v>233</v>
      </c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>
        <v>90</v>
      </c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>
        <v>90</v>
      </c>
      <c r="GV2336" s="4"/>
      <c r="GW2336" s="4"/>
      <c r="GX2336" s="4"/>
      <c r="GY2336" s="4"/>
      <c r="GZ2336" s="4"/>
      <c r="HA2336" s="4"/>
      <c r="HB2336" s="4"/>
      <c r="HC2336" s="4"/>
      <c r="HD2336" s="4"/>
      <c r="HE2336" s="4"/>
      <c r="HF2336" s="4"/>
      <c r="HG2336" s="4"/>
      <c r="HH2336" s="4"/>
      <c r="HI2336" s="4"/>
      <c r="HJ2336" s="4"/>
      <c r="HK2336" s="4"/>
      <c r="HL2336" s="4"/>
      <c r="HM2336" s="4"/>
      <c r="HN2336" s="4"/>
      <c r="HO2336" s="4"/>
      <c r="HP2336" s="4"/>
      <c r="HQ2336" s="4"/>
      <c r="HR2336" s="4"/>
    </row>
    <row r="2337">
      <c r="A2337" s="2" t="s">
        <v>10411</v>
      </c>
      <c r="B2337" s="2" t="s">
        <v>1066</v>
      </c>
      <c r="C2337" s="2" t="s">
        <v>530</v>
      </c>
      <c r="D2337" s="2" t="s">
        <v>1851</v>
      </c>
      <c r="E2337" s="2" t="s">
        <v>1852</v>
      </c>
      <c r="F2337" s="2" t="s">
        <v>10412</v>
      </c>
      <c r="G2337" s="2" t="s">
        <v>1267</v>
      </c>
      <c r="H2337" s="2" t="s">
        <v>10413</v>
      </c>
      <c r="I2337" s="2" t="s">
        <v>10414</v>
      </c>
      <c r="J2337" s="2" t="s">
        <v>892</v>
      </c>
      <c r="K2337" s="2" t="s">
        <v>569</v>
      </c>
      <c r="L2337" s="3">
        <v>90</v>
      </c>
      <c r="M2337" s="3">
        <v>94.5</v>
      </c>
      <c r="N2337" s="3">
        <v>189</v>
      </c>
      <c r="O2337" s="2" t="s">
        <v>252</v>
      </c>
      <c r="P2337" s="2" t="s">
        <v>311</v>
      </c>
      <c r="Q2337" s="2" t="s">
        <v>239</v>
      </c>
      <c r="R2337" s="2" t="s">
        <v>233</v>
      </c>
      <c r="S2337" s="2" t="s">
        <v>10415</v>
      </c>
      <c r="T2337" s="2" t="s">
        <v>233</v>
      </c>
      <c r="U2337" s="2" t="s">
        <v>233</v>
      </c>
      <c r="V2337" s="2" t="s">
        <v>2225</v>
      </c>
      <c r="W2337" s="2" t="s">
        <v>397</v>
      </c>
      <c r="X2337" s="2" t="s">
        <v>233</v>
      </c>
      <c r="Y2337" s="2" t="s">
        <v>276</v>
      </c>
      <c r="Z2337" s="4"/>
      <c r="AA2337" s="4">
        <f>=ROUNDDOWN({0},0)</f>
      </c>
      <c r="AB2337" s="5"/>
      <c r="AC2337" s="2" t="s">
        <v>233</v>
      </c>
      <c r="AD2337" s="4"/>
      <c r="AE2337" s="4"/>
      <c r="AF2337" s="6"/>
      <c r="AG2337" s="6"/>
      <c r="AH2337" s="7">
        <v>0</v>
      </c>
      <c r="AI2337" s="4"/>
      <c r="AJ2337" s="4">
        <f>=ROUNDDOWN({0},0)</f>
      </c>
      <c r="AK2337" s="5"/>
      <c r="AL2337" s="2" t="s">
        <v>233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 t="s">
        <v>233</v>
      </c>
      <c r="BD2337" s="8" t="s">
        <v>233</v>
      </c>
      <c r="BE2337" s="4" t="s">
        <v>233</v>
      </c>
      <c r="BF2337" s="8" t="s">
        <v>233</v>
      </c>
      <c r="BG2337" s="7" t="s">
        <v>233</v>
      </c>
      <c r="BH2337" s="7" t="s">
        <v>233</v>
      </c>
      <c r="BI2337" s="7"/>
      <c r="BJ2337" s="4"/>
      <c r="BK2337" s="8"/>
      <c r="BL2337" s="2" t="s">
        <v>233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10416</v>
      </c>
      <c r="BV2337" s="2" t="s">
        <v>233</v>
      </c>
      <c r="BW2337" s="2" t="s">
        <v>233</v>
      </c>
      <c r="BX2337" s="2" t="s">
        <v>233</v>
      </c>
      <c r="BY2337" s="2" t="s">
        <v>280</v>
      </c>
      <c r="BZ2337" s="2" t="s">
        <v>245</v>
      </c>
      <c r="CA2337" s="2" t="s">
        <v>281</v>
      </c>
      <c r="CB2337" s="2" t="s">
        <v>528</v>
      </c>
      <c r="CC2337" s="2" t="s">
        <v>246</v>
      </c>
      <c r="CD2337" s="2" t="s">
        <v>233</v>
      </c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/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/>
      <c r="HC2337" s="4"/>
      <c r="HD2337" s="4"/>
      <c r="HE2337" s="4"/>
      <c r="HF2337" s="4"/>
      <c r="HG2337" s="4"/>
      <c r="HH2337" s="4"/>
      <c r="HI2337" s="4"/>
      <c r="HJ2337" s="4"/>
      <c r="HK2337" s="4"/>
      <c r="HL2337" s="4"/>
      <c r="HM2337" s="4"/>
      <c r="HN2337" s="4"/>
      <c r="HO2337" s="4"/>
      <c r="HP2337" s="4"/>
      <c r="HQ2337" s="4"/>
      <c r="HR2337" s="4"/>
    </row>
    <row r="2338">
      <c r="A2338" s="2" t="s">
        <v>10417</v>
      </c>
      <c r="B2338" s="2" t="s">
        <v>1066</v>
      </c>
      <c r="C2338" s="2" t="s">
        <v>530</v>
      </c>
      <c r="D2338" s="2" t="s">
        <v>1851</v>
      </c>
      <c r="E2338" s="2" t="s">
        <v>1852</v>
      </c>
      <c r="F2338" s="2" t="s">
        <v>10412</v>
      </c>
      <c r="G2338" s="2" t="s">
        <v>1267</v>
      </c>
      <c r="H2338" s="2" t="s">
        <v>10413</v>
      </c>
      <c r="I2338" s="2" t="s">
        <v>10414</v>
      </c>
      <c r="J2338" s="2" t="s">
        <v>892</v>
      </c>
      <c r="K2338" s="2" t="s">
        <v>1561</v>
      </c>
      <c r="L2338" s="3">
        <v>90</v>
      </c>
      <c r="M2338" s="3">
        <v>94.5</v>
      </c>
      <c r="N2338" s="3">
        <v>189</v>
      </c>
      <c r="O2338" s="2" t="s">
        <v>245</v>
      </c>
      <c r="P2338" s="2" t="s">
        <v>311</v>
      </c>
      <c r="Q2338" s="2" t="s">
        <v>239</v>
      </c>
      <c r="R2338" s="2" t="s">
        <v>233</v>
      </c>
      <c r="S2338" s="2" t="s">
        <v>10418</v>
      </c>
      <c r="T2338" s="2" t="s">
        <v>233</v>
      </c>
      <c r="U2338" s="2" t="s">
        <v>233</v>
      </c>
      <c r="V2338" s="2" t="s">
        <v>1658</v>
      </c>
      <c r="W2338" s="2" t="s">
        <v>397</v>
      </c>
      <c r="X2338" s="2" t="s">
        <v>233</v>
      </c>
      <c r="Y2338" s="2" t="s">
        <v>276</v>
      </c>
      <c r="Z2338" s="4"/>
      <c r="AA2338" s="4">
        <f>=ROUNDDOWN({0},0)</f>
      </c>
      <c r="AB2338" s="5">
        <v>1</v>
      </c>
      <c r="AC2338" s="2" t="s">
        <v>233</v>
      </c>
      <c r="AD2338" s="4"/>
      <c r="AE2338" s="4"/>
      <c r="AF2338" s="6">
        <v>67</v>
      </c>
      <c r="AG2338" s="6"/>
      <c r="AH2338" s="7">
        <v>0</v>
      </c>
      <c r="AI2338" s="4"/>
      <c r="AJ2338" s="4">
        <f>=ROUNDDOWN({0},0)</f>
      </c>
      <c r="AK2338" s="5"/>
      <c r="AL2338" s="2" t="s">
        <v>233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 t="s">
        <v>233</v>
      </c>
      <c r="BD2338" s="8" t="s">
        <v>233</v>
      </c>
      <c r="BE2338" s="4" t="s">
        <v>233</v>
      </c>
      <c r="BF2338" s="8" t="s">
        <v>233</v>
      </c>
      <c r="BG2338" s="7" t="s">
        <v>233</v>
      </c>
      <c r="BH2338" s="7" t="s">
        <v>233</v>
      </c>
      <c r="BI2338" s="7"/>
      <c r="BJ2338" s="4"/>
      <c r="BK2338" s="8"/>
      <c r="BL2338" s="2" t="s">
        <v>10419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10420</v>
      </c>
      <c r="BV2338" s="2" t="s">
        <v>233</v>
      </c>
      <c r="BW2338" s="2" t="s">
        <v>233</v>
      </c>
      <c r="BX2338" s="2" t="s">
        <v>233</v>
      </c>
      <c r="BY2338" s="2" t="s">
        <v>280</v>
      </c>
      <c r="BZ2338" s="2" t="s">
        <v>245</v>
      </c>
      <c r="CA2338" s="2" t="s">
        <v>6968</v>
      </c>
      <c r="CB2338" s="2" t="s">
        <v>10421</v>
      </c>
      <c r="CC2338" s="2" t="s">
        <v>246</v>
      </c>
      <c r="CD2338" s="2" t="s">
        <v>233</v>
      </c>
      <c r="CE2338" s="4"/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/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/>
      <c r="HC2338" s="4"/>
      <c r="HD2338" s="4"/>
      <c r="HE2338" s="4"/>
      <c r="HF2338" s="4"/>
      <c r="HG2338" s="4"/>
      <c r="HH2338" s="4"/>
      <c r="HI2338" s="4"/>
      <c r="HJ2338" s="4"/>
      <c r="HK2338" s="4"/>
      <c r="HL2338" s="4"/>
      <c r="HM2338" s="4"/>
      <c r="HN2338" s="4"/>
      <c r="HO2338" s="4"/>
      <c r="HP2338" s="4"/>
      <c r="HQ2338" s="4"/>
      <c r="HR2338" s="4"/>
    </row>
    <row r="2339">
      <c r="A2339" s="2" t="s">
        <v>10422</v>
      </c>
      <c r="B2339" s="2" t="s">
        <v>1066</v>
      </c>
      <c r="C2339" s="2" t="s">
        <v>530</v>
      </c>
      <c r="D2339" s="2" t="s">
        <v>1923</v>
      </c>
      <c r="E2339" s="2" t="s">
        <v>1924</v>
      </c>
      <c r="F2339" s="2" t="s">
        <v>10423</v>
      </c>
      <c r="G2339" s="2" t="s">
        <v>10424</v>
      </c>
      <c r="H2339" s="2" t="s">
        <v>10425</v>
      </c>
      <c r="I2339" s="2" t="s">
        <v>10426</v>
      </c>
      <c r="J2339" s="2" t="s">
        <v>892</v>
      </c>
      <c r="K2339" s="2" t="s">
        <v>255</v>
      </c>
      <c r="L2339" s="3">
        <v>256.5</v>
      </c>
      <c r="M2339" s="3">
        <v>269.32</v>
      </c>
      <c r="N2339" s="3">
        <v>549</v>
      </c>
      <c r="O2339" s="2" t="s">
        <v>245</v>
      </c>
      <c r="P2339" s="2" t="s">
        <v>393</v>
      </c>
      <c r="Q2339" s="2" t="s">
        <v>239</v>
      </c>
      <c r="R2339" s="2" t="s">
        <v>233</v>
      </c>
      <c r="S2339" s="2" t="s">
        <v>233</v>
      </c>
      <c r="T2339" s="2" t="s">
        <v>233</v>
      </c>
      <c r="U2339" s="2" t="s">
        <v>491</v>
      </c>
      <c r="V2339" s="2" t="s">
        <v>893</v>
      </c>
      <c r="W2339" s="2" t="s">
        <v>397</v>
      </c>
      <c r="X2339" s="2" t="s">
        <v>705</v>
      </c>
      <c r="Y2339" s="2" t="s">
        <v>6946</v>
      </c>
      <c r="Z2339" s="4">
        <v>110</v>
      </c>
      <c r="AA2339" s="4">
        <f>=ROUNDDOWN(55,0)</f>
      </c>
      <c r="AB2339" s="5">
        <v>2</v>
      </c>
      <c r="AC2339" s="2" t="s">
        <v>233</v>
      </c>
      <c r="AD2339" s="4"/>
      <c r="AE2339" s="4"/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233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/>
      <c r="BD2339" s="8"/>
      <c r="BE2339" s="4"/>
      <c r="BF2339" s="8"/>
      <c r="BG2339" s="7"/>
      <c r="BH2339" s="7"/>
      <c r="BI2339" s="7"/>
      <c r="BJ2339" s="4">
        <v>3</v>
      </c>
      <c r="BK2339" s="8">
        <v>749.7</v>
      </c>
      <c r="BL2339" s="2" t="s">
        <v>6087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10427</v>
      </c>
      <c r="BV2339" s="2" t="s">
        <v>233</v>
      </c>
      <c r="BW2339" s="2" t="s">
        <v>233</v>
      </c>
      <c r="BX2339" s="2" t="s">
        <v>233</v>
      </c>
      <c r="BY2339" s="2" t="s">
        <v>280</v>
      </c>
      <c r="BZ2339" s="2" t="s">
        <v>245</v>
      </c>
      <c r="CA2339" s="2" t="s">
        <v>2509</v>
      </c>
      <c r="CB2339" s="2" t="s">
        <v>1910</v>
      </c>
      <c r="CC2339" s="2" t="s">
        <v>246</v>
      </c>
      <c r="CD2339" s="2" t="s">
        <v>233</v>
      </c>
      <c r="CE2339" s="4"/>
      <c r="CF2339" s="4">
        <v>110</v>
      </c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/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/>
      <c r="HC2339" s="4"/>
      <c r="HD2339" s="4"/>
      <c r="HE2339" s="4"/>
      <c r="HF2339" s="4"/>
      <c r="HG2339" s="4"/>
      <c r="HH2339" s="4"/>
      <c r="HI2339" s="4"/>
      <c r="HJ2339" s="4"/>
      <c r="HK2339" s="4"/>
      <c r="HL2339" s="4"/>
      <c r="HM2339" s="4"/>
      <c r="HN2339" s="4"/>
      <c r="HO2339" s="4"/>
      <c r="HP2339" s="4"/>
      <c r="HQ2339" s="4"/>
      <c r="HR2339" s="4"/>
    </row>
    <row r="2340">
      <c r="A2340" s="2" t="s">
        <v>10428</v>
      </c>
      <c r="B2340" s="2" t="s">
        <v>228</v>
      </c>
      <c r="C2340" s="2" t="s">
        <v>1050</v>
      </c>
      <c r="D2340" s="2" t="s">
        <v>3847</v>
      </c>
      <c r="E2340" s="2" t="s">
        <v>3848</v>
      </c>
      <c r="F2340" s="2" t="s">
        <v>10429</v>
      </c>
      <c r="G2340" s="2" t="s">
        <v>10429</v>
      </c>
      <c r="H2340" s="2" t="s">
        <v>10429</v>
      </c>
      <c r="I2340" s="2" t="s">
        <v>3850</v>
      </c>
      <c r="J2340" s="2" t="s">
        <v>270</v>
      </c>
      <c r="K2340" s="2" t="s">
        <v>271</v>
      </c>
      <c r="L2340" s="3">
        <v>45.23</v>
      </c>
      <c r="M2340" s="3">
        <v>47.49</v>
      </c>
      <c r="N2340" s="3">
        <v>94.99</v>
      </c>
      <c r="O2340" s="2" t="s">
        <v>245</v>
      </c>
      <c r="P2340" s="2" t="s">
        <v>272</v>
      </c>
      <c r="Q2340" s="2" t="s">
        <v>239</v>
      </c>
      <c r="R2340" s="2" t="s">
        <v>233</v>
      </c>
      <c r="S2340" s="2" t="s">
        <v>10430</v>
      </c>
      <c r="T2340" s="2" t="s">
        <v>1055</v>
      </c>
      <c r="U2340" s="2" t="s">
        <v>396</v>
      </c>
      <c r="V2340" s="2" t="s">
        <v>241</v>
      </c>
      <c r="W2340" s="2" t="s">
        <v>275</v>
      </c>
      <c r="X2340" s="2" t="s">
        <v>978</v>
      </c>
      <c r="Y2340" s="2" t="s">
        <v>485</v>
      </c>
      <c r="Z2340" s="4">
        <v>215</v>
      </c>
      <c r="AA2340" s="4">
        <f>=ROUNDDOWN(30.7142857142857,0)</f>
      </c>
      <c r="AB2340" s="5">
        <v>7</v>
      </c>
      <c r="AC2340" s="2" t="s">
        <v>233</v>
      </c>
      <c r="AD2340" s="4"/>
      <c r="AE2340" s="4"/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233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 t="s">
        <v>233</v>
      </c>
      <c r="AW2340" s="8" t="s">
        <v>233</v>
      </c>
      <c r="AX2340" s="4" t="s">
        <v>233</v>
      </c>
      <c r="AY2340" s="8" t="s">
        <v>233</v>
      </c>
      <c r="AZ2340" s="7" t="s">
        <v>233</v>
      </c>
      <c r="BA2340" s="7" t="s">
        <v>233</v>
      </c>
      <c r="BB2340" s="7"/>
      <c r="BC2340" s="4" t="s">
        <v>233</v>
      </c>
      <c r="BD2340" s="8" t="s">
        <v>233</v>
      </c>
      <c r="BE2340" s="4" t="s">
        <v>233</v>
      </c>
      <c r="BF2340" s="8" t="s">
        <v>233</v>
      </c>
      <c r="BG2340" s="7" t="s">
        <v>233</v>
      </c>
      <c r="BH2340" s="7" t="s">
        <v>233</v>
      </c>
      <c r="BI2340" s="7"/>
      <c r="BJ2340" s="4">
        <v>3</v>
      </c>
      <c r="BK2340" s="8">
        <v>153.87</v>
      </c>
      <c r="BL2340" s="2" t="s">
        <v>492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10431</v>
      </c>
      <c r="BV2340" s="2" t="s">
        <v>233</v>
      </c>
      <c r="BW2340" s="2" t="s">
        <v>233</v>
      </c>
      <c r="BX2340" s="2" t="s">
        <v>243</v>
      </c>
      <c r="BY2340" s="2" t="s">
        <v>280</v>
      </c>
      <c r="BZ2340" s="2" t="s">
        <v>245</v>
      </c>
      <c r="CA2340" s="2" t="s">
        <v>716</v>
      </c>
      <c r="CB2340" s="2" t="s">
        <v>3861</v>
      </c>
      <c r="CC2340" s="2" t="s">
        <v>246</v>
      </c>
      <c r="CD2340" s="2" t="s">
        <v>233</v>
      </c>
      <c r="CE2340" s="4">
        <v>215</v>
      </c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/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/>
      <c r="HC2340" s="4"/>
      <c r="HD2340" s="4"/>
      <c r="HE2340" s="4"/>
      <c r="HF2340" s="4"/>
      <c r="HG2340" s="4"/>
      <c r="HH2340" s="4"/>
      <c r="HI2340" s="4"/>
      <c r="HJ2340" s="4"/>
      <c r="HK2340" s="4"/>
      <c r="HL2340" s="4"/>
      <c r="HM2340" s="4"/>
      <c r="HN2340" s="4"/>
      <c r="HO2340" s="4"/>
      <c r="HP2340" s="4"/>
      <c r="HQ2340" s="4"/>
      <c r="HR2340" s="4"/>
    </row>
    <row r="2341">
      <c r="A2341" s="2" t="s">
        <v>10432</v>
      </c>
      <c r="B2341" s="2" t="s">
        <v>228</v>
      </c>
      <c r="C2341" s="2" t="s">
        <v>1050</v>
      </c>
      <c r="D2341" s="2" t="s">
        <v>3847</v>
      </c>
      <c r="E2341" s="2" t="s">
        <v>3848</v>
      </c>
      <c r="F2341" s="2" t="s">
        <v>10429</v>
      </c>
      <c r="G2341" s="2" t="s">
        <v>10429</v>
      </c>
      <c r="H2341" s="2" t="s">
        <v>10429</v>
      </c>
      <c r="I2341" s="2" t="s">
        <v>3850</v>
      </c>
      <c r="J2341" s="2" t="s">
        <v>290</v>
      </c>
      <c r="K2341" s="2" t="s">
        <v>271</v>
      </c>
      <c r="L2341" s="3">
        <v>50</v>
      </c>
      <c r="M2341" s="3">
        <v>52.5</v>
      </c>
      <c r="N2341" s="3">
        <v>104.99</v>
      </c>
      <c r="O2341" s="2" t="s">
        <v>245</v>
      </c>
      <c r="P2341" s="2" t="s">
        <v>272</v>
      </c>
      <c r="Q2341" s="2" t="s">
        <v>239</v>
      </c>
      <c r="R2341" s="2" t="s">
        <v>233</v>
      </c>
      <c r="S2341" s="2" t="s">
        <v>10430</v>
      </c>
      <c r="T2341" s="2" t="s">
        <v>1055</v>
      </c>
      <c r="U2341" s="2" t="s">
        <v>396</v>
      </c>
      <c r="V2341" s="2" t="s">
        <v>241</v>
      </c>
      <c r="W2341" s="2" t="s">
        <v>275</v>
      </c>
      <c r="X2341" s="2" t="s">
        <v>978</v>
      </c>
      <c r="Y2341" s="2" t="s">
        <v>3854</v>
      </c>
      <c r="Z2341" s="4">
        <v>192</v>
      </c>
      <c r="AA2341" s="4">
        <f>=ROUNDDOWN(21.3333333333333,0)</f>
      </c>
      <c r="AB2341" s="5">
        <v>9</v>
      </c>
      <c r="AC2341" s="2" t="s">
        <v>233</v>
      </c>
      <c r="AD2341" s="4"/>
      <c r="AE2341" s="4"/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233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233</v>
      </c>
      <c r="AW2341" s="8" t="s">
        <v>233</v>
      </c>
      <c r="AX2341" s="4" t="s">
        <v>233</v>
      </c>
      <c r="AY2341" s="8" t="s">
        <v>233</v>
      </c>
      <c r="AZ2341" s="7" t="s">
        <v>233</v>
      </c>
      <c r="BA2341" s="7" t="s">
        <v>233</v>
      </c>
      <c r="BB2341" s="7"/>
      <c r="BC2341" s="4" t="s">
        <v>233</v>
      </c>
      <c r="BD2341" s="8" t="s">
        <v>233</v>
      </c>
      <c r="BE2341" s="4" t="s">
        <v>233</v>
      </c>
      <c r="BF2341" s="8" t="s">
        <v>233</v>
      </c>
      <c r="BG2341" s="7" t="s">
        <v>233</v>
      </c>
      <c r="BH2341" s="7" t="s">
        <v>233</v>
      </c>
      <c r="BI2341" s="7"/>
      <c r="BJ2341" s="4">
        <v>1</v>
      </c>
      <c r="BK2341" s="8">
        <v>56.7</v>
      </c>
      <c r="BL2341" s="2" t="s">
        <v>2554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10433</v>
      </c>
      <c r="BV2341" s="2" t="s">
        <v>233</v>
      </c>
      <c r="BW2341" s="2" t="s">
        <v>233</v>
      </c>
      <c r="BX2341" s="2" t="s">
        <v>243</v>
      </c>
      <c r="BY2341" s="2" t="s">
        <v>280</v>
      </c>
      <c r="BZ2341" s="2" t="s">
        <v>245</v>
      </c>
      <c r="CA2341" s="2" t="s">
        <v>716</v>
      </c>
      <c r="CB2341" s="2" t="s">
        <v>1590</v>
      </c>
      <c r="CC2341" s="2" t="s">
        <v>246</v>
      </c>
      <c r="CD2341" s="2" t="s">
        <v>233</v>
      </c>
      <c r="CE2341" s="4">
        <v>192</v>
      </c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/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/>
      <c r="HC2341" s="4"/>
      <c r="HD2341" s="4"/>
      <c r="HE2341" s="4"/>
      <c r="HF2341" s="4"/>
      <c r="HG2341" s="4"/>
      <c r="HH2341" s="4"/>
      <c r="HI2341" s="4"/>
      <c r="HJ2341" s="4"/>
      <c r="HK2341" s="4"/>
      <c r="HL2341" s="4"/>
      <c r="HM2341" s="4"/>
      <c r="HN2341" s="4"/>
      <c r="HO2341" s="4"/>
      <c r="HP2341" s="4"/>
      <c r="HQ2341" s="4"/>
      <c r="HR2341" s="4"/>
    </row>
    <row r="2342">
      <c r="A2342" s="2" t="s">
        <v>10434</v>
      </c>
      <c r="B2342" s="2" t="s">
        <v>228</v>
      </c>
      <c r="C2342" s="2" t="s">
        <v>1050</v>
      </c>
      <c r="D2342" s="2" t="s">
        <v>3847</v>
      </c>
      <c r="E2342" s="2" t="s">
        <v>3848</v>
      </c>
      <c r="F2342" s="2" t="s">
        <v>10429</v>
      </c>
      <c r="G2342" s="2" t="s">
        <v>10429</v>
      </c>
      <c r="H2342" s="2" t="s">
        <v>10429</v>
      </c>
      <c r="I2342" s="2" t="s">
        <v>3850</v>
      </c>
      <c r="J2342" s="2" t="s">
        <v>348</v>
      </c>
      <c r="K2342" s="2" t="s">
        <v>271</v>
      </c>
      <c r="L2342" s="3">
        <v>69.04</v>
      </c>
      <c r="M2342" s="3">
        <v>72.49</v>
      </c>
      <c r="N2342" s="3">
        <v>144.99</v>
      </c>
      <c r="O2342" s="2" t="s">
        <v>245</v>
      </c>
      <c r="P2342" s="2" t="s">
        <v>272</v>
      </c>
      <c r="Q2342" s="2" t="s">
        <v>239</v>
      </c>
      <c r="R2342" s="2" t="s">
        <v>233</v>
      </c>
      <c r="S2342" s="2" t="s">
        <v>10430</v>
      </c>
      <c r="T2342" s="2" t="s">
        <v>1055</v>
      </c>
      <c r="U2342" s="2" t="s">
        <v>396</v>
      </c>
      <c r="V2342" s="2" t="s">
        <v>241</v>
      </c>
      <c r="W2342" s="2" t="s">
        <v>275</v>
      </c>
      <c r="X2342" s="2" t="s">
        <v>978</v>
      </c>
      <c r="Y2342" s="2" t="s">
        <v>3854</v>
      </c>
      <c r="Z2342" s="4">
        <v>100</v>
      </c>
      <c r="AA2342" s="4">
        <f>=ROUNDDOWN(7.14285714285714,0)</f>
      </c>
      <c r="AB2342" s="5">
        <v>14</v>
      </c>
      <c r="AC2342" s="2" t="s">
        <v>825</v>
      </c>
      <c r="AD2342" s="4">
        <v>190</v>
      </c>
      <c r="AE2342" s="4">
        <v>190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233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233</v>
      </c>
      <c r="AW2342" s="8" t="s">
        <v>233</v>
      </c>
      <c r="AX2342" s="4" t="s">
        <v>233</v>
      </c>
      <c r="AY2342" s="8" t="s">
        <v>233</v>
      </c>
      <c r="AZ2342" s="7" t="s">
        <v>233</v>
      </c>
      <c r="BA2342" s="7" t="s">
        <v>233</v>
      </c>
      <c r="BB2342" s="7"/>
      <c r="BC2342" s="4" t="s">
        <v>233</v>
      </c>
      <c r="BD2342" s="8" t="s">
        <v>233</v>
      </c>
      <c r="BE2342" s="4" t="s">
        <v>233</v>
      </c>
      <c r="BF2342" s="8" t="s">
        <v>233</v>
      </c>
      <c r="BG2342" s="7" t="s">
        <v>233</v>
      </c>
      <c r="BH2342" s="7" t="s">
        <v>233</v>
      </c>
      <c r="BI2342" s="7"/>
      <c r="BJ2342" s="4">
        <v>5</v>
      </c>
      <c r="BK2342" s="8">
        <v>387.11</v>
      </c>
      <c r="BL2342" s="2" t="s">
        <v>713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10435</v>
      </c>
      <c r="BV2342" s="2" t="s">
        <v>233</v>
      </c>
      <c r="BW2342" s="2" t="s">
        <v>233</v>
      </c>
      <c r="BX2342" s="2" t="s">
        <v>243</v>
      </c>
      <c r="BY2342" s="2" t="s">
        <v>280</v>
      </c>
      <c r="BZ2342" s="2" t="s">
        <v>245</v>
      </c>
      <c r="CA2342" s="2" t="s">
        <v>716</v>
      </c>
      <c r="CB2342" s="2" t="s">
        <v>3479</v>
      </c>
      <c r="CC2342" s="2" t="s">
        <v>246</v>
      </c>
      <c r="CD2342" s="2" t="s">
        <v>233</v>
      </c>
      <c r="CE2342" s="4">
        <v>100</v>
      </c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>
        <v>190</v>
      </c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/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/>
      <c r="HC2342" s="4"/>
      <c r="HD2342" s="4"/>
      <c r="HE2342" s="4"/>
      <c r="HF2342" s="4"/>
      <c r="HG2342" s="4"/>
      <c r="HH2342" s="4"/>
      <c r="HI2342" s="4"/>
      <c r="HJ2342" s="4"/>
      <c r="HK2342" s="4"/>
      <c r="HL2342" s="4"/>
      <c r="HM2342" s="4"/>
      <c r="HN2342" s="4"/>
      <c r="HO2342" s="4"/>
      <c r="HP2342" s="4"/>
      <c r="HQ2342" s="4"/>
      <c r="HR2342" s="4"/>
    </row>
    <row r="2343">
      <c r="A2343" s="2" t="s">
        <v>10436</v>
      </c>
      <c r="B2343" s="2" t="s">
        <v>228</v>
      </c>
      <c r="C2343" s="2" t="s">
        <v>1050</v>
      </c>
      <c r="D2343" s="2" t="s">
        <v>3847</v>
      </c>
      <c r="E2343" s="2" t="s">
        <v>3848</v>
      </c>
      <c r="F2343" s="2" t="s">
        <v>10429</v>
      </c>
      <c r="G2343" s="2" t="s">
        <v>10429</v>
      </c>
      <c r="H2343" s="2" t="s">
        <v>10429</v>
      </c>
      <c r="I2343" s="2" t="s">
        <v>3850</v>
      </c>
      <c r="J2343" s="2" t="s">
        <v>270</v>
      </c>
      <c r="K2343" s="2" t="s">
        <v>984</v>
      </c>
      <c r="L2343" s="3">
        <v>45.23</v>
      </c>
      <c r="M2343" s="3">
        <v>47.49</v>
      </c>
      <c r="N2343" s="3">
        <v>94.99</v>
      </c>
      <c r="O2343" s="2" t="s">
        <v>245</v>
      </c>
      <c r="P2343" s="2" t="s">
        <v>272</v>
      </c>
      <c r="Q2343" s="2" t="s">
        <v>239</v>
      </c>
      <c r="R2343" s="2" t="s">
        <v>233</v>
      </c>
      <c r="S2343" s="2" t="s">
        <v>10437</v>
      </c>
      <c r="T2343" s="2" t="s">
        <v>1055</v>
      </c>
      <c r="U2343" s="2" t="s">
        <v>396</v>
      </c>
      <c r="V2343" s="2" t="s">
        <v>241</v>
      </c>
      <c r="W2343" s="2" t="s">
        <v>275</v>
      </c>
      <c r="X2343" s="2" t="s">
        <v>978</v>
      </c>
      <c r="Y2343" s="2" t="s">
        <v>3854</v>
      </c>
      <c r="Z2343" s="4">
        <v>245</v>
      </c>
      <c r="AA2343" s="4">
        <f>=ROUNDDOWN(40.8333333333333,0)</f>
      </c>
      <c r="AB2343" s="5">
        <v>6</v>
      </c>
      <c r="AC2343" s="2" t="s">
        <v>233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233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233</v>
      </c>
      <c r="AW2343" s="8" t="s">
        <v>233</v>
      </c>
      <c r="AX2343" s="4" t="s">
        <v>233</v>
      </c>
      <c r="AY2343" s="8" t="s">
        <v>233</v>
      </c>
      <c r="AZ2343" s="7" t="s">
        <v>233</v>
      </c>
      <c r="BA2343" s="7" t="s">
        <v>233</v>
      </c>
      <c r="BB2343" s="7"/>
      <c r="BC2343" s="4" t="s">
        <v>233</v>
      </c>
      <c r="BD2343" s="8" t="s">
        <v>233</v>
      </c>
      <c r="BE2343" s="4" t="s">
        <v>233</v>
      </c>
      <c r="BF2343" s="8" t="s">
        <v>233</v>
      </c>
      <c r="BG2343" s="7" t="s">
        <v>233</v>
      </c>
      <c r="BH2343" s="7" t="s">
        <v>233</v>
      </c>
      <c r="BI2343" s="7"/>
      <c r="BJ2343" s="4">
        <v>4</v>
      </c>
      <c r="BK2343" s="8">
        <v>205.16</v>
      </c>
      <c r="BL2343" s="2" t="s">
        <v>469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10438</v>
      </c>
      <c r="BV2343" s="2" t="s">
        <v>233</v>
      </c>
      <c r="BW2343" s="2" t="s">
        <v>233</v>
      </c>
      <c r="BX2343" s="2" t="s">
        <v>243</v>
      </c>
      <c r="BY2343" s="2" t="s">
        <v>280</v>
      </c>
      <c r="BZ2343" s="2" t="s">
        <v>245</v>
      </c>
      <c r="CA2343" s="2" t="s">
        <v>716</v>
      </c>
      <c r="CB2343" s="2" t="s">
        <v>233</v>
      </c>
      <c r="CC2343" s="2" t="s">
        <v>246</v>
      </c>
      <c r="CD2343" s="2" t="s">
        <v>233</v>
      </c>
      <c r="CE2343" s="4">
        <v>245</v>
      </c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  <c r="HF2343" s="4"/>
      <c r="HG2343" s="4"/>
      <c r="HH2343" s="4"/>
      <c r="HI2343" s="4"/>
      <c r="HJ2343" s="4"/>
      <c r="HK2343" s="4"/>
      <c r="HL2343" s="4"/>
      <c r="HM2343" s="4"/>
      <c r="HN2343" s="4"/>
      <c r="HO2343" s="4"/>
      <c r="HP2343" s="4"/>
      <c r="HQ2343" s="4"/>
      <c r="HR2343" s="4"/>
    </row>
    <row r="2344">
      <c r="A2344" s="2" t="s">
        <v>10439</v>
      </c>
      <c r="B2344" s="2" t="s">
        <v>228</v>
      </c>
      <c r="C2344" s="2" t="s">
        <v>1050</v>
      </c>
      <c r="D2344" s="2" t="s">
        <v>3847</v>
      </c>
      <c r="E2344" s="2" t="s">
        <v>3848</v>
      </c>
      <c r="F2344" s="2" t="s">
        <v>10429</v>
      </c>
      <c r="G2344" s="2" t="s">
        <v>10429</v>
      </c>
      <c r="H2344" s="2" t="s">
        <v>10429</v>
      </c>
      <c r="I2344" s="2" t="s">
        <v>3850</v>
      </c>
      <c r="J2344" s="2" t="s">
        <v>290</v>
      </c>
      <c r="K2344" s="2" t="s">
        <v>984</v>
      </c>
      <c r="L2344" s="3">
        <v>50</v>
      </c>
      <c r="M2344" s="3">
        <v>52.5</v>
      </c>
      <c r="N2344" s="3">
        <v>104.99</v>
      </c>
      <c r="O2344" s="2" t="s">
        <v>245</v>
      </c>
      <c r="P2344" s="2" t="s">
        <v>272</v>
      </c>
      <c r="Q2344" s="2" t="s">
        <v>239</v>
      </c>
      <c r="R2344" s="2" t="s">
        <v>233</v>
      </c>
      <c r="S2344" s="2" t="s">
        <v>10437</v>
      </c>
      <c r="T2344" s="2" t="s">
        <v>1055</v>
      </c>
      <c r="U2344" s="2" t="s">
        <v>396</v>
      </c>
      <c r="V2344" s="2" t="s">
        <v>241</v>
      </c>
      <c r="W2344" s="2" t="s">
        <v>275</v>
      </c>
      <c r="X2344" s="2" t="s">
        <v>978</v>
      </c>
      <c r="Y2344" s="2" t="s">
        <v>3854</v>
      </c>
      <c r="Z2344" s="4">
        <v>226</v>
      </c>
      <c r="AA2344" s="4">
        <f>=ROUNDDOWN(32.2857142857143,0)</f>
      </c>
      <c r="AB2344" s="5">
        <v>7</v>
      </c>
      <c r="AC2344" s="2" t="s">
        <v>233</v>
      </c>
      <c r="AD2344" s="4"/>
      <c r="AE2344" s="4"/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233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233</v>
      </c>
      <c r="AW2344" s="8" t="s">
        <v>233</v>
      </c>
      <c r="AX2344" s="4" t="s">
        <v>233</v>
      </c>
      <c r="AY2344" s="8" t="s">
        <v>233</v>
      </c>
      <c r="AZ2344" s="7" t="s">
        <v>233</v>
      </c>
      <c r="BA2344" s="7" t="s">
        <v>233</v>
      </c>
      <c r="BB2344" s="7"/>
      <c r="BC2344" s="4" t="s">
        <v>233</v>
      </c>
      <c r="BD2344" s="8" t="s">
        <v>233</v>
      </c>
      <c r="BE2344" s="4" t="s">
        <v>233</v>
      </c>
      <c r="BF2344" s="8" t="s">
        <v>233</v>
      </c>
      <c r="BG2344" s="7" t="s">
        <v>233</v>
      </c>
      <c r="BH2344" s="7" t="s">
        <v>233</v>
      </c>
      <c r="BI2344" s="7"/>
      <c r="BJ2344" s="4">
        <v>4</v>
      </c>
      <c r="BK2344" s="8">
        <v>225.22</v>
      </c>
      <c r="BL2344" s="2" t="s">
        <v>584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10440</v>
      </c>
      <c r="BV2344" s="2" t="s">
        <v>233</v>
      </c>
      <c r="BW2344" s="2" t="s">
        <v>233</v>
      </c>
      <c r="BX2344" s="2" t="s">
        <v>243</v>
      </c>
      <c r="BY2344" s="2" t="s">
        <v>280</v>
      </c>
      <c r="BZ2344" s="2" t="s">
        <v>245</v>
      </c>
      <c r="CA2344" s="2" t="s">
        <v>716</v>
      </c>
      <c r="CB2344" s="2" t="s">
        <v>233</v>
      </c>
      <c r="CC2344" s="2" t="s">
        <v>246</v>
      </c>
      <c r="CD2344" s="2" t="s">
        <v>233</v>
      </c>
      <c r="CE2344" s="4">
        <v>226</v>
      </c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  <c r="GS2344" s="4"/>
      <c r="GT2344" s="4"/>
      <c r="GU2344" s="4"/>
      <c r="GV2344" s="4"/>
      <c r="GW2344" s="4"/>
      <c r="GX2344" s="4"/>
      <c r="GY2344" s="4"/>
      <c r="GZ2344" s="4"/>
      <c r="HA2344" s="4"/>
      <c r="HB2344" s="4"/>
      <c r="HC2344" s="4"/>
      <c r="HD2344" s="4"/>
      <c r="HE2344" s="4"/>
      <c r="HF2344" s="4"/>
      <c r="HG2344" s="4"/>
      <c r="HH2344" s="4"/>
      <c r="HI2344" s="4"/>
      <c r="HJ2344" s="4"/>
      <c r="HK2344" s="4"/>
      <c r="HL2344" s="4"/>
      <c r="HM2344" s="4"/>
      <c r="HN2344" s="4"/>
      <c r="HO2344" s="4"/>
      <c r="HP2344" s="4"/>
      <c r="HQ2344" s="4"/>
      <c r="HR2344" s="4"/>
    </row>
    <row r="2345">
      <c r="A2345" s="2" t="s">
        <v>10441</v>
      </c>
      <c r="B2345" s="2" t="s">
        <v>228</v>
      </c>
      <c r="C2345" s="2" t="s">
        <v>1050</v>
      </c>
      <c r="D2345" s="2" t="s">
        <v>3847</v>
      </c>
      <c r="E2345" s="2" t="s">
        <v>3848</v>
      </c>
      <c r="F2345" s="2" t="s">
        <v>10429</v>
      </c>
      <c r="G2345" s="2" t="s">
        <v>10429</v>
      </c>
      <c r="H2345" s="2" t="s">
        <v>10429</v>
      </c>
      <c r="I2345" s="2" t="s">
        <v>3850</v>
      </c>
      <c r="J2345" s="2" t="s">
        <v>328</v>
      </c>
      <c r="K2345" s="2" t="s">
        <v>984</v>
      </c>
      <c r="L2345" s="3">
        <v>78.57</v>
      </c>
      <c r="M2345" s="3">
        <v>82.5</v>
      </c>
      <c r="N2345" s="3">
        <v>164.99</v>
      </c>
      <c r="O2345" s="2" t="s">
        <v>245</v>
      </c>
      <c r="P2345" s="2" t="s">
        <v>272</v>
      </c>
      <c r="Q2345" s="2" t="s">
        <v>239</v>
      </c>
      <c r="R2345" s="2" t="s">
        <v>233</v>
      </c>
      <c r="S2345" s="2" t="s">
        <v>10437</v>
      </c>
      <c r="T2345" s="2" t="s">
        <v>1055</v>
      </c>
      <c r="U2345" s="2" t="s">
        <v>396</v>
      </c>
      <c r="V2345" s="2" t="s">
        <v>241</v>
      </c>
      <c r="W2345" s="2" t="s">
        <v>275</v>
      </c>
      <c r="X2345" s="2" t="s">
        <v>978</v>
      </c>
      <c r="Y2345" s="2" t="s">
        <v>3854</v>
      </c>
      <c r="Z2345" s="4">
        <v>283</v>
      </c>
      <c r="AA2345" s="4">
        <f>=ROUNDDOWN(40.4285714285714,0)</f>
      </c>
      <c r="AB2345" s="5">
        <v>7</v>
      </c>
      <c r="AC2345" s="2" t="s">
        <v>233</v>
      </c>
      <c r="AD2345" s="4"/>
      <c r="AE2345" s="4"/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233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233</v>
      </c>
      <c r="AW2345" s="8" t="s">
        <v>233</v>
      </c>
      <c r="AX2345" s="4" t="s">
        <v>233</v>
      </c>
      <c r="AY2345" s="8" t="s">
        <v>233</v>
      </c>
      <c r="AZ2345" s="7" t="s">
        <v>233</v>
      </c>
      <c r="BA2345" s="7" t="s">
        <v>233</v>
      </c>
      <c r="BB2345" s="7"/>
      <c r="BC2345" s="4" t="s">
        <v>233</v>
      </c>
      <c r="BD2345" s="8" t="s">
        <v>233</v>
      </c>
      <c r="BE2345" s="4" t="s">
        <v>233</v>
      </c>
      <c r="BF2345" s="8" t="s">
        <v>233</v>
      </c>
      <c r="BG2345" s="7" t="s">
        <v>233</v>
      </c>
      <c r="BH2345" s="7" t="s">
        <v>233</v>
      </c>
      <c r="BI2345" s="7"/>
      <c r="BJ2345" s="4">
        <v>6</v>
      </c>
      <c r="BK2345" s="8">
        <v>523.04</v>
      </c>
      <c r="BL2345" s="2" t="s">
        <v>5503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10442</v>
      </c>
      <c r="BV2345" s="2" t="s">
        <v>233</v>
      </c>
      <c r="BW2345" s="2" t="s">
        <v>233</v>
      </c>
      <c r="BX2345" s="2" t="s">
        <v>243</v>
      </c>
      <c r="BY2345" s="2" t="s">
        <v>280</v>
      </c>
      <c r="BZ2345" s="2" t="s">
        <v>245</v>
      </c>
      <c r="CA2345" s="2" t="s">
        <v>716</v>
      </c>
      <c r="CB2345" s="2" t="s">
        <v>2371</v>
      </c>
      <c r="CC2345" s="2" t="s">
        <v>246</v>
      </c>
      <c r="CD2345" s="2" t="s">
        <v>233</v>
      </c>
      <c r="CE2345" s="4">
        <v>283</v>
      </c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  <c r="HF2345" s="4"/>
      <c r="HG2345" s="4"/>
      <c r="HH2345" s="4"/>
      <c r="HI2345" s="4"/>
      <c r="HJ2345" s="4"/>
      <c r="HK2345" s="4"/>
      <c r="HL2345" s="4"/>
      <c r="HM2345" s="4"/>
      <c r="HN2345" s="4"/>
      <c r="HO2345" s="4"/>
      <c r="HP2345" s="4"/>
      <c r="HQ2345" s="4"/>
      <c r="HR2345" s="4"/>
    </row>
    <row r="2346">
      <c r="A2346" s="2" t="s">
        <v>10443</v>
      </c>
      <c r="B2346" s="2" t="s">
        <v>228</v>
      </c>
      <c r="C2346" s="2" t="s">
        <v>1050</v>
      </c>
      <c r="D2346" s="2" t="s">
        <v>3847</v>
      </c>
      <c r="E2346" s="2" t="s">
        <v>3848</v>
      </c>
      <c r="F2346" s="2" t="s">
        <v>10429</v>
      </c>
      <c r="G2346" s="2" t="s">
        <v>10429</v>
      </c>
      <c r="H2346" s="2" t="s">
        <v>10429</v>
      </c>
      <c r="I2346" s="2" t="s">
        <v>3850</v>
      </c>
      <c r="J2346" s="2" t="s">
        <v>270</v>
      </c>
      <c r="K2346" s="2" t="s">
        <v>255</v>
      </c>
      <c r="L2346" s="3">
        <v>45.23</v>
      </c>
      <c r="M2346" s="3">
        <v>47.49</v>
      </c>
      <c r="N2346" s="3">
        <v>94.99</v>
      </c>
      <c r="O2346" s="2" t="s">
        <v>245</v>
      </c>
      <c r="P2346" s="2" t="s">
        <v>272</v>
      </c>
      <c r="Q2346" s="2" t="s">
        <v>239</v>
      </c>
      <c r="R2346" s="2" t="s">
        <v>233</v>
      </c>
      <c r="S2346" s="2" t="s">
        <v>10444</v>
      </c>
      <c r="T2346" s="2" t="s">
        <v>1055</v>
      </c>
      <c r="U2346" s="2" t="s">
        <v>396</v>
      </c>
      <c r="V2346" s="2" t="s">
        <v>241</v>
      </c>
      <c r="W2346" s="2" t="s">
        <v>275</v>
      </c>
      <c r="X2346" s="2" t="s">
        <v>978</v>
      </c>
      <c r="Y2346" s="2" t="s">
        <v>3854</v>
      </c>
      <c r="Z2346" s="4">
        <v>201</v>
      </c>
      <c r="AA2346" s="4">
        <f>=ROUNDDOWN(15.4615384615385,0)</f>
      </c>
      <c r="AB2346" s="5">
        <v>13</v>
      </c>
      <c r="AC2346" s="2" t="s">
        <v>233</v>
      </c>
      <c r="AD2346" s="4"/>
      <c r="AE2346" s="4"/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233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 t="s">
        <v>233</v>
      </c>
      <c r="AW2346" s="8" t="s">
        <v>233</v>
      </c>
      <c r="AX2346" s="4" t="s">
        <v>233</v>
      </c>
      <c r="AY2346" s="8" t="s">
        <v>233</v>
      </c>
      <c r="AZ2346" s="7" t="s">
        <v>233</v>
      </c>
      <c r="BA2346" s="7" t="s">
        <v>233</v>
      </c>
      <c r="BB2346" s="7"/>
      <c r="BC2346" s="4" t="s">
        <v>233</v>
      </c>
      <c r="BD2346" s="8" t="s">
        <v>233</v>
      </c>
      <c r="BE2346" s="4" t="s">
        <v>233</v>
      </c>
      <c r="BF2346" s="8" t="s">
        <v>233</v>
      </c>
      <c r="BG2346" s="7" t="s">
        <v>233</v>
      </c>
      <c r="BH2346" s="7" t="s">
        <v>233</v>
      </c>
      <c r="BI2346" s="7"/>
      <c r="BJ2346" s="4">
        <v>4</v>
      </c>
      <c r="BK2346" s="8">
        <v>203.74</v>
      </c>
      <c r="BL2346" s="2" t="s">
        <v>6344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10445</v>
      </c>
      <c r="BV2346" s="2" t="s">
        <v>233</v>
      </c>
      <c r="BW2346" s="2" t="s">
        <v>233</v>
      </c>
      <c r="BX2346" s="2" t="s">
        <v>243</v>
      </c>
      <c r="BY2346" s="2" t="s">
        <v>280</v>
      </c>
      <c r="BZ2346" s="2" t="s">
        <v>245</v>
      </c>
      <c r="CA2346" s="2" t="s">
        <v>716</v>
      </c>
      <c r="CB2346" s="2" t="s">
        <v>233</v>
      </c>
      <c r="CC2346" s="2" t="s">
        <v>246</v>
      </c>
      <c r="CD2346" s="2" t="s">
        <v>233</v>
      </c>
      <c r="CE2346" s="4">
        <v>201</v>
      </c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/>
      <c r="HC2346" s="4"/>
      <c r="HD2346" s="4"/>
      <c r="HE2346" s="4"/>
      <c r="HF2346" s="4"/>
      <c r="HG2346" s="4"/>
      <c r="HH2346" s="4"/>
      <c r="HI2346" s="4"/>
      <c r="HJ2346" s="4"/>
      <c r="HK2346" s="4"/>
      <c r="HL2346" s="4"/>
      <c r="HM2346" s="4"/>
      <c r="HN2346" s="4"/>
      <c r="HO2346" s="4"/>
      <c r="HP2346" s="4"/>
      <c r="HQ2346" s="4"/>
      <c r="HR2346" s="4"/>
    </row>
    <row r="2347">
      <c r="A2347" s="2" t="s">
        <v>10446</v>
      </c>
      <c r="B2347" s="2" t="s">
        <v>228</v>
      </c>
      <c r="C2347" s="2" t="s">
        <v>1050</v>
      </c>
      <c r="D2347" s="2" t="s">
        <v>3847</v>
      </c>
      <c r="E2347" s="2" t="s">
        <v>3848</v>
      </c>
      <c r="F2347" s="2" t="s">
        <v>10429</v>
      </c>
      <c r="G2347" s="2" t="s">
        <v>10429</v>
      </c>
      <c r="H2347" s="2" t="s">
        <v>10429</v>
      </c>
      <c r="I2347" s="2" t="s">
        <v>3850</v>
      </c>
      <c r="J2347" s="2" t="s">
        <v>290</v>
      </c>
      <c r="K2347" s="2" t="s">
        <v>255</v>
      </c>
      <c r="L2347" s="3">
        <v>50</v>
      </c>
      <c r="M2347" s="3">
        <v>52.5</v>
      </c>
      <c r="N2347" s="3">
        <v>104.99</v>
      </c>
      <c r="O2347" s="2" t="s">
        <v>245</v>
      </c>
      <c r="P2347" s="2" t="s">
        <v>272</v>
      </c>
      <c r="Q2347" s="2" t="s">
        <v>239</v>
      </c>
      <c r="R2347" s="2" t="s">
        <v>233</v>
      </c>
      <c r="S2347" s="2" t="s">
        <v>10444</v>
      </c>
      <c r="T2347" s="2" t="s">
        <v>1055</v>
      </c>
      <c r="U2347" s="2" t="s">
        <v>396</v>
      </c>
      <c r="V2347" s="2" t="s">
        <v>241</v>
      </c>
      <c r="W2347" s="2" t="s">
        <v>275</v>
      </c>
      <c r="X2347" s="2" t="s">
        <v>978</v>
      </c>
      <c r="Y2347" s="2" t="s">
        <v>3854</v>
      </c>
      <c r="Z2347" s="4">
        <v>151</v>
      </c>
      <c r="AA2347" s="4">
        <f>=ROUNDDOWN(12.5833333333333,0)</f>
      </c>
      <c r="AB2347" s="5">
        <v>12</v>
      </c>
      <c r="AC2347" s="2" t="s">
        <v>825</v>
      </c>
      <c r="AD2347" s="4">
        <v>150</v>
      </c>
      <c r="AE2347" s="4">
        <v>150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233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 t="s">
        <v>233</v>
      </c>
      <c r="AW2347" s="8" t="s">
        <v>233</v>
      </c>
      <c r="AX2347" s="4" t="s">
        <v>233</v>
      </c>
      <c r="AY2347" s="8" t="s">
        <v>233</v>
      </c>
      <c r="AZ2347" s="7" t="s">
        <v>233</v>
      </c>
      <c r="BA2347" s="7" t="s">
        <v>233</v>
      </c>
      <c r="BB2347" s="7"/>
      <c r="BC2347" s="4" t="s">
        <v>233</v>
      </c>
      <c r="BD2347" s="8" t="s">
        <v>233</v>
      </c>
      <c r="BE2347" s="4" t="s">
        <v>233</v>
      </c>
      <c r="BF2347" s="8" t="s">
        <v>233</v>
      </c>
      <c r="BG2347" s="7" t="s">
        <v>233</v>
      </c>
      <c r="BH2347" s="7" t="s">
        <v>233</v>
      </c>
      <c r="BI2347" s="7"/>
      <c r="BJ2347" s="4">
        <v>2</v>
      </c>
      <c r="BK2347" s="8">
        <v>113.4</v>
      </c>
      <c r="BL2347" s="2" t="s">
        <v>492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10447</v>
      </c>
      <c r="BV2347" s="2" t="s">
        <v>233</v>
      </c>
      <c r="BW2347" s="2" t="s">
        <v>233</v>
      </c>
      <c r="BX2347" s="2" t="s">
        <v>243</v>
      </c>
      <c r="BY2347" s="2" t="s">
        <v>280</v>
      </c>
      <c r="BZ2347" s="2" t="s">
        <v>245</v>
      </c>
      <c r="CA2347" s="2" t="s">
        <v>716</v>
      </c>
      <c r="CB2347" s="2" t="s">
        <v>2371</v>
      </c>
      <c r="CC2347" s="2" t="s">
        <v>246</v>
      </c>
      <c r="CD2347" s="2" t="s">
        <v>233</v>
      </c>
      <c r="CE2347" s="4">
        <v>151</v>
      </c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>
        <v>150</v>
      </c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  <c r="HF2347" s="4"/>
      <c r="HG2347" s="4"/>
      <c r="HH2347" s="4"/>
      <c r="HI2347" s="4"/>
      <c r="HJ2347" s="4"/>
      <c r="HK2347" s="4"/>
      <c r="HL2347" s="4"/>
      <c r="HM2347" s="4"/>
      <c r="HN2347" s="4"/>
      <c r="HO2347" s="4"/>
      <c r="HP2347" s="4"/>
      <c r="HQ2347" s="4"/>
      <c r="HR2347" s="4"/>
    </row>
    <row r="2348">
      <c r="A2348" s="2" t="s">
        <v>10448</v>
      </c>
      <c r="B2348" s="2" t="s">
        <v>228</v>
      </c>
      <c r="C2348" s="2" t="s">
        <v>1050</v>
      </c>
      <c r="D2348" s="2" t="s">
        <v>3847</v>
      </c>
      <c r="E2348" s="2" t="s">
        <v>3848</v>
      </c>
      <c r="F2348" s="2" t="s">
        <v>10429</v>
      </c>
      <c r="G2348" s="2" t="s">
        <v>10429</v>
      </c>
      <c r="H2348" s="2" t="s">
        <v>10429</v>
      </c>
      <c r="I2348" s="2" t="s">
        <v>3850</v>
      </c>
      <c r="J2348" s="2" t="s">
        <v>328</v>
      </c>
      <c r="K2348" s="2" t="s">
        <v>569</v>
      </c>
      <c r="L2348" s="3">
        <v>78.57</v>
      </c>
      <c r="M2348" s="3">
        <v>82.5</v>
      </c>
      <c r="N2348" s="3">
        <v>164.99</v>
      </c>
      <c r="O2348" s="2" t="s">
        <v>245</v>
      </c>
      <c r="P2348" s="2" t="s">
        <v>272</v>
      </c>
      <c r="Q2348" s="2" t="s">
        <v>239</v>
      </c>
      <c r="R2348" s="2" t="s">
        <v>233</v>
      </c>
      <c r="S2348" s="2" t="s">
        <v>10449</v>
      </c>
      <c r="T2348" s="2" t="s">
        <v>1055</v>
      </c>
      <c r="U2348" s="2" t="s">
        <v>396</v>
      </c>
      <c r="V2348" s="2" t="s">
        <v>241</v>
      </c>
      <c r="W2348" s="2" t="s">
        <v>275</v>
      </c>
      <c r="X2348" s="2" t="s">
        <v>978</v>
      </c>
      <c r="Y2348" s="2" t="s">
        <v>3854</v>
      </c>
      <c r="Z2348" s="4">
        <v>264</v>
      </c>
      <c r="AA2348" s="4">
        <f>=ROUNDDOWN(26.4,0)</f>
      </c>
      <c r="AB2348" s="5">
        <v>10</v>
      </c>
      <c r="AC2348" s="2" t="s">
        <v>233</v>
      </c>
      <c r="AD2348" s="4"/>
      <c r="AE2348" s="4"/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233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 t="s">
        <v>233</v>
      </c>
      <c r="BD2348" s="8" t="s">
        <v>233</v>
      </c>
      <c r="BE2348" s="4" t="s">
        <v>233</v>
      </c>
      <c r="BF2348" s="8" t="s">
        <v>233</v>
      </c>
      <c r="BG2348" s="7" t="s">
        <v>233</v>
      </c>
      <c r="BH2348" s="7" t="s">
        <v>233</v>
      </c>
      <c r="BI2348" s="7"/>
      <c r="BJ2348" s="4">
        <v>7</v>
      </c>
      <c r="BK2348" s="8">
        <v>616.26</v>
      </c>
      <c r="BL2348" s="2" t="s">
        <v>2741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10450</v>
      </c>
      <c r="BV2348" s="2" t="s">
        <v>233</v>
      </c>
      <c r="BW2348" s="2" t="s">
        <v>233</v>
      </c>
      <c r="BX2348" s="2" t="s">
        <v>243</v>
      </c>
      <c r="BY2348" s="2" t="s">
        <v>280</v>
      </c>
      <c r="BZ2348" s="2" t="s">
        <v>245</v>
      </c>
      <c r="CA2348" s="2" t="s">
        <v>716</v>
      </c>
      <c r="CB2348" s="2" t="s">
        <v>7008</v>
      </c>
      <c r="CC2348" s="2" t="s">
        <v>246</v>
      </c>
      <c r="CD2348" s="2" t="s">
        <v>233</v>
      </c>
      <c r="CE2348" s="4">
        <v>264</v>
      </c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  <c r="HF2348" s="4"/>
      <c r="HG2348" s="4"/>
      <c r="HH2348" s="4"/>
      <c r="HI2348" s="4"/>
      <c r="HJ2348" s="4"/>
      <c r="HK2348" s="4"/>
      <c r="HL2348" s="4"/>
      <c r="HM2348" s="4"/>
      <c r="HN2348" s="4"/>
      <c r="HO2348" s="4"/>
      <c r="HP2348" s="4"/>
      <c r="HQ2348" s="4"/>
      <c r="HR2348" s="4"/>
    </row>
    <row r="2349">
      <c r="A2349" s="2" t="s">
        <v>10451</v>
      </c>
      <c r="B2349" s="2" t="s">
        <v>928</v>
      </c>
      <c r="C2349" s="2" t="s">
        <v>530</v>
      </c>
      <c r="D2349" s="2" t="s">
        <v>961</v>
      </c>
      <c r="E2349" s="2" t="s">
        <v>2028</v>
      </c>
      <c r="F2349" s="2" t="s">
        <v>10452</v>
      </c>
      <c r="G2349" s="2" t="s">
        <v>10452</v>
      </c>
      <c r="H2349" s="2" t="s">
        <v>10452</v>
      </c>
      <c r="I2349" s="2" t="s">
        <v>10453</v>
      </c>
      <c r="J2349" s="2" t="s">
        <v>892</v>
      </c>
      <c r="K2349" s="2" t="s">
        <v>950</v>
      </c>
      <c r="L2349" s="3">
        <v>36.42</v>
      </c>
      <c r="M2349" s="3">
        <v>38.24</v>
      </c>
      <c r="N2349" s="3">
        <v>76.49</v>
      </c>
      <c r="O2349" s="2" t="s">
        <v>245</v>
      </c>
      <c r="P2349" s="2" t="s">
        <v>238</v>
      </c>
      <c r="Q2349" s="2" t="s">
        <v>239</v>
      </c>
      <c r="R2349" s="2" t="s">
        <v>233</v>
      </c>
      <c r="S2349" s="2" t="s">
        <v>233</v>
      </c>
      <c r="T2349" s="2" t="s">
        <v>233</v>
      </c>
      <c r="U2349" s="2" t="s">
        <v>475</v>
      </c>
      <c r="V2349" s="2" t="s">
        <v>921</v>
      </c>
      <c r="W2349" s="2" t="s">
        <v>705</v>
      </c>
      <c r="X2349" s="2" t="s">
        <v>397</v>
      </c>
      <c r="Y2349" s="2" t="s">
        <v>2119</v>
      </c>
      <c r="Z2349" s="4">
        <v>88</v>
      </c>
      <c r="AA2349" s="4">
        <f>=ROUNDDOWN(44,0)</f>
      </c>
      <c r="AB2349" s="5">
        <v>2</v>
      </c>
      <c r="AC2349" s="2" t="s">
        <v>233</v>
      </c>
      <c r="AD2349" s="4"/>
      <c r="AE2349" s="4"/>
      <c r="AF2349" s="6">
        <v>63</v>
      </c>
      <c r="AG2349" s="6"/>
      <c r="AH2349" s="7">
        <v>1</v>
      </c>
      <c r="AI2349" s="4"/>
      <c r="AJ2349" s="4">
        <f>=ROUNDDOWN({0},0)</f>
      </c>
      <c r="AK2349" s="5"/>
      <c r="AL2349" s="2" t="s">
        <v>233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/>
      <c r="BD2349" s="8"/>
      <c r="BE2349" s="4"/>
      <c r="BF2349" s="8"/>
      <c r="BG2349" s="7"/>
      <c r="BH2349" s="7"/>
      <c r="BI2349" s="7"/>
      <c r="BJ2349" s="4">
        <v>2</v>
      </c>
      <c r="BK2349" s="8">
        <v>138.09</v>
      </c>
      <c r="BL2349" s="2" t="s">
        <v>10454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10455</v>
      </c>
      <c r="BV2349" s="2" t="s">
        <v>233</v>
      </c>
      <c r="BW2349" s="2" t="s">
        <v>233</v>
      </c>
      <c r="BX2349" s="2" t="s">
        <v>233</v>
      </c>
      <c r="BY2349" s="2" t="s">
        <v>280</v>
      </c>
      <c r="BZ2349" s="2" t="s">
        <v>245</v>
      </c>
      <c r="CA2349" s="2" t="s">
        <v>3854</v>
      </c>
      <c r="CB2349" s="2" t="s">
        <v>8449</v>
      </c>
      <c r="CC2349" s="2" t="s">
        <v>246</v>
      </c>
      <c r="CD2349" s="2" t="s">
        <v>233</v>
      </c>
      <c r="CE2349" s="4"/>
      <c r="CF2349" s="4">
        <v>88</v>
      </c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  <c r="HG2349" s="4"/>
      <c r="HH2349" s="4"/>
      <c r="HI2349" s="4"/>
      <c r="HJ2349" s="4"/>
      <c r="HK2349" s="4"/>
      <c r="HL2349" s="4"/>
      <c r="HM2349" s="4"/>
      <c r="HN2349" s="4"/>
      <c r="HO2349" s="4"/>
      <c r="HP2349" s="4"/>
      <c r="HQ2349" s="4"/>
      <c r="HR2349" s="4"/>
    </row>
    <row r="2350">
      <c r="A2350" s="2" t="s">
        <v>10456</v>
      </c>
      <c r="B2350" s="2" t="s">
        <v>264</v>
      </c>
      <c r="C2350" s="2" t="s">
        <v>990</v>
      </c>
      <c r="D2350" s="2" t="s">
        <v>969</v>
      </c>
      <c r="E2350" s="2" t="s">
        <v>2383</v>
      </c>
      <c r="F2350" s="2" t="s">
        <v>10457</v>
      </c>
      <c r="G2350" s="2" t="s">
        <v>10457</v>
      </c>
      <c r="H2350" s="2" t="s">
        <v>10457</v>
      </c>
      <c r="I2350" s="2" t="s">
        <v>10458</v>
      </c>
      <c r="J2350" s="2" t="s">
        <v>1142</v>
      </c>
      <c r="K2350" s="2" t="s">
        <v>297</v>
      </c>
      <c r="L2350" s="3">
        <v>59.42</v>
      </c>
      <c r="M2350" s="3">
        <v>62.39</v>
      </c>
      <c r="N2350" s="3">
        <v>159.99</v>
      </c>
      <c r="O2350" s="2" t="s">
        <v>245</v>
      </c>
      <c r="P2350" s="2" t="s">
        <v>272</v>
      </c>
      <c r="Q2350" s="2" t="s">
        <v>239</v>
      </c>
      <c r="R2350" s="2" t="s">
        <v>233</v>
      </c>
      <c r="S2350" s="2" t="s">
        <v>233</v>
      </c>
      <c r="T2350" s="2" t="s">
        <v>233</v>
      </c>
      <c r="U2350" s="2" t="s">
        <v>396</v>
      </c>
      <c r="V2350" s="2" t="s">
        <v>241</v>
      </c>
      <c r="W2350" s="2" t="s">
        <v>397</v>
      </c>
      <c r="X2350" s="2" t="s">
        <v>233</v>
      </c>
      <c r="Y2350" s="2" t="s">
        <v>1355</v>
      </c>
      <c r="Z2350" s="4">
        <v>51</v>
      </c>
      <c r="AA2350" s="4">
        <f>=ROUNDDOWN(4.63636363636364,0)</f>
      </c>
      <c r="AB2350" s="5">
        <v>11</v>
      </c>
      <c r="AC2350" s="2" t="s">
        <v>1701</v>
      </c>
      <c r="AD2350" s="4">
        <v>30</v>
      </c>
      <c r="AE2350" s="4">
        <v>180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233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/>
      <c r="BD2350" s="8"/>
      <c r="BE2350" s="4"/>
      <c r="BF2350" s="8"/>
      <c r="BG2350" s="7"/>
      <c r="BH2350" s="7"/>
      <c r="BI2350" s="7"/>
      <c r="BJ2350" s="4">
        <v>57</v>
      </c>
      <c r="BK2350" s="8">
        <v>3968.49</v>
      </c>
      <c r="BL2350" s="2" t="s">
        <v>10459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10460</v>
      </c>
      <c r="BV2350" s="2" t="s">
        <v>233</v>
      </c>
      <c r="BW2350" s="2" t="s">
        <v>233</v>
      </c>
      <c r="BX2350" s="2" t="s">
        <v>233</v>
      </c>
      <c r="BY2350" s="2" t="s">
        <v>280</v>
      </c>
      <c r="BZ2350" s="2" t="s">
        <v>245</v>
      </c>
      <c r="CA2350" s="2" t="s">
        <v>8278</v>
      </c>
      <c r="CB2350" s="2" t="s">
        <v>2799</v>
      </c>
      <c r="CC2350" s="2" t="s">
        <v>246</v>
      </c>
      <c r="CD2350" s="2" t="s">
        <v>233</v>
      </c>
      <c r="CE2350" s="4">
        <v>51</v>
      </c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>
        <v>30</v>
      </c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>
        <v>150</v>
      </c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  <c r="HF2350" s="4"/>
      <c r="HG2350" s="4"/>
      <c r="HH2350" s="4"/>
      <c r="HI2350" s="4"/>
      <c r="HJ2350" s="4"/>
      <c r="HK2350" s="4"/>
      <c r="HL2350" s="4"/>
      <c r="HM2350" s="4"/>
      <c r="HN2350" s="4"/>
      <c r="HO2350" s="4"/>
      <c r="HP2350" s="4"/>
      <c r="HQ2350" s="4"/>
      <c r="HR2350" s="4"/>
    </row>
    <row r="2351">
      <c r="A2351" s="2" t="s">
        <v>10461</v>
      </c>
      <c r="B2351" s="2" t="s">
        <v>333</v>
      </c>
      <c r="C2351" s="2" t="s">
        <v>990</v>
      </c>
      <c r="D2351" s="2" t="s">
        <v>335</v>
      </c>
      <c r="E2351" s="2" t="s">
        <v>336</v>
      </c>
      <c r="F2351" s="2" t="s">
        <v>10462</v>
      </c>
      <c r="G2351" s="2" t="s">
        <v>10462</v>
      </c>
      <c r="H2351" s="2" t="s">
        <v>10462</v>
      </c>
      <c r="I2351" s="2" t="s">
        <v>10463</v>
      </c>
      <c r="J2351" s="2" t="s">
        <v>348</v>
      </c>
      <c r="K2351" s="2" t="s">
        <v>255</v>
      </c>
      <c r="L2351" s="3">
        <v>48.28</v>
      </c>
      <c r="M2351" s="3">
        <v>50.69</v>
      </c>
      <c r="N2351" s="3">
        <v>129.99</v>
      </c>
      <c r="O2351" s="2" t="s">
        <v>245</v>
      </c>
      <c r="P2351" s="2" t="s">
        <v>311</v>
      </c>
      <c r="Q2351" s="2" t="s">
        <v>239</v>
      </c>
      <c r="R2351" s="2" t="s">
        <v>233</v>
      </c>
      <c r="S2351" s="2" t="s">
        <v>233</v>
      </c>
      <c r="T2351" s="2" t="s">
        <v>341</v>
      </c>
      <c r="U2351" s="2" t="s">
        <v>233</v>
      </c>
      <c r="V2351" s="2" t="s">
        <v>1085</v>
      </c>
      <c r="W2351" s="2" t="s">
        <v>705</v>
      </c>
      <c r="X2351" s="2" t="s">
        <v>233</v>
      </c>
      <c r="Y2351" s="2" t="s">
        <v>2579</v>
      </c>
      <c r="Z2351" s="4">
        <v>258</v>
      </c>
      <c r="AA2351" s="4">
        <f>=ROUNDDOWN(129,0)</f>
      </c>
      <c r="AB2351" s="5">
        <v>2</v>
      </c>
      <c r="AC2351" s="2" t="s">
        <v>233</v>
      </c>
      <c r="AD2351" s="4"/>
      <c r="AE2351" s="4"/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233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233</v>
      </c>
      <c r="AW2351" s="8" t="s">
        <v>233</v>
      </c>
      <c r="AX2351" s="4" t="s">
        <v>233</v>
      </c>
      <c r="AY2351" s="8" t="s">
        <v>233</v>
      </c>
      <c r="AZ2351" s="7" t="s">
        <v>233</v>
      </c>
      <c r="BA2351" s="7" t="s">
        <v>233</v>
      </c>
      <c r="BB2351" s="7"/>
      <c r="BC2351" s="4" t="s">
        <v>233</v>
      </c>
      <c r="BD2351" s="8" t="s">
        <v>233</v>
      </c>
      <c r="BE2351" s="4" t="s">
        <v>233</v>
      </c>
      <c r="BF2351" s="8" t="s">
        <v>233</v>
      </c>
      <c r="BG2351" s="7" t="s">
        <v>233</v>
      </c>
      <c r="BH2351" s="7" t="s">
        <v>233</v>
      </c>
      <c r="BI2351" s="7"/>
      <c r="BJ2351" s="4">
        <v>1</v>
      </c>
      <c r="BK2351" s="8">
        <v>53.23</v>
      </c>
      <c r="BL2351" s="2" t="s">
        <v>2554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10464</v>
      </c>
      <c r="BV2351" s="2" t="s">
        <v>233</v>
      </c>
      <c r="BW2351" s="2" t="s">
        <v>233</v>
      </c>
      <c r="BX2351" s="2" t="s">
        <v>233</v>
      </c>
      <c r="BY2351" s="2" t="s">
        <v>280</v>
      </c>
      <c r="BZ2351" s="2" t="s">
        <v>245</v>
      </c>
      <c r="CA2351" s="2" t="s">
        <v>2354</v>
      </c>
      <c r="CB2351" s="2" t="s">
        <v>3960</v>
      </c>
      <c r="CC2351" s="2" t="s">
        <v>246</v>
      </c>
      <c r="CD2351" s="2" t="s">
        <v>233</v>
      </c>
      <c r="CE2351" s="4">
        <v>258</v>
      </c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  <c r="HF2351" s="4"/>
      <c r="HG2351" s="4"/>
      <c r="HH2351" s="4"/>
      <c r="HI2351" s="4"/>
      <c r="HJ2351" s="4"/>
      <c r="HK2351" s="4"/>
      <c r="HL2351" s="4"/>
      <c r="HM2351" s="4"/>
      <c r="HN2351" s="4"/>
      <c r="HO2351" s="4"/>
      <c r="HP2351" s="4"/>
      <c r="HQ2351" s="4"/>
      <c r="HR2351" s="4"/>
    </row>
    <row r="2352">
      <c r="A2352" s="2" t="s">
        <v>10465</v>
      </c>
      <c r="B2352" s="2" t="s">
        <v>333</v>
      </c>
      <c r="C2352" s="2" t="s">
        <v>990</v>
      </c>
      <c r="D2352" s="2" t="s">
        <v>335</v>
      </c>
      <c r="E2352" s="2" t="s">
        <v>336</v>
      </c>
      <c r="F2352" s="2" t="s">
        <v>10462</v>
      </c>
      <c r="G2352" s="2" t="s">
        <v>10462</v>
      </c>
      <c r="H2352" s="2" t="s">
        <v>10462</v>
      </c>
      <c r="I2352" s="2" t="s">
        <v>10466</v>
      </c>
      <c r="J2352" s="2" t="s">
        <v>328</v>
      </c>
      <c r="K2352" s="2" t="s">
        <v>255</v>
      </c>
      <c r="L2352" s="3">
        <v>18.57</v>
      </c>
      <c r="M2352" s="3">
        <v>19.5</v>
      </c>
      <c r="N2352" s="3">
        <v>49.99</v>
      </c>
      <c r="O2352" s="2" t="s">
        <v>245</v>
      </c>
      <c r="P2352" s="2" t="s">
        <v>311</v>
      </c>
      <c r="Q2352" s="2" t="s">
        <v>239</v>
      </c>
      <c r="R2352" s="2" t="s">
        <v>233</v>
      </c>
      <c r="S2352" s="2" t="s">
        <v>233</v>
      </c>
      <c r="T2352" s="2" t="s">
        <v>341</v>
      </c>
      <c r="U2352" s="2" t="s">
        <v>233</v>
      </c>
      <c r="V2352" s="2" t="s">
        <v>1085</v>
      </c>
      <c r="W2352" s="2" t="s">
        <v>705</v>
      </c>
      <c r="X2352" s="2" t="s">
        <v>233</v>
      </c>
      <c r="Y2352" s="2" t="s">
        <v>2579</v>
      </c>
      <c r="Z2352" s="4">
        <v>29</v>
      </c>
      <c r="AA2352" s="4">
        <f>=ROUNDDOWN(29,0)</f>
      </c>
      <c r="AB2352" s="5">
        <v>1</v>
      </c>
      <c r="AC2352" s="2" t="s">
        <v>233</v>
      </c>
      <c r="AD2352" s="4"/>
      <c r="AE2352" s="4"/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233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233</v>
      </c>
      <c r="AW2352" s="8" t="s">
        <v>233</v>
      </c>
      <c r="AX2352" s="4" t="s">
        <v>233</v>
      </c>
      <c r="AY2352" s="8" t="s">
        <v>233</v>
      </c>
      <c r="AZ2352" s="7" t="s">
        <v>233</v>
      </c>
      <c r="BA2352" s="7" t="s">
        <v>233</v>
      </c>
      <c r="BB2352" s="7"/>
      <c r="BC2352" s="4" t="s">
        <v>233</v>
      </c>
      <c r="BD2352" s="8" t="s">
        <v>233</v>
      </c>
      <c r="BE2352" s="4" t="s">
        <v>233</v>
      </c>
      <c r="BF2352" s="8" t="s">
        <v>233</v>
      </c>
      <c r="BG2352" s="7" t="s">
        <v>233</v>
      </c>
      <c r="BH2352" s="7" t="s">
        <v>233</v>
      </c>
      <c r="BI2352" s="7"/>
      <c r="BJ2352" s="4">
        <v>1</v>
      </c>
      <c r="BK2352" s="8">
        <v>15.6</v>
      </c>
      <c r="BL2352" s="2" t="s">
        <v>1023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10467</v>
      </c>
      <c r="BV2352" s="2" t="s">
        <v>233</v>
      </c>
      <c r="BW2352" s="2" t="s">
        <v>233</v>
      </c>
      <c r="BX2352" s="2" t="s">
        <v>233</v>
      </c>
      <c r="BY2352" s="2" t="s">
        <v>280</v>
      </c>
      <c r="BZ2352" s="2" t="s">
        <v>245</v>
      </c>
      <c r="CA2352" s="2" t="s">
        <v>2354</v>
      </c>
      <c r="CB2352" s="2" t="s">
        <v>10468</v>
      </c>
      <c r="CC2352" s="2" t="s">
        <v>246</v>
      </c>
      <c r="CD2352" s="2" t="s">
        <v>233</v>
      </c>
      <c r="CE2352" s="4">
        <v>29</v>
      </c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/>
      <c r="HA2352" s="4"/>
      <c r="HB2352" s="4"/>
      <c r="HC2352" s="4"/>
      <c r="HD2352" s="4"/>
      <c r="HE2352" s="4"/>
      <c r="HF2352" s="4"/>
      <c r="HG2352" s="4"/>
      <c r="HH2352" s="4"/>
      <c r="HI2352" s="4"/>
      <c r="HJ2352" s="4"/>
      <c r="HK2352" s="4"/>
      <c r="HL2352" s="4"/>
      <c r="HM2352" s="4"/>
      <c r="HN2352" s="4"/>
      <c r="HO2352" s="4"/>
      <c r="HP2352" s="4"/>
      <c r="HQ2352" s="4"/>
      <c r="HR2352" s="4"/>
    </row>
    <row r="2353">
      <c r="A2353" s="2" t="s">
        <v>10469</v>
      </c>
      <c r="B2353" s="2" t="s">
        <v>333</v>
      </c>
      <c r="C2353" s="2" t="s">
        <v>990</v>
      </c>
      <c r="D2353" s="2" t="s">
        <v>335</v>
      </c>
      <c r="E2353" s="2" t="s">
        <v>336</v>
      </c>
      <c r="F2353" s="2" t="s">
        <v>10462</v>
      </c>
      <c r="G2353" s="2" t="s">
        <v>10462</v>
      </c>
      <c r="H2353" s="2" t="s">
        <v>10462</v>
      </c>
      <c r="I2353" s="2" t="s">
        <v>10463</v>
      </c>
      <c r="J2353" s="2" t="s">
        <v>546</v>
      </c>
      <c r="K2353" s="2" t="s">
        <v>255</v>
      </c>
      <c r="L2353" s="3">
        <v>55.71</v>
      </c>
      <c r="M2353" s="3">
        <v>58.5</v>
      </c>
      <c r="N2353" s="3">
        <v>149.99</v>
      </c>
      <c r="O2353" s="2" t="s">
        <v>245</v>
      </c>
      <c r="P2353" s="2" t="s">
        <v>311</v>
      </c>
      <c r="Q2353" s="2" t="s">
        <v>239</v>
      </c>
      <c r="R2353" s="2" t="s">
        <v>233</v>
      </c>
      <c r="S2353" s="2" t="s">
        <v>233</v>
      </c>
      <c r="T2353" s="2" t="s">
        <v>341</v>
      </c>
      <c r="U2353" s="2" t="s">
        <v>233</v>
      </c>
      <c r="V2353" s="2" t="s">
        <v>1085</v>
      </c>
      <c r="W2353" s="2" t="s">
        <v>705</v>
      </c>
      <c r="X2353" s="2" t="s">
        <v>233</v>
      </c>
      <c r="Y2353" s="2" t="s">
        <v>3755</v>
      </c>
      <c r="Z2353" s="4">
        <v>85</v>
      </c>
      <c r="AA2353" s="4">
        <f>=ROUNDDOWN(85,0)</f>
      </c>
      <c r="AB2353" s="5">
        <v>1</v>
      </c>
      <c r="AC2353" s="2" t="s">
        <v>233</v>
      </c>
      <c r="AD2353" s="4"/>
      <c r="AE2353" s="4"/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233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 t="s">
        <v>233</v>
      </c>
      <c r="AW2353" s="8" t="s">
        <v>233</v>
      </c>
      <c r="AX2353" s="4" t="s">
        <v>233</v>
      </c>
      <c r="AY2353" s="8" t="s">
        <v>233</v>
      </c>
      <c r="AZ2353" s="7" t="s">
        <v>233</v>
      </c>
      <c r="BA2353" s="7" t="s">
        <v>233</v>
      </c>
      <c r="BB2353" s="7"/>
      <c r="BC2353" s="4" t="s">
        <v>233</v>
      </c>
      <c r="BD2353" s="8" t="s">
        <v>233</v>
      </c>
      <c r="BE2353" s="4" t="s">
        <v>233</v>
      </c>
      <c r="BF2353" s="8" t="s">
        <v>233</v>
      </c>
      <c r="BG2353" s="7" t="s">
        <v>233</v>
      </c>
      <c r="BH2353" s="7" t="s">
        <v>233</v>
      </c>
      <c r="BI2353" s="7"/>
      <c r="BJ2353" s="4">
        <v>1</v>
      </c>
      <c r="BK2353" s="8">
        <v>67.49</v>
      </c>
      <c r="BL2353" s="2" t="s">
        <v>744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10470</v>
      </c>
      <c r="BV2353" s="2" t="s">
        <v>233</v>
      </c>
      <c r="BW2353" s="2" t="s">
        <v>233</v>
      </c>
      <c r="BX2353" s="2" t="s">
        <v>233</v>
      </c>
      <c r="BY2353" s="2" t="s">
        <v>280</v>
      </c>
      <c r="BZ2353" s="2" t="s">
        <v>245</v>
      </c>
      <c r="CA2353" s="2" t="s">
        <v>2354</v>
      </c>
      <c r="CB2353" s="2" t="s">
        <v>3746</v>
      </c>
      <c r="CC2353" s="2" t="s">
        <v>246</v>
      </c>
      <c r="CD2353" s="2" t="s">
        <v>233</v>
      </c>
      <c r="CE2353" s="4">
        <v>85</v>
      </c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/>
      <c r="HA2353" s="4"/>
      <c r="HB2353" s="4"/>
      <c r="HC2353" s="4"/>
      <c r="HD2353" s="4"/>
      <c r="HE2353" s="4"/>
      <c r="HF2353" s="4"/>
      <c r="HG2353" s="4"/>
      <c r="HH2353" s="4"/>
      <c r="HI2353" s="4"/>
      <c r="HJ2353" s="4"/>
      <c r="HK2353" s="4"/>
      <c r="HL2353" s="4"/>
      <c r="HM2353" s="4"/>
      <c r="HN2353" s="4"/>
      <c r="HO2353" s="4"/>
      <c r="HP2353" s="4"/>
      <c r="HQ2353" s="4"/>
      <c r="HR2353" s="4"/>
    </row>
    <row r="2354">
      <c r="A2354" s="2" t="s">
        <v>10471</v>
      </c>
      <c r="B2354" s="2" t="s">
        <v>333</v>
      </c>
      <c r="C2354" s="2" t="s">
        <v>990</v>
      </c>
      <c r="D2354" s="2" t="s">
        <v>335</v>
      </c>
      <c r="E2354" s="2" t="s">
        <v>336</v>
      </c>
      <c r="F2354" s="2" t="s">
        <v>10462</v>
      </c>
      <c r="G2354" s="2" t="s">
        <v>10462</v>
      </c>
      <c r="H2354" s="2" t="s">
        <v>10462</v>
      </c>
      <c r="I2354" s="2" t="s">
        <v>10466</v>
      </c>
      <c r="J2354" s="2" t="s">
        <v>7575</v>
      </c>
      <c r="K2354" s="2" t="s">
        <v>255</v>
      </c>
      <c r="L2354" s="3">
        <v>14.85</v>
      </c>
      <c r="M2354" s="3">
        <v>15.59</v>
      </c>
      <c r="N2354" s="3">
        <v>39.99</v>
      </c>
      <c r="O2354" s="2" t="s">
        <v>245</v>
      </c>
      <c r="P2354" s="2" t="s">
        <v>311</v>
      </c>
      <c r="Q2354" s="2" t="s">
        <v>239</v>
      </c>
      <c r="R2354" s="2" t="s">
        <v>233</v>
      </c>
      <c r="S2354" s="2" t="s">
        <v>233</v>
      </c>
      <c r="T2354" s="2" t="s">
        <v>341</v>
      </c>
      <c r="U2354" s="2" t="s">
        <v>233</v>
      </c>
      <c r="V2354" s="2" t="s">
        <v>1085</v>
      </c>
      <c r="W2354" s="2" t="s">
        <v>705</v>
      </c>
      <c r="X2354" s="2" t="s">
        <v>233</v>
      </c>
      <c r="Y2354" s="2" t="s">
        <v>2579</v>
      </c>
      <c r="Z2354" s="4">
        <v>16</v>
      </c>
      <c r="AA2354" s="4">
        <f>=ROUNDDOWN(16,0)</f>
      </c>
      <c r="AB2354" s="5">
        <v>1</v>
      </c>
      <c r="AC2354" s="2" t="s">
        <v>233</v>
      </c>
      <c r="AD2354" s="4"/>
      <c r="AE2354" s="4"/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233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 t="s">
        <v>233</v>
      </c>
      <c r="AW2354" s="8" t="s">
        <v>233</v>
      </c>
      <c r="AX2354" s="4" t="s">
        <v>233</v>
      </c>
      <c r="AY2354" s="8" t="s">
        <v>233</v>
      </c>
      <c r="AZ2354" s="7" t="s">
        <v>233</v>
      </c>
      <c r="BA2354" s="7" t="s">
        <v>233</v>
      </c>
      <c r="BB2354" s="7"/>
      <c r="BC2354" s="4" t="s">
        <v>233</v>
      </c>
      <c r="BD2354" s="8" t="s">
        <v>233</v>
      </c>
      <c r="BE2354" s="4" t="s">
        <v>233</v>
      </c>
      <c r="BF2354" s="8" t="s">
        <v>233</v>
      </c>
      <c r="BG2354" s="7" t="s">
        <v>233</v>
      </c>
      <c r="BH2354" s="7" t="s">
        <v>233</v>
      </c>
      <c r="BI2354" s="7"/>
      <c r="BJ2354" s="4"/>
      <c r="BK2354" s="8"/>
      <c r="BL2354" s="2" t="s">
        <v>233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10472</v>
      </c>
      <c r="BV2354" s="2" t="s">
        <v>233</v>
      </c>
      <c r="BW2354" s="2" t="s">
        <v>233</v>
      </c>
      <c r="BX2354" s="2" t="s">
        <v>233</v>
      </c>
      <c r="BY2354" s="2" t="s">
        <v>280</v>
      </c>
      <c r="BZ2354" s="2" t="s">
        <v>245</v>
      </c>
      <c r="CA2354" s="2" t="s">
        <v>2354</v>
      </c>
      <c r="CB2354" s="2" t="s">
        <v>7008</v>
      </c>
      <c r="CC2354" s="2" t="s">
        <v>246</v>
      </c>
      <c r="CD2354" s="2" t="s">
        <v>233</v>
      </c>
      <c r="CE2354" s="4">
        <v>16</v>
      </c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/>
      <c r="HA2354" s="4"/>
      <c r="HB2354" s="4"/>
      <c r="HC2354" s="4"/>
      <c r="HD2354" s="4"/>
      <c r="HE2354" s="4"/>
      <c r="HF2354" s="4"/>
      <c r="HG2354" s="4"/>
      <c r="HH2354" s="4"/>
      <c r="HI2354" s="4"/>
      <c r="HJ2354" s="4"/>
      <c r="HK2354" s="4"/>
      <c r="HL2354" s="4"/>
      <c r="HM2354" s="4"/>
      <c r="HN2354" s="4"/>
      <c r="HO2354" s="4"/>
      <c r="HP2354" s="4"/>
      <c r="HQ2354" s="4"/>
      <c r="HR2354" s="4"/>
    </row>
    <row r="2355">
      <c r="A2355" s="2" t="s">
        <v>10473</v>
      </c>
      <c r="B2355" s="2" t="s">
        <v>333</v>
      </c>
      <c r="C2355" s="2" t="s">
        <v>990</v>
      </c>
      <c r="D2355" s="2" t="s">
        <v>335</v>
      </c>
      <c r="E2355" s="2" t="s">
        <v>336</v>
      </c>
      <c r="F2355" s="2" t="s">
        <v>10462</v>
      </c>
      <c r="G2355" s="2" t="s">
        <v>10462</v>
      </c>
      <c r="H2355" s="2" t="s">
        <v>10462</v>
      </c>
      <c r="I2355" s="2" t="s">
        <v>10463</v>
      </c>
      <c r="J2355" s="2" t="s">
        <v>348</v>
      </c>
      <c r="K2355" s="2" t="s">
        <v>2197</v>
      </c>
      <c r="L2355" s="3">
        <v>48.28</v>
      </c>
      <c r="M2355" s="3">
        <v>50.69</v>
      </c>
      <c r="N2355" s="3">
        <v>129.99</v>
      </c>
      <c r="O2355" s="2" t="s">
        <v>245</v>
      </c>
      <c r="P2355" s="2" t="s">
        <v>311</v>
      </c>
      <c r="Q2355" s="2" t="s">
        <v>239</v>
      </c>
      <c r="R2355" s="2" t="s">
        <v>233</v>
      </c>
      <c r="S2355" s="2" t="s">
        <v>233</v>
      </c>
      <c r="T2355" s="2" t="s">
        <v>341</v>
      </c>
      <c r="U2355" s="2" t="s">
        <v>233</v>
      </c>
      <c r="V2355" s="2" t="s">
        <v>1085</v>
      </c>
      <c r="W2355" s="2" t="s">
        <v>705</v>
      </c>
      <c r="X2355" s="2" t="s">
        <v>233</v>
      </c>
      <c r="Y2355" s="2" t="s">
        <v>2579</v>
      </c>
      <c r="Z2355" s="4">
        <v>239</v>
      </c>
      <c r="AA2355" s="4">
        <f>=ROUNDDOWN(79.6666666666667,0)</f>
      </c>
      <c r="AB2355" s="5">
        <v>3</v>
      </c>
      <c r="AC2355" s="2" t="s">
        <v>233</v>
      </c>
      <c r="AD2355" s="4"/>
      <c r="AE2355" s="4"/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233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 t="s">
        <v>233</v>
      </c>
      <c r="AW2355" s="8" t="s">
        <v>233</v>
      </c>
      <c r="AX2355" s="4" t="s">
        <v>233</v>
      </c>
      <c r="AY2355" s="8" t="s">
        <v>233</v>
      </c>
      <c r="AZ2355" s="7" t="s">
        <v>233</v>
      </c>
      <c r="BA2355" s="7" t="s">
        <v>233</v>
      </c>
      <c r="BB2355" s="7"/>
      <c r="BC2355" s="4" t="s">
        <v>233</v>
      </c>
      <c r="BD2355" s="8" t="s">
        <v>233</v>
      </c>
      <c r="BE2355" s="4" t="s">
        <v>233</v>
      </c>
      <c r="BF2355" s="8" t="s">
        <v>233</v>
      </c>
      <c r="BG2355" s="7" t="s">
        <v>233</v>
      </c>
      <c r="BH2355" s="7" t="s">
        <v>233</v>
      </c>
      <c r="BI2355" s="7"/>
      <c r="BJ2355" s="4">
        <v>9</v>
      </c>
      <c r="BK2355" s="8">
        <v>479.07</v>
      </c>
      <c r="BL2355" s="2" t="s">
        <v>1041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10474</v>
      </c>
      <c r="BV2355" s="2" t="s">
        <v>233</v>
      </c>
      <c r="BW2355" s="2" t="s">
        <v>233</v>
      </c>
      <c r="BX2355" s="2" t="s">
        <v>233</v>
      </c>
      <c r="BY2355" s="2" t="s">
        <v>280</v>
      </c>
      <c r="BZ2355" s="2" t="s">
        <v>245</v>
      </c>
      <c r="CA2355" s="2" t="s">
        <v>2354</v>
      </c>
      <c r="CB2355" s="2" t="s">
        <v>2423</v>
      </c>
      <c r="CC2355" s="2" t="s">
        <v>246</v>
      </c>
      <c r="CD2355" s="2" t="s">
        <v>233</v>
      </c>
      <c r="CE2355" s="4">
        <v>239</v>
      </c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/>
      <c r="HA2355" s="4"/>
      <c r="HB2355" s="4"/>
      <c r="HC2355" s="4"/>
      <c r="HD2355" s="4"/>
      <c r="HE2355" s="4"/>
      <c r="HF2355" s="4"/>
      <c r="HG2355" s="4"/>
      <c r="HH2355" s="4"/>
      <c r="HI2355" s="4"/>
      <c r="HJ2355" s="4"/>
      <c r="HK2355" s="4"/>
      <c r="HL2355" s="4"/>
      <c r="HM2355" s="4"/>
      <c r="HN2355" s="4"/>
      <c r="HO2355" s="4"/>
      <c r="HP2355" s="4"/>
      <c r="HQ2355" s="4"/>
      <c r="HR2355" s="4"/>
    </row>
    <row r="2356">
      <c r="A2356" s="2" t="s">
        <v>10475</v>
      </c>
      <c r="B2356" s="2" t="s">
        <v>333</v>
      </c>
      <c r="C2356" s="2" t="s">
        <v>990</v>
      </c>
      <c r="D2356" s="2" t="s">
        <v>335</v>
      </c>
      <c r="E2356" s="2" t="s">
        <v>336</v>
      </c>
      <c r="F2356" s="2" t="s">
        <v>10462</v>
      </c>
      <c r="G2356" s="2" t="s">
        <v>10462</v>
      </c>
      <c r="H2356" s="2" t="s">
        <v>10462</v>
      </c>
      <c r="I2356" s="2" t="s">
        <v>10463</v>
      </c>
      <c r="J2356" s="2" t="s">
        <v>328</v>
      </c>
      <c r="K2356" s="2" t="s">
        <v>2197</v>
      </c>
      <c r="L2356" s="3">
        <v>55.71</v>
      </c>
      <c r="M2356" s="3">
        <v>58.5</v>
      </c>
      <c r="N2356" s="3">
        <v>149.99</v>
      </c>
      <c r="O2356" s="2" t="s">
        <v>245</v>
      </c>
      <c r="P2356" s="2" t="s">
        <v>311</v>
      </c>
      <c r="Q2356" s="2" t="s">
        <v>239</v>
      </c>
      <c r="R2356" s="2" t="s">
        <v>233</v>
      </c>
      <c r="S2356" s="2" t="s">
        <v>233</v>
      </c>
      <c r="T2356" s="2" t="s">
        <v>341</v>
      </c>
      <c r="U2356" s="2" t="s">
        <v>233</v>
      </c>
      <c r="V2356" s="2" t="s">
        <v>1085</v>
      </c>
      <c r="W2356" s="2" t="s">
        <v>705</v>
      </c>
      <c r="X2356" s="2" t="s">
        <v>233</v>
      </c>
      <c r="Y2356" s="2" t="s">
        <v>2579</v>
      </c>
      <c r="Z2356" s="4">
        <v>301</v>
      </c>
      <c r="AA2356" s="4">
        <f>=ROUNDDOWN(150.5,0)</f>
      </c>
      <c r="AB2356" s="5">
        <v>2</v>
      </c>
      <c r="AC2356" s="2" t="s">
        <v>233</v>
      </c>
      <c r="AD2356" s="4"/>
      <c r="AE2356" s="4"/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233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 t="s">
        <v>233</v>
      </c>
      <c r="AW2356" s="8" t="s">
        <v>233</v>
      </c>
      <c r="AX2356" s="4" t="s">
        <v>233</v>
      </c>
      <c r="AY2356" s="8" t="s">
        <v>233</v>
      </c>
      <c r="AZ2356" s="7" t="s">
        <v>233</v>
      </c>
      <c r="BA2356" s="7" t="s">
        <v>233</v>
      </c>
      <c r="BB2356" s="7" t="s">
        <v>233</v>
      </c>
      <c r="BC2356" s="4" t="s">
        <v>233</v>
      </c>
      <c r="BD2356" s="8" t="s">
        <v>233</v>
      </c>
      <c r="BE2356" s="4" t="s">
        <v>233</v>
      </c>
      <c r="BF2356" s="8" t="s">
        <v>233</v>
      </c>
      <c r="BG2356" s="7" t="s">
        <v>233</v>
      </c>
      <c r="BH2356" s="7" t="s">
        <v>233</v>
      </c>
      <c r="BI2356" s="7"/>
      <c r="BJ2356" s="4">
        <v>4</v>
      </c>
      <c r="BK2356" s="8">
        <v>242.76</v>
      </c>
      <c r="BL2356" s="2" t="s">
        <v>8368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10476</v>
      </c>
      <c r="BV2356" s="2" t="s">
        <v>233</v>
      </c>
      <c r="BW2356" s="2" t="s">
        <v>233</v>
      </c>
      <c r="BX2356" s="2" t="s">
        <v>233</v>
      </c>
      <c r="BY2356" s="2" t="s">
        <v>280</v>
      </c>
      <c r="BZ2356" s="2" t="s">
        <v>245</v>
      </c>
      <c r="CA2356" s="2" t="s">
        <v>2354</v>
      </c>
      <c r="CB2356" s="2" t="s">
        <v>405</v>
      </c>
      <c r="CC2356" s="2" t="s">
        <v>246</v>
      </c>
      <c r="CD2356" s="2" t="s">
        <v>233</v>
      </c>
      <c r="CE2356" s="4">
        <v>301</v>
      </c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/>
      <c r="HA2356" s="4"/>
      <c r="HB2356" s="4"/>
      <c r="HC2356" s="4"/>
      <c r="HD2356" s="4"/>
      <c r="HE2356" s="4"/>
      <c r="HF2356" s="4"/>
      <c r="HG2356" s="4"/>
      <c r="HH2356" s="4"/>
      <c r="HI2356" s="4"/>
      <c r="HJ2356" s="4"/>
      <c r="HK2356" s="4"/>
      <c r="HL2356" s="4"/>
      <c r="HM2356" s="4"/>
      <c r="HN2356" s="4"/>
      <c r="HO2356" s="4"/>
      <c r="HP2356" s="4"/>
      <c r="HQ2356" s="4"/>
      <c r="HR2356" s="4"/>
    </row>
    <row r="2357">
      <c r="A2357" s="2" t="s">
        <v>10477</v>
      </c>
      <c r="B2357" s="2" t="s">
        <v>333</v>
      </c>
      <c r="C2357" s="2" t="s">
        <v>990</v>
      </c>
      <c r="D2357" s="2" t="s">
        <v>335</v>
      </c>
      <c r="E2357" s="2" t="s">
        <v>336</v>
      </c>
      <c r="F2357" s="2" t="s">
        <v>10462</v>
      </c>
      <c r="G2357" s="2" t="s">
        <v>10462</v>
      </c>
      <c r="H2357" s="2" t="s">
        <v>10462</v>
      </c>
      <c r="I2357" s="2" t="s">
        <v>10466</v>
      </c>
      <c r="J2357" s="2" t="s">
        <v>328</v>
      </c>
      <c r="K2357" s="2" t="s">
        <v>2197</v>
      </c>
      <c r="L2357" s="3">
        <v>18.57</v>
      </c>
      <c r="M2357" s="3">
        <v>19.5</v>
      </c>
      <c r="N2357" s="3">
        <v>49.99</v>
      </c>
      <c r="O2357" s="2" t="s">
        <v>245</v>
      </c>
      <c r="P2357" s="2" t="s">
        <v>311</v>
      </c>
      <c r="Q2357" s="2" t="s">
        <v>239</v>
      </c>
      <c r="R2357" s="2" t="s">
        <v>233</v>
      </c>
      <c r="S2357" s="2" t="s">
        <v>233</v>
      </c>
      <c r="T2357" s="2" t="s">
        <v>341</v>
      </c>
      <c r="U2357" s="2" t="s">
        <v>233</v>
      </c>
      <c r="V2357" s="2" t="s">
        <v>1085</v>
      </c>
      <c r="W2357" s="2" t="s">
        <v>705</v>
      </c>
      <c r="X2357" s="2" t="s">
        <v>233</v>
      </c>
      <c r="Y2357" s="2" t="s">
        <v>2579</v>
      </c>
      <c r="Z2357" s="4">
        <v>36</v>
      </c>
      <c r="AA2357" s="4">
        <f>=ROUNDDOWN(36,0)</f>
      </c>
      <c r="AB2357" s="5">
        <v>1</v>
      </c>
      <c r="AC2357" s="2" t="s">
        <v>233</v>
      </c>
      <c r="AD2357" s="4"/>
      <c r="AE2357" s="4"/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233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 t="s">
        <v>233</v>
      </c>
      <c r="AW2357" s="8" t="s">
        <v>233</v>
      </c>
      <c r="AX2357" s="4" t="s">
        <v>233</v>
      </c>
      <c r="AY2357" s="8" t="s">
        <v>233</v>
      </c>
      <c r="AZ2357" s="7" t="s">
        <v>233</v>
      </c>
      <c r="BA2357" s="7" t="s">
        <v>233</v>
      </c>
      <c r="BB2357" s="7" t="s">
        <v>233</v>
      </c>
      <c r="BC2357" s="4" t="s">
        <v>233</v>
      </c>
      <c r="BD2357" s="8" t="s">
        <v>233</v>
      </c>
      <c r="BE2357" s="4" t="s">
        <v>233</v>
      </c>
      <c r="BF2357" s="8" t="s">
        <v>233</v>
      </c>
      <c r="BG2357" s="7" t="s">
        <v>233</v>
      </c>
      <c r="BH2357" s="7" t="s">
        <v>233</v>
      </c>
      <c r="BI2357" s="7"/>
      <c r="BJ2357" s="4"/>
      <c r="BK2357" s="8"/>
      <c r="BL2357" s="2" t="s">
        <v>233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10478</v>
      </c>
      <c r="BV2357" s="2" t="s">
        <v>233</v>
      </c>
      <c r="BW2357" s="2" t="s">
        <v>233</v>
      </c>
      <c r="BX2357" s="2" t="s">
        <v>233</v>
      </c>
      <c r="BY2357" s="2" t="s">
        <v>280</v>
      </c>
      <c r="BZ2357" s="2" t="s">
        <v>245</v>
      </c>
      <c r="CA2357" s="2" t="s">
        <v>2354</v>
      </c>
      <c r="CB2357" s="2" t="s">
        <v>10479</v>
      </c>
      <c r="CC2357" s="2" t="s">
        <v>246</v>
      </c>
      <c r="CD2357" s="2" t="s">
        <v>233</v>
      </c>
      <c r="CE2357" s="4">
        <v>36</v>
      </c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/>
      <c r="HA2357" s="4"/>
      <c r="HB2357" s="4"/>
      <c r="HC2357" s="4"/>
      <c r="HD2357" s="4"/>
      <c r="HE2357" s="4"/>
      <c r="HF2357" s="4"/>
      <c r="HG2357" s="4"/>
      <c r="HH2357" s="4"/>
      <c r="HI2357" s="4"/>
      <c r="HJ2357" s="4"/>
      <c r="HK2357" s="4"/>
      <c r="HL2357" s="4"/>
      <c r="HM2357" s="4"/>
      <c r="HN2357" s="4"/>
      <c r="HO2357" s="4"/>
      <c r="HP2357" s="4"/>
      <c r="HQ2357" s="4"/>
      <c r="HR2357" s="4"/>
    </row>
    <row r="2358">
      <c r="A2358" s="2" t="s">
        <v>10480</v>
      </c>
      <c r="B2358" s="2" t="s">
        <v>333</v>
      </c>
      <c r="C2358" s="2" t="s">
        <v>990</v>
      </c>
      <c r="D2358" s="2" t="s">
        <v>335</v>
      </c>
      <c r="E2358" s="2" t="s">
        <v>336</v>
      </c>
      <c r="F2358" s="2" t="s">
        <v>10462</v>
      </c>
      <c r="G2358" s="2" t="s">
        <v>10462</v>
      </c>
      <c r="H2358" s="2" t="s">
        <v>10462</v>
      </c>
      <c r="I2358" s="2" t="s">
        <v>10463</v>
      </c>
      <c r="J2358" s="2" t="s">
        <v>546</v>
      </c>
      <c r="K2358" s="2" t="s">
        <v>2197</v>
      </c>
      <c r="L2358" s="3">
        <v>55.71</v>
      </c>
      <c r="M2358" s="3">
        <v>58.5</v>
      </c>
      <c r="N2358" s="3">
        <v>149.99</v>
      </c>
      <c r="O2358" s="2" t="s">
        <v>245</v>
      </c>
      <c r="P2358" s="2" t="s">
        <v>311</v>
      </c>
      <c r="Q2358" s="2" t="s">
        <v>239</v>
      </c>
      <c r="R2358" s="2" t="s">
        <v>233</v>
      </c>
      <c r="S2358" s="2" t="s">
        <v>233</v>
      </c>
      <c r="T2358" s="2" t="s">
        <v>341</v>
      </c>
      <c r="U2358" s="2" t="s">
        <v>233</v>
      </c>
      <c r="V2358" s="2" t="s">
        <v>1085</v>
      </c>
      <c r="W2358" s="2" t="s">
        <v>705</v>
      </c>
      <c r="X2358" s="2" t="s">
        <v>233</v>
      </c>
      <c r="Y2358" s="2" t="s">
        <v>3755</v>
      </c>
      <c r="Z2358" s="4">
        <v>81</v>
      </c>
      <c r="AA2358" s="4">
        <f>=ROUNDDOWN(81,0)</f>
      </c>
      <c r="AB2358" s="5">
        <v>1</v>
      </c>
      <c r="AC2358" s="2" t="s">
        <v>233</v>
      </c>
      <c r="AD2358" s="4"/>
      <c r="AE2358" s="4"/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233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 t="s">
        <v>233</v>
      </c>
      <c r="AW2358" s="8" t="s">
        <v>233</v>
      </c>
      <c r="AX2358" s="4" t="s">
        <v>233</v>
      </c>
      <c r="AY2358" s="8" t="s">
        <v>233</v>
      </c>
      <c r="AZ2358" s="7" t="s">
        <v>233</v>
      </c>
      <c r="BA2358" s="7" t="s">
        <v>233</v>
      </c>
      <c r="BB2358" s="7"/>
      <c r="BC2358" s="4" t="s">
        <v>233</v>
      </c>
      <c r="BD2358" s="8" t="s">
        <v>233</v>
      </c>
      <c r="BE2358" s="4" t="s">
        <v>233</v>
      </c>
      <c r="BF2358" s="8" t="s">
        <v>233</v>
      </c>
      <c r="BG2358" s="7" t="s">
        <v>233</v>
      </c>
      <c r="BH2358" s="7" t="s">
        <v>233</v>
      </c>
      <c r="BI2358" s="7"/>
      <c r="BJ2358" s="4"/>
      <c r="BK2358" s="8"/>
      <c r="BL2358" s="2" t="s">
        <v>233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10481</v>
      </c>
      <c r="BV2358" s="2" t="s">
        <v>233</v>
      </c>
      <c r="BW2358" s="2" t="s">
        <v>233</v>
      </c>
      <c r="BX2358" s="2" t="s">
        <v>233</v>
      </c>
      <c r="BY2358" s="2" t="s">
        <v>280</v>
      </c>
      <c r="BZ2358" s="2" t="s">
        <v>245</v>
      </c>
      <c r="CA2358" s="2" t="s">
        <v>2354</v>
      </c>
      <c r="CB2358" s="2" t="s">
        <v>2532</v>
      </c>
      <c r="CC2358" s="2" t="s">
        <v>246</v>
      </c>
      <c r="CD2358" s="2" t="s">
        <v>233</v>
      </c>
      <c r="CE2358" s="4">
        <v>81</v>
      </c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  <c r="HF2358" s="4"/>
      <c r="HG2358" s="4"/>
      <c r="HH2358" s="4"/>
      <c r="HI2358" s="4"/>
      <c r="HJ2358" s="4"/>
      <c r="HK2358" s="4"/>
      <c r="HL2358" s="4"/>
      <c r="HM2358" s="4"/>
      <c r="HN2358" s="4"/>
      <c r="HO2358" s="4"/>
      <c r="HP2358" s="4"/>
      <c r="HQ2358" s="4"/>
      <c r="HR2358" s="4"/>
    </row>
    <row r="2359">
      <c r="A2359" s="2" t="s">
        <v>10482</v>
      </c>
      <c r="B2359" s="2" t="s">
        <v>333</v>
      </c>
      <c r="C2359" s="2" t="s">
        <v>990</v>
      </c>
      <c r="D2359" s="2" t="s">
        <v>335</v>
      </c>
      <c r="E2359" s="2" t="s">
        <v>336</v>
      </c>
      <c r="F2359" s="2" t="s">
        <v>10462</v>
      </c>
      <c r="G2359" s="2" t="s">
        <v>10462</v>
      </c>
      <c r="H2359" s="2" t="s">
        <v>10462</v>
      </c>
      <c r="I2359" s="2" t="s">
        <v>10466</v>
      </c>
      <c r="J2359" s="2" t="s">
        <v>7575</v>
      </c>
      <c r="K2359" s="2" t="s">
        <v>2197</v>
      </c>
      <c r="L2359" s="3">
        <v>14.85</v>
      </c>
      <c r="M2359" s="3">
        <v>15.59</v>
      </c>
      <c r="N2359" s="3">
        <v>39.99</v>
      </c>
      <c r="O2359" s="2" t="s">
        <v>245</v>
      </c>
      <c r="P2359" s="2" t="s">
        <v>311</v>
      </c>
      <c r="Q2359" s="2" t="s">
        <v>239</v>
      </c>
      <c r="R2359" s="2" t="s">
        <v>233</v>
      </c>
      <c r="S2359" s="2" t="s">
        <v>233</v>
      </c>
      <c r="T2359" s="2" t="s">
        <v>341</v>
      </c>
      <c r="U2359" s="2" t="s">
        <v>233</v>
      </c>
      <c r="V2359" s="2" t="s">
        <v>1085</v>
      </c>
      <c r="W2359" s="2" t="s">
        <v>705</v>
      </c>
      <c r="X2359" s="2" t="s">
        <v>233</v>
      </c>
      <c r="Y2359" s="2" t="s">
        <v>2579</v>
      </c>
      <c r="Z2359" s="4">
        <v>1</v>
      </c>
      <c r="AA2359" s="4">
        <f>=ROUNDDOWN(1,0)</f>
      </c>
      <c r="AB2359" s="5">
        <v>1</v>
      </c>
      <c r="AC2359" s="2" t="s">
        <v>233</v>
      </c>
      <c r="AD2359" s="4"/>
      <c r="AE2359" s="4"/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233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233</v>
      </c>
      <c r="AW2359" s="8" t="s">
        <v>233</v>
      </c>
      <c r="AX2359" s="4" t="s">
        <v>233</v>
      </c>
      <c r="AY2359" s="8" t="s">
        <v>233</v>
      </c>
      <c r="AZ2359" s="7" t="s">
        <v>233</v>
      </c>
      <c r="BA2359" s="7" t="s">
        <v>233</v>
      </c>
      <c r="BB2359" s="7"/>
      <c r="BC2359" s="4" t="s">
        <v>233</v>
      </c>
      <c r="BD2359" s="8" t="s">
        <v>233</v>
      </c>
      <c r="BE2359" s="4" t="s">
        <v>233</v>
      </c>
      <c r="BF2359" s="8" t="s">
        <v>233</v>
      </c>
      <c r="BG2359" s="7" t="s">
        <v>233</v>
      </c>
      <c r="BH2359" s="7" t="s">
        <v>233</v>
      </c>
      <c r="BI2359" s="7"/>
      <c r="BJ2359" s="4"/>
      <c r="BK2359" s="8"/>
      <c r="BL2359" s="2" t="s">
        <v>233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10483</v>
      </c>
      <c r="BV2359" s="2" t="s">
        <v>233</v>
      </c>
      <c r="BW2359" s="2" t="s">
        <v>233</v>
      </c>
      <c r="BX2359" s="2" t="s">
        <v>233</v>
      </c>
      <c r="BY2359" s="2" t="s">
        <v>280</v>
      </c>
      <c r="BZ2359" s="2" t="s">
        <v>245</v>
      </c>
      <c r="CA2359" s="2" t="s">
        <v>2354</v>
      </c>
      <c r="CB2359" s="2" t="s">
        <v>1950</v>
      </c>
      <c r="CC2359" s="2" t="s">
        <v>246</v>
      </c>
      <c r="CD2359" s="2" t="s">
        <v>233</v>
      </c>
      <c r="CE2359" s="4">
        <v>1</v>
      </c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  <c r="HF2359" s="4"/>
      <c r="HG2359" s="4"/>
      <c r="HH2359" s="4"/>
      <c r="HI2359" s="4"/>
      <c r="HJ2359" s="4"/>
      <c r="HK2359" s="4"/>
      <c r="HL2359" s="4"/>
      <c r="HM2359" s="4"/>
      <c r="HN2359" s="4"/>
      <c r="HO2359" s="4"/>
      <c r="HP2359" s="4"/>
      <c r="HQ2359" s="4"/>
      <c r="HR2359" s="4"/>
    </row>
    <row r="2360">
      <c r="A2360" s="2" t="s">
        <v>10484</v>
      </c>
      <c r="B2360" s="2" t="s">
        <v>1066</v>
      </c>
      <c r="C2360" s="2" t="s">
        <v>530</v>
      </c>
      <c r="D2360" s="2" t="s">
        <v>1111</v>
      </c>
      <c r="E2360" s="2" t="s">
        <v>1112</v>
      </c>
      <c r="F2360" s="2" t="s">
        <v>10485</v>
      </c>
      <c r="G2360" s="2" t="s">
        <v>10486</v>
      </c>
      <c r="H2360" s="2" t="s">
        <v>10487</v>
      </c>
      <c r="I2360" s="2" t="s">
        <v>10488</v>
      </c>
      <c r="J2360" s="2" t="s">
        <v>892</v>
      </c>
      <c r="K2360" s="2" t="s">
        <v>236</v>
      </c>
      <c r="L2360" s="3">
        <v>247.5</v>
      </c>
      <c r="M2360" s="3">
        <v>259.88</v>
      </c>
      <c r="N2360" s="3">
        <v>519</v>
      </c>
      <c r="O2360" s="2" t="s">
        <v>245</v>
      </c>
      <c r="P2360" s="2" t="s">
        <v>311</v>
      </c>
      <c r="Q2360" s="2" t="s">
        <v>239</v>
      </c>
      <c r="R2360" s="2" t="s">
        <v>233</v>
      </c>
      <c r="S2360" s="2" t="s">
        <v>233</v>
      </c>
      <c r="T2360" s="2" t="s">
        <v>233</v>
      </c>
      <c r="U2360" s="2" t="s">
        <v>396</v>
      </c>
      <c r="V2360" s="2" t="s">
        <v>893</v>
      </c>
      <c r="W2360" s="2" t="s">
        <v>397</v>
      </c>
      <c r="X2360" s="2" t="s">
        <v>705</v>
      </c>
      <c r="Y2360" s="2" t="s">
        <v>1610</v>
      </c>
      <c r="Z2360" s="4">
        <v>47</v>
      </c>
      <c r="AA2360" s="4">
        <f>=ROUNDDOWN(235,0)</f>
      </c>
      <c r="AB2360" s="5">
        <v>0.2</v>
      </c>
      <c r="AC2360" s="2" t="s">
        <v>233</v>
      </c>
      <c r="AD2360" s="4"/>
      <c r="AE2360" s="4"/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233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/>
      <c r="BD2360" s="8"/>
      <c r="BE2360" s="4"/>
      <c r="BF2360" s="8"/>
      <c r="BG2360" s="7"/>
      <c r="BH2360" s="7"/>
      <c r="BI2360" s="7"/>
      <c r="BJ2360" s="4"/>
      <c r="BK2360" s="8"/>
      <c r="BL2360" s="2" t="s">
        <v>744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10489</v>
      </c>
      <c r="BV2360" s="2" t="s">
        <v>233</v>
      </c>
      <c r="BW2360" s="2" t="s">
        <v>233</v>
      </c>
      <c r="BX2360" s="2" t="s">
        <v>233</v>
      </c>
      <c r="BY2360" s="2" t="s">
        <v>280</v>
      </c>
      <c r="BZ2360" s="2" t="s">
        <v>245</v>
      </c>
      <c r="CA2360" s="2" t="s">
        <v>1610</v>
      </c>
      <c r="CB2360" s="2" t="s">
        <v>233</v>
      </c>
      <c r="CC2360" s="2" t="s">
        <v>246</v>
      </c>
      <c r="CD2360" s="2" t="s">
        <v>233</v>
      </c>
      <c r="CE2360" s="4"/>
      <c r="CF2360" s="4">
        <v>47</v>
      </c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4"/>
      <c r="HG2360" s="4"/>
      <c r="HH2360" s="4"/>
      <c r="HI2360" s="4"/>
      <c r="HJ2360" s="4"/>
      <c r="HK2360" s="4"/>
      <c r="HL2360" s="4"/>
      <c r="HM2360" s="4"/>
      <c r="HN2360" s="4"/>
      <c r="HO2360" s="4"/>
      <c r="HP2360" s="4"/>
      <c r="HQ2360" s="4"/>
      <c r="HR2360" s="4"/>
    </row>
    <row r="2361">
      <c r="A2361" s="2" t="s">
        <v>10490</v>
      </c>
      <c r="B2361" s="2" t="s">
        <v>1066</v>
      </c>
      <c r="C2361" s="2" t="s">
        <v>530</v>
      </c>
      <c r="D2361" s="2" t="s">
        <v>1067</v>
      </c>
      <c r="E2361" s="2" t="s">
        <v>1068</v>
      </c>
      <c r="F2361" s="2" t="s">
        <v>10491</v>
      </c>
      <c r="G2361" s="2" t="s">
        <v>10492</v>
      </c>
      <c r="H2361" s="2" t="s">
        <v>1132</v>
      </c>
      <c r="I2361" s="2" t="s">
        <v>2650</v>
      </c>
      <c r="J2361" s="2" t="s">
        <v>892</v>
      </c>
      <c r="K2361" s="2" t="s">
        <v>7802</v>
      </c>
      <c r="L2361" s="3">
        <v>214.2</v>
      </c>
      <c r="M2361" s="3">
        <v>224.91</v>
      </c>
      <c r="N2361" s="3">
        <v>449</v>
      </c>
      <c r="O2361" s="2" t="s">
        <v>245</v>
      </c>
      <c r="P2361" s="2" t="s">
        <v>311</v>
      </c>
      <c r="Q2361" s="2" t="s">
        <v>239</v>
      </c>
      <c r="R2361" s="2" t="s">
        <v>233</v>
      </c>
      <c r="S2361" s="2" t="s">
        <v>233</v>
      </c>
      <c r="T2361" s="2" t="s">
        <v>233</v>
      </c>
      <c r="U2361" s="2" t="s">
        <v>396</v>
      </c>
      <c r="V2361" s="2" t="s">
        <v>893</v>
      </c>
      <c r="W2361" s="2" t="s">
        <v>977</v>
      </c>
      <c r="X2361" s="2" t="s">
        <v>451</v>
      </c>
      <c r="Y2361" s="2" t="s">
        <v>10493</v>
      </c>
      <c r="Z2361" s="4">
        <v>19</v>
      </c>
      <c r="AA2361" s="4">
        <f>=ROUNDDOWN(7.6,0)</f>
      </c>
      <c r="AB2361" s="5">
        <v>2.5</v>
      </c>
      <c r="AC2361" s="2" t="s">
        <v>233</v>
      </c>
      <c r="AD2361" s="4"/>
      <c r="AE2361" s="4"/>
      <c r="AF2361" s="6">
        <v>65</v>
      </c>
      <c r="AG2361" s="6">
        <v>48</v>
      </c>
      <c r="AH2361" s="7">
        <v>1</v>
      </c>
      <c r="AI2361" s="4"/>
      <c r="AJ2361" s="4">
        <f>=ROUNDDOWN({0},0)</f>
      </c>
      <c r="AK2361" s="5"/>
      <c r="AL2361" s="2" t="s">
        <v>233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/>
      <c r="BD2361" s="8"/>
      <c r="BE2361" s="4"/>
      <c r="BF2361" s="8"/>
      <c r="BG2361" s="7"/>
      <c r="BH2361" s="7"/>
      <c r="BI2361" s="7"/>
      <c r="BJ2361" s="4">
        <v>5</v>
      </c>
      <c r="BK2361" s="8">
        <v>1038</v>
      </c>
      <c r="BL2361" s="2" t="s">
        <v>10494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10495</v>
      </c>
      <c r="BV2361" s="2" t="s">
        <v>233</v>
      </c>
      <c r="BW2361" s="2" t="s">
        <v>233</v>
      </c>
      <c r="BX2361" s="2" t="s">
        <v>243</v>
      </c>
      <c r="BY2361" s="2" t="s">
        <v>280</v>
      </c>
      <c r="BZ2361" s="2" t="s">
        <v>245</v>
      </c>
      <c r="CA2361" s="2" t="s">
        <v>10496</v>
      </c>
      <c r="CB2361" s="2" t="s">
        <v>8475</v>
      </c>
      <c r="CC2361" s="2" t="s">
        <v>246</v>
      </c>
      <c r="CD2361" s="2" t="s">
        <v>233</v>
      </c>
      <c r="CE2361" s="4"/>
      <c r="CF2361" s="4">
        <v>19</v>
      </c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/>
      <c r="HD2361" s="4"/>
      <c r="HE2361" s="4"/>
      <c r="HF2361" s="4"/>
      <c r="HG2361" s="4"/>
      <c r="HH2361" s="4"/>
      <c r="HI2361" s="4"/>
      <c r="HJ2361" s="4"/>
      <c r="HK2361" s="4"/>
      <c r="HL2361" s="4"/>
      <c r="HM2361" s="4"/>
      <c r="HN2361" s="4"/>
      <c r="HO2361" s="4"/>
      <c r="HP2361" s="4"/>
      <c r="HQ2361" s="4"/>
      <c r="HR2361" s="4"/>
    </row>
    <row r="2362">
      <c r="A2362" s="2" t="s">
        <v>10497</v>
      </c>
      <c r="B2362" s="2" t="s">
        <v>1066</v>
      </c>
      <c r="C2362" s="2" t="s">
        <v>530</v>
      </c>
      <c r="D2362" s="2" t="s">
        <v>1919</v>
      </c>
      <c r="E2362" s="2" t="s">
        <v>1920</v>
      </c>
      <c r="F2362" s="2" t="s">
        <v>10498</v>
      </c>
      <c r="G2362" s="2" t="s">
        <v>10499</v>
      </c>
      <c r="H2362" s="2" t="s">
        <v>10500</v>
      </c>
      <c r="I2362" s="2" t="s">
        <v>1920</v>
      </c>
      <c r="J2362" s="2" t="s">
        <v>892</v>
      </c>
      <c r="K2362" s="2" t="s">
        <v>1191</v>
      </c>
      <c r="L2362" s="3">
        <v>128.7</v>
      </c>
      <c r="M2362" s="3">
        <v>135.14</v>
      </c>
      <c r="N2362" s="3">
        <v>279</v>
      </c>
      <c r="O2362" s="2" t="s">
        <v>245</v>
      </c>
      <c r="P2362" s="2" t="s">
        <v>272</v>
      </c>
      <c r="Q2362" s="2" t="s">
        <v>239</v>
      </c>
      <c r="R2362" s="2" t="s">
        <v>233</v>
      </c>
      <c r="S2362" s="2" t="s">
        <v>10501</v>
      </c>
      <c r="T2362" s="2" t="s">
        <v>233</v>
      </c>
      <c r="U2362" s="2" t="s">
        <v>233</v>
      </c>
      <c r="V2362" s="2" t="s">
        <v>241</v>
      </c>
      <c r="W2362" s="2" t="s">
        <v>451</v>
      </c>
      <c r="X2362" s="2" t="s">
        <v>233</v>
      </c>
      <c r="Y2362" s="2" t="s">
        <v>3182</v>
      </c>
      <c r="Z2362" s="4">
        <v>144</v>
      </c>
      <c r="AA2362" s="4">
        <f>=ROUNDDOWN(24,0)</f>
      </c>
      <c r="AB2362" s="5">
        <v>6</v>
      </c>
      <c r="AC2362" s="2" t="s">
        <v>1821</v>
      </c>
      <c r="AD2362" s="4">
        <v>100</v>
      </c>
      <c r="AE2362" s="4">
        <v>100</v>
      </c>
      <c r="AF2362" s="6">
        <v>65</v>
      </c>
      <c r="AG2362" s="6">
        <v>48</v>
      </c>
      <c r="AH2362" s="7">
        <v>1</v>
      </c>
      <c r="AI2362" s="4"/>
      <c r="AJ2362" s="4">
        <f>=ROUNDDOWN({0},0)</f>
      </c>
      <c r="AK2362" s="5"/>
      <c r="AL2362" s="2" t="s">
        <v>233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/>
      <c r="BD2362" s="8"/>
      <c r="BE2362" s="4"/>
      <c r="BF2362" s="8"/>
      <c r="BG2362" s="7"/>
      <c r="BH2362" s="7"/>
      <c r="BI2362" s="7"/>
      <c r="BJ2362" s="4">
        <v>13</v>
      </c>
      <c r="BK2362" s="8">
        <v>2170.95</v>
      </c>
      <c r="BL2362" s="2" t="s">
        <v>10502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10503</v>
      </c>
      <c r="BV2362" s="2" t="s">
        <v>233</v>
      </c>
      <c r="BW2362" s="2" t="s">
        <v>233</v>
      </c>
      <c r="BX2362" s="2" t="s">
        <v>233</v>
      </c>
      <c r="BY2362" s="2" t="s">
        <v>280</v>
      </c>
      <c r="BZ2362" s="2" t="s">
        <v>245</v>
      </c>
      <c r="CA2362" s="2" t="s">
        <v>10504</v>
      </c>
      <c r="CB2362" s="2" t="s">
        <v>10505</v>
      </c>
      <c r="CC2362" s="2" t="s">
        <v>246</v>
      </c>
      <c r="CD2362" s="2" t="s">
        <v>233</v>
      </c>
      <c r="CE2362" s="4"/>
      <c r="CF2362" s="4">
        <v>144</v>
      </c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>
        <v>100</v>
      </c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  <c r="HF2362" s="4"/>
      <c r="HG2362" s="4"/>
      <c r="HH2362" s="4"/>
      <c r="HI2362" s="4"/>
      <c r="HJ2362" s="4"/>
      <c r="HK2362" s="4"/>
      <c r="HL2362" s="4"/>
      <c r="HM2362" s="4"/>
      <c r="HN2362" s="4"/>
      <c r="HO2362" s="4"/>
      <c r="HP2362" s="4"/>
      <c r="HQ2362" s="4"/>
      <c r="HR2362" s="4"/>
    </row>
    <row r="2363">
      <c r="A2363" s="2" t="s">
        <v>10506</v>
      </c>
      <c r="B2363" s="2" t="s">
        <v>1174</v>
      </c>
      <c r="C2363" s="2" t="s">
        <v>530</v>
      </c>
      <c r="D2363" s="2" t="s">
        <v>1175</v>
      </c>
      <c r="E2363" s="2" t="s">
        <v>2069</v>
      </c>
      <c r="F2363" s="2" t="s">
        <v>10507</v>
      </c>
      <c r="G2363" s="2" t="s">
        <v>10508</v>
      </c>
      <c r="H2363" s="2" t="s">
        <v>10509</v>
      </c>
      <c r="I2363" s="2" t="s">
        <v>10510</v>
      </c>
      <c r="J2363" s="2" t="s">
        <v>1490</v>
      </c>
      <c r="K2363" s="2" t="s">
        <v>552</v>
      </c>
      <c r="L2363" s="3">
        <v>15.75</v>
      </c>
      <c r="M2363" s="3">
        <v>16.54</v>
      </c>
      <c r="N2363" s="3">
        <v>34.99</v>
      </c>
      <c r="O2363" s="2" t="s">
        <v>245</v>
      </c>
      <c r="P2363" s="2" t="s">
        <v>311</v>
      </c>
      <c r="Q2363" s="2" t="s">
        <v>239</v>
      </c>
      <c r="R2363" s="2" t="s">
        <v>233</v>
      </c>
      <c r="S2363" s="2" t="s">
        <v>10511</v>
      </c>
      <c r="T2363" s="2" t="s">
        <v>233</v>
      </c>
      <c r="U2363" s="2" t="s">
        <v>396</v>
      </c>
      <c r="V2363" s="2" t="s">
        <v>1272</v>
      </c>
      <c r="W2363" s="2" t="s">
        <v>451</v>
      </c>
      <c r="X2363" s="2" t="s">
        <v>397</v>
      </c>
      <c r="Y2363" s="2" t="s">
        <v>5734</v>
      </c>
      <c r="Z2363" s="4">
        <v>78</v>
      </c>
      <c r="AA2363" s="4">
        <f>=ROUNDDOWN(45.8823529411765,0)</f>
      </c>
      <c r="AB2363" s="5">
        <v>1.7</v>
      </c>
      <c r="AC2363" s="2" t="s">
        <v>233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233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 t="s">
        <v>233</v>
      </c>
      <c r="AW2363" s="8" t="s">
        <v>233</v>
      </c>
      <c r="AX2363" s="4" t="s">
        <v>233</v>
      </c>
      <c r="AY2363" s="8" t="s">
        <v>233</v>
      </c>
      <c r="AZ2363" s="7" t="s">
        <v>233</v>
      </c>
      <c r="BA2363" s="7" t="s">
        <v>233</v>
      </c>
      <c r="BB2363" s="7" t="s">
        <v>233</v>
      </c>
      <c r="BC2363" s="4" t="s">
        <v>233</v>
      </c>
      <c r="BD2363" s="8" t="s">
        <v>233</v>
      </c>
      <c r="BE2363" s="4" t="s">
        <v>233</v>
      </c>
      <c r="BF2363" s="8" t="s">
        <v>233</v>
      </c>
      <c r="BG2363" s="7" t="s">
        <v>233</v>
      </c>
      <c r="BH2363" s="7" t="s">
        <v>233</v>
      </c>
      <c r="BI2363" s="7"/>
      <c r="BJ2363" s="4">
        <v>6</v>
      </c>
      <c r="BK2363" s="8">
        <v>96.86</v>
      </c>
      <c r="BL2363" s="2" t="s">
        <v>10512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10513</v>
      </c>
      <c r="BV2363" s="2" t="s">
        <v>233</v>
      </c>
      <c r="BW2363" s="2" t="s">
        <v>233</v>
      </c>
      <c r="BX2363" s="2" t="s">
        <v>233</v>
      </c>
      <c r="BY2363" s="2" t="s">
        <v>280</v>
      </c>
      <c r="BZ2363" s="2" t="s">
        <v>245</v>
      </c>
      <c r="CA2363" s="2" t="s">
        <v>2059</v>
      </c>
      <c r="CB2363" s="2" t="s">
        <v>3746</v>
      </c>
      <c r="CC2363" s="2" t="s">
        <v>246</v>
      </c>
      <c r="CD2363" s="2" t="s">
        <v>233</v>
      </c>
      <c r="CE2363" s="4">
        <v>78</v>
      </c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/>
      <c r="GG2363" s="4"/>
      <c r="GH2363" s="4"/>
      <c r="GI2363" s="4"/>
      <c r="GJ2363" s="4"/>
      <c r="GK2363" s="4"/>
      <c r="GL2363" s="4"/>
      <c r="GM2363" s="4"/>
      <c r="GN2363" s="4"/>
      <c r="GO2363" s="4"/>
      <c r="GP2363" s="4"/>
      <c r="GQ2363" s="4"/>
      <c r="GR2363" s="4"/>
      <c r="GS2363" s="4"/>
      <c r="GT2363" s="4"/>
      <c r="GU2363" s="4"/>
      <c r="GV2363" s="4"/>
      <c r="GW2363" s="4"/>
      <c r="GX2363" s="4"/>
      <c r="GY2363" s="4"/>
      <c r="GZ2363" s="4"/>
      <c r="HA2363" s="4"/>
      <c r="HB2363" s="4"/>
      <c r="HC2363" s="4"/>
      <c r="HD2363" s="4"/>
      <c r="HE2363" s="4"/>
      <c r="HF2363" s="4"/>
      <c r="HG2363" s="4"/>
      <c r="HH2363" s="4"/>
      <c r="HI2363" s="4"/>
      <c r="HJ2363" s="4"/>
      <c r="HK2363" s="4"/>
      <c r="HL2363" s="4"/>
      <c r="HM2363" s="4"/>
      <c r="HN2363" s="4"/>
      <c r="HO2363" s="4"/>
      <c r="HP2363" s="4"/>
      <c r="HQ2363" s="4"/>
      <c r="HR2363" s="4"/>
    </row>
    <row r="2364">
      <c r="A2364" s="2" t="s">
        <v>10514</v>
      </c>
      <c r="B2364" s="2" t="s">
        <v>1174</v>
      </c>
      <c r="C2364" s="2" t="s">
        <v>530</v>
      </c>
      <c r="D2364" s="2" t="s">
        <v>1175</v>
      </c>
      <c r="E2364" s="2" t="s">
        <v>2069</v>
      </c>
      <c r="F2364" s="2" t="s">
        <v>10507</v>
      </c>
      <c r="G2364" s="2" t="s">
        <v>10508</v>
      </c>
      <c r="H2364" s="2" t="s">
        <v>10509</v>
      </c>
      <c r="I2364" s="2" t="s">
        <v>10515</v>
      </c>
      <c r="J2364" s="2" t="s">
        <v>1490</v>
      </c>
      <c r="K2364" s="2" t="s">
        <v>552</v>
      </c>
      <c r="L2364" s="3">
        <v>13.2</v>
      </c>
      <c r="M2364" s="3">
        <v>13.86</v>
      </c>
      <c r="N2364" s="3">
        <v>32.99</v>
      </c>
      <c r="O2364" s="2" t="s">
        <v>245</v>
      </c>
      <c r="P2364" s="2" t="s">
        <v>311</v>
      </c>
      <c r="Q2364" s="2" t="s">
        <v>239</v>
      </c>
      <c r="R2364" s="2" t="s">
        <v>233</v>
      </c>
      <c r="S2364" s="2" t="s">
        <v>10511</v>
      </c>
      <c r="T2364" s="2" t="s">
        <v>233</v>
      </c>
      <c r="U2364" s="2" t="s">
        <v>396</v>
      </c>
      <c r="V2364" s="2" t="s">
        <v>1272</v>
      </c>
      <c r="W2364" s="2" t="s">
        <v>451</v>
      </c>
      <c r="X2364" s="2" t="s">
        <v>397</v>
      </c>
      <c r="Y2364" s="2" t="s">
        <v>5734</v>
      </c>
      <c r="Z2364" s="4">
        <v>19</v>
      </c>
      <c r="AA2364" s="4">
        <f>=ROUNDDOWN(9.5,0)</f>
      </c>
      <c r="AB2364" s="5">
        <v>2</v>
      </c>
      <c r="AC2364" s="2" t="s">
        <v>1107</v>
      </c>
      <c r="AD2364" s="4">
        <v>32</v>
      </c>
      <c r="AE2364" s="4">
        <v>32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233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 t="s">
        <v>233</v>
      </c>
      <c r="AW2364" s="8" t="s">
        <v>233</v>
      </c>
      <c r="AX2364" s="4" t="s">
        <v>233</v>
      </c>
      <c r="AY2364" s="8" t="s">
        <v>233</v>
      </c>
      <c r="AZ2364" s="7" t="s">
        <v>233</v>
      </c>
      <c r="BA2364" s="7" t="s">
        <v>233</v>
      </c>
      <c r="BB2364" s="7" t="s">
        <v>233</v>
      </c>
      <c r="BC2364" s="4" t="s">
        <v>233</v>
      </c>
      <c r="BD2364" s="8" t="s">
        <v>233</v>
      </c>
      <c r="BE2364" s="4" t="s">
        <v>233</v>
      </c>
      <c r="BF2364" s="8" t="s">
        <v>233</v>
      </c>
      <c r="BG2364" s="7" t="s">
        <v>233</v>
      </c>
      <c r="BH2364" s="7" t="s">
        <v>233</v>
      </c>
      <c r="BI2364" s="7"/>
      <c r="BJ2364" s="4">
        <v>5</v>
      </c>
      <c r="BK2364" s="8">
        <v>66.69</v>
      </c>
      <c r="BL2364" s="2" t="s">
        <v>5176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10516</v>
      </c>
      <c r="BV2364" s="2" t="s">
        <v>233</v>
      </c>
      <c r="BW2364" s="2" t="s">
        <v>233</v>
      </c>
      <c r="BX2364" s="2" t="s">
        <v>233</v>
      </c>
      <c r="BY2364" s="2" t="s">
        <v>280</v>
      </c>
      <c r="BZ2364" s="2" t="s">
        <v>245</v>
      </c>
      <c r="CA2364" s="2" t="s">
        <v>2059</v>
      </c>
      <c r="CB2364" s="2" t="s">
        <v>2423</v>
      </c>
      <c r="CC2364" s="2" t="s">
        <v>246</v>
      </c>
      <c r="CD2364" s="2" t="s">
        <v>233</v>
      </c>
      <c r="CE2364" s="4">
        <v>19</v>
      </c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>
        <v>32</v>
      </c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4"/>
      <c r="HE2364" s="4"/>
      <c r="HF2364" s="4"/>
      <c r="HG2364" s="4"/>
      <c r="HH2364" s="4"/>
      <c r="HI2364" s="4"/>
      <c r="HJ2364" s="4"/>
      <c r="HK2364" s="4"/>
      <c r="HL2364" s="4"/>
      <c r="HM2364" s="4"/>
      <c r="HN2364" s="4"/>
      <c r="HO2364" s="4"/>
      <c r="HP2364" s="4"/>
      <c r="HQ2364" s="4"/>
      <c r="HR2364" s="4"/>
    </row>
    <row r="2365">
      <c r="A2365" s="2" t="s">
        <v>10517</v>
      </c>
      <c r="B2365" s="2" t="s">
        <v>1174</v>
      </c>
      <c r="C2365" s="2" t="s">
        <v>530</v>
      </c>
      <c r="D2365" s="2" t="s">
        <v>1175</v>
      </c>
      <c r="E2365" s="2" t="s">
        <v>2069</v>
      </c>
      <c r="F2365" s="2" t="s">
        <v>10507</v>
      </c>
      <c r="G2365" s="2" t="s">
        <v>10508</v>
      </c>
      <c r="H2365" s="2" t="s">
        <v>10509</v>
      </c>
      <c r="I2365" s="2" t="s">
        <v>10510</v>
      </c>
      <c r="J2365" s="2" t="s">
        <v>1524</v>
      </c>
      <c r="K2365" s="2" t="s">
        <v>255</v>
      </c>
      <c r="L2365" s="3">
        <v>13.5</v>
      </c>
      <c r="M2365" s="3">
        <v>14.18</v>
      </c>
      <c r="N2365" s="3">
        <v>29.99</v>
      </c>
      <c r="O2365" s="2" t="s">
        <v>245</v>
      </c>
      <c r="P2365" s="2" t="s">
        <v>311</v>
      </c>
      <c r="Q2365" s="2" t="s">
        <v>239</v>
      </c>
      <c r="R2365" s="2" t="s">
        <v>233</v>
      </c>
      <c r="S2365" s="2" t="s">
        <v>10518</v>
      </c>
      <c r="T2365" s="2" t="s">
        <v>233</v>
      </c>
      <c r="U2365" s="2" t="s">
        <v>396</v>
      </c>
      <c r="V2365" s="2" t="s">
        <v>1272</v>
      </c>
      <c r="W2365" s="2" t="s">
        <v>451</v>
      </c>
      <c r="X2365" s="2" t="s">
        <v>397</v>
      </c>
      <c r="Y2365" s="2" t="s">
        <v>1349</v>
      </c>
      <c r="Z2365" s="4">
        <v>292</v>
      </c>
      <c r="AA2365" s="4">
        <f>=ROUNDDOWN(17.1764705882353,0)</f>
      </c>
      <c r="AB2365" s="5">
        <v>17</v>
      </c>
      <c r="AC2365" s="2" t="s">
        <v>233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233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233</v>
      </c>
      <c r="AW2365" s="8" t="s">
        <v>233</v>
      </c>
      <c r="AX2365" s="4" t="s">
        <v>233</v>
      </c>
      <c r="AY2365" s="8" t="s">
        <v>233</v>
      </c>
      <c r="AZ2365" s="7" t="s">
        <v>233</v>
      </c>
      <c r="BA2365" s="7" t="s">
        <v>233</v>
      </c>
      <c r="BB2365" s="7"/>
      <c r="BC2365" s="4" t="s">
        <v>233</v>
      </c>
      <c r="BD2365" s="8" t="s">
        <v>233</v>
      </c>
      <c r="BE2365" s="4" t="s">
        <v>233</v>
      </c>
      <c r="BF2365" s="8" t="s">
        <v>233</v>
      </c>
      <c r="BG2365" s="7" t="s">
        <v>233</v>
      </c>
      <c r="BH2365" s="7" t="s">
        <v>233</v>
      </c>
      <c r="BI2365" s="7"/>
      <c r="BJ2365" s="4">
        <v>39</v>
      </c>
      <c r="BK2365" s="8">
        <v>571.31</v>
      </c>
      <c r="BL2365" s="2" t="s">
        <v>10519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10520</v>
      </c>
      <c r="BV2365" s="2" t="s">
        <v>233</v>
      </c>
      <c r="BW2365" s="2" t="s">
        <v>233</v>
      </c>
      <c r="BX2365" s="2" t="s">
        <v>233</v>
      </c>
      <c r="BY2365" s="2" t="s">
        <v>280</v>
      </c>
      <c r="BZ2365" s="2" t="s">
        <v>245</v>
      </c>
      <c r="CA2365" s="2" t="s">
        <v>10521</v>
      </c>
      <c r="CB2365" s="2" t="s">
        <v>10522</v>
      </c>
      <c r="CC2365" s="2" t="s">
        <v>246</v>
      </c>
      <c r="CD2365" s="2" t="s">
        <v>233</v>
      </c>
      <c r="CE2365" s="4">
        <v>292</v>
      </c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/>
      <c r="GH2365" s="4"/>
      <c r="GI2365" s="4"/>
      <c r="GJ2365" s="4"/>
      <c r="GK2365" s="4"/>
      <c r="GL2365" s="4"/>
      <c r="GM2365" s="4"/>
      <c r="GN2365" s="4"/>
      <c r="GO2365" s="4"/>
      <c r="GP2365" s="4"/>
      <c r="GQ2365" s="4"/>
      <c r="GR2365" s="4"/>
      <c r="GS2365" s="4"/>
      <c r="GT2365" s="4"/>
      <c r="GU2365" s="4"/>
      <c r="GV2365" s="4"/>
      <c r="GW2365" s="4"/>
      <c r="GX2365" s="4"/>
      <c r="GY2365" s="4"/>
      <c r="GZ2365" s="4"/>
      <c r="HA2365" s="4"/>
      <c r="HB2365" s="4"/>
      <c r="HC2365" s="4"/>
      <c r="HD2365" s="4"/>
      <c r="HE2365" s="4"/>
      <c r="HF2365" s="4"/>
      <c r="HG2365" s="4"/>
      <c r="HH2365" s="4"/>
      <c r="HI2365" s="4"/>
      <c r="HJ2365" s="4"/>
      <c r="HK2365" s="4"/>
      <c r="HL2365" s="4"/>
      <c r="HM2365" s="4"/>
      <c r="HN2365" s="4"/>
      <c r="HO2365" s="4"/>
      <c r="HP2365" s="4"/>
      <c r="HQ2365" s="4"/>
      <c r="HR2365" s="4"/>
    </row>
    <row r="2366">
      <c r="A2366" s="2" t="s">
        <v>10523</v>
      </c>
      <c r="B2366" s="2" t="s">
        <v>1174</v>
      </c>
      <c r="C2366" s="2" t="s">
        <v>530</v>
      </c>
      <c r="D2366" s="2" t="s">
        <v>1175</v>
      </c>
      <c r="E2366" s="2" t="s">
        <v>2069</v>
      </c>
      <c r="F2366" s="2" t="s">
        <v>10507</v>
      </c>
      <c r="G2366" s="2" t="s">
        <v>10508</v>
      </c>
      <c r="H2366" s="2" t="s">
        <v>10509</v>
      </c>
      <c r="I2366" s="2" t="s">
        <v>10510</v>
      </c>
      <c r="J2366" s="2" t="s">
        <v>1490</v>
      </c>
      <c r="K2366" s="2" t="s">
        <v>255</v>
      </c>
      <c r="L2366" s="3">
        <v>15.75</v>
      </c>
      <c r="M2366" s="3">
        <v>16.54</v>
      </c>
      <c r="N2366" s="3">
        <v>34.99</v>
      </c>
      <c r="O2366" s="2" t="s">
        <v>245</v>
      </c>
      <c r="P2366" s="2" t="s">
        <v>311</v>
      </c>
      <c r="Q2366" s="2" t="s">
        <v>239</v>
      </c>
      <c r="R2366" s="2" t="s">
        <v>233</v>
      </c>
      <c r="S2366" s="2" t="s">
        <v>10518</v>
      </c>
      <c r="T2366" s="2" t="s">
        <v>233</v>
      </c>
      <c r="U2366" s="2" t="s">
        <v>396</v>
      </c>
      <c r="V2366" s="2" t="s">
        <v>1272</v>
      </c>
      <c r="W2366" s="2" t="s">
        <v>451</v>
      </c>
      <c r="X2366" s="2" t="s">
        <v>397</v>
      </c>
      <c r="Y2366" s="2" t="s">
        <v>1349</v>
      </c>
      <c r="Z2366" s="4">
        <v>100</v>
      </c>
      <c r="AA2366" s="4">
        <f>=ROUNDDOWN(100,0)</f>
      </c>
      <c r="AB2366" s="5">
        <v>1</v>
      </c>
      <c r="AC2366" s="2" t="s">
        <v>233</v>
      </c>
      <c r="AD2366" s="4"/>
      <c r="AE2366" s="4"/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233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 t="s">
        <v>233</v>
      </c>
      <c r="AW2366" s="8" t="s">
        <v>233</v>
      </c>
      <c r="AX2366" s="4" t="s">
        <v>233</v>
      </c>
      <c r="AY2366" s="8" t="s">
        <v>233</v>
      </c>
      <c r="AZ2366" s="7" t="s">
        <v>233</v>
      </c>
      <c r="BA2366" s="7" t="s">
        <v>233</v>
      </c>
      <c r="BB2366" s="7"/>
      <c r="BC2366" s="4" t="s">
        <v>233</v>
      </c>
      <c r="BD2366" s="8" t="s">
        <v>233</v>
      </c>
      <c r="BE2366" s="4" t="s">
        <v>233</v>
      </c>
      <c r="BF2366" s="8" t="s">
        <v>233</v>
      </c>
      <c r="BG2366" s="7" t="s">
        <v>233</v>
      </c>
      <c r="BH2366" s="7" t="s">
        <v>233</v>
      </c>
      <c r="BI2366" s="7"/>
      <c r="BJ2366" s="4">
        <v>4</v>
      </c>
      <c r="BK2366" s="8">
        <v>69.88</v>
      </c>
      <c r="BL2366" s="2" t="s">
        <v>3668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10524</v>
      </c>
      <c r="BV2366" s="2" t="s">
        <v>233</v>
      </c>
      <c r="BW2366" s="2" t="s">
        <v>233</v>
      </c>
      <c r="BX2366" s="2" t="s">
        <v>233</v>
      </c>
      <c r="BY2366" s="2" t="s">
        <v>280</v>
      </c>
      <c r="BZ2366" s="2" t="s">
        <v>245</v>
      </c>
      <c r="CA2366" s="2" t="s">
        <v>10521</v>
      </c>
      <c r="CB2366" s="2" t="s">
        <v>10525</v>
      </c>
      <c r="CC2366" s="2" t="s">
        <v>246</v>
      </c>
      <c r="CD2366" s="2" t="s">
        <v>233</v>
      </c>
      <c r="CE2366" s="4">
        <v>100</v>
      </c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/>
      <c r="GH2366" s="4"/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4"/>
      <c r="HE2366" s="4"/>
      <c r="HF2366" s="4"/>
      <c r="HG2366" s="4"/>
      <c r="HH2366" s="4"/>
      <c r="HI2366" s="4"/>
      <c r="HJ2366" s="4"/>
      <c r="HK2366" s="4"/>
      <c r="HL2366" s="4"/>
      <c r="HM2366" s="4"/>
      <c r="HN2366" s="4"/>
      <c r="HO2366" s="4"/>
      <c r="HP2366" s="4"/>
      <c r="HQ2366" s="4"/>
      <c r="HR2366" s="4"/>
    </row>
    <row r="2367">
      <c r="A2367" s="2" t="s">
        <v>10526</v>
      </c>
      <c r="B2367" s="2" t="s">
        <v>1174</v>
      </c>
      <c r="C2367" s="2" t="s">
        <v>530</v>
      </c>
      <c r="D2367" s="2" t="s">
        <v>1175</v>
      </c>
      <c r="E2367" s="2" t="s">
        <v>2069</v>
      </c>
      <c r="F2367" s="2" t="s">
        <v>10507</v>
      </c>
      <c r="G2367" s="2" t="s">
        <v>10508</v>
      </c>
      <c r="H2367" s="2" t="s">
        <v>10509</v>
      </c>
      <c r="I2367" s="2" t="s">
        <v>10510</v>
      </c>
      <c r="J2367" s="2" t="s">
        <v>1524</v>
      </c>
      <c r="K2367" s="2" t="s">
        <v>257</v>
      </c>
      <c r="L2367" s="3">
        <v>13.5</v>
      </c>
      <c r="M2367" s="3">
        <v>14.18</v>
      </c>
      <c r="N2367" s="3">
        <v>29.99</v>
      </c>
      <c r="O2367" s="2" t="s">
        <v>245</v>
      </c>
      <c r="P2367" s="2" t="s">
        <v>311</v>
      </c>
      <c r="Q2367" s="2" t="s">
        <v>239</v>
      </c>
      <c r="R2367" s="2" t="s">
        <v>233</v>
      </c>
      <c r="S2367" s="2" t="s">
        <v>10527</v>
      </c>
      <c r="T2367" s="2" t="s">
        <v>233</v>
      </c>
      <c r="U2367" s="2" t="s">
        <v>396</v>
      </c>
      <c r="V2367" s="2" t="s">
        <v>1272</v>
      </c>
      <c r="W2367" s="2" t="s">
        <v>451</v>
      </c>
      <c r="X2367" s="2" t="s">
        <v>397</v>
      </c>
      <c r="Y2367" s="2" t="s">
        <v>1349</v>
      </c>
      <c r="Z2367" s="4">
        <v>152</v>
      </c>
      <c r="AA2367" s="4">
        <f>=ROUNDDOWN(30.4,0)</f>
      </c>
      <c r="AB2367" s="5">
        <v>5</v>
      </c>
      <c r="AC2367" s="2" t="s">
        <v>233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233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 t="s">
        <v>233</v>
      </c>
      <c r="AW2367" s="8" t="s">
        <v>233</v>
      </c>
      <c r="AX2367" s="4" t="s">
        <v>233</v>
      </c>
      <c r="AY2367" s="8" t="s">
        <v>233</v>
      </c>
      <c r="AZ2367" s="7" t="s">
        <v>233</v>
      </c>
      <c r="BA2367" s="7" t="s">
        <v>233</v>
      </c>
      <c r="BB2367" s="7" t="s">
        <v>233</v>
      </c>
      <c r="BC2367" s="4" t="s">
        <v>233</v>
      </c>
      <c r="BD2367" s="8" t="s">
        <v>233</v>
      </c>
      <c r="BE2367" s="4" t="s">
        <v>233</v>
      </c>
      <c r="BF2367" s="8" t="s">
        <v>233</v>
      </c>
      <c r="BG2367" s="7" t="s">
        <v>233</v>
      </c>
      <c r="BH2367" s="7" t="s">
        <v>233</v>
      </c>
      <c r="BI2367" s="7"/>
      <c r="BJ2367" s="4">
        <v>13</v>
      </c>
      <c r="BK2367" s="8">
        <v>116.25</v>
      </c>
      <c r="BL2367" s="2" t="s">
        <v>10528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10529</v>
      </c>
      <c r="BV2367" s="2" t="s">
        <v>233</v>
      </c>
      <c r="BW2367" s="2" t="s">
        <v>233</v>
      </c>
      <c r="BX2367" s="2" t="s">
        <v>233</v>
      </c>
      <c r="BY2367" s="2" t="s">
        <v>280</v>
      </c>
      <c r="BZ2367" s="2" t="s">
        <v>245</v>
      </c>
      <c r="CA2367" s="2" t="s">
        <v>10521</v>
      </c>
      <c r="CB2367" s="2" t="s">
        <v>7837</v>
      </c>
      <c r="CC2367" s="2" t="s">
        <v>246</v>
      </c>
      <c r="CD2367" s="2" t="s">
        <v>233</v>
      </c>
      <c r="CE2367" s="4">
        <v>152</v>
      </c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/>
      <c r="GH2367" s="4"/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4"/>
      <c r="HE2367" s="4"/>
      <c r="HF2367" s="4"/>
      <c r="HG2367" s="4"/>
      <c r="HH2367" s="4"/>
      <c r="HI2367" s="4"/>
      <c r="HJ2367" s="4"/>
      <c r="HK2367" s="4"/>
      <c r="HL2367" s="4"/>
      <c r="HM2367" s="4"/>
      <c r="HN2367" s="4"/>
      <c r="HO2367" s="4"/>
      <c r="HP2367" s="4"/>
      <c r="HQ2367" s="4"/>
      <c r="HR2367" s="4"/>
    </row>
    <row r="2368">
      <c r="A2368" s="2" t="s">
        <v>10530</v>
      </c>
      <c r="B2368" s="2" t="s">
        <v>1174</v>
      </c>
      <c r="C2368" s="2" t="s">
        <v>530</v>
      </c>
      <c r="D2368" s="2" t="s">
        <v>1175</v>
      </c>
      <c r="E2368" s="2" t="s">
        <v>2069</v>
      </c>
      <c r="F2368" s="2" t="s">
        <v>10507</v>
      </c>
      <c r="G2368" s="2" t="s">
        <v>10508</v>
      </c>
      <c r="H2368" s="2" t="s">
        <v>10509</v>
      </c>
      <c r="I2368" s="2" t="s">
        <v>10515</v>
      </c>
      <c r="J2368" s="2" t="s">
        <v>1524</v>
      </c>
      <c r="K2368" s="2" t="s">
        <v>257</v>
      </c>
      <c r="L2368" s="3">
        <v>11.34</v>
      </c>
      <c r="M2368" s="3">
        <v>11.91</v>
      </c>
      <c r="N2368" s="3">
        <v>26.99</v>
      </c>
      <c r="O2368" s="2" t="s">
        <v>245</v>
      </c>
      <c r="P2368" s="2" t="s">
        <v>311</v>
      </c>
      <c r="Q2368" s="2" t="s">
        <v>239</v>
      </c>
      <c r="R2368" s="2" t="s">
        <v>233</v>
      </c>
      <c r="S2368" s="2" t="s">
        <v>10527</v>
      </c>
      <c r="T2368" s="2" t="s">
        <v>233</v>
      </c>
      <c r="U2368" s="2" t="s">
        <v>396</v>
      </c>
      <c r="V2368" s="2" t="s">
        <v>1272</v>
      </c>
      <c r="W2368" s="2" t="s">
        <v>451</v>
      </c>
      <c r="X2368" s="2" t="s">
        <v>397</v>
      </c>
      <c r="Y2368" s="2" t="s">
        <v>1349</v>
      </c>
      <c r="Z2368" s="4">
        <v>136</v>
      </c>
      <c r="AA2368" s="4">
        <f>=ROUNDDOWN(22.6666666666667,0)</f>
      </c>
      <c r="AB2368" s="5">
        <v>6</v>
      </c>
      <c r="AC2368" s="2" t="s">
        <v>233</v>
      </c>
      <c r="AD2368" s="4"/>
      <c r="AE2368" s="4"/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233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 t="s">
        <v>233</v>
      </c>
      <c r="AW2368" s="8" t="s">
        <v>233</v>
      </c>
      <c r="AX2368" s="4" t="s">
        <v>233</v>
      </c>
      <c r="AY2368" s="8" t="s">
        <v>233</v>
      </c>
      <c r="AZ2368" s="7" t="s">
        <v>233</v>
      </c>
      <c r="BA2368" s="7" t="s">
        <v>233</v>
      </c>
      <c r="BB2368" s="7" t="s">
        <v>233</v>
      </c>
      <c r="BC2368" s="4" t="s">
        <v>233</v>
      </c>
      <c r="BD2368" s="8" t="s">
        <v>233</v>
      </c>
      <c r="BE2368" s="4" t="s">
        <v>233</v>
      </c>
      <c r="BF2368" s="8" t="s">
        <v>233</v>
      </c>
      <c r="BG2368" s="7" t="s">
        <v>233</v>
      </c>
      <c r="BH2368" s="7" t="s">
        <v>233</v>
      </c>
      <c r="BI2368" s="7"/>
      <c r="BJ2368" s="4">
        <v>21</v>
      </c>
      <c r="BK2368" s="8">
        <v>209.49</v>
      </c>
      <c r="BL2368" s="2" t="s">
        <v>10531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10532</v>
      </c>
      <c r="BV2368" s="2" t="s">
        <v>233</v>
      </c>
      <c r="BW2368" s="2" t="s">
        <v>233</v>
      </c>
      <c r="BX2368" s="2" t="s">
        <v>233</v>
      </c>
      <c r="BY2368" s="2" t="s">
        <v>280</v>
      </c>
      <c r="BZ2368" s="2" t="s">
        <v>245</v>
      </c>
      <c r="CA2368" s="2" t="s">
        <v>10521</v>
      </c>
      <c r="CB2368" s="2" t="s">
        <v>3724</v>
      </c>
      <c r="CC2368" s="2" t="s">
        <v>246</v>
      </c>
      <c r="CD2368" s="2" t="s">
        <v>233</v>
      </c>
      <c r="CE2368" s="4">
        <v>136</v>
      </c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/>
      <c r="GH2368" s="4"/>
      <c r="GI2368" s="4"/>
      <c r="GJ2368" s="4"/>
      <c r="GK2368" s="4"/>
      <c r="GL2368" s="4"/>
      <c r="GM2368" s="4"/>
      <c r="GN2368" s="4"/>
      <c r="GO2368" s="4"/>
      <c r="GP2368" s="4"/>
      <c r="GQ2368" s="4"/>
      <c r="GR2368" s="4"/>
      <c r="GS2368" s="4"/>
      <c r="GT2368" s="4"/>
      <c r="GU2368" s="4"/>
      <c r="GV2368" s="4"/>
      <c r="GW2368" s="4"/>
      <c r="GX2368" s="4"/>
      <c r="GY2368" s="4"/>
      <c r="GZ2368" s="4"/>
      <c r="HA2368" s="4"/>
      <c r="HB2368" s="4"/>
      <c r="HC2368" s="4"/>
      <c r="HD2368" s="4"/>
      <c r="HE2368" s="4"/>
      <c r="HF2368" s="4"/>
      <c r="HG2368" s="4"/>
      <c r="HH2368" s="4"/>
      <c r="HI2368" s="4"/>
      <c r="HJ2368" s="4"/>
      <c r="HK2368" s="4"/>
      <c r="HL2368" s="4"/>
      <c r="HM2368" s="4"/>
      <c r="HN2368" s="4"/>
      <c r="HO2368" s="4"/>
      <c r="HP2368" s="4"/>
      <c r="HQ2368" s="4"/>
      <c r="HR2368" s="4"/>
    </row>
    <row r="2369">
      <c r="A2369" s="2" t="s">
        <v>10533</v>
      </c>
      <c r="B2369" s="2" t="s">
        <v>1174</v>
      </c>
      <c r="C2369" s="2" t="s">
        <v>530</v>
      </c>
      <c r="D2369" s="2" t="s">
        <v>1175</v>
      </c>
      <c r="E2369" s="2" t="s">
        <v>2069</v>
      </c>
      <c r="F2369" s="2" t="s">
        <v>10507</v>
      </c>
      <c r="G2369" s="2" t="s">
        <v>10508</v>
      </c>
      <c r="H2369" s="2" t="s">
        <v>10509</v>
      </c>
      <c r="I2369" s="2" t="s">
        <v>10510</v>
      </c>
      <c r="J2369" s="2" t="s">
        <v>1490</v>
      </c>
      <c r="K2369" s="2" t="s">
        <v>257</v>
      </c>
      <c r="L2369" s="3">
        <v>15.75</v>
      </c>
      <c r="M2369" s="3">
        <v>16.54</v>
      </c>
      <c r="N2369" s="3">
        <v>34.99</v>
      </c>
      <c r="O2369" s="2" t="s">
        <v>245</v>
      </c>
      <c r="P2369" s="2" t="s">
        <v>311</v>
      </c>
      <c r="Q2369" s="2" t="s">
        <v>239</v>
      </c>
      <c r="R2369" s="2" t="s">
        <v>233</v>
      </c>
      <c r="S2369" s="2" t="s">
        <v>10527</v>
      </c>
      <c r="T2369" s="2" t="s">
        <v>233</v>
      </c>
      <c r="U2369" s="2" t="s">
        <v>396</v>
      </c>
      <c r="V2369" s="2" t="s">
        <v>1272</v>
      </c>
      <c r="W2369" s="2" t="s">
        <v>451</v>
      </c>
      <c r="X2369" s="2" t="s">
        <v>397</v>
      </c>
      <c r="Y2369" s="2" t="s">
        <v>1349</v>
      </c>
      <c r="Z2369" s="4">
        <v>61</v>
      </c>
      <c r="AA2369" s="4">
        <f>=ROUNDDOWN(15.25,0)</f>
      </c>
      <c r="AB2369" s="5">
        <v>4</v>
      </c>
      <c r="AC2369" s="2" t="s">
        <v>233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233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 t="s">
        <v>233</v>
      </c>
      <c r="AW2369" s="8" t="s">
        <v>233</v>
      </c>
      <c r="AX2369" s="4" t="s">
        <v>233</v>
      </c>
      <c r="AY2369" s="8" t="s">
        <v>233</v>
      </c>
      <c r="AZ2369" s="7" t="s">
        <v>233</v>
      </c>
      <c r="BA2369" s="7" t="s">
        <v>233</v>
      </c>
      <c r="BB2369" s="7"/>
      <c r="BC2369" s="4" t="s">
        <v>233</v>
      </c>
      <c r="BD2369" s="8" t="s">
        <v>233</v>
      </c>
      <c r="BE2369" s="4" t="s">
        <v>233</v>
      </c>
      <c r="BF2369" s="8" t="s">
        <v>233</v>
      </c>
      <c r="BG2369" s="7" t="s">
        <v>233</v>
      </c>
      <c r="BH2369" s="7" t="s">
        <v>233</v>
      </c>
      <c r="BI2369" s="7"/>
      <c r="BJ2369" s="4">
        <v>19</v>
      </c>
      <c r="BK2369" s="8">
        <v>284.93</v>
      </c>
      <c r="BL2369" s="2" t="s">
        <v>10014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10534</v>
      </c>
      <c r="BV2369" s="2" t="s">
        <v>233</v>
      </c>
      <c r="BW2369" s="2" t="s">
        <v>233</v>
      </c>
      <c r="BX2369" s="2" t="s">
        <v>233</v>
      </c>
      <c r="BY2369" s="2" t="s">
        <v>280</v>
      </c>
      <c r="BZ2369" s="2" t="s">
        <v>245</v>
      </c>
      <c r="CA2369" s="2" t="s">
        <v>10521</v>
      </c>
      <c r="CB2369" s="2" t="s">
        <v>10535</v>
      </c>
      <c r="CC2369" s="2" t="s">
        <v>246</v>
      </c>
      <c r="CD2369" s="2" t="s">
        <v>233</v>
      </c>
      <c r="CE2369" s="4">
        <v>61</v>
      </c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/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/>
      <c r="GY2369" s="4"/>
      <c r="GZ2369" s="4"/>
      <c r="HA2369" s="4"/>
      <c r="HB2369" s="4"/>
      <c r="HC2369" s="4"/>
      <c r="HD2369" s="4"/>
      <c r="HE2369" s="4"/>
      <c r="HF2369" s="4"/>
      <c r="HG2369" s="4"/>
      <c r="HH2369" s="4"/>
      <c r="HI2369" s="4"/>
      <c r="HJ2369" s="4"/>
      <c r="HK2369" s="4"/>
      <c r="HL2369" s="4"/>
      <c r="HM2369" s="4"/>
      <c r="HN2369" s="4"/>
      <c r="HO2369" s="4"/>
      <c r="HP2369" s="4"/>
      <c r="HQ2369" s="4"/>
      <c r="HR2369" s="4"/>
    </row>
    <row r="2370">
      <c r="A2370" s="2" t="s">
        <v>10536</v>
      </c>
      <c r="B2370" s="2" t="s">
        <v>1174</v>
      </c>
      <c r="C2370" s="2" t="s">
        <v>530</v>
      </c>
      <c r="D2370" s="2" t="s">
        <v>1175</v>
      </c>
      <c r="E2370" s="2" t="s">
        <v>2069</v>
      </c>
      <c r="F2370" s="2" t="s">
        <v>10507</v>
      </c>
      <c r="G2370" s="2" t="s">
        <v>10508</v>
      </c>
      <c r="H2370" s="2" t="s">
        <v>10509</v>
      </c>
      <c r="I2370" s="2" t="s">
        <v>10510</v>
      </c>
      <c r="J2370" s="2" t="s">
        <v>1524</v>
      </c>
      <c r="K2370" s="2" t="s">
        <v>297</v>
      </c>
      <c r="L2370" s="3">
        <v>13.5</v>
      </c>
      <c r="M2370" s="3">
        <v>14.18</v>
      </c>
      <c r="N2370" s="3">
        <v>29.99</v>
      </c>
      <c r="O2370" s="2" t="s">
        <v>245</v>
      </c>
      <c r="P2370" s="2" t="s">
        <v>311</v>
      </c>
      <c r="Q2370" s="2" t="s">
        <v>239</v>
      </c>
      <c r="R2370" s="2" t="s">
        <v>233</v>
      </c>
      <c r="S2370" s="2" t="s">
        <v>10537</v>
      </c>
      <c r="T2370" s="2" t="s">
        <v>233</v>
      </c>
      <c r="U2370" s="2" t="s">
        <v>396</v>
      </c>
      <c r="V2370" s="2" t="s">
        <v>1272</v>
      </c>
      <c r="W2370" s="2" t="s">
        <v>451</v>
      </c>
      <c r="X2370" s="2" t="s">
        <v>397</v>
      </c>
      <c r="Y2370" s="2" t="s">
        <v>1349</v>
      </c>
      <c r="Z2370" s="4">
        <v>161</v>
      </c>
      <c r="AA2370" s="4">
        <f>=ROUNDDOWN(26.8333333333333,0)</f>
      </c>
      <c r="AB2370" s="5">
        <v>6</v>
      </c>
      <c r="AC2370" s="2" t="s">
        <v>233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233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233</v>
      </c>
      <c r="AW2370" s="8" t="s">
        <v>233</v>
      </c>
      <c r="AX2370" s="4" t="s">
        <v>233</v>
      </c>
      <c r="AY2370" s="8" t="s">
        <v>233</v>
      </c>
      <c r="AZ2370" s="7" t="s">
        <v>233</v>
      </c>
      <c r="BA2370" s="7" t="s">
        <v>233</v>
      </c>
      <c r="BB2370" s="7" t="s">
        <v>233</v>
      </c>
      <c r="BC2370" s="4" t="s">
        <v>233</v>
      </c>
      <c r="BD2370" s="8" t="s">
        <v>233</v>
      </c>
      <c r="BE2370" s="4" t="s">
        <v>233</v>
      </c>
      <c r="BF2370" s="8" t="s">
        <v>233</v>
      </c>
      <c r="BG2370" s="7" t="s">
        <v>233</v>
      </c>
      <c r="BH2370" s="7" t="s">
        <v>233</v>
      </c>
      <c r="BI2370" s="7"/>
      <c r="BJ2370" s="4">
        <v>15</v>
      </c>
      <c r="BK2370" s="8">
        <v>122.77</v>
      </c>
      <c r="BL2370" s="2" t="s">
        <v>10538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10539</v>
      </c>
      <c r="BV2370" s="2" t="s">
        <v>233</v>
      </c>
      <c r="BW2370" s="2" t="s">
        <v>233</v>
      </c>
      <c r="BX2370" s="2" t="s">
        <v>233</v>
      </c>
      <c r="BY2370" s="2" t="s">
        <v>280</v>
      </c>
      <c r="BZ2370" s="2" t="s">
        <v>245</v>
      </c>
      <c r="CA2370" s="2" t="s">
        <v>10521</v>
      </c>
      <c r="CB2370" s="2" t="s">
        <v>10540</v>
      </c>
      <c r="CC2370" s="2" t="s">
        <v>246</v>
      </c>
      <c r="CD2370" s="2" t="s">
        <v>233</v>
      </c>
      <c r="CE2370" s="4">
        <v>161</v>
      </c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/>
      <c r="GY2370" s="4"/>
      <c r="GZ2370" s="4"/>
      <c r="HA2370" s="4"/>
      <c r="HB2370" s="4"/>
      <c r="HC2370" s="4"/>
      <c r="HD2370" s="4"/>
      <c r="HE2370" s="4"/>
      <c r="HF2370" s="4"/>
      <c r="HG2370" s="4"/>
      <c r="HH2370" s="4"/>
      <c r="HI2370" s="4"/>
      <c r="HJ2370" s="4"/>
      <c r="HK2370" s="4"/>
      <c r="HL2370" s="4"/>
      <c r="HM2370" s="4"/>
      <c r="HN2370" s="4"/>
      <c r="HO2370" s="4"/>
      <c r="HP2370" s="4"/>
      <c r="HQ2370" s="4"/>
      <c r="HR2370" s="4"/>
    </row>
    <row r="2371">
      <c r="A2371" s="2" t="s">
        <v>10541</v>
      </c>
      <c r="B2371" s="2" t="s">
        <v>1174</v>
      </c>
      <c r="C2371" s="2" t="s">
        <v>530</v>
      </c>
      <c r="D2371" s="2" t="s">
        <v>1175</v>
      </c>
      <c r="E2371" s="2" t="s">
        <v>2069</v>
      </c>
      <c r="F2371" s="2" t="s">
        <v>10507</v>
      </c>
      <c r="G2371" s="2" t="s">
        <v>10508</v>
      </c>
      <c r="H2371" s="2" t="s">
        <v>10509</v>
      </c>
      <c r="I2371" s="2" t="s">
        <v>10515</v>
      </c>
      <c r="J2371" s="2" t="s">
        <v>1524</v>
      </c>
      <c r="K2371" s="2" t="s">
        <v>297</v>
      </c>
      <c r="L2371" s="3">
        <v>11.34</v>
      </c>
      <c r="M2371" s="3">
        <v>11.91</v>
      </c>
      <c r="N2371" s="3">
        <v>26.99</v>
      </c>
      <c r="O2371" s="2" t="s">
        <v>245</v>
      </c>
      <c r="P2371" s="2" t="s">
        <v>311</v>
      </c>
      <c r="Q2371" s="2" t="s">
        <v>239</v>
      </c>
      <c r="R2371" s="2" t="s">
        <v>233</v>
      </c>
      <c r="S2371" s="2" t="s">
        <v>10537</v>
      </c>
      <c r="T2371" s="2" t="s">
        <v>233</v>
      </c>
      <c r="U2371" s="2" t="s">
        <v>396</v>
      </c>
      <c r="V2371" s="2" t="s">
        <v>1272</v>
      </c>
      <c r="W2371" s="2" t="s">
        <v>451</v>
      </c>
      <c r="X2371" s="2" t="s">
        <v>397</v>
      </c>
      <c r="Y2371" s="2" t="s">
        <v>1349</v>
      </c>
      <c r="Z2371" s="4">
        <v>80</v>
      </c>
      <c r="AA2371" s="4">
        <f>=ROUNDDOWN(20,0)</f>
      </c>
      <c r="AB2371" s="5">
        <v>4</v>
      </c>
      <c r="AC2371" s="2" t="s">
        <v>233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233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233</v>
      </c>
      <c r="AW2371" s="8" t="s">
        <v>233</v>
      </c>
      <c r="AX2371" s="4" t="s">
        <v>233</v>
      </c>
      <c r="AY2371" s="8" t="s">
        <v>233</v>
      </c>
      <c r="AZ2371" s="7" t="s">
        <v>233</v>
      </c>
      <c r="BA2371" s="7" t="s">
        <v>233</v>
      </c>
      <c r="BB2371" s="7" t="s">
        <v>233</v>
      </c>
      <c r="BC2371" s="4" t="s">
        <v>233</v>
      </c>
      <c r="BD2371" s="8" t="s">
        <v>233</v>
      </c>
      <c r="BE2371" s="4" t="s">
        <v>233</v>
      </c>
      <c r="BF2371" s="8" t="s">
        <v>233</v>
      </c>
      <c r="BG2371" s="7" t="s">
        <v>233</v>
      </c>
      <c r="BH2371" s="7" t="s">
        <v>233</v>
      </c>
      <c r="BI2371" s="7"/>
      <c r="BJ2371" s="4">
        <v>18</v>
      </c>
      <c r="BK2371" s="8">
        <v>209.08</v>
      </c>
      <c r="BL2371" s="2" t="s">
        <v>10542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10543</v>
      </c>
      <c r="BV2371" s="2" t="s">
        <v>233</v>
      </c>
      <c r="BW2371" s="2" t="s">
        <v>233</v>
      </c>
      <c r="BX2371" s="2" t="s">
        <v>233</v>
      </c>
      <c r="BY2371" s="2" t="s">
        <v>280</v>
      </c>
      <c r="BZ2371" s="2" t="s">
        <v>245</v>
      </c>
      <c r="CA2371" s="2" t="s">
        <v>10521</v>
      </c>
      <c r="CB2371" s="2" t="s">
        <v>7339</v>
      </c>
      <c r="CC2371" s="2" t="s">
        <v>246</v>
      </c>
      <c r="CD2371" s="2" t="s">
        <v>233</v>
      </c>
      <c r="CE2371" s="4">
        <v>80</v>
      </c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/>
      <c r="GY2371" s="4"/>
      <c r="GZ2371" s="4"/>
      <c r="HA2371" s="4"/>
      <c r="HB2371" s="4"/>
      <c r="HC2371" s="4"/>
      <c r="HD2371" s="4"/>
      <c r="HE2371" s="4"/>
      <c r="HF2371" s="4"/>
      <c r="HG2371" s="4"/>
      <c r="HH2371" s="4"/>
      <c r="HI2371" s="4"/>
      <c r="HJ2371" s="4"/>
      <c r="HK2371" s="4"/>
      <c r="HL2371" s="4"/>
      <c r="HM2371" s="4"/>
      <c r="HN2371" s="4"/>
      <c r="HO2371" s="4"/>
      <c r="HP2371" s="4"/>
      <c r="HQ2371" s="4"/>
      <c r="HR2371" s="4"/>
    </row>
    <row r="2372">
      <c r="A2372" s="2" t="s">
        <v>10544</v>
      </c>
      <c r="B2372" s="2" t="s">
        <v>1174</v>
      </c>
      <c r="C2372" s="2" t="s">
        <v>530</v>
      </c>
      <c r="D2372" s="2" t="s">
        <v>1175</v>
      </c>
      <c r="E2372" s="2" t="s">
        <v>2069</v>
      </c>
      <c r="F2372" s="2" t="s">
        <v>10507</v>
      </c>
      <c r="G2372" s="2" t="s">
        <v>10508</v>
      </c>
      <c r="H2372" s="2" t="s">
        <v>10509</v>
      </c>
      <c r="I2372" s="2" t="s">
        <v>10510</v>
      </c>
      <c r="J2372" s="2" t="s">
        <v>1490</v>
      </c>
      <c r="K2372" s="2" t="s">
        <v>297</v>
      </c>
      <c r="L2372" s="3">
        <v>15.75</v>
      </c>
      <c r="M2372" s="3">
        <v>16.54</v>
      </c>
      <c r="N2372" s="3">
        <v>34.99</v>
      </c>
      <c r="O2372" s="2" t="s">
        <v>237</v>
      </c>
      <c r="P2372" s="2" t="s">
        <v>311</v>
      </c>
      <c r="Q2372" s="2" t="s">
        <v>239</v>
      </c>
      <c r="R2372" s="2" t="s">
        <v>233</v>
      </c>
      <c r="S2372" s="2" t="s">
        <v>10537</v>
      </c>
      <c r="T2372" s="2" t="s">
        <v>233</v>
      </c>
      <c r="U2372" s="2" t="s">
        <v>396</v>
      </c>
      <c r="V2372" s="2" t="s">
        <v>1272</v>
      </c>
      <c r="W2372" s="2" t="s">
        <v>451</v>
      </c>
      <c r="X2372" s="2" t="s">
        <v>397</v>
      </c>
      <c r="Y2372" s="2" t="s">
        <v>1349</v>
      </c>
      <c r="Z2372" s="4">
        <v>56</v>
      </c>
      <c r="AA2372" s="4">
        <f>=ROUNDDOWN(8,0)</f>
      </c>
      <c r="AB2372" s="5">
        <v>7</v>
      </c>
      <c r="AC2372" s="2" t="s">
        <v>233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233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233</v>
      </c>
      <c r="AW2372" s="8" t="s">
        <v>233</v>
      </c>
      <c r="AX2372" s="4" t="s">
        <v>233</v>
      </c>
      <c r="AY2372" s="8" t="s">
        <v>233</v>
      </c>
      <c r="AZ2372" s="7" t="s">
        <v>233</v>
      </c>
      <c r="BA2372" s="7" t="s">
        <v>233</v>
      </c>
      <c r="BB2372" s="7" t="s">
        <v>233</v>
      </c>
      <c r="BC2372" s="4" t="s">
        <v>233</v>
      </c>
      <c r="BD2372" s="8" t="s">
        <v>233</v>
      </c>
      <c r="BE2372" s="4" t="s">
        <v>233</v>
      </c>
      <c r="BF2372" s="8" t="s">
        <v>233</v>
      </c>
      <c r="BG2372" s="7" t="s">
        <v>233</v>
      </c>
      <c r="BH2372" s="7" t="s">
        <v>233</v>
      </c>
      <c r="BI2372" s="7"/>
      <c r="BJ2372" s="4">
        <v>21</v>
      </c>
      <c r="BK2372" s="8">
        <v>190.14</v>
      </c>
      <c r="BL2372" s="2" t="s">
        <v>5456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10545</v>
      </c>
      <c r="BV2372" s="2" t="s">
        <v>233</v>
      </c>
      <c r="BW2372" s="2" t="s">
        <v>233</v>
      </c>
      <c r="BX2372" s="2" t="s">
        <v>233</v>
      </c>
      <c r="BY2372" s="2" t="s">
        <v>280</v>
      </c>
      <c r="BZ2372" s="2" t="s">
        <v>245</v>
      </c>
      <c r="CA2372" s="2" t="s">
        <v>10521</v>
      </c>
      <c r="CB2372" s="2" t="s">
        <v>4756</v>
      </c>
      <c r="CC2372" s="2" t="s">
        <v>246</v>
      </c>
      <c r="CD2372" s="2" t="s">
        <v>233</v>
      </c>
      <c r="CE2372" s="4">
        <v>56</v>
      </c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/>
      <c r="GY2372" s="4"/>
      <c r="GZ2372" s="4"/>
      <c r="HA2372" s="4"/>
      <c r="HB2372" s="4"/>
      <c r="HC2372" s="4"/>
      <c r="HD2372" s="4"/>
      <c r="HE2372" s="4"/>
      <c r="HF2372" s="4"/>
      <c r="HG2372" s="4"/>
      <c r="HH2372" s="4"/>
      <c r="HI2372" s="4"/>
      <c r="HJ2372" s="4"/>
      <c r="HK2372" s="4"/>
      <c r="HL2372" s="4"/>
      <c r="HM2372" s="4"/>
      <c r="HN2372" s="4"/>
      <c r="HO2372" s="4"/>
      <c r="HP2372" s="4"/>
      <c r="HQ2372" s="4"/>
      <c r="HR2372" s="4"/>
    </row>
    <row r="2373">
      <c r="A2373" s="2" t="s">
        <v>10546</v>
      </c>
      <c r="B2373" s="2" t="s">
        <v>1174</v>
      </c>
      <c r="C2373" s="2" t="s">
        <v>530</v>
      </c>
      <c r="D2373" s="2" t="s">
        <v>1175</v>
      </c>
      <c r="E2373" s="2" t="s">
        <v>2069</v>
      </c>
      <c r="F2373" s="2" t="s">
        <v>10507</v>
      </c>
      <c r="G2373" s="2" t="s">
        <v>10508</v>
      </c>
      <c r="H2373" s="2" t="s">
        <v>10509</v>
      </c>
      <c r="I2373" s="2" t="s">
        <v>10515</v>
      </c>
      <c r="J2373" s="2" t="s">
        <v>1490</v>
      </c>
      <c r="K2373" s="2" t="s">
        <v>297</v>
      </c>
      <c r="L2373" s="3">
        <v>13.2</v>
      </c>
      <c r="M2373" s="3">
        <v>13.86</v>
      </c>
      <c r="N2373" s="3">
        <v>32.99</v>
      </c>
      <c r="O2373" s="2" t="s">
        <v>245</v>
      </c>
      <c r="P2373" s="2" t="s">
        <v>311</v>
      </c>
      <c r="Q2373" s="2" t="s">
        <v>239</v>
      </c>
      <c r="R2373" s="2" t="s">
        <v>233</v>
      </c>
      <c r="S2373" s="2" t="s">
        <v>10537</v>
      </c>
      <c r="T2373" s="2" t="s">
        <v>233</v>
      </c>
      <c r="U2373" s="2" t="s">
        <v>396</v>
      </c>
      <c r="V2373" s="2" t="s">
        <v>1272</v>
      </c>
      <c r="W2373" s="2" t="s">
        <v>451</v>
      </c>
      <c r="X2373" s="2" t="s">
        <v>397</v>
      </c>
      <c r="Y2373" s="2" t="s">
        <v>1349</v>
      </c>
      <c r="Z2373" s="4"/>
      <c r="AA2373" s="4">
        <f>=ROUNDDOWN({0},0)</f>
      </c>
      <c r="AB2373" s="5">
        <v>3.5</v>
      </c>
      <c r="AC2373" s="2" t="s">
        <v>233</v>
      </c>
      <c r="AD2373" s="4"/>
      <c r="AE2373" s="4"/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233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233</v>
      </c>
      <c r="AW2373" s="8" t="s">
        <v>233</v>
      </c>
      <c r="AX2373" s="4" t="s">
        <v>233</v>
      </c>
      <c r="AY2373" s="8" t="s">
        <v>233</v>
      </c>
      <c r="AZ2373" s="7" t="s">
        <v>233</v>
      </c>
      <c r="BA2373" s="7" t="s">
        <v>233</v>
      </c>
      <c r="BB2373" s="7" t="s">
        <v>233</v>
      </c>
      <c r="BC2373" s="4" t="s">
        <v>233</v>
      </c>
      <c r="BD2373" s="8" t="s">
        <v>233</v>
      </c>
      <c r="BE2373" s="4" t="s">
        <v>233</v>
      </c>
      <c r="BF2373" s="8" t="s">
        <v>233</v>
      </c>
      <c r="BG2373" s="7" t="s">
        <v>233</v>
      </c>
      <c r="BH2373" s="7" t="s">
        <v>233</v>
      </c>
      <c r="BI2373" s="7"/>
      <c r="BJ2373" s="4">
        <v>18</v>
      </c>
      <c r="BK2373" s="8">
        <v>233.06</v>
      </c>
      <c r="BL2373" s="2" t="s">
        <v>4684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10547</v>
      </c>
      <c r="BV2373" s="2" t="s">
        <v>233</v>
      </c>
      <c r="BW2373" s="2" t="s">
        <v>233</v>
      </c>
      <c r="BX2373" s="2" t="s">
        <v>233</v>
      </c>
      <c r="BY2373" s="2" t="s">
        <v>280</v>
      </c>
      <c r="BZ2373" s="2" t="s">
        <v>245</v>
      </c>
      <c r="CA2373" s="2" t="s">
        <v>10521</v>
      </c>
      <c r="CB2373" s="2" t="s">
        <v>10548</v>
      </c>
      <c r="CC2373" s="2" t="s">
        <v>246</v>
      </c>
      <c r="CD2373" s="2" t="s">
        <v>233</v>
      </c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/>
      <c r="GN2373" s="4"/>
      <c r="GO2373" s="4"/>
      <c r="GP2373" s="4"/>
      <c r="GQ2373" s="4"/>
      <c r="GR2373" s="4"/>
      <c r="GS2373" s="4"/>
      <c r="GT2373" s="4"/>
      <c r="GU2373" s="4"/>
      <c r="GV2373" s="4"/>
      <c r="GW2373" s="4"/>
      <c r="GX2373" s="4"/>
      <c r="GY2373" s="4"/>
      <c r="GZ2373" s="4"/>
      <c r="HA2373" s="4"/>
      <c r="HB2373" s="4"/>
      <c r="HC2373" s="4"/>
      <c r="HD2373" s="4"/>
      <c r="HE2373" s="4"/>
      <c r="HF2373" s="4"/>
      <c r="HG2373" s="4"/>
      <c r="HH2373" s="4"/>
      <c r="HI2373" s="4"/>
      <c r="HJ2373" s="4"/>
      <c r="HK2373" s="4"/>
      <c r="HL2373" s="4"/>
      <c r="HM2373" s="4"/>
      <c r="HN2373" s="4"/>
      <c r="HO2373" s="4"/>
      <c r="HP2373" s="4"/>
      <c r="HQ2373" s="4"/>
      <c r="HR2373" s="4"/>
    </row>
    <row r="2374">
      <c r="A2374" s="2" t="s">
        <v>10549</v>
      </c>
      <c r="B2374" s="2" t="s">
        <v>928</v>
      </c>
      <c r="C2374" s="2" t="s">
        <v>530</v>
      </c>
      <c r="D2374" s="2" t="s">
        <v>929</v>
      </c>
      <c r="E2374" s="2" t="s">
        <v>939</v>
      </c>
      <c r="F2374" s="2" t="s">
        <v>10550</v>
      </c>
      <c r="G2374" s="2" t="s">
        <v>10550</v>
      </c>
      <c r="H2374" s="2" t="s">
        <v>10550</v>
      </c>
      <c r="I2374" s="2" t="s">
        <v>10551</v>
      </c>
      <c r="J2374" s="2" t="s">
        <v>892</v>
      </c>
      <c r="K2374" s="2" t="s">
        <v>645</v>
      </c>
      <c r="L2374" s="3">
        <v>38.57</v>
      </c>
      <c r="M2374" s="3">
        <v>40.5</v>
      </c>
      <c r="N2374" s="3">
        <v>89.99</v>
      </c>
      <c r="O2374" s="2" t="s">
        <v>237</v>
      </c>
      <c r="P2374" s="2" t="s">
        <v>311</v>
      </c>
      <c r="Q2374" s="2" t="s">
        <v>239</v>
      </c>
      <c r="R2374" s="2" t="s">
        <v>233</v>
      </c>
      <c r="S2374" s="2" t="s">
        <v>10552</v>
      </c>
      <c r="T2374" s="2" t="s">
        <v>233</v>
      </c>
      <c r="U2374" s="2" t="s">
        <v>491</v>
      </c>
      <c r="V2374" s="2" t="s">
        <v>921</v>
      </c>
      <c r="W2374" s="2" t="s">
        <v>397</v>
      </c>
      <c r="X2374" s="2" t="s">
        <v>451</v>
      </c>
      <c r="Y2374" s="2" t="s">
        <v>8807</v>
      </c>
      <c r="Z2374" s="4">
        <v>32</v>
      </c>
      <c r="AA2374" s="4">
        <f>=ROUNDDOWN(35.5555555555556,0)</f>
      </c>
      <c r="AB2374" s="5">
        <v>0.9</v>
      </c>
      <c r="AC2374" s="2" t="s">
        <v>233</v>
      </c>
      <c r="AD2374" s="4"/>
      <c r="AE2374" s="4"/>
      <c r="AF2374" s="6">
        <v>63</v>
      </c>
      <c r="AG2374" s="6"/>
      <c r="AH2374" s="7">
        <v>1</v>
      </c>
      <c r="AI2374" s="4"/>
      <c r="AJ2374" s="4">
        <f>=ROUNDDOWN({0},0)</f>
      </c>
      <c r="AK2374" s="5"/>
      <c r="AL2374" s="2" t="s">
        <v>233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/>
      <c r="BD2374" s="8"/>
      <c r="BE2374" s="4"/>
      <c r="BF2374" s="8"/>
      <c r="BG2374" s="7"/>
      <c r="BH2374" s="7"/>
      <c r="BI2374" s="7"/>
      <c r="BJ2374" s="4">
        <v>5</v>
      </c>
      <c r="BK2374" s="8">
        <v>220.34</v>
      </c>
      <c r="BL2374" s="2" t="s">
        <v>10553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10554</v>
      </c>
      <c r="BV2374" s="2" t="s">
        <v>233</v>
      </c>
      <c r="BW2374" s="2" t="s">
        <v>233</v>
      </c>
      <c r="BX2374" s="2" t="s">
        <v>233</v>
      </c>
      <c r="BY2374" s="2" t="s">
        <v>280</v>
      </c>
      <c r="BZ2374" s="2" t="s">
        <v>245</v>
      </c>
      <c r="CA2374" s="2" t="s">
        <v>9189</v>
      </c>
      <c r="CB2374" s="2" t="s">
        <v>6878</v>
      </c>
      <c r="CC2374" s="2" t="s">
        <v>246</v>
      </c>
      <c r="CD2374" s="2" t="s">
        <v>233</v>
      </c>
      <c r="CE2374" s="4"/>
      <c r="CF2374" s="4">
        <v>32</v>
      </c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/>
      <c r="GS2374" s="4"/>
      <c r="GT2374" s="4"/>
      <c r="GU2374" s="4"/>
      <c r="GV2374" s="4"/>
      <c r="GW2374" s="4"/>
      <c r="GX2374" s="4"/>
      <c r="GY2374" s="4"/>
      <c r="GZ2374" s="4"/>
      <c r="HA2374" s="4"/>
      <c r="HB2374" s="4"/>
      <c r="HC2374" s="4"/>
      <c r="HD2374" s="4"/>
      <c r="HE2374" s="4"/>
      <c r="HF2374" s="4"/>
      <c r="HG2374" s="4"/>
      <c r="HH2374" s="4"/>
      <c r="HI2374" s="4"/>
      <c r="HJ2374" s="4"/>
      <c r="HK2374" s="4"/>
      <c r="HL2374" s="4"/>
      <c r="HM2374" s="4"/>
      <c r="HN2374" s="4"/>
      <c r="HO2374" s="4"/>
      <c r="HP2374" s="4"/>
      <c r="HQ2374" s="4"/>
      <c r="HR2374" s="4"/>
    </row>
    <row r="2375">
      <c r="A2375" s="2" t="s">
        <v>10555</v>
      </c>
      <c r="B2375" s="2" t="s">
        <v>1066</v>
      </c>
      <c r="C2375" s="2" t="s">
        <v>901</v>
      </c>
      <c r="D2375" s="2" t="s">
        <v>1782</v>
      </c>
      <c r="E2375" s="2" t="s">
        <v>2309</v>
      </c>
      <c r="F2375" s="2" t="s">
        <v>10556</v>
      </c>
      <c r="G2375" s="2" t="s">
        <v>10556</v>
      </c>
      <c r="H2375" s="2" t="s">
        <v>10556</v>
      </c>
      <c r="I2375" s="2" t="s">
        <v>9378</v>
      </c>
      <c r="J2375" s="2" t="s">
        <v>892</v>
      </c>
      <c r="K2375" s="2" t="s">
        <v>1537</v>
      </c>
      <c r="L2375" s="3">
        <v>165</v>
      </c>
      <c r="M2375" s="3">
        <v>173.25</v>
      </c>
      <c r="N2375" s="3">
        <v>349</v>
      </c>
      <c r="O2375" s="2" t="s">
        <v>245</v>
      </c>
      <c r="P2375" s="2" t="s">
        <v>238</v>
      </c>
      <c r="Q2375" s="2" t="s">
        <v>239</v>
      </c>
      <c r="R2375" s="2" t="s">
        <v>233</v>
      </c>
      <c r="S2375" s="2" t="s">
        <v>233</v>
      </c>
      <c r="T2375" s="2" t="s">
        <v>233</v>
      </c>
      <c r="U2375" s="2" t="s">
        <v>396</v>
      </c>
      <c r="V2375" s="2" t="s">
        <v>893</v>
      </c>
      <c r="W2375" s="2" t="s">
        <v>397</v>
      </c>
      <c r="X2375" s="2" t="s">
        <v>275</v>
      </c>
      <c r="Y2375" s="2" t="s">
        <v>233</v>
      </c>
      <c r="Z2375" s="4"/>
      <c r="AA2375" s="4">
        <f>=ROUNDDOWN({0},0)</f>
      </c>
      <c r="AB2375" s="5"/>
      <c r="AC2375" s="2" t="s">
        <v>1701</v>
      </c>
      <c r="AD2375" s="4">
        <v>66</v>
      </c>
      <c r="AE2375" s="4">
        <v>100</v>
      </c>
      <c r="AF2375" s="6">
        <v>65</v>
      </c>
      <c r="AG2375" s="6"/>
      <c r="AH2375" s="7">
        <v>0</v>
      </c>
      <c r="AI2375" s="4"/>
      <c r="AJ2375" s="4">
        <f>=ROUNDDOWN({0},0)</f>
      </c>
      <c r="AK2375" s="5"/>
      <c r="AL2375" s="2" t="s">
        <v>233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/>
      <c r="BD2375" s="8"/>
      <c r="BE2375" s="4"/>
      <c r="BF2375" s="8"/>
      <c r="BG2375" s="7"/>
      <c r="BH2375" s="7"/>
      <c r="BI2375" s="7"/>
      <c r="BJ2375" s="4"/>
      <c r="BK2375" s="8"/>
      <c r="BL2375" s="2" t="s">
        <v>233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243</v>
      </c>
      <c r="BV2375" s="2" t="s">
        <v>233</v>
      </c>
      <c r="BW2375" s="2" t="s">
        <v>233</v>
      </c>
      <c r="BX2375" s="2" t="s">
        <v>243</v>
      </c>
      <c r="BY2375" s="2" t="s">
        <v>244</v>
      </c>
      <c r="BZ2375" s="2" t="s">
        <v>245</v>
      </c>
      <c r="CA2375" s="2" t="s">
        <v>233</v>
      </c>
      <c r="CB2375" s="2" t="s">
        <v>233</v>
      </c>
      <c r="CC2375" s="2" t="s">
        <v>246</v>
      </c>
      <c r="CD2375" s="2" t="s">
        <v>233</v>
      </c>
      <c r="CE2375" s="4"/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>
        <v>66</v>
      </c>
      <c r="DW2375" s="4"/>
      <c r="DX2375" s="4"/>
      <c r="DY2375" s="4"/>
      <c r="DZ2375" s="4"/>
      <c r="EA2375" s="4"/>
      <c r="EB2375" s="4"/>
      <c r="EC2375" s="4"/>
      <c r="ED2375" s="4"/>
      <c r="EE2375" s="4">
        <v>25</v>
      </c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>
        <v>9</v>
      </c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/>
      <c r="GS2375" s="4"/>
      <c r="GT2375" s="4"/>
      <c r="GU2375" s="4"/>
      <c r="GV2375" s="4"/>
      <c r="GW2375" s="4"/>
      <c r="GX2375" s="4"/>
      <c r="GY2375" s="4"/>
      <c r="GZ2375" s="4"/>
      <c r="HA2375" s="4"/>
      <c r="HB2375" s="4"/>
      <c r="HC2375" s="4"/>
      <c r="HD2375" s="4"/>
      <c r="HE2375" s="4"/>
      <c r="HF2375" s="4"/>
      <c r="HG2375" s="4"/>
      <c r="HH2375" s="4"/>
      <c r="HI2375" s="4"/>
      <c r="HJ2375" s="4"/>
      <c r="HK2375" s="4"/>
      <c r="HL2375" s="4"/>
      <c r="HM2375" s="4"/>
      <c r="HN2375" s="4"/>
      <c r="HO2375" s="4"/>
      <c r="HP2375" s="4"/>
      <c r="HQ2375" s="4"/>
      <c r="HR2375" s="4"/>
    </row>
    <row r="2376">
      <c r="A2376" s="2" t="s">
        <v>10557</v>
      </c>
      <c r="B2376" s="2" t="s">
        <v>910</v>
      </c>
      <c r="C2376" s="2" t="s">
        <v>911</v>
      </c>
      <c r="D2376" s="2" t="s">
        <v>1862</v>
      </c>
      <c r="E2376" s="2" t="s">
        <v>1863</v>
      </c>
      <c r="F2376" s="2" t="s">
        <v>10558</v>
      </c>
      <c r="G2376" s="2" t="s">
        <v>10559</v>
      </c>
      <c r="H2376" s="2" t="s">
        <v>2340</v>
      </c>
      <c r="I2376" s="2" t="s">
        <v>10560</v>
      </c>
      <c r="J2376" s="2" t="s">
        <v>918</v>
      </c>
      <c r="K2376" s="2" t="s">
        <v>271</v>
      </c>
      <c r="L2376" s="3">
        <v>26.19</v>
      </c>
      <c r="M2376" s="3">
        <v>27.5</v>
      </c>
      <c r="N2376" s="3">
        <v>54.99</v>
      </c>
      <c r="O2376" s="2" t="s">
        <v>245</v>
      </c>
      <c r="P2376" s="2" t="s">
        <v>311</v>
      </c>
      <c r="Q2376" s="2" t="s">
        <v>239</v>
      </c>
      <c r="R2376" s="2" t="s">
        <v>233</v>
      </c>
      <c r="S2376" s="2" t="s">
        <v>10561</v>
      </c>
      <c r="T2376" s="2" t="s">
        <v>395</v>
      </c>
      <c r="U2376" s="2" t="s">
        <v>491</v>
      </c>
      <c r="V2376" s="2" t="s">
        <v>5726</v>
      </c>
      <c r="W2376" s="2" t="s">
        <v>397</v>
      </c>
      <c r="X2376" s="2" t="s">
        <v>275</v>
      </c>
      <c r="Y2376" s="2" t="s">
        <v>1710</v>
      </c>
      <c r="Z2376" s="4">
        <v>80</v>
      </c>
      <c r="AA2376" s="4">
        <f>=ROUNDDOWN(16.6666666666667,0)</f>
      </c>
      <c r="AB2376" s="5">
        <v>4.8</v>
      </c>
      <c r="AC2376" s="2" t="s">
        <v>233</v>
      </c>
      <c r="AD2376" s="4"/>
      <c r="AE2376" s="4"/>
      <c r="AF2376" s="6">
        <v>64</v>
      </c>
      <c r="AG2376" s="6"/>
      <c r="AH2376" s="7">
        <v>1</v>
      </c>
      <c r="AI2376" s="4"/>
      <c r="AJ2376" s="4">
        <f>=ROUNDDOWN({0},0)</f>
      </c>
      <c r="AK2376" s="5"/>
      <c r="AL2376" s="2" t="s">
        <v>233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/>
      <c r="BD2376" s="8"/>
      <c r="BE2376" s="4"/>
      <c r="BF2376" s="8"/>
      <c r="BG2376" s="7"/>
      <c r="BH2376" s="7"/>
      <c r="BI2376" s="7"/>
      <c r="BJ2376" s="4">
        <v>6</v>
      </c>
      <c r="BK2376" s="8">
        <v>139.41</v>
      </c>
      <c r="BL2376" s="2" t="s">
        <v>5507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10562</v>
      </c>
      <c r="BV2376" s="2" t="s">
        <v>233</v>
      </c>
      <c r="BW2376" s="2" t="s">
        <v>233</v>
      </c>
      <c r="BX2376" s="2" t="s">
        <v>233</v>
      </c>
      <c r="BY2376" s="2" t="s">
        <v>280</v>
      </c>
      <c r="BZ2376" s="2" t="s">
        <v>245</v>
      </c>
      <c r="CA2376" s="2" t="s">
        <v>10563</v>
      </c>
      <c r="CB2376" s="2" t="s">
        <v>3693</v>
      </c>
      <c r="CC2376" s="2" t="s">
        <v>246</v>
      </c>
      <c r="CD2376" s="2" t="s">
        <v>233</v>
      </c>
      <c r="CE2376" s="4">
        <v>80</v>
      </c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  <c r="HF2376" s="4"/>
      <c r="HG2376" s="4"/>
      <c r="HH2376" s="4"/>
      <c r="HI2376" s="4"/>
      <c r="HJ2376" s="4"/>
      <c r="HK2376" s="4"/>
      <c r="HL2376" s="4"/>
      <c r="HM2376" s="4"/>
      <c r="HN2376" s="4"/>
      <c r="HO2376" s="4"/>
      <c r="HP2376" s="4"/>
      <c r="HQ2376" s="4"/>
      <c r="HR2376" s="4"/>
    </row>
    <row r="2377">
      <c r="A2377" s="2" t="s">
        <v>10564</v>
      </c>
      <c r="B2377" s="2" t="s">
        <v>228</v>
      </c>
      <c r="C2377" s="2" t="s">
        <v>530</v>
      </c>
      <c r="D2377" s="2" t="s">
        <v>969</v>
      </c>
      <c r="E2377" s="2" t="s">
        <v>970</v>
      </c>
      <c r="F2377" s="2" t="s">
        <v>10565</v>
      </c>
      <c r="G2377" s="2" t="s">
        <v>10566</v>
      </c>
      <c r="H2377" s="2" t="s">
        <v>233</v>
      </c>
      <c r="I2377" s="2" t="s">
        <v>10567</v>
      </c>
      <c r="J2377" s="2" t="s">
        <v>1142</v>
      </c>
      <c r="K2377" s="2" t="s">
        <v>255</v>
      </c>
      <c r="L2377" s="3">
        <v>60</v>
      </c>
      <c r="M2377" s="3">
        <v>63</v>
      </c>
      <c r="N2377" s="3">
        <v>124.99</v>
      </c>
      <c r="O2377" s="2" t="s">
        <v>245</v>
      </c>
      <c r="P2377" s="2" t="s">
        <v>311</v>
      </c>
      <c r="Q2377" s="2" t="s">
        <v>239</v>
      </c>
      <c r="R2377" s="2" t="s">
        <v>233</v>
      </c>
      <c r="S2377" s="2" t="s">
        <v>10568</v>
      </c>
      <c r="T2377" s="2" t="s">
        <v>976</v>
      </c>
      <c r="U2377" s="2" t="s">
        <v>233</v>
      </c>
      <c r="V2377" s="2" t="s">
        <v>1085</v>
      </c>
      <c r="W2377" s="2" t="s">
        <v>275</v>
      </c>
      <c r="X2377" s="2" t="s">
        <v>2082</v>
      </c>
      <c r="Y2377" s="2" t="s">
        <v>276</v>
      </c>
      <c r="Z2377" s="4">
        <v>15</v>
      </c>
      <c r="AA2377" s="4">
        <f>=ROUNDDOWN({0},0)</f>
      </c>
      <c r="AB2377" s="5">
        <v>7</v>
      </c>
      <c r="AC2377" s="2" t="s">
        <v>233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233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/>
      <c r="BD2377" s="8"/>
      <c r="BE2377" s="4"/>
      <c r="BF2377" s="8"/>
      <c r="BG2377" s="7"/>
      <c r="BH2377" s="7"/>
      <c r="BI2377" s="7"/>
      <c r="BJ2377" s="4">
        <v>7</v>
      </c>
      <c r="BK2377" s="8">
        <v>368.82</v>
      </c>
      <c r="BL2377" s="2" t="s">
        <v>10569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10570</v>
      </c>
      <c r="BV2377" s="2" t="s">
        <v>233</v>
      </c>
      <c r="BW2377" s="2" t="s">
        <v>233</v>
      </c>
      <c r="BX2377" s="2" t="s">
        <v>233</v>
      </c>
      <c r="BY2377" s="2" t="s">
        <v>280</v>
      </c>
      <c r="BZ2377" s="2" t="s">
        <v>245</v>
      </c>
      <c r="CA2377" s="2" t="s">
        <v>4028</v>
      </c>
      <c r="CB2377" s="2" t="s">
        <v>10571</v>
      </c>
      <c r="CC2377" s="2" t="s">
        <v>246</v>
      </c>
      <c r="CD2377" s="2" t="s">
        <v>233</v>
      </c>
      <c r="CE2377" s="4">
        <v>15</v>
      </c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  <c r="HF2377" s="4"/>
      <c r="HG2377" s="4"/>
      <c r="HH2377" s="4"/>
      <c r="HI2377" s="4"/>
      <c r="HJ2377" s="4"/>
      <c r="HK2377" s="4"/>
      <c r="HL2377" s="4"/>
      <c r="HM2377" s="4"/>
      <c r="HN2377" s="4"/>
      <c r="HO2377" s="4"/>
      <c r="HP2377" s="4"/>
      <c r="HQ2377" s="4"/>
      <c r="HR2377" s="4"/>
    </row>
    <row r="2378">
      <c r="A2378" s="2" t="s">
        <v>10572</v>
      </c>
      <c r="B2378" s="2" t="s">
        <v>333</v>
      </c>
      <c r="C2378" s="2" t="s">
        <v>265</v>
      </c>
      <c r="D2378" s="2" t="s">
        <v>335</v>
      </c>
      <c r="E2378" s="2" t="s">
        <v>336</v>
      </c>
      <c r="F2378" s="2" t="s">
        <v>10573</v>
      </c>
      <c r="G2378" s="2" t="s">
        <v>10573</v>
      </c>
      <c r="H2378" s="2" t="s">
        <v>10573</v>
      </c>
      <c r="I2378" s="2" t="s">
        <v>338</v>
      </c>
      <c r="J2378" s="2" t="s">
        <v>270</v>
      </c>
      <c r="K2378" s="2" t="s">
        <v>1083</v>
      </c>
      <c r="L2378" s="3">
        <v>16.5</v>
      </c>
      <c r="M2378" s="3">
        <v>17.32</v>
      </c>
      <c r="N2378" s="3">
        <v>32.99</v>
      </c>
      <c r="O2378" s="2" t="s">
        <v>245</v>
      </c>
      <c r="P2378" s="2" t="s">
        <v>272</v>
      </c>
      <c r="Q2378" s="2" t="s">
        <v>239</v>
      </c>
      <c r="R2378" s="2" t="s">
        <v>233</v>
      </c>
      <c r="S2378" s="2" t="s">
        <v>10574</v>
      </c>
      <c r="T2378" s="2" t="s">
        <v>10575</v>
      </c>
      <c r="U2378" s="2" t="s">
        <v>233</v>
      </c>
      <c r="V2378" s="2" t="s">
        <v>241</v>
      </c>
      <c r="W2378" s="2" t="s">
        <v>275</v>
      </c>
      <c r="X2378" s="2" t="s">
        <v>233</v>
      </c>
      <c r="Y2378" s="2" t="s">
        <v>5651</v>
      </c>
      <c r="Z2378" s="4">
        <v>124</v>
      </c>
      <c r="AA2378" s="4">
        <f>=ROUNDDOWN(62,0)</f>
      </c>
      <c r="AB2378" s="5">
        <v>2</v>
      </c>
      <c r="AC2378" s="2" t="s">
        <v>233</v>
      </c>
      <c r="AD2378" s="4"/>
      <c r="AE2378" s="4"/>
      <c r="AF2378" s="6">
        <v>66</v>
      </c>
      <c r="AG2378" s="6"/>
      <c r="AH2378" s="7">
        <v>1</v>
      </c>
      <c r="AI2378" s="4"/>
      <c r="AJ2378" s="4">
        <f>=ROUNDDOWN({0},0)</f>
      </c>
      <c r="AK2378" s="5"/>
      <c r="AL2378" s="2" t="s">
        <v>233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233</v>
      </c>
      <c r="AW2378" s="8" t="s">
        <v>233</v>
      </c>
      <c r="AX2378" s="4" t="s">
        <v>233</v>
      </c>
      <c r="AY2378" s="8" t="s">
        <v>233</v>
      </c>
      <c r="AZ2378" s="7" t="s">
        <v>233</v>
      </c>
      <c r="BA2378" s="7" t="s">
        <v>233</v>
      </c>
      <c r="BB2378" s="7"/>
      <c r="BC2378" s="4" t="s">
        <v>233</v>
      </c>
      <c r="BD2378" s="8" t="s">
        <v>233</v>
      </c>
      <c r="BE2378" s="4" t="s">
        <v>233</v>
      </c>
      <c r="BF2378" s="8" t="s">
        <v>233</v>
      </c>
      <c r="BG2378" s="7" t="s">
        <v>233</v>
      </c>
      <c r="BH2378" s="7" t="s">
        <v>233</v>
      </c>
      <c r="BI2378" s="7"/>
      <c r="BJ2378" s="4">
        <v>5</v>
      </c>
      <c r="BK2378" s="8">
        <v>75.22</v>
      </c>
      <c r="BL2378" s="2" t="s">
        <v>465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10576</v>
      </c>
      <c r="BV2378" s="2" t="s">
        <v>233</v>
      </c>
      <c r="BW2378" s="2" t="s">
        <v>233</v>
      </c>
      <c r="BX2378" s="2" t="s">
        <v>233</v>
      </c>
      <c r="BY2378" s="2" t="s">
        <v>280</v>
      </c>
      <c r="BZ2378" s="2" t="s">
        <v>245</v>
      </c>
      <c r="CA2378" s="2" t="s">
        <v>10287</v>
      </c>
      <c r="CB2378" s="2" t="s">
        <v>10577</v>
      </c>
      <c r="CC2378" s="2" t="s">
        <v>246</v>
      </c>
      <c r="CD2378" s="2" t="s">
        <v>233</v>
      </c>
      <c r="CE2378" s="4">
        <v>124</v>
      </c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  <c r="HF2378" s="4"/>
      <c r="HG2378" s="4"/>
      <c r="HH2378" s="4"/>
      <c r="HI2378" s="4"/>
      <c r="HJ2378" s="4"/>
      <c r="HK2378" s="4"/>
      <c r="HL2378" s="4"/>
      <c r="HM2378" s="4"/>
      <c r="HN2378" s="4"/>
      <c r="HO2378" s="4"/>
      <c r="HP2378" s="4"/>
      <c r="HQ2378" s="4"/>
      <c r="HR2378" s="4"/>
    </row>
    <row r="2379">
      <c r="A2379" s="2" t="s">
        <v>10578</v>
      </c>
      <c r="B2379" s="2" t="s">
        <v>333</v>
      </c>
      <c r="C2379" s="2" t="s">
        <v>265</v>
      </c>
      <c r="D2379" s="2" t="s">
        <v>335</v>
      </c>
      <c r="E2379" s="2" t="s">
        <v>336</v>
      </c>
      <c r="F2379" s="2" t="s">
        <v>10573</v>
      </c>
      <c r="G2379" s="2" t="s">
        <v>10573</v>
      </c>
      <c r="H2379" s="2" t="s">
        <v>10573</v>
      </c>
      <c r="I2379" s="2" t="s">
        <v>338</v>
      </c>
      <c r="J2379" s="2" t="s">
        <v>290</v>
      </c>
      <c r="K2379" s="2" t="s">
        <v>1083</v>
      </c>
      <c r="L2379" s="3">
        <v>16.5</v>
      </c>
      <c r="M2379" s="3">
        <v>17.32</v>
      </c>
      <c r="N2379" s="3">
        <v>32.99</v>
      </c>
      <c r="O2379" s="2" t="s">
        <v>245</v>
      </c>
      <c r="P2379" s="2" t="s">
        <v>393</v>
      </c>
      <c r="Q2379" s="2" t="s">
        <v>239</v>
      </c>
      <c r="R2379" s="2" t="s">
        <v>233</v>
      </c>
      <c r="S2379" s="2" t="s">
        <v>10574</v>
      </c>
      <c r="T2379" s="2" t="s">
        <v>10575</v>
      </c>
      <c r="U2379" s="2" t="s">
        <v>233</v>
      </c>
      <c r="V2379" s="2" t="s">
        <v>241</v>
      </c>
      <c r="W2379" s="2" t="s">
        <v>275</v>
      </c>
      <c r="X2379" s="2" t="s">
        <v>233</v>
      </c>
      <c r="Y2379" s="2" t="s">
        <v>5651</v>
      </c>
      <c r="Z2379" s="4">
        <v>460</v>
      </c>
      <c r="AA2379" s="4">
        <f>=ROUNDDOWN(153.333333333333,0)</f>
      </c>
      <c r="AB2379" s="5">
        <v>3</v>
      </c>
      <c r="AC2379" s="2" t="s">
        <v>233</v>
      </c>
      <c r="AD2379" s="4"/>
      <c r="AE2379" s="4"/>
      <c r="AF2379" s="6">
        <v>66</v>
      </c>
      <c r="AG2379" s="6"/>
      <c r="AH2379" s="7">
        <v>1</v>
      </c>
      <c r="AI2379" s="4"/>
      <c r="AJ2379" s="4">
        <f>=ROUNDDOWN({0},0)</f>
      </c>
      <c r="AK2379" s="5"/>
      <c r="AL2379" s="2" t="s">
        <v>233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233</v>
      </c>
      <c r="AW2379" s="8" t="s">
        <v>233</v>
      </c>
      <c r="AX2379" s="4" t="s">
        <v>233</v>
      </c>
      <c r="AY2379" s="8" t="s">
        <v>233</v>
      </c>
      <c r="AZ2379" s="7" t="s">
        <v>233</v>
      </c>
      <c r="BA2379" s="7" t="s">
        <v>233</v>
      </c>
      <c r="BB2379" s="7"/>
      <c r="BC2379" s="4" t="s">
        <v>233</v>
      </c>
      <c r="BD2379" s="8" t="s">
        <v>233</v>
      </c>
      <c r="BE2379" s="4" t="s">
        <v>233</v>
      </c>
      <c r="BF2379" s="8" t="s">
        <v>233</v>
      </c>
      <c r="BG2379" s="7" t="s">
        <v>233</v>
      </c>
      <c r="BH2379" s="7" t="s">
        <v>233</v>
      </c>
      <c r="BI2379" s="7"/>
      <c r="BJ2379" s="4">
        <v>7</v>
      </c>
      <c r="BK2379" s="8">
        <v>117.8</v>
      </c>
      <c r="BL2379" s="2" t="s">
        <v>10579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10580</v>
      </c>
      <c r="BV2379" s="2" t="s">
        <v>233</v>
      </c>
      <c r="BW2379" s="2" t="s">
        <v>233</v>
      </c>
      <c r="BX2379" s="2" t="s">
        <v>233</v>
      </c>
      <c r="BY2379" s="2" t="s">
        <v>280</v>
      </c>
      <c r="BZ2379" s="2" t="s">
        <v>245</v>
      </c>
      <c r="CA2379" s="2" t="s">
        <v>10287</v>
      </c>
      <c r="CB2379" s="2" t="s">
        <v>10581</v>
      </c>
      <c r="CC2379" s="2" t="s">
        <v>246</v>
      </c>
      <c r="CD2379" s="2" t="s">
        <v>233</v>
      </c>
      <c r="CE2379" s="4">
        <v>460</v>
      </c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/>
      <c r="GH2379" s="4"/>
      <c r="GI2379" s="4"/>
      <c r="GJ2379" s="4"/>
      <c r="GK2379" s="4"/>
      <c r="GL2379" s="4"/>
      <c r="GM2379" s="4"/>
      <c r="GN2379" s="4"/>
      <c r="GO2379" s="4"/>
      <c r="GP2379" s="4"/>
      <c r="GQ2379" s="4"/>
      <c r="GR2379" s="4"/>
      <c r="GS2379" s="4"/>
      <c r="GT2379" s="4"/>
      <c r="GU2379" s="4"/>
      <c r="GV2379" s="4"/>
      <c r="GW2379" s="4"/>
      <c r="GX2379" s="4"/>
      <c r="GY2379" s="4"/>
      <c r="GZ2379" s="4"/>
      <c r="HA2379" s="4"/>
      <c r="HB2379" s="4"/>
      <c r="HC2379" s="4"/>
      <c r="HD2379" s="4"/>
      <c r="HE2379" s="4"/>
      <c r="HF2379" s="4"/>
      <c r="HG2379" s="4"/>
      <c r="HH2379" s="4"/>
      <c r="HI2379" s="4"/>
      <c r="HJ2379" s="4"/>
      <c r="HK2379" s="4"/>
      <c r="HL2379" s="4"/>
      <c r="HM2379" s="4"/>
      <c r="HN2379" s="4"/>
      <c r="HO2379" s="4"/>
      <c r="HP2379" s="4"/>
      <c r="HQ2379" s="4"/>
      <c r="HR2379" s="4"/>
    </row>
    <row r="2380">
      <c r="A2380" s="2" t="s">
        <v>10582</v>
      </c>
      <c r="B2380" s="2" t="s">
        <v>333</v>
      </c>
      <c r="C2380" s="2" t="s">
        <v>265</v>
      </c>
      <c r="D2380" s="2" t="s">
        <v>335</v>
      </c>
      <c r="E2380" s="2" t="s">
        <v>336</v>
      </c>
      <c r="F2380" s="2" t="s">
        <v>10573</v>
      </c>
      <c r="G2380" s="2" t="s">
        <v>10573</v>
      </c>
      <c r="H2380" s="2" t="s">
        <v>10573</v>
      </c>
      <c r="I2380" s="2" t="s">
        <v>338</v>
      </c>
      <c r="J2380" s="2" t="s">
        <v>328</v>
      </c>
      <c r="K2380" s="2" t="s">
        <v>1083</v>
      </c>
      <c r="L2380" s="3">
        <v>21.5</v>
      </c>
      <c r="M2380" s="3">
        <v>22.58</v>
      </c>
      <c r="N2380" s="3">
        <v>42.99</v>
      </c>
      <c r="O2380" s="2" t="s">
        <v>245</v>
      </c>
      <c r="P2380" s="2" t="s">
        <v>272</v>
      </c>
      <c r="Q2380" s="2" t="s">
        <v>239</v>
      </c>
      <c r="R2380" s="2" t="s">
        <v>233</v>
      </c>
      <c r="S2380" s="2" t="s">
        <v>10574</v>
      </c>
      <c r="T2380" s="2" t="s">
        <v>10575</v>
      </c>
      <c r="U2380" s="2" t="s">
        <v>233</v>
      </c>
      <c r="V2380" s="2" t="s">
        <v>241</v>
      </c>
      <c r="W2380" s="2" t="s">
        <v>275</v>
      </c>
      <c r="X2380" s="2" t="s">
        <v>233</v>
      </c>
      <c r="Y2380" s="2" t="s">
        <v>5651</v>
      </c>
      <c r="Z2380" s="4">
        <v>319</v>
      </c>
      <c r="AA2380" s="4">
        <f>=ROUNDDOWN(39.875,0)</f>
      </c>
      <c r="AB2380" s="5">
        <v>8</v>
      </c>
      <c r="AC2380" s="2" t="s">
        <v>233</v>
      </c>
      <c r="AD2380" s="4"/>
      <c r="AE2380" s="4"/>
      <c r="AF2380" s="6">
        <v>66</v>
      </c>
      <c r="AG2380" s="6"/>
      <c r="AH2380" s="7">
        <v>1</v>
      </c>
      <c r="AI2380" s="4"/>
      <c r="AJ2380" s="4">
        <f>=ROUNDDOWN({0},0)</f>
      </c>
      <c r="AK2380" s="5"/>
      <c r="AL2380" s="2" t="s">
        <v>233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233</v>
      </c>
      <c r="AW2380" s="8" t="s">
        <v>233</v>
      </c>
      <c r="AX2380" s="4" t="s">
        <v>233</v>
      </c>
      <c r="AY2380" s="8" t="s">
        <v>233</v>
      </c>
      <c r="AZ2380" s="7" t="s">
        <v>233</v>
      </c>
      <c r="BA2380" s="7" t="s">
        <v>233</v>
      </c>
      <c r="BB2380" s="7"/>
      <c r="BC2380" s="4" t="s">
        <v>233</v>
      </c>
      <c r="BD2380" s="8" t="s">
        <v>233</v>
      </c>
      <c r="BE2380" s="4" t="s">
        <v>233</v>
      </c>
      <c r="BF2380" s="8" t="s">
        <v>233</v>
      </c>
      <c r="BG2380" s="7" t="s">
        <v>233</v>
      </c>
      <c r="BH2380" s="7" t="s">
        <v>233</v>
      </c>
      <c r="BI2380" s="7"/>
      <c r="BJ2380" s="4">
        <v>19</v>
      </c>
      <c r="BK2380" s="8">
        <v>420.88</v>
      </c>
      <c r="BL2380" s="2" t="s">
        <v>10583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10584</v>
      </c>
      <c r="BV2380" s="2" t="s">
        <v>233</v>
      </c>
      <c r="BW2380" s="2" t="s">
        <v>233</v>
      </c>
      <c r="BX2380" s="2" t="s">
        <v>233</v>
      </c>
      <c r="BY2380" s="2" t="s">
        <v>280</v>
      </c>
      <c r="BZ2380" s="2" t="s">
        <v>245</v>
      </c>
      <c r="CA2380" s="2" t="s">
        <v>10287</v>
      </c>
      <c r="CB2380" s="2" t="s">
        <v>421</v>
      </c>
      <c r="CC2380" s="2" t="s">
        <v>246</v>
      </c>
      <c r="CD2380" s="2" t="s">
        <v>233</v>
      </c>
      <c r="CE2380" s="4">
        <v>319</v>
      </c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/>
      <c r="GH2380" s="4"/>
      <c r="GI2380" s="4"/>
      <c r="GJ2380" s="4"/>
      <c r="GK2380" s="4"/>
      <c r="GL2380" s="4"/>
      <c r="GM2380" s="4"/>
      <c r="GN2380" s="4"/>
      <c r="GO2380" s="4"/>
      <c r="GP2380" s="4"/>
      <c r="GQ2380" s="4"/>
      <c r="GR2380" s="4"/>
      <c r="GS2380" s="4"/>
      <c r="GT2380" s="4"/>
      <c r="GU2380" s="4"/>
      <c r="GV2380" s="4"/>
      <c r="GW2380" s="4"/>
      <c r="GX2380" s="4"/>
      <c r="GY2380" s="4"/>
      <c r="GZ2380" s="4"/>
      <c r="HA2380" s="4"/>
      <c r="HB2380" s="4"/>
      <c r="HC2380" s="4"/>
      <c r="HD2380" s="4"/>
      <c r="HE2380" s="4"/>
      <c r="HF2380" s="4"/>
      <c r="HG2380" s="4"/>
      <c r="HH2380" s="4"/>
      <c r="HI2380" s="4"/>
      <c r="HJ2380" s="4"/>
      <c r="HK2380" s="4"/>
      <c r="HL2380" s="4"/>
      <c r="HM2380" s="4"/>
      <c r="HN2380" s="4"/>
      <c r="HO2380" s="4"/>
      <c r="HP2380" s="4"/>
      <c r="HQ2380" s="4"/>
      <c r="HR2380" s="4"/>
    </row>
    <row r="2381">
      <c r="A2381" s="2" t="s">
        <v>10585</v>
      </c>
      <c r="B2381" s="2" t="s">
        <v>333</v>
      </c>
      <c r="C2381" s="2" t="s">
        <v>265</v>
      </c>
      <c r="D2381" s="2" t="s">
        <v>335</v>
      </c>
      <c r="E2381" s="2" t="s">
        <v>336</v>
      </c>
      <c r="F2381" s="2" t="s">
        <v>10573</v>
      </c>
      <c r="G2381" s="2" t="s">
        <v>10573</v>
      </c>
      <c r="H2381" s="2" t="s">
        <v>10573</v>
      </c>
      <c r="I2381" s="2" t="s">
        <v>338</v>
      </c>
      <c r="J2381" s="2" t="s">
        <v>270</v>
      </c>
      <c r="K2381" s="2" t="s">
        <v>271</v>
      </c>
      <c r="L2381" s="3">
        <v>16.5</v>
      </c>
      <c r="M2381" s="3">
        <v>17.32</v>
      </c>
      <c r="N2381" s="3">
        <v>32.99</v>
      </c>
      <c r="O2381" s="2" t="s">
        <v>245</v>
      </c>
      <c r="P2381" s="2" t="s">
        <v>311</v>
      </c>
      <c r="Q2381" s="2" t="s">
        <v>239</v>
      </c>
      <c r="R2381" s="2" t="s">
        <v>233</v>
      </c>
      <c r="S2381" s="2" t="s">
        <v>10586</v>
      </c>
      <c r="T2381" s="2" t="s">
        <v>10575</v>
      </c>
      <c r="U2381" s="2" t="s">
        <v>475</v>
      </c>
      <c r="V2381" s="2" t="s">
        <v>241</v>
      </c>
      <c r="W2381" s="2" t="s">
        <v>275</v>
      </c>
      <c r="X2381" s="2" t="s">
        <v>397</v>
      </c>
      <c r="Y2381" s="2" t="s">
        <v>10587</v>
      </c>
      <c r="Z2381" s="4">
        <v>39</v>
      </c>
      <c r="AA2381" s="4">
        <f>=ROUNDDOWN(55.7142857142857,0)</f>
      </c>
      <c r="AB2381" s="5">
        <v>0.7</v>
      </c>
      <c r="AC2381" s="2" t="s">
        <v>233</v>
      </c>
      <c r="AD2381" s="4"/>
      <c r="AE2381" s="4"/>
      <c r="AF2381" s="6">
        <v>66</v>
      </c>
      <c r="AG2381" s="6"/>
      <c r="AH2381" s="7">
        <v>1</v>
      </c>
      <c r="AI2381" s="4"/>
      <c r="AJ2381" s="4">
        <f>=ROUNDDOWN({0},0)</f>
      </c>
      <c r="AK2381" s="5"/>
      <c r="AL2381" s="2" t="s">
        <v>233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233</v>
      </c>
      <c r="AW2381" s="8" t="s">
        <v>233</v>
      </c>
      <c r="AX2381" s="4" t="s">
        <v>233</v>
      </c>
      <c r="AY2381" s="8" t="s">
        <v>233</v>
      </c>
      <c r="AZ2381" s="7" t="s">
        <v>233</v>
      </c>
      <c r="BA2381" s="7" t="s">
        <v>233</v>
      </c>
      <c r="BB2381" s="7"/>
      <c r="BC2381" s="4" t="s">
        <v>233</v>
      </c>
      <c r="BD2381" s="8" t="s">
        <v>233</v>
      </c>
      <c r="BE2381" s="4" t="s">
        <v>233</v>
      </c>
      <c r="BF2381" s="8" t="s">
        <v>233</v>
      </c>
      <c r="BG2381" s="7" t="s">
        <v>233</v>
      </c>
      <c r="BH2381" s="7" t="s">
        <v>233</v>
      </c>
      <c r="BI2381" s="7"/>
      <c r="BJ2381" s="4">
        <v>5</v>
      </c>
      <c r="BK2381" s="8">
        <v>83.64</v>
      </c>
      <c r="BL2381" s="2" t="s">
        <v>10588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10589</v>
      </c>
      <c r="BV2381" s="2" t="s">
        <v>233</v>
      </c>
      <c r="BW2381" s="2" t="s">
        <v>233</v>
      </c>
      <c r="BX2381" s="2" t="s">
        <v>233</v>
      </c>
      <c r="BY2381" s="2" t="s">
        <v>280</v>
      </c>
      <c r="BZ2381" s="2" t="s">
        <v>245</v>
      </c>
      <c r="CA2381" s="2" t="s">
        <v>10587</v>
      </c>
      <c r="CB2381" s="2" t="s">
        <v>10590</v>
      </c>
      <c r="CC2381" s="2" t="s">
        <v>246</v>
      </c>
      <c r="CD2381" s="2" t="s">
        <v>233</v>
      </c>
      <c r="CE2381" s="4">
        <v>39</v>
      </c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  <c r="HG2381" s="4"/>
      <c r="HH2381" s="4"/>
      <c r="HI2381" s="4"/>
      <c r="HJ2381" s="4"/>
      <c r="HK2381" s="4"/>
      <c r="HL2381" s="4"/>
      <c r="HM2381" s="4"/>
      <c r="HN2381" s="4"/>
      <c r="HO2381" s="4"/>
      <c r="HP2381" s="4"/>
      <c r="HQ2381" s="4"/>
      <c r="HR2381" s="4"/>
    </row>
    <row r="2382">
      <c r="A2382" s="2" t="s">
        <v>10591</v>
      </c>
      <c r="B2382" s="2" t="s">
        <v>333</v>
      </c>
      <c r="C2382" s="2" t="s">
        <v>265</v>
      </c>
      <c r="D2382" s="2" t="s">
        <v>335</v>
      </c>
      <c r="E2382" s="2" t="s">
        <v>336</v>
      </c>
      <c r="F2382" s="2" t="s">
        <v>10573</v>
      </c>
      <c r="G2382" s="2" t="s">
        <v>10573</v>
      </c>
      <c r="H2382" s="2" t="s">
        <v>10573</v>
      </c>
      <c r="I2382" s="2" t="s">
        <v>338</v>
      </c>
      <c r="J2382" s="2" t="s">
        <v>290</v>
      </c>
      <c r="K2382" s="2" t="s">
        <v>271</v>
      </c>
      <c r="L2382" s="3">
        <v>16.5</v>
      </c>
      <c r="M2382" s="3">
        <v>17.32</v>
      </c>
      <c r="N2382" s="3">
        <v>32.99</v>
      </c>
      <c r="O2382" s="2" t="s">
        <v>245</v>
      </c>
      <c r="P2382" s="2" t="s">
        <v>311</v>
      </c>
      <c r="Q2382" s="2" t="s">
        <v>239</v>
      </c>
      <c r="R2382" s="2" t="s">
        <v>233</v>
      </c>
      <c r="S2382" s="2" t="s">
        <v>10586</v>
      </c>
      <c r="T2382" s="2" t="s">
        <v>10575</v>
      </c>
      <c r="U2382" s="2" t="s">
        <v>342</v>
      </c>
      <c r="V2382" s="2" t="s">
        <v>241</v>
      </c>
      <c r="W2382" s="2" t="s">
        <v>275</v>
      </c>
      <c r="X2382" s="2" t="s">
        <v>397</v>
      </c>
      <c r="Y2382" s="2" t="s">
        <v>10587</v>
      </c>
      <c r="Z2382" s="4">
        <v>87</v>
      </c>
      <c r="AA2382" s="4">
        <f>=ROUNDDOWN(62.1428571428571,0)</f>
      </c>
      <c r="AB2382" s="5">
        <v>1.4</v>
      </c>
      <c r="AC2382" s="2" t="s">
        <v>233</v>
      </c>
      <c r="AD2382" s="4"/>
      <c r="AE2382" s="4"/>
      <c r="AF2382" s="6">
        <v>66</v>
      </c>
      <c r="AG2382" s="6"/>
      <c r="AH2382" s="7">
        <v>1</v>
      </c>
      <c r="AI2382" s="4"/>
      <c r="AJ2382" s="4">
        <f>=ROUNDDOWN({0},0)</f>
      </c>
      <c r="AK2382" s="5"/>
      <c r="AL2382" s="2" t="s">
        <v>233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233</v>
      </c>
      <c r="AW2382" s="8" t="s">
        <v>233</v>
      </c>
      <c r="AX2382" s="4" t="s">
        <v>233</v>
      </c>
      <c r="AY2382" s="8" t="s">
        <v>233</v>
      </c>
      <c r="AZ2382" s="7" t="s">
        <v>233</v>
      </c>
      <c r="BA2382" s="7" t="s">
        <v>233</v>
      </c>
      <c r="BB2382" s="7"/>
      <c r="BC2382" s="4" t="s">
        <v>233</v>
      </c>
      <c r="BD2382" s="8" t="s">
        <v>233</v>
      </c>
      <c r="BE2382" s="4" t="s">
        <v>233</v>
      </c>
      <c r="BF2382" s="8" t="s">
        <v>233</v>
      </c>
      <c r="BG2382" s="7" t="s">
        <v>233</v>
      </c>
      <c r="BH2382" s="7" t="s">
        <v>233</v>
      </c>
      <c r="BI2382" s="7"/>
      <c r="BJ2382" s="4">
        <v>6</v>
      </c>
      <c r="BK2382" s="8">
        <v>99.04</v>
      </c>
      <c r="BL2382" s="2" t="s">
        <v>6344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10592</v>
      </c>
      <c r="BV2382" s="2" t="s">
        <v>233</v>
      </c>
      <c r="BW2382" s="2" t="s">
        <v>233</v>
      </c>
      <c r="BX2382" s="2" t="s">
        <v>233</v>
      </c>
      <c r="BY2382" s="2" t="s">
        <v>280</v>
      </c>
      <c r="BZ2382" s="2" t="s">
        <v>245</v>
      </c>
      <c r="CA2382" s="2" t="s">
        <v>10587</v>
      </c>
      <c r="CB2382" s="2" t="s">
        <v>2208</v>
      </c>
      <c r="CC2382" s="2" t="s">
        <v>246</v>
      </c>
      <c r="CD2382" s="2" t="s">
        <v>233</v>
      </c>
      <c r="CE2382" s="4">
        <v>87</v>
      </c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/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/>
      <c r="GS2382" s="4"/>
      <c r="GT2382" s="4"/>
      <c r="GU2382" s="4"/>
      <c r="GV2382" s="4"/>
      <c r="GW2382" s="4"/>
      <c r="GX2382" s="4"/>
      <c r="GY2382" s="4"/>
      <c r="GZ2382" s="4"/>
      <c r="HA2382" s="4"/>
      <c r="HB2382" s="4"/>
      <c r="HC2382" s="4"/>
      <c r="HD2382" s="4"/>
      <c r="HE2382" s="4"/>
      <c r="HF2382" s="4"/>
      <c r="HG2382" s="4"/>
      <c r="HH2382" s="4"/>
      <c r="HI2382" s="4"/>
      <c r="HJ2382" s="4"/>
      <c r="HK2382" s="4"/>
      <c r="HL2382" s="4"/>
      <c r="HM2382" s="4"/>
      <c r="HN2382" s="4"/>
      <c r="HO2382" s="4"/>
      <c r="HP2382" s="4"/>
      <c r="HQ2382" s="4"/>
      <c r="HR2382" s="4"/>
    </row>
    <row r="2383">
      <c r="A2383" s="2" t="s">
        <v>10593</v>
      </c>
      <c r="B2383" s="2" t="s">
        <v>333</v>
      </c>
      <c r="C2383" s="2" t="s">
        <v>265</v>
      </c>
      <c r="D2383" s="2" t="s">
        <v>335</v>
      </c>
      <c r="E2383" s="2" t="s">
        <v>336</v>
      </c>
      <c r="F2383" s="2" t="s">
        <v>10573</v>
      </c>
      <c r="G2383" s="2" t="s">
        <v>10573</v>
      </c>
      <c r="H2383" s="2" t="s">
        <v>10573</v>
      </c>
      <c r="I2383" s="2" t="s">
        <v>338</v>
      </c>
      <c r="J2383" s="2" t="s">
        <v>328</v>
      </c>
      <c r="K2383" s="2" t="s">
        <v>271</v>
      </c>
      <c r="L2383" s="3">
        <v>21.5</v>
      </c>
      <c r="M2383" s="3">
        <v>22.58</v>
      </c>
      <c r="N2383" s="3">
        <v>42.99</v>
      </c>
      <c r="O2383" s="2" t="s">
        <v>245</v>
      </c>
      <c r="P2383" s="2" t="s">
        <v>311</v>
      </c>
      <c r="Q2383" s="2" t="s">
        <v>239</v>
      </c>
      <c r="R2383" s="2" t="s">
        <v>233</v>
      </c>
      <c r="S2383" s="2" t="s">
        <v>10586</v>
      </c>
      <c r="T2383" s="2" t="s">
        <v>10575</v>
      </c>
      <c r="U2383" s="2" t="s">
        <v>342</v>
      </c>
      <c r="V2383" s="2" t="s">
        <v>241</v>
      </c>
      <c r="W2383" s="2" t="s">
        <v>275</v>
      </c>
      <c r="X2383" s="2" t="s">
        <v>397</v>
      </c>
      <c r="Y2383" s="2" t="s">
        <v>10587</v>
      </c>
      <c r="Z2383" s="4">
        <v>107</v>
      </c>
      <c r="AA2383" s="4">
        <f>=ROUNDDOWN(30.5714285714286,0)</f>
      </c>
      <c r="AB2383" s="5">
        <v>3.5</v>
      </c>
      <c r="AC2383" s="2" t="s">
        <v>233</v>
      </c>
      <c r="AD2383" s="4"/>
      <c r="AE2383" s="4"/>
      <c r="AF2383" s="6">
        <v>66</v>
      </c>
      <c r="AG2383" s="6"/>
      <c r="AH2383" s="7">
        <v>1</v>
      </c>
      <c r="AI2383" s="4"/>
      <c r="AJ2383" s="4">
        <f>=ROUNDDOWN({0},0)</f>
      </c>
      <c r="AK2383" s="5"/>
      <c r="AL2383" s="2" t="s">
        <v>233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233</v>
      </c>
      <c r="AW2383" s="8" t="s">
        <v>233</v>
      </c>
      <c r="AX2383" s="4" t="s">
        <v>233</v>
      </c>
      <c r="AY2383" s="8" t="s">
        <v>233</v>
      </c>
      <c r="AZ2383" s="7" t="s">
        <v>233</v>
      </c>
      <c r="BA2383" s="7" t="s">
        <v>233</v>
      </c>
      <c r="BB2383" s="7"/>
      <c r="BC2383" s="4" t="s">
        <v>233</v>
      </c>
      <c r="BD2383" s="8" t="s">
        <v>233</v>
      </c>
      <c r="BE2383" s="4" t="s">
        <v>233</v>
      </c>
      <c r="BF2383" s="8" t="s">
        <v>233</v>
      </c>
      <c r="BG2383" s="7" t="s">
        <v>233</v>
      </c>
      <c r="BH2383" s="7" t="s">
        <v>233</v>
      </c>
      <c r="BI2383" s="7"/>
      <c r="BJ2383" s="4">
        <v>8</v>
      </c>
      <c r="BK2383" s="8">
        <v>181.8</v>
      </c>
      <c r="BL2383" s="2" t="s">
        <v>10594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10595</v>
      </c>
      <c r="BV2383" s="2" t="s">
        <v>233</v>
      </c>
      <c r="BW2383" s="2" t="s">
        <v>233</v>
      </c>
      <c r="BX2383" s="2" t="s">
        <v>233</v>
      </c>
      <c r="BY2383" s="2" t="s">
        <v>280</v>
      </c>
      <c r="BZ2383" s="2" t="s">
        <v>245</v>
      </c>
      <c r="CA2383" s="2" t="s">
        <v>10587</v>
      </c>
      <c r="CB2383" s="2" t="s">
        <v>2597</v>
      </c>
      <c r="CC2383" s="2" t="s">
        <v>246</v>
      </c>
      <c r="CD2383" s="2" t="s">
        <v>233</v>
      </c>
      <c r="CE2383" s="4">
        <v>107</v>
      </c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/>
      <c r="GH2383" s="4"/>
      <c r="GI2383" s="4"/>
      <c r="GJ2383" s="4"/>
      <c r="GK2383" s="4"/>
      <c r="GL2383" s="4"/>
      <c r="GM2383" s="4"/>
      <c r="GN2383" s="4"/>
      <c r="GO2383" s="4"/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/>
      <c r="HD2383" s="4"/>
      <c r="HE2383" s="4"/>
      <c r="HF2383" s="4"/>
      <c r="HG2383" s="4"/>
      <c r="HH2383" s="4"/>
      <c r="HI2383" s="4"/>
      <c r="HJ2383" s="4"/>
      <c r="HK2383" s="4"/>
      <c r="HL2383" s="4"/>
      <c r="HM2383" s="4"/>
      <c r="HN2383" s="4"/>
      <c r="HO2383" s="4"/>
      <c r="HP2383" s="4"/>
      <c r="HQ2383" s="4"/>
      <c r="HR2383" s="4"/>
    </row>
    <row r="2384">
      <c r="A2384" s="2" t="s">
        <v>10596</v>
      </c>
      <c r="B2384" s="2" t="s">
        <v>333</v>
      </c>
      <c r="C2384" s="2" t="s">
        <v>265</v>
      </c>
      <c r="D2384" s="2" t="s">
        <v>335</v>
      </c>
      <c r="E2384" s="2" t="s">
        <v>336</v>
      </c>
      <c r="F2384" s="2" t="s">
        <v>10573</v>
      </c>
      <c r="G2384" s="2" t="s">
        <v>10573</v>
      </c>
      <c r="H2384" s="2" t="s">
        <v>10573</v>
      </c>
      <c r="I2384" s="2" t="s">
        <v>338</v>
      </c>
      <c r="J2384" s="2" t="s">
        <v>546</v>
      </c>
      <c r="K2384" s="2" t="s">
        <v>271</v>
      </c>
      <c r="L2384" s="3">
        <v>21.5</v>
      </c>
      <c r="M2384" s="3">
        <v>22.58</v>
      </c>
      <c r="N2384" s="3">
        <v>42.99</v>
      </c>
      <c r="O2384" s="2" t="s">
        <v>245</v>
      </c>
      <c r="P2384" s="2" t="s">
        <v>311</v>
      </c>
      <c r="Q2384" s="2" t="s">
        <v>239</v>
      </c>
      <c r="R2384" s="2" t="s">
        <v>233</v>
      </c>
      <c r="S2384" s="2" t="s">
        <v>10586</v>
      </c>
      <c r="T2384" s="2" t="s">
        <v>10575</v>
      </c>
      <c r="U2384" s="2" t="s">
        <v>342</v>
      </c>
      <c r="V2384" s="2" t="s">
        <v>241</v>
      </c>
      <c r="W2384" s="2" t="s">
        <v>275</v>
      </c>
      <c r="X2384" s="2" t="s">
        <v>397</v>
      </c>
      <c r="Y2384" s="2" t="s">
        <v>10587</v>
      </c>
      <c r="Z2384" s="4">
        <v>53</v>
      </c>
      <c r="AA2384" s="4">
        <f>=ROUNDDOWN(265,0)</f>
      </c>
      <c r="AB2384" s="5">
        <v>0.2</v>
      </c>
      <c r="AC2384" s="2" t="s">
        <v>233</v>
      </c>
      <c r="AD2384" s="4"/>
      <c r="AE2384" s="4"/>
      <c r="AF2384" s="6">
        <v>66</v>
      </c>
      <c r="AG2384" s="6"/>
      <c r="AH2384" s="7">
        <v>1</v>
      </c>
      <c r="AI2384" s="4"/>
      <c r="AJ2384" s="4">
        <f>=ROUNDDOWN({0},0)</f>
      </c>
      <c r="AK2384" s="5"/>
      <c r="AL2384" s="2" t="s">
        <v>233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233</v>
      </c>
      <c r="AW2384" s="8" t="s">
        <v>233</v>
      </c>
      <c r="AX2384" s="4" t="s">
        <v>233</v>
      </c>
      <c r="AY2384" s="8" t="s">
        <v>233</v>
      </c>
      <c r="AZ2384" s="7" t="s">
        <v>233</v>
      </c>
      <c r="BA2384" s="7" t="s">
        <v>233</v>
      </c>
      <c r="BB2384" s="7"/>
      <c r="BC2384" s="4" t="s">
        <v>233</v>
      </c>
      <c r="BD2384" s="8" t="s">
        <v>233</v>
      </c>
      <c r="BE2384" s="4" t="s">
        <v>233</v>
      </c>
      <c r="BF2384" s="8" t="s">
        <v>233</v>
      </c>
      <c r="BG2384" s="7" t="s">
        <v>233</v>
      </c>
      <c r="BH2384" s="7" t="s">
        <v>233</v>
      </c>
      <c r="BI2384" s="7"/>
      <c r="BJ2384" s="4">
        <v>1</v>
      </c>
      <c r="BK2384" s="8">
        <v>23.7</v>
      </c>
      <c r="BL2384" s="2" t="s">
        <v>3094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10597</v>
      </c>
      <c r="BV2384" s="2" t="s">
        <v>233</v>
      </c>
      <c r="BW2384" s="2" t="s">
        <v>233</v>
      </c>
      <c r="BX2384" s="2" t="s">
        <v>233</v>
      </c>
      <c r="BY2384" s="2" t="s">
        <v>280</v>
      </c>
      <c r="BZ2384" s="2" t="s">
        <v>245</v>
      </c>
      <c r="CA2384" s="2" t="s">
        <v>10587</v>
      </c>
      <c r="CB2384" s="2" t="s">
        <v>9266</v>
      </c>
      <c r="CC2384" s="2" t="s">
        <v>246</v>
      </c>
      <c r="CD2384" s="2" t="s">
        <v>233</v>
      </c>
      <c r="CE2384" s="4">
        <v>53</v>
      </c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  <c r="HF2384" s="4"/>
      <c r="HG2384" s="4"/>
      <c r="HH2384" s="4"/>
      <c r="HI2384" s="4"/>
      <c r="HJ2384" s="4"/>
      <c r="HK2384" s="4"/>
      <c r="HL2384" s="4"/>
      <c r="HM2384" s="4"/>
      <c r="HN2384" s="4"/>
      <c r="HO2384" s="4"/>
      <c r="HP2384" s="4"/>
      <c r="HQ2384" s="4"/>
      <c r="HR2384" s="4"/>
    </row>
    <row r="2385">
      <c r="A2385" s="2" t="s">
        <v>10598</v>
      </c>
      <c r="B2385" s="2" t="s">
        <v>333</v>
      </c>
      <c r="C2385" s="2" t="s">
        <v>265</v>
      </c>
      <c r="D2385" s="2" t="s">
        <v>335</v>
      </c>
      <c r="E2385" s="2" t="s">
        <v>336</v>
      </c>
      <c r="F2385" s="2" t="s">
        <v>10573</v>
      </c>
      <c r="G2385" s="2" t="s">
        <v>10573</v>
      </c>
      <c r="H2385" s="2" t="s">
        <v>10573</v>
      </c>
      <c r="I2385" s="2" t="s">
        <v>338</v>
      </c>
      <c r="J2385" s="2" t="s">
        <v>270</v>
      </c>
      <c r="K2385" s="2" t="s">
        <v>255</v>
      </c>
      <c r="L2385" s="3">
        <v>16.5</v>
      </c>
      <c r="M2385" s="3">
        <v>17.32</v>
      </c>
      <c r="N2385" s="3">
        <v>32.99</v>
      </c>
      <c r="O2385" s="2" t="s">
        <v>245</v>
      </c>
      <c r="P2385" s="2" t="s">
        <v>272</v>
      </c>
      <c r="Q2385" s="2" t="s">
        <v>239</v>
      </c>
      <c r="R2385" s="2" t="s">
        <v>233</v>
      </c>
      <c r="S2385" s="2" t="s">
        <v>10599</v>
      </c>
      <c r="T2385" s="2" t="s">
        <v>10575</v>
      </c>
      <c r="U2385" s="2" t="s">
        <v>233</v>
      </c>
      <c r="V2385" s="2" t="s">
        <v>241</v>
      </c>
      <c r="W2385" s="2" t="s">
        <v>275</v>
      </c>
      <c r="X2385" s="2" t="s">
        <v>233</v>
      </c>
      <c r="Y2385" s="2" t="s">
        <v>276</v>
      </c>
      <c r="Z2385" s="4">
        <v>128</v>
      </c>
      <c r="AA2385" s="4">
        <f>=ROUNDDOWN(25.6,0)</f>
      </c>
      <c r="AB2385" s="5">
        <v>5</v>
      </c>
      <c r="AC2385" s="2" t="s">
        <v>319</v>
      </c>
      <c r="AD2385" s="4">
        <v>20</v>
      </c>
      <c r="AE2385" s="4">
        <v>20</v>
      </c>
      <c r="AF2385" s="6">
        <v>66</v>
      </c>
      <c r="AG2385" s="6"/>
      <c r="AH2385" s="7">
        <v>1</v>
      </c>
      <c r="AI2385" s="4"/>
      <c r="AJ2385" s="4">
        <f>=ROUNDDOWN({0},0)</f>
      </c>
      <c r="AK2385" s="5"/>
      <c r="AL2385" s="2" t="s">
        <v>233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233</v>
      </c>
      <c r="AW2385" s="8" t="s">
        <v>233</v>
      </c>
      <c r="AX2385" s="4" t="s">
        <v>233</v>
      </c>
      <c r="AY2385" s="8" t="s">
        <v>233</v>
      </c>
      <c r="AZ2385" s="7" t="s">
        <v>233</v>
      </c>
      <c r="BA2385" s="7" t="s">
        <v>233</v>
      </c>
      <c r="BB2385" s="7"/>
      <c r="BC2385" s="4" t="s">
        <v>233</v>
      </c>
      <c r="BD2385" s="8" t="s">
        <v>233</v>
      </c>
      <c r="BE2385" s="4" t="s">
        <v>233</v>
      </c>
      <c r="BF2385" s="8" t="s">
        <v>233</v>
      </c>
      <c r="BG2385" s="7" t="s">
        <v>233</v>
      </c>
      <c r="BH2385" s="7" t="s">
        <v>233</v>
      </c>
      <c r="BI2385" s="7"/>
      <c r="BJ2385" s="4">
        <v>20</v>
      </c>
      <c r="BK2385" s="8">
        <v>294.34</v>
      </c>
      <c r="BL2385" s="2" t="s">
        <v>6210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10600</v>
      </c>
      <c r="BV2385" s="2" t="s">
        <v>233</v>
      </c>
      <c r="BW2385" s="2" t="s">
        <v>233</v>
      </c>
      <c r="BX2385" s="2" t="s">
        <v>233</v>
      </c>
      <c r="BY2385" s="2" t="s">
        <v>280</v>
      </c>
      <c r="BZ2385" s="2" t="s">
        <v>245</v>
      </c>
      <c r="CA2385" s="2" t="s">
        <v>10287</v>
      </c>
      <c r="CB2385" s="2" t="s">
        <v>4040</v>
      </c>
      <c r="CC2385" s="2" t="s">
        <v>246</v>
      </c>
      <c r="CD2385" s="2" t="s">
        <v>233</v>
      </c>
      <c r="CE2385" s="4">
        <v>128</v>
      </c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>
        <v>20</v>
      </c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/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  <c r="HF2385" s="4"/>
      <c r="HG2385" s="4"/>
      <c r="HH2385" s="4"/>
      <c r="HI2385" s="4"/>
      <c r="HJ2385" s="4"/>
      <c r="HK2385" s="4"/>
      <c r="HL2385" s="4"/>
      <c r="HM2385" s="4"/>
      <c r="HN2385" s="4"/>
      <c r="HO2385" s="4"/>
      <c r="HP2385" s="4"/>
      <c r="HQ2385" s="4"/>
      <c r="HR2385" s="4"/>
    </row>
    <row r="2386">
      <c r="A2386" s="2" t="s">
        <v>10601</v>
      </c>
      <c r="B2386" s="2" t="s">
        <v>333</v>
      </c>
      <c r="C2386" s="2" t="s">
        <v>265</v>
      </c>
      <c r="D2386" s="2" t="s">
        <v>335</v>
      </c>
      <c r="E2386" s="2" t="s">
        <v>336</v>
      </c>
      <c r="F2386" s="2" t="s">
        <v>10573</v>
      </c>
      <c r="G2386" s="2" t="s">
        <v>10573</v>
      </c>
      <c r="H2386" s="2" t="s">
        <v>10573</v>
      </c>
      <c r="I2386" s="2" t="s">
        <v>338</v>
      </c>
      <c r="J2386" s="2" t="s">
        <v>290</v>
      </c>
      <c r="K2386" s="2" t="s">
        <v>255</v>
      </c>
      <c r="L2386" s="3">
        <v>16.5</v>
      </c>
      <c r="M2386" s="3">
        <v>17.32</v>
      </c>
      <c r="N2386" s="3">
        <v>32.99</v>
      </c>
      <c r="O2386" s="2" t="s">
        <v>245</v>
      </c>
      <c r="P2386" s="2" t="s">
        <v>272</v>
      </c>
      <c r="Q2386" s="2" t="s">
        <v>239</v>
      </c>
      <c r="R2386" s="2" t="s">
        <v>233</v>
      </c>
      <c r="S2386" s="2" t="s">
        <v>10599</v>
      </c>
      <c r="T2386" s="2" t="s">
        <v>10575</v>
      </c>
      <c r="U2386" s="2" t="s">
        <v>233</v>
      </c>
      <c r="V2386" s="2" t="s">
        <v>241</v>
      </c>
      <c r="W2386" s="2" t="s">
        <v>275</v>
      </c>
      <c r="X2386" s="2" t="s">
        <v>233</v>
      </c>
      <c r="Y2386" s="2" t="s">
        <v>5651</v>
      </c>
      <c r="Z2386" s="4">
        <v>119</v>
      </c>
      <c r="AA2386" s="4">
        <f>=ROUNDDOWN(10.8181818181818,0)</f>
      </c>
      <c r="AB2386" s="5">
        <v>11</v>
      </c>
      <c r="AC2386" s="2" t="s">
        <v>319</v>
      </c>
      <c r="AD2386" s="4">
        <v>120</v>
      </c>
      <c r="AE2386" s="4">
        <v>280</v>
      </c>
      <c r="AF2386" s="6">
        <v>66</v>
      </c>
      <c r="AG2386" s="6"/>
      <c r="AH2386" s="7">
        <v>1</v>
      </c>
      <c r="AI2386" s="4"/>
      <c r="AJ2386" s="4">
        <f>=ROUNDDOWN({0},0)</f>
      </c>
      <c r="AK2386" s="5"/>
      <c r="AL2386" s="2" t="s">
        <v>233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233</v>
      </c>
      <c r="AW2386" s="8" t="s">
        <v>233</v>
      </c>
      <c r="AX2386" s="4" t="s">
        <v>233</v>
      </c>
      <c r="AY2386" s="8" t="s">
        <v>233</v>
      </c>
      <c r="AZ2386" s="7" t="s">
        <v>233</v>
      </c>
      <c r="BA2386" s="7" t="s">
        <v>233</v>
      </c>
      <c r="BB2386" s="7"/>
      <c r="BC2386" s="4" t="s">
        <v>233</v>
      </c>
      <c r="BD2386" s="8" t="s">
        <v>233</v>
      </c>
      <c r="BE2386" s="4" t="s">
        <v>233</v>
      </c>
      <c r="BF2386" s="8" t="s">
        <v>233</v>
      </c>
      <c r="BG2386" s="7" t="s">
        <v>233</v>
      </c>
      <c r="BH2386" s="7" t="s">
        <v>233</v>
      </c>
      <c r="BI2386" s="7"/>
      <c r="BJ2386" s="4">
        <v>22</v>
      </c>
      <c r="BK2386" s="8">
        <v>378.04</v>
      </c>
      <c r="BL2386" s="2" t="s">
        <v>4383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10602</v>
      </c>
      <c r="BV2386" s="2" t="s">
        <v>233</v>
      </c>
      <c r="BW2386" s="2" t="s">
        <v>233</v>
      </c>
      <c r="BX2386" s="2" t="s">
        <v>233</v>
      </c>
      <c r="BY2386" s="2" t="s">
        <v>280</v>
      </c>
      <c r="BZ2386" s="2" t="s">
        <v>245</v>
      </c>
      <c r="CA2386" s="2" t="s">
        <v>10287</v>
      </c>
      <c r="CB2386" s="2" t="s">
        <v>10603</v>
      </c>
      <c r="CC2386" s="2" t="s">
        <v>246</v>
      </c>
      <c r="CD2386" s="2" t="s">
        <v>233</v>
      </c>
      <c r="CE2386" s="4">
        <v>119</v>
      </c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>
        <v>120</v>
      </c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>
        <v>100</v>
      </c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/>
      <c r="GH2386" s="4"/>
      <c r="GI2386" s="4"/>
      <c r="GJ2386" s="4"/>
      <c r="GK2386" s="4"/>
      <c r="GL2386" s="4"/>
      <c r="GM2386" s="4"/>
      <c r="GN2386" s="4"/>
      <c r="GO2386" s="4"/>
      <c r="GP2386" s="4"/>
      <c r="GQ2386" s="4"/>
      <c r="GR2386" s="4"/>
      <c r="GS2386" s="4"/>
      <c r="GT2386" s="4"/>
      <c r="GU2386" s="4"/>
      <c r="GV2386" s="4"/>
      <c r="GW2386" s="4"/>
      <c r="GX2386" s="4"/>
      <c r="GY2386" s="4"/>
      <c r="GZ2386" s="4"/>
      <c r="HA2386" s="4"/>
      <c r="HB2386" s="4"/>
      <c r="HC2386" s="4"/>
      <c r="HD2386" s="4"/>
      <c r="HE2386" s="4">
        <v>60</v>
      </c>
      <c r="HF2386" s="4"/>
      <c r="HG2386" s="4"/>
      <c r="HH2386" s="4"/>
      <c r="HI2386" s="4"/>
      <c r="HJ2386" s="4"/>
      <c r="HK2386" s="4"/>
      <c r="HL2386" s="4"/>
      <c r="HM2386" s="4"/>
      <c r="HN2386" s="4"/>
      <c r="HO2386" s="4"/>
      <c r="HP2386" s="4"/>
      <c r="HQ2386" s="4"/>
      <c r="HR2386" s="4"/>
    </row>
    <row r="2387">
      <c r="A2387" s="2" t="s">
        <v>10604</v>
      </c>
      <c r="B2387" s="2" t="s">
        <v>333</v>
      </c>
      <c r="C2387" s="2" t="s">
        <v>265</v>
      </c>
      <c r="D2387" s="2" t="s">
        <v>335</v>
      </c>
      <c r="E2387" s="2" t="s">
        <v>336</v>
      </c>
      <c r="F2387" s="2" t="s">
        <v>10573</v>
      </c>
      <c r="G2387" s="2" t="s">
        <v>10573</v>
      </c>
      <c r="H2387" s="2" t="s">
        <v>10573</v>
      </c>
      <c r="I2387" s="2" t="s">
        <v>338</v>
      </c>
      <c r="J2387" s="2" t="s">
        <v>546</v>
      </c>
      <c r="K2387" s="2" t="s">
        <v>255</v>
      </c>
      <c r="L2387" s="3">
        <v>21.5</v>
      </c>
      <c r="M2387" s="3">
        <v>22.58</v>
      </c>
      <c r="N2387" s="3">
        <v>42.99</v>
      </c>
      <c r="O2387" s="2" t="s">
        <v>245</v>
      </c>
      <c r="P2387" s="2" t="s">
        <v>272</v>
      </c>
      <c r="Q2387" s="2" t="s">
        <v>239</v>
      </c>
      <c r="R2387" s="2" t="s">
        <v>233</v>
      </c>
      <c r="S2387" s="2" t="s">
        <v>10599</v>
      </c>
      <c r="T2387" s="2" t="s">
        <v>10575</v>
      </c>
      <c r="U2387" s="2" t="s">
        <v>233</v>
      </c>
      <c r="V2387" s="2" t="s">
        <v>241</v>
      </c>
      <c r="W2387" s="2" t="s">
        <v>275</v>
      </c>
      <c r="X2387" s="2" t="s">
        <v>233</v>
      </c>
      <c r="Y2387" s="2" t="s">
        <v>5651</v>
      </c>
      <c r="Z2387" s="4">
        <v>94</v>
      </c>
      <c r="AA2387" s="4">
        <f>=ROUNDDOWN(23.5,0)</f>
      </c>
      <c r="AB2387" s="5">
        <v>4</v>
      </c>
      <c r="AC2387" s="2" t="s">
        <v>319</v>
      </c>
      <c r="AD2387" s="4">
        <v>20</v>
      </c>
      <c r="AE2387" s="4">
        <v>20</v>
      </c>
      <c r="AF2387" s="6">
        <v>66</v>
      </c>
      <c r="AG2387" s="6"/>
      <c r="AH2387" s="7">
        <v>1</v>
      </c>
      <c r="AI2387" s="4"/>
      <c r="AJ2387" s="4">
        <f>=ROUNDDOWN({0},0)</f>
      </c>
      <c r="AK2387" s="5"/>
      <c r="AL2387" s="2" t="s">
        <v>233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233</v>
      </c>
      <c r="AW2387" s="8" t="s">
        <v>233</v>
      </c>
      <c r="AX2387" s="4" t="s">
        <v>233</v>
      </c>
      <c r="AY2387" s="8" t="s">
        <v>233</v>
      </c>
      <c r="AZ2387" s="7" t="s">
        <v>233</v>
      </c>
      <c r="BA2387" s="7" t="s">
        <v>233</v>
      </c>
      <c r="BB2387" s="7"/>
      <c r="BC2387" s="4" t="s">
        <v>233</v>
      </c>
      <c r="BD2387" s="8" t="s">
        <v>233</v>
      </c>
      <c r="BE2387" s="4" t="s">
        <v>233</v>
      </c>
      <c r="BF2387" s="8" t="s">
        <v>233</v>
      </c>
      <c r="BG2387" s="7" t="s">
        <v>233</v>
      </c>
      <c r="BH2387" s="7" t="s">
        <v>233</v>
      </c>
      <c r="BI2387" s="7"/>
      <c r="BJ2387" s="4">
        <v>13</v>
      </c>
      <c r="BK2387" s="8">
        <v>288.36</v>
      </c>
      <c r="BL2387" s="2" t="s">
        <v>10605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10606</v>
      </c>
      <c r="BV2387" s="2" t="s">
        <v>233</v>
      </c>
      <c r="BW2387" s="2" t="s">
        <v>233</v>
      </c>
      <c r="BX2387" s="2" t="s">
        <v>233</v>
      </c>
      <c r="BY2387" s="2" t="s">
        <v>280</v>
      </c>
      <c r="BZ2387" s="2" t="s">
        <v>245</v>
      </c>
      <c r="CA2387" s="2" t="s">
        <v>10287</v>
      </c>
      <c r="CB2387" s="2" t="s">
        <v>10607</v>
      </c>
      <c r="CC2387" s="2" t="s">
        <v>246</v>
      </c>
      <c r="CD2387" s="2" t="s">
        <v>233</v>
      </c>
      <c r="CE2387" s="4">
        <v>94</v>
      </c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>
        <v>20</v>
      </c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/>
      <c r="GN2387" s="4"/>
      <c r="GO2387" s="4"/>
      <c r="GP2387" s="4"/>
      <c r="GQ2387" s="4"/>
      <c r="GR2387" s="4"/>
      <c r="GS2387" s="4"/>
      <c r="GT2387" s="4"/>
      <c r="GU2387" s="4"/>
      <c r="GV2387" s="4"/>
      <c r="GW2387" s="4"/>
      <c r="GX2387" s="4"/>
      <c r="GY2387" s="4"/>
      <c r="GZ2387" s="4"/>
      <c r="HA2387" s="4"/>
      <c r="HB2387" s="4"/>
      <c r="HC2387" s="4"/>
      <c r="HD2387" s="4"/>
      <c r="HE2387" s="4"/>
      <c r="HF2387" s="4"/>
      <c r="HG2387" s="4"/>
      <c r="HH2387" s="4"/>
      <c r="HI2387" s="4"/>
      <c r="HJ2387" s="4"/>
      <c r="HK2387" s="4"/>
      <c r="HL2387" s="4"/>
      <c r="HM2387" s="4"/>
      <c r="HN2387" s="4"/>
      <c r="HO2387" s="4"/>
      <c r="HP2387" s="4"/>
      <c r="HQ2387" s="4"/>
      <c r="HR2387" s="4"/>
    </row>
    <row r="2388">
      <c r="A2388" s="2" t="s">
        <v>10608</v>
      </c>
      <c r="B2388" s="2" t="s">
        <v>333</v>
      </c>
      <c r="C2388" s="2" t="s">
        <v>265</v>
      </c>
      <c r="D2388" s="2" t="s">
        <v>335</v>
      </c>
      <c r="E2388" s="2" t="s">
        <v>336</v>
      </c>
      <c r="F2388" s="2" t="s">
        <v>10573</v>
      </c>
      <c r="G2388" s="2" t="s">
        <v>10573</v>
      </c>
      <c r="H2388" s="2" t="s">
        <v>10573</v>
      </c>
      <c r="I2388" s="2" t="s">
        <v>338</v>
      </c>
      <c r="J2388" s="2" t="s">
        <v>270</v>
      </c>
      <c r="K2388" s="2" t="s">
        <v>569</v>
      </c>
      <c r="L2388" s="3">
        <v>16.5</v>
      </c>
      <c r="M2388" s="3">
        <v>17.32</v>
      </c>
      <c r="N2388" s="3">
        <v>32.99</v>
      </c>
      <c r="O2388" s="2" t="s">
        <v>245</v>
      </c>
      <c r="P2388" s="2" t="s">
        <v>393</v>
      </c>
      <c r="Q2388" s="2" t="s">
        <v>239</v>
      </c>
      <c r="R2388" s="2" t="s">
        <v>233</v>
      </c>
      <c r="S2388" s="2" t="s">
        <v>10609</v>
      </c>
      <c r="T2388" s="2" t="s">
        <v>10575</v>
      </c>
      <c r="U2388" s="2" t="s">
        <v>233</v>
      </c>
      <c r="V2388" s="2" t="s">
        <v>241</v>
      </c>
      <c r="W2388" s="2" t="s">
        <v>275</v>
      </c>
      <c r="X2388" s="2" t="s">
        <v>233</v>
      </c>
      <c r="Y2388" s="2" t="s">
        <v>276</v>
      </c>
      <c r="Z2388" s="4">
        <v>68</v>
      </c>
      <c r="AA2388" s="4">
        <f>=ROUNDDOWN(34,0)</f>
      </c>
      <c r="AB2388" s="5">
        <v>2</v>
      </c>
      <c r="AC2388" s="2" t="s">
        <v>819</v>
      </c>
      <c r="AD2388" s="4">
        <v>30</v>
      </c>
      <c r="AE2388" s="4">
        <v>30</v>
      </c>
      <c r="AF2388" s="6">
        <v>66</v>
      </c>
      <c r="AG2388" s="6"/>
      <c r="AH2388" s="7">
        <v>1</v>
      </c>
      <c r="AI2388" s="4"/>
      <c r="AJ2388" s="4">
        <f>=ROUNDDOWN({0},0)</f>
      </c>
      <c r="AK2388" s="5"/>
      <c r="AL2388" s="2" t="s">
        <v>233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 t="s">
        <v>233</v>
      </c>
      <c r="AW2388" s="8" t="s">
        <v>233</v>
      </c>
      <c r="AX2388" s="4" t="s">
        <v>233</v>
      </c>
      <c r="AY2388" s="8" t="s">
        <v>233</v>
      </c>
      <c r="AZ2388" s="7" t="s">
        <v>233</v>
      </c>
      <c r="BA2388" s="7" t="s">
        <v>233</v>
      </c>
      <c r="BB2388" s="7"/>
      <c r="BC2388" s="4" t="s">
        <v>233</v>
      </c>
      <c r="BD2388" s="8" t="s">
        <v>233</v>
      </c>
      <c r="BE2388" s="4" t="s">
        <v>233</v>
      </c>
      <c r="BF2388" s="8" t="s">
        <v>233</v>
      </c>
      <c r="BG2388" s="7" t="s">
        <v>233</v>
      </c>
      <c r="BH2388" s="7" t="s">
        <v>233</v>
      </c>
      <c r="BI2388" s="7"/>
      <c r="BJ2388" s="4">
        <v>6</v>
      </c>
      <c r="BK2388" s="8">
        <v>86.65</v>
      </c>
      <c r="BL2388" s="2" t="s">
        <v>584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10610</v>
      </c>
      <c r="BV2388" s="2" t="s">
        <v>233</v>
      </c>
      <c r="BW2388" s="2" t="s">
        <v>233</v>
      </c>
      <c r="BX2388" s="2" t="s">
        <v>233</v>
      </c>
      <c r="BY2388" s="2" t="s">
        <v>280</v>
      </c>
      <c r="BZ2388" s="2" t="s">
        <v>245</v>
      </c>
      <c r="CA2388" s="2" t="s">
        <v>10287</v>
      </c>
      <c r="CB2388" s="2" t="s">
        <v>10611</v>
      </c>
      <c r="CC2388" s="2" t="s">
        <v>246</v>
      </c>
      <c r="CD2388" s="2" t="s">
        <v>233</v>
      </c>
      <c r="CE2388" s="4">
        <v>68</v>
      </c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/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/>
      <c r="HD2388" s="4"/>
      <c r="HE2388" s="4">
        <v>30</v>
      </c>
      <c r="HF2388" s="4"/>
      <c r="HG2388" s="4"/>
      <c r="HH2388" s="4"/>
      <c r="HI2388" s="4"/>
      <c r="HJ2388" s="4"/>
      <c r="HK2388" s="4"/>
      <c r="HL2388" s="4"/>
      <c r="HM2388" s="4"/>
      <c r="HN2388" s="4"/>
      <c r="HO2388" s="4"/>
      <c r="HP2388" s="4"/>
      <c r="HQ2388" s="4"/>
      <c r="HR2388" s="4"/>
    </row>
    <row r="2389">
      <c r="A2389" s="2" t="s">
        <v>10612</v>
      </c>
      <c r="B2389" s="2" t="s">
        <v>333</v>
      </c>
      <c r="C2389" s="2" t="s">
        <v>265</v>
      </c>
      <c r="D2389" s="2" t="s">
        <v>335</v>
      </c>
      <c r="E2389" s="2" t="s">
        <v>336</v>
      </c>
      <c r="F2389" s="2" t="s">
        <v>10573</v>
      </c>
      <c r="G2389" s="2" t="s">
        <v>10573</v>
      </c>
      <c r="H2389" s="2" t="s">
        <v>10573</v>
      </c>
      <c r="I2389" s="2" t="s">
        <v>338</v>
      </c>
      <c r="J2389" s="2" t="s">
        <v>290</v>
      </c>
      <c r="K2389" s="2" t="s">
        <v>569</v>
      </c>
      <c r="L2389" s="3">
        <v>16.5</v>
      </c>
      <c r="M2389" s="3">
        <v>17.32</v>
      </c>
      <c r="N2389" s="3">
        <v>32.99</v>
      </c>
      <c r="O2389" s="2" t="s">
        <v>245</v>
      </c>
      <c r="P2389" s="2" t="s">
        <v>272</v>
      </c>
      <c r="Q2389" s="2" t="s">
        <v>239</v>
      </c>
      <c r="R2389" s="2" t="s">
        <v>233</v>
      </c>
      <c r="S2389" s="2" t="s">
        <v>10609</v>
      </c>
      <c r="T2389" s="2" t="s">
        <v>10575</v>
      </c>
      <c r="U2389" s="2" t="s">
        <v>233</v>
      </c>
      <c r="V2389" s="2" t="s">
        <v>241</v>
      </c>
      <c r="W2389" s="2" t="s">
        <v>275</v>
      </c>
      <c r="X2389" s="2" t="s">
        <v>233</v>
      </c>
      <c r="Y2389" s="2" t="s">
        <v>276</v>
      </c>
      <c r="Z2389" s="4">
        <v>298</v>
      </c>
      <c r="AA2389" s="4">
        <f>=ROUNDDOWN(74.5,0)</f>
      </c>
      <c r="AB2389" s="5">
        <v>4</v>
      </c>
      <c r="AC2389" s="2" t="s">
        <v>233</v>
      </c>
      <c r="AD2389" s="4"/>
      <c r="AE2389" s="4"/>
      <c r="AF2389" s="6">
        <v>66</v>
      </c>
      <c r="AG2389" s="6"/>
      <c r="AH2389" s="7">
        <v>1</v>
      </c>
      <c r="AI2389" s="4"/>
      <c r="AJ2389" s="4">
        <f>=ROUNDDOWN({0},0)</f>
      </c>
      <c r="AK2389" s="5"/>
      <c r="AL2389" s="2" t="s">
        <v>233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233</v>
      </c>
      <c r="AW2389" s="8" t="s">
        <v>233</v>
      </c>
      <c r="AX2389" s="4" t="s">
        <v>233</v>
      </c>
      <c r="AY2389" s="8" t="s">
        <v>233</v>
      </c>
      <c r="AZ2389" s="7" t="s">
        <v>233</v>
      </c>
      <c r="BA2389" s="7" t="s">
        <v>233</v>
      </c>
      <c r="BB2389" s="7"/>
      <c r="BC2389" s="4" t="s">
        <v>233</v>
      </c>
      <c r="BD2389" s="8" t="s">
        <v>233</v>
      </c>
      <c r="BE2389" s="4" t="s">
        <v>233</v>
      </c>
      <c r="BF2389" s="8" t="s">
        <v>233</v>
      </c>
      <c r="BG2389" s="7" t="s">
        <v>233</v>
      </c>
      <c r="BH2389" s="7" t="s">
        <v>233</v>
      </c>
      <c r="BI2389" s="7"/>
      <c r="BJ2389" s="4">
        <v>9</v>
      </c>
      <c r="BK2389" s="8">
        <v>150.88</v>
      </c>
      <c r="BL2389" s="2" t="s">
        <v>320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10613</v>
      </c>
      <c r="BV2389" s="2" t="s">
        <v>233</v>
      </c>
      <c r="BW2389" s="2" t="s">
        <v>233</v>
      </c>
      <c r="BX2389" s="2" t="s">
        <v>233</v>
      </c>
      <c r="BY2389" s="2" t="s">
        <v>280</v>
      </c>
      <c r="BZ2389" s="2" t="s">
        <v>245</v>
      </c>
      <c r="CA2389" s="2" t="s">
        <v>10287</v>
      </c>
      <c r="CB2389" s="2" t="s">
        <v>4267</v>
      </c>
      <c r="CC2389" s="2" t="s">
        <v>246</v>
      </c>
      <c r="CD2389" s="2" t="s">
        <v>233</v>
      </c>
      <c r="CE2389" s="4">
        <v>298</v>
      </c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/>
      <c r="GL2389" s="4"/>
      <c r="GM2389" s="4"/>
      <c r="GN2389" s="4"/>
      <c r="GO2389" s="4"/>
      <c r="GP2389" s="4"/>
      <c r="GQ2389" s="4"/>
      <c r="GR2389" s="4"/>
      <c r="GS2389" s="4"/>
      <c r="GT2389" s="4"/>
      <c r="GU2389" s="4"/>
      <c r="GV2389" s="4"/>
      <c r="GW2389" s="4"/>
      <c r="GX2389" s="4"/>
      <c r="GY2389" s="4"/>
      <c r="GZ2389" s="4"/>
      <c r="HA2389" s="4"/>
      <c r="HB2389" s="4"/>
      <c r="HC2389" s="4"/>
      <c r="HD2389" s="4"/>
      <c r="HE2389" s="4"/>
      <c r="HF2389" s="4"/>
      <c r="HG2389" s="4"/>
      <c r="HH2389" s="4"/>
      <c r="HI2389" s="4"/>
      <c r="HJ2389" s="4"/>
      <c r="HK2389" s="4"/>
      <c r="HL2389" s="4"/>
      <c r="HM2389" s="4"/>
      <c r="HN2389" s="4"/>
      <c r="HO2389" s="4"/>
      <c r="HP2389" s="4"/>
      <c r="HQ2389" s="4"/>
      <c r="HR2389" s="4"/>
    </row>
    <row r="2390">
      <c r="A2390" s="2" t="s">
        <v>10614</v>
      </c>
      <c r="B2390" s="2" t="s">
        <v>333</v>
      </c>
      <c r="C2390" s="2" t="s">
        <v>265</v>
      </c>
      <c r="D2390" s="2" t="s">
        <v>335</v>
      </c>
      <c r="E2390" s="2" t="s">
        <v>336</v>
      </c>
      <c r="F2390" s="2" t="s">
        <v>10573</v>
      </c>
      <c r="G2390" s="2" t="s">
        <v>10573</v>
      </c>
      <c r="H2390" s="2" t="s">
        <v>10573</v>
      </c>
      <c r="I2390" s="2" t="s">
        <v>338</v>
      </c>
      <c r="J2390" s="2" t="s">
        <v>348</v>
      </c>
      <c r="K2390" s="2" t="s">
        <v>569</v>
      </c>
      <c r="L2390" s="3">
        <v>19</v>
      </c>
      <c r="M2390" s="3">
        <v>19.95</v>
      </c>
      <c r="N2390" s="3">
        <v>37.99</v>
      </c>
      <c r="O2390" s="2" t="s">
        <v>245</v>
      </c>
      <c r="P2390" s="2" t="s">
        <v>272</v>
      </c>
      <c r="Q2390" s="2" t="s">
        <v>239</v>
      </c>
      <c r="R2390" s="2" t="s">
        <v>233</v>
      </c>
      <c r="S2390" s="2" t="s">
        <v>10609</v>
      </c>
      <c r="T2390" s="2" t="s">
        <v>10575</v>
      </c>
      <c r="U2390" s="2" t="s">
        <v>233</v>
      </c>
      <c r="V2390" s="2" t="s">
        <v>241</v>
      </c>
      <c r="W2390" s="2" t="s">
        <v>275</v>
      </c>
      <c r="X2390" s="2" t="s">
        <v>233</v>
      </c>
      <c r="Y2390" s="2" t="s">
        <v>1470</v>
      </c>
      <c r="Z2390" s="4">
        <v>314</v>
      </c>
      <c r="AA2390" s="4">
        <f>=ROUNDDOWN(22.4285714285714,0)</f>
      </c>
      <c r="AB2390" s="5">
        <v>14</v>
      </c>
      <c r="AC2390" s="2" t="s">
        <v>873</v>
      </c>
      <c r="AD2390" s="4">
        <v>120</v>
      </c>
      <c r="AE2390" s="4">
        <v>320</v>
      </c>
      <c r="AF2390" s="6">
        <v>66</v>
      </c>
      <c r="AG2390" s="6"/>
      <c r="AH2390" s="7">
        <v>1</v>
      </c>
      <c r="AI2390" s="4"/>
      <c r="AJ2390" s="4">
        <f>=ROUNDDOWN({0},0)</f>
      </c>
      <c r="AK2390" s="5"/>
      <c r="AL2390" s="2" t="s">
        <v>233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 t="s">
        <v>233</v>
      </c>
      <c r="AW2390" s="8" t="s">
        <v>233</v>
      </c>
      <c r="AX2390" s="4" t="s">
        <v>233</v>
      </c>
      <c r="AY2390" s="8" t="s">
        <v>233</v>
      </c>
      <c r="AZ2390" s="7" t="s">
        <v>233</v>
      </c>
      <c r="BA2390" s="7" t="s">
        <v>233</v>
      </c>
      <c r="BB2390" s="7"/>
      <c r="BC2390" s="4" t="s">
        <v>233</v>
      </c>
      <c r="BD2390" s="8" t="s">
        <v>233</v>
      </c>
      <c r="BE2390" s="4" t="s">
        <v>233</v>
      </c>
      <c r="BF2390" s="8" t="s">
        <v>233</v>
      </c>
      <c r="BG2390" s="7" t="s">
        <v>233</v>
      </c>
      <c r="BH2390" s="7" t="s">
        <v>233</v>
      </c>
      <c r="BI2390" s="7"/>
      <c r="BJ2390" s="4">
        <v>33</v>
      </c>
      <c r="BK2390" s="8">
        <v>659.78</v>
      </c>
      <c r="BL2390" s="2" t="s">
        <v>10615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10616</v>
      </c>
      <c r="BV2390" s="2" t="s">
        <v>233</v>
      </c>
      <c r="BW2390" s="2" t="s">
        <v>233</v>
      </c>
      <c r="BX2390" s="2" t="s">
        <v>233</v>
      </c>
      <c r="BY2390" s="2" t="s">
        <v>280</v>
      </c>
      <c r="BZ2390" s="2" t="s">
        <v>245</v>
      </c>
      <c r="CA2390" s="2" t="s">
        <v>10287</v>
      </c>
      <c r="CB2390" s="2" t="s">
        <v>10617</v>
      </c>
      <c r="CC2390" s="2" t="s">
        <v>246</v>
      </c>
      <c r="CD2390" s="2" t="s">
        <v>233</v>
      </c>
      <c r="CE2390" s="4">
        <v>314</v>
      </c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>
        <v>120</v>
      </c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4"/>
      <c r="HE2390" s="4">
        <v>200</v>
      </c>
      <c r="HF2390" s="4"/>
      <c r="HG2390" s="4"/>
      <c r="HH2390" s="4"/>
      <c r="HI2390" s="4"/>
      <c r="HJ2390" s="4"/>
      <c r="HK2390" s="4"/>
      <c r="HL2390" s="4"/>
      <c r="HM2390" s="4"/>
      <c r="HN2390" s="4"/>
      <c r="HO2390" s="4"/>
      <c r="HP2390" s="4"/>
      <c r="HQ2390" s="4"/>
      <c r="HR2390" s="4"/>
    </row>
    <row r="2391">
      <c r="A2391" s="2" t="s">
        <v>10618</v>
      </c>
      <c r="B2391" s="2" t="s">
        <v>333</v>
      </c>
      <c r="C2391" s="2" t="s">
        <v>265</v>
      </c>
      <c r="D2391" s="2" t="s">
        <v>335</v>
      </c>
      <c r="E2391" s="2" t="s">
        <v>336</v>
      </c>
      <c r="F2391" s="2" t="s">
        <v>10573</v>
      </c>
      <c r="G2391" s="2" t="s">
        <v>10573</v>
      </c>
      <c r="H2391" s="2" t="s">
        <v>10573</v>
      </c>
      <c r="I2391" s="2" t="s">
        <v>338</v>
      </c>
      <c r="J2391" s="2" t="s">
        <v>328</v>
      </c>
      <c r="K2391" s="2" t="s">
        <v>569</v>
      </c>
      <c r="L2391" s="3">
        <v>21.5</v>
      </c>
      <c r="M2391" s="3">
        <v>22.58</v>
      </c>
      <c r="N2391" s="3">
        <v>42.99</v>
      </c>
      <c r="O2391" s="2" t="s">
        <v>245</v>
      </c>
      <c r="P2391" s="2" t="s">
        <v>272</v>
      </c>
      <c r="Q2391" s="2" t="s">
        <v>239</v>
      </c>
      <c r="R2391" s="2" t="s">
        <v>233</v>
      </c>
      <c r="S2391" s="2" t="s">
        <v>10609</v>
      </c>
      <c r="T2391" s="2" t="s">
        <v>10575</v>
      </c>
      <c r="U2391" s="2" t="s">
        <v>233</v>
      </c>
      <c r="V2391" s="2" t="s">
        <v>241</v>
      </c>
      <c r="W2391" s="2" t="s">
        <v>275</v>
      </c>
      <c r="X2391" s="2" t="s">
        <v>233</v>
      </c>
      <c r="Y2391" s="2" t="s">
        <v>276</v>
      </c>
      <c r="Z2391" s="4">
        <v>269</v>
      </c>
      <c r="AA2391" s="4">
        <f>=ROUNDDOWN(33.625,0)</f>
      </c>
      <c r="AB2391" s="5">
        <v>8</v>
      </c>
      <c r="AC2391" s="2" t="s">
        <v>819</v>
      </c>
      <c r="AD2391" s="4">
        <v>90</v>
      </c>
      <c r="AE2391" s="4">
        <v>90</v>
      </c>
      <c r="AF2391" s="6">
        <v>66</v>
      </c>
      <c r="AG2391" s="6"/>
      <c r="AH2391" s="7">
        <v>1</v>
      </c>
      <c r="AI2391" s="4"/>
      <c r="AJ2391" s="4">
        <f>=ROUNDDOWN({0},0)</f>
      </c>
      <c r="AK2391" s="5"/>
      <c r="AL2391" s="2" t="s">
        <v>233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 t="s">
        <v>233</v>
      </c>
      <c r="AW2391" s="8" t="s">
        <v>233</v>
      </c>
      <c r="AX2391" s="4" t="s">
        <v>233</v>
      </c>
      <c r="AY2391" s="8" t="s">
        <v>233</v>
      </c>
      <c r="AZ2391" s="7" t="s">
        <v>233</v>
      </c>
      <c r="BA2391" s="7" t="s">
        <v>233</v>
      </c>
      <c r="BB2391" s="7"/>
      <c r="BC2391" s="4" t="s">
        <v>233</v>
      </c>
      <c r="BD2391" s="8" t="s">
        <v>233</v>
      </c>
      <c r="BE2391" s="4" t="s">
        <v>233</v>
      </c>
      <c r="BF2391" s="8" t="s">
        <v>233</v>
      </c>
      <c r="BG2391" s="7" t="s">
        <v>233</v>
      </c>
      <c r="BH2391" s="7" t="s">
        <v>233</v>
      </c>
      <c r="BI2391" s="7"/>
      <c r="BJ2391" s="4">
        <v>22</v>
      </c>
      <c r="BK2391" s="8">
        <v>494.47</v>
      </c>
      <c r="BL2391" s="2" t="s">
        <v>10619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10620</v>
      </c>
      <c r="BV2391" s="2" t="s">
        <v>233</v>
      </c>
      <c r="BW2391" s="2" t="s">
        <v>233</v>
      </c>
      <c r="BX2391" s="2" t="s">
        <v>233</v>
      </c>
      <c r="BY2391" s="2" t="s">
        <v>280</v>
      </c>
      <c r="BZ2391" s="2" t="s">
        <v>245</v>
      </c>
      <c r="CA2391" s="2" t="s">
        <v>10287</v>
      </c>
      <c r="CB2391" s="2" t="s">
        <v>10296</v>
      </c>
      <c r="CC2391" s="2" t="s">
        <v>246</v>
      </c>
      <c r="CD2391" s="2" t="s">
        <v>233</v>
      </c>
      <c r="CE2391" s="4">
        <v>269</v>
      </c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/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4"/>
      <c r="HE2391" s="4">
        <v>90</v>
      </c>
      <c r="HF2391" s="4"/>
      <c r="HG2391" s="4"/>
      <c r="HH2391" s="4"/>
      <c r="HI2391" s="4"/>
      <c r="HJ2391" s="4"/>
      <c r="HK2391" s="4"/>
      <c r="HL2391" s="4"/>
      <c r="HM2391" s="4"/>
      <c r="HN2391" s="4"/>
      <c r="HO2391" s="4"/>
      <c r="HP2391" s="4"/>
      <c r="HQ2391" s="4"/>
      <c r="HR2391" s="4"/>
    </row>
    <row r="2392">
      <c r="A2392" s="2" t="s">
        <v>10621</v>
      </c>
      <c r="B2392" s="2" t="s">
        <v>333</v>
      </c>
      <c r="C2392" s="2" t="s">
        <v>265</v>
      </c>
      <c r="D2392" s="2" t="s">
        <v>335</v>
      </c>
      <c r="E2392" s="2" t="s">
        <v>336</v>
      </c>
      <c r="F2392" s="2" t="s">
        <v>10573</v>
      </c>
      <c r="G2392" s="2" t="s">
        <v>10573</v>
      </c>
      <c r="H2392" s="2" t="s">
        <v>10573</v>
      </c>
      <c r="I2392" s="2" t="s">
        <v>338</v>
      </c>
      <c r="J2392" s="2" t="s">
        <v>546</v>
      </c>
      <c r="K2392" s="2" t="s">
        <v>569</v>
      </c>
      <c r="L2392" s="3">
        <v>21.5</v>
      </c>
      <c r="M2392" s="3">
        <v>22.58</v>
      </c>
      <c r="N2392" s="3">
        <v>42.99</v>
      </c>
      <c r="O2392" s="2" t="s">
        <v>245</v>
      </c>
      <c r="P2392" s="2" t="s">
        <v>311</v>
      </c>
      <c r="Q2392" s="2" t="s">
        <v>239</v>
      </c>
      <c r="R2392" s="2" t="s">
        <v>233</v>
      </c>
      <c r="S2392" s="2" t="s">
        <v>10609</v>
      </c>
      <c r="T2392" s="2" t="s">
        <v>10575</v>
      </c>
      <c r="U2392" s="2" t="s">
        <v>233</v>
      </c>
      <c r="V2392" s="2" t="s">
        <v>241</v>
      </c>
      <c r="W2392" s="2" t="s">
        <v>275</v>
      </c>
      <c r="X2392" s="2" t="s">
        <v>233</v>
      </c>
      <c r="Y2392" s="2" t="s">
        <v>1470</v>
      </c>
      <c r="Z2392" s="4">
        <v>34</v>
      </c>
      <c r="AA2392" s="4">
        <f>=ROUNDDOWN(17,0)</f>
      </c>
      <c r="AB2392" s="5">
        <v>2</v>
      </c>
      <c r="AC2392" s="2" t="s">
        <v>873</v>
      </c>
      <c r="AD2392" s="4">
        <v>30</v>
      </c>
      <c r="AE2392" s="4">
        <v>60</v>
      </c>
      <c r="AF2392" s="6">
        <v>66</v>
      </c>
      <c r="AG2392" s="6"/>
      <c r="AH2392" s="7">
        <v>1</v>
      </c>
      <c r="AI2392" s="4"/>
      <c r="AJ2392" s="4">
        <f>=ROUNDDOWN({0},0)</f>
      </c>
      <c r="AK2392" s="5"/>
      <c r="AL2392" s="2" t="s">
        <v>233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 t="s">
        <v>233</v>
      </c>
      <c r="AW2392" s="8" t="s">
        <v>233</v>
      </c>
      <c r="AX2392" s="4" t="s">
        <v>233</v>
      </c>
      <c r="AY2392" s="8" t="s">
        <v>233</v>
      </c>
      <c r="AZ2392" s="7" t="s">
        <v>233</v>
      </c>
      <c r="BA2392" s="7" t="s">
        <v>233</v>
      </c>
      <c r="BB2392" s="7"/>
      <c r="BC2392" s="4" t="s">
        <v>233</v>
      </c>
      <c r="BD2392" s="8" t="s">
        <v>233</v>
      </c>
      <c r="BE2392" s="4" t="s">
        <v>233</v>
      </c>
      <c r="BF2392" s="8" t="s">
        <v>233</v>
      </c>
      <c r="BG2392" s="7" t="s">
        <v>233</v>
      </c>
      <c r="BH2392" s="7" t="s">
        <v>233</v>
      </c>
      <c r="BI2392" s="7"/>
      <c r="BJ2392" s="4">
        <v>5</v>
      </c>
      <c r="BK2392" s="8">
        <v>110.92</v>
      </c>
      <c r="BL2392" s="2" t="s">
        <v>2741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10622</v>
      </c>
      <c r="BV2392" s="2" t="s">
        <v>233</v>
      </c>
      <c r="BW2392" s="2" t="s">
        <v>233</v>
      </c>
      <c r="BX2392" s="2" t="s">
        <v>233</v>
      </c>
      <c r="BY2392" s="2" t="s">
        <v>280</v>
      </c>
      <c r="BZ2392" s="2" t="s">
        <v>245</v>
      </c>
      <c r="CA2392" s="2" t="s">
        <v>10287</v>
      </c>
      <c r="CB2392" s="2" t="s">
        <v>4014</v>
      </c>
      <c r="CC2392" s="2" t="s">
        <v>246</v>
      </c>
      <c r="CD2392" s="2" t="s">
        <v>233</v>
      </c>
      <c r="CE2392" s="4">
        <v>34</v>
      </c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>
        <v>30</v>
      </c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/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4"/>
      <c r="HE2392" s="4">
        <v>30</v>
      </c>
      <c r="HF2392" s="4"/>
      <c r="HG2392" s="4"/>
      <c r="HH2392" s="4"/>
      <c r="HI2392" s="4"/>
      <c r="HJ2392" s="4"/>
      <c r="HK2392" s="4"/>
      <c r="HL2392" s="4"/>
      <c r="HM2392" s="4"/>
      <c r="HN2392" s="4"/>
      <c r="HO2392" s="4"/>
      <c r="HP2392" s="4"/>
      <c r="HQ2392" s="4"/>
      <c r="HR2392" s="4"/>
    </row>
    <row r="2393">
      <c r="A2393" s="2" t="s">
        <v>10623</v>
      </c>
      <c r="B2393" s="2" t="s">
        <v>333</v>
      </c>
      <c r="C2393" s="2" t="s">
        <v>265</v>
      </c>
      <c r="D2393" s="2" t="s">
        <v>335</v>
      </c>
      <c r="E2393" s="2" t="s">
        <v>336</v>
      </c>
      <c r="F2393" s="2" t="s">
        <v>10573</v>
      </c>
      <c r="G2393" s="2" t="s">
        <v>10573</v>
      </c>
      <c r="H2393" s="2" t="s">
        <v>10573</v>
      </c>
      <c r="I2393" s="2" t="s">
        <v>338</v>
      </c>
      <c r="J2393" s="2" t="s">
        <v>270</v>
      </c>
      <c r="K2393" s="2" t="s">
        <v>853</v>
      </c>
      <c r="L2393" s="3">
        <v>16.5</v>
      </c>
      <c r="M2393" s="3">
        <v>17.32</v>
      </c>
      <c r="N2393" s="3">
        <v>32.99</v>
      </c>
      <c r="O2393" s="2" t="s">
        <v>245</v>
      </c>
      <c r="P2393" s="2" t="s">
        <v>272</v>
      </c>
      <c r="Q2393" s="2" t="s">
        <v>239</v>
      </c>
      <c r="R2393" s="2" t="s">
        <v>233</v>
      </c>
      <c r="S2393" s="2" t="s">
        <v>10624</v>
      </c>
      <c r="T2393" s="2" t="s">
        <v>10575</v>
      </c>
      <c r="U2393" s="2" t="s">
        <v>475</v>
      </c>
      <c r="V2393" s="2" t="s">
        <v>241</v>
      </c>
      <c r="W2393" s="2" t="s">
        <v>275</v>
      </c>
      <c r="X2393" s="2" t="s">
        <v>397</v>
      </c>
      <c r="Y2393" s="2" t="s">
        <v>10587</v>
      </c>
      <c r="Z2393" s="4">
        <v>45</v>
      </c>
      <c r="AA2393" s="4">
        <f>=ROUNDDOWN(22.5,0)</f>
      </c>
      <c r="AB2393" s="5">
        <v>2</v>
      </c>
      <c r="AC2393" s="2" t="s">
        <v>873</v>
      </c>
      <c r="AD2393" s="4">
        <v>30</v>
      </c>
      <c r="AE2393" s="4">
        <v>30</v>
      </c>
      <c r="AF2393" s="6">
        <v>66</v>
      </c>
      <c r="AG2393" s="6"/>
      <c r="AH2393" s="7">
        <v>1</v>
      </c>
      <c r="AI2393" s="4"/>
      <c r="AJ2393" s="4">
        <f>=ROUNDDOWN({0},0)</f>
      </c>
      <c r="AK2393" s="5"/>
      <c r="AL2393" s="2" t="s">
        <v>233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 t="s">
        <v>233</v>
      </c>
      <c r="AW2393" s="8" t="s">
        <v>233</v>
      </c>
      <c r="AX2393" s="4" t="s">
        <v>233</v>
      </c>
      <c r="AY2393" s="8" t="s">
        <v>233</v>
      </c>
      <c r="AZ2393" s="7" t="s">
        <v>233</v>
      </c>
      <c r="BA2393" s="7" t="s">
        <v>233</v>
      </c>
      <c r="BB2393" s="7"/>
      <c r="BC2393" s="4" t="s">
        <v>233</v>
      </c>
      <c r="BD2393" s="8" t="s">
        <v>233</v>
      </c>
      <c r="BE2393" s="4" t="s">
        <v>233</v>
      </c>
      <c r="BF2393" s="8" t="s">
        <v>233</v>
      </c>
      <c r="BG2393" s="7" t="s">
        <v>233</v>
      </c>
      <c r="BH2393" s="7" t="s">
        <v>233</v>
      </c>
      <c r="BI2393" s="7"/>
      <c r="BJ2393" s="4">
        <v>5</v>
      </c>
      <c r="BK2393" s="8">
        <v>86.42</v>
      </c>
      <c r="BL2393" s="2" t="s">
        <v>10625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10626</v>
      </c>
      <c r="BV2393" s="2" t="s">
        <v>233</v>
      </c>
      <c r="BW2393" s="2" t="s">
        <v>233</v>
      </c>
      <c r="BX2393" s="2" t="s">
        <v>233</v>
      </c>
      <c r="BY2393" s="2" t="s">
        <v>280</v>
      </c>
      <c r="BZ2393" s="2" t="s">
        <v>245</v>
      </c>
      <c r="CA2393" s="2" t="s">
        <v>10587</v>
      </c>
      <c r="CB2393" s="2" t="s">
        <v>3892</v>
      </c>
      <c r="CC2393" s="2" t="s">
        <v>246</v>
      </c>
      <c r="CD2393" s="2" t="s">
        <v>233</v>
      </c>
      <c r="CE2393" s="4">
        <v>45</v>
      </c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>
        <v>30</v>
      </c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/>
      <c r="GG2393" s="4"/>
      <c r="GH2393" s="4"/>
      <c r="GI2393" s="4"/>
      <c r="GJ2393" s="4"/>
      <c r="GK2393" s="4"/>
      <c r="GL2393" s="4"/>
      <c r="GM2393" s="4"/>
      <c r="GN2393" s="4"/>
      <c r="GO2393" s="4"/>
      <c r="GP2393" s="4"/>
      <c r="GQ2393" s="4"/>
      <c r="GR2393" s="4"/>
      <c r="GS2393" s="4"/>
      <c r="GT2393" s="4"/>
      <c r="GU2393" s="4"/>
      <c r="GV2393" s="4"/>
      <c r="GW2393" s="4"/>
      <c r="GX2393" s="4"/>
      <c r="GY2393" s="4"/>
      <c r="GZ2393" s="4"/>
      <c r="HA2393" s="4"/>
      <c r="HB2393" s="4"/>
      <c r="HC2393" s="4"/>
      <c r="HD2393" s="4"/>
      <c r="HE2393" s="4"/>
      <c r="HF2393" s="4"/>
      <c r="HG2393" s="4"/>
      <c r="HH2393" s="4"/>
      <c r="HI2393" s="4"/>
      <c r="HJ2393" s="4"/>
      <c r="HK2393" s="4"/>
      <c r="HL2393" s="4"/>
      <c r="HM2393" s="4"/>
      <c r="HN2393" s="4"/>
      <c r="HO2393" s="4"/>
      <c r="HP2393" s="4"/>
      <c r="HQ2393" s="4"/>
      <c r="HR2393" s="4"/>
    </row>
    <row r="2394">
      <c r="A2394" s="2" t="s">
        <v>10627</v>
      </c>
      <c r="B2394" s="2" t="s">
        <v>333</v>
      </c>
      <c r="C2394" s="2" t="s">
        <v>265</v>
      </c>
      <c r="D2394" s="2" t="s">
        <v>335</v>
      </c>
      <c r="E2394" s="2" t="s">
        <v>336</v>
      </c>
      <c r="F2394" s="2" t="s">
        <v>10573</v>
      </c>
      <c r="G2394" s="2" t="s">
        <v>10573</v>
      </c>
      <c r="H2394" s="2" t="s">
        <v>10573</v>
      </c>
      <c r="I2394" s="2" t="s">
        <v>338</v>
      </c>
      <c r="J2394" s="2" t="s">
        <v>348</v>
      </c>
      <c r="K2394" s="2" t="s">
        <v>853</v>
      </c>
      <c r="L2394" s="3">
        <v>19</v>
      </c>
      <c r="M2394" s="3">
        <v>19.95</v>
      </c>
      <c r="N2394" s="3">
        <v>37.99</v>
      </c>
      <c r="O2394" s="2" t="s">
        <v>245</v>
      </c>
      <c r="P2394" s="2" t="s">
        <v>272</v>
      </c>
      <c r="Q2394" s="2" t="s">
        <v>239</v>
      </c>
      <c r="R2394" s="2" t="s">
        <v>233</v>
      </c>
      <c r="S2394" s="2" t="s">
        <v>10624</v>
      </c>
      <c r="T2394" s="2" t="s">
        <v>10575</v>
      </c>
      <c r="U2394" s="2" t="s">
        <v>342</v>
      </c>
      <c r="V2394" s="2" t="s">
        <v>241</v>
      </c>
      <c r="W2394" s="2" t="s">
        <v>275</v>
      </c>
      <c r="X2394" s="2" t="s">
        <v>397</v>
      </c>
      <c r="Y2394" s="2" t="s">
        <v>10587</v>
      </c>
      <c r="Z2394" s="4">
        <v>224</v>
      </c>
      <c r="AA2394" s="4">
        <f>=ROUNDDOWN(16,0)</f>
      </c>
      <c r="AB2394" s="5">
        <v>14</v>
      </c>
      <c r="AC2394" s="2" t="s">
        <v>319</v>
      </c>
      <c r="AD2394" s="4">
        <v>200</v>
      </c>
      <c r="AE2394" s="4">
        <v>400</v>
      </c>
      <c r="AF2394" s="6">
        <v>66</v>
      </c>
      <c r="AG2394" s="6"/>
      <c r="AH2394" s="7">
        <v>1</v>
      </c>
      <c r="AI2394" s="4"/>
      <c r="AJ2394" s="4">
        <f>=ROUNDDOWN({0},0)</f>
      </c>
      <c r="AK2394" s="5"/>
      <c r="AL2394" s="2" t="s">
        <v>233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233</v>
      </c>
      <c r="AW2394" s="8" t="s">
        <v>233</v>
      </c>
      <c r="AX2394" s="4" t="s">
        <v>233</v>
      </c>
      <c r="AY2394" s="8" t="s">
        <v>233</v>
      </c>
      <c r="AZ2394" s="7" t="s">
        <v>233</v>
      </c>
      <c r="BA2394" s="7" t="s">
        <v>233</v>
      </c>
      <c r="BB2394" s="7"/>
      <c r="BC2394" s="4" t="s">
        <v>233</v>
      </c>
      <c r="BD2394" s="8" t="s">
        <v>233</v>
      </c>
      <c r="BE2394" s="4" t="s">
        <v>233</v>
      </c>
      <c r="BF2394" s="8" t="s">
        <v>233</v>
      </c>
      <c r="BG2394" s="7" t="s">
        <v>233</v>
      </c>
      <c r="BH2394" s="7" t="s">
        <v>233</v>
      </c>
      <c r="BI2394" s="7"/>
      <c r="BJ2394" s="4">
        <v>12</v>
      </c>
      <c r="BK2394" s="8">
        <v>235.03</v>
      </c>
      <c r="BL2394" s="2" t="s">
        <v>5507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10628</v>
      </c>
      <c r="BV2394" s="2" t="s">
        <v>233</v>
      </c>
      <c r="BW2394" s="2" t="s">
        <v>233</v>
      </c>
      <c r="BX2394" s="2" t="s">
        <v>233</v>
      </c>
      <c r="BY2394" s="2" t="s">
        <v>280</v>
      </c>
      <c r="BZ2394" s="2" t="s">
        <v>245</v>
      </c>
      <c r="CA2394" s="2" t="s">
        <v>10587</v>
      </c>
      <c r="CB2394" s="2" t="s">
        <v>10629</v>
      </c>
      <c r="CC2394" s="2" t="s">
        <v>246</v>
      </c>
      <c r="CD2394" s="2" t="s">
        <v>233</v>
      </c>
      <c r="CE2394" s="4">
        <v>224</v>
      </c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>
        <v>200</v>
      </c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>
        <v>30</v>
      </c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/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>
        <v>170</v>
      </c>
      <c r="HF2394" s="4"/>
      <c r="HG2394" s="4"/>
      <c r="HH2394" s="4"/>
      <c r="HI2394" s="4"/>
      <c r="HJ2394" s="4"/>
      <c r="HK2394" s="4"/>
      <c r="HL2394" s="4"/>
      <c r="HM2394" s="4"/>
      <c r="HN2394" s="4"/>
      <c r="HO2394" s="4"/>
      <c r="HP2394" s="4"/>
      <c r="HQ2394" s="4"/>
      <c r="HR2394" s="4"/>
    </row>
    <row r="2395">
      <c r="A2395" s="2" t="s">
        <v>10630</v>
      </c>
      <c r="B2395" s="2" t="s">
        <v>333</v>
      </c>
      <c r="C2395" s="2" t="s">
        <v>265</v>
      </c>
      <c r="D2395" s="2" t="s">
        <v>335</v>
      </c>
      <c r="E2395" s="2" t="s">
        <v>336</v>
      </c>
      <c r="F2395" s="2" t="s">
        <v>10573</v>
      </c>
      <c r="G2395" s="2" t="s">
        <v>10573</v>
      </c>
      <c r="H2395" s="2" t="s">
        <v>10573</v>
      </c>
      <c r="I2395" s="2" t="s">
        <v>338</v>
      </c>
      <c r="J2395" s="2" t="s">
        <v>290</v>
      </c>
      <c r="K2395" s="2" t="s">
        <v>297</v>
      </c>
      <c r="L2395" s="3">
        <v>16.5</v>
      </c>
      <c r="M2395" s="3">
        <v>17.32</v>
      </c>
      <c r="N2395" s="3">
        <v>32.99</v>
      </c>
      <c r="O2395" s="2" t="s">
        <v>245</v>
      </c>
      <c r="P2395" s="2" t="s">
        <v>272</v>
      </c>
      <c r="Q2395" s="2" t="s">
        <v>239</v>
      </c>
      <c r="R2395" s="2" t="s">
        <v>233</v>
      </c>
      <c r="S2395" s="2" t="s">
        <v>10631</v>
      </c>
      <c r="T2395" s="2" t="s">
        <v>10575</v>
      </c>
      <c r="U2395" s="2" t="s">
        <v>233</v>
      </c>
      <c r="V2395" s="2" t="s">
        <v>241</v>
      </c>
      <c r="W2395" s="2" t="s">
        <v>275</v>
      </c>
      <c r="X2395" s="2" t="s">
        <v>233</v>
      </c>
      <c r="Y2395" s="2" t="s">
        <v>5651</v>
      </c>
      <c r="Z2395" s="4">
        <v>154</v>
      </c>
      <c r="AA2395" s="4">
        <f>=ROUNDDOWN(38.5,0)</f>
      </c>
      <c r="AB2395" s="5">
        <v>4</v>
      </c>
      <c r="AC2395" s="2" t="s">
        <v>819</v>
      </c>
      <c r="AD2395" s="4">
        <v>20</v>
      </c>
      <c r="AE2395" s="4">
        <v>20</v>
      </c>
      <c r="AF2395" s="6">
        <v>66</v>
      </c>
      <c r="AG2395" s="6"/>
      <c r="AH2395" s="7">
        <v>1</v>
      </c>
      <c r="AI2395" s="4"/>
      <c r="AJ2395" s="4">
        <f>=ROUNDDOWN({0},0)</f>
      </c>
      <c r="AK2395" s="5"/>
      <c r="AL2395" s="2" t="s">
        <v>233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 t="s">
        <v>233</v>
      </c>
      <c r="AW2395" s="8" t="s">
        <v>233</v>
      </c>
      <c r="AX2395" s="4" t="s">
        <v>233</v>
      </c>
      <c r="AY2395" s="8" t="s">
        <v>233</v>
      </c>
      <c r="AZ2395" s="7" t="s">
        <v>233</v>
      </c>
      <c r="BA2395" s="7" t="s">
        <v>233</v>
      </c>
      <c r="BB2395" s="7"/>
      <c r="BC2395" s="4" t="s">
        <v>233</v>
      </c>
      <c r="BD2395" s="8" t="s">
        <v>233</v>
      </c>
      <c r="BE2395" s="4" t="s">
        <v>233</v>
      </c>
      <c r="BF2395" s="8" t="s">
        <v>233</v>
      </c>
      <c r="BG2395" s="7" t="s">
        <v>233</v>
      </c>
      <c r="BH2395" s="7" t="s">
        <v>233</v>
      </c>
      <c r="BI2395" s="7"/>
      <c r="BJ2395" s="4">
        <v>30</v>
      </c>
      <c r="BK2395" s="8">
        <v>511.44</v>
      </c>
      <c r="BL2395" s="2" t="s">
        <v>10632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10633</v>
      </c>
      <c r="BV2395" s="2" t="s">
        <v>233</v>
      </c>
      <c r="BW2395" s="2" t="s">
        <v>233</v>
      </c>
      <c r="BX2395" s="2" t="s">
        <v>233</v>
      </c>
      <c r="BY2395" s="2" t="s">
        <v>280</v>
      </c>
      <c r="BZ2395" s="2" t="s">
        <v>245</v>
      </c>
      <c r="CA2395" s="2" t="s">
        <v>10287</v>
      </c>
      <c r="CB2395" s="2" t="s">
        <v>4399</v>
      </c>
      <c r="CC2395" s="2" t="s">
        <v>246</v>
      </c>
      <c r="CD2395" s="2" t="s">
        <v>233</v>
      </c>
      <c r="CE2395" s="4">
        <v>154</v>
      </c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4"/>
      <c r="HE2395" s="4">
        <v>20</v>
      </c>
      <c r="HF2395" s="4"/>
      <c r="HG2395" s="4"/>
      <c r="HH2395" s="4"/>
      <c r="HI2395" s="4"/>
      <c r="HJ2395" s="4"/>
      <c r="HK2395" s="4"/>
      <c r="HL2395" s="4"/>
      <c r="HM2395" s="4"/>
      <c r="HN2395" s="4"/>
      <c r="HO2395" s="4"/>
      <c r="HP2395" s="4"/>
      <c r="HQ2395" s="4"/>
      <c r="HR2395" s="4"/>
    </row>
    <row r="2396">
      <c r="A2396" s="2" t="s">
        <v>10634</v>
      </c>
      <c r="B2396" s="2" t="s">
        <v>333</v>
      </c>
      <c r="C2396" s="2" t="s">
        <v>265</v>
      </c>
      <c r="D2396" s="2" t="s">
        <v>335</v>
      </c>
      <c r="E2396" s="2" t="s">
        <v>336</v>
      </c>
      <c r="F2396" s="2" t="s">
        <v>10573</v>
      </c>
      <c r="G2396" s="2" t="s">
        <v>10573</v>
      </c>
      <c r="H2396" s="2" t="s">
        <v>10573</v>
      </c>
      <c r="I2396" s="2" t="s">
        <v>338</v>
      </c>
      <c r="J2396" s="2" t="s">
        <v>546</v>
      </c>
      <c r="K2396" s="2" t="s">
        <v>297</v>
      </c>
      <c r="L2396" s="3">
        <v>21.5</v>
      </c>
      <c r="M2396" s="3">
        <v>22.58</v>
      </c>
      <c r="N2396" s="3">
        <v>42.99</v>
      </c>
      <c r="O2396" s="2" t="s">
        <v>245</v>
      </c>
      <c r="P2396" s="2" t="s">
        <v>311</v>
      </c>
      <c r="Q2396" s="2" t="s">
        <v>239</v>
      </c>
      <c r="R2396" s="2" t="s">
        <v>233</v>
      </c>
      <c r="S2396" s="2" t="s">
        <v>10631</v>
      </c>
      <c r="T2396" s="2" t="s">
        <v>10575</v>
      </c>
      <c r="U2396" s="2" t="s">
        <v>233</v>
      </c>
      <c r="V2396" s="2" t="s">
        <v>241</v>
      </c>
      <c r="W2396" s="2" t="s">
        <v>275</v>
      </c>
      <c r="X2396" s="2" t="s">
        <v>233</v>
      </c>
      <c r="Y2396" s="2" t="s">
        <v>5651</v>
      </c>
      <c r="Z2396" s="4">
        <v>100</v>
      </c>
      <c r="AA2396" s="4">
        <f>=ROUNDDOWN(50,0)</f>
      </c>
      <c r="AB2396" s="5">
        <v>2</v>
      </c>
      <c r="AC2396" s="2" t="s">
        <v>233</v>
      </c>
      <c r="AD2396" s="4"/>
      <c r="AE2396" s="4"/>
      <c r="AF2396" s="6">
        <v>66</v>
      </c>
      <c r="AG2396" s="6"/>
      <c r="AH2396" s="7">
        <v>1</v>
      </c>
      <c r="AI2396" s="4"/>
      <c r="AJ2396" s="4">
        <f>=ROUNDDOWN({0},0)</f>
      </c>
      <c r="AK2396" s="5"/>
      <c r="AL2396" s="2" t="s">
        <v>233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 t="s">
        <v>233</v>
      </c>
      <c r="AW2396" s="8" t="s">
        <v>233</v>
      </c>
      <c r="AX2396" s="4" t="s">
        <v>233</v>
      </c>
      <c r="AY2396" s="8" t="s">
        <v>233</v>
      </c>
      <c r="AZ2396" s="7" t="s">
        <v>233</v>
      </c>
      <c r="BA2396" s="7" t="s">
        <v>233</v>
      </c>
      <c r="BB2396" s="7"/>
      <c r="BC2396" s="4" t="s">
        <v>233</v>
      </c>
      <c r="BD2396" s="8" t="s">
        <v>233</v>
      </c>
      <c r="BE2396" s="4" t="s">
        <v>233</v>
      </c>
      <c r="BF2396" s="8" t="s">
        <v>233</v>
      </c>
      <c r="BG2396" s="7" t="s">
        <v>233</v>
      </c>
      <c r="BH2396" s="7" t="s">
        <v>233</v>
      </c>
      <c r="BI2396" s="7"/>
      <c r="BJ2396" s="4">
        <v>7</v>
      </c>
      <c r="BK2396" s="8">
        <v>156.9</v>
      </c>
      <c r="BL2396" s="2" t="s">
        <v>10635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10636</v>
      </c>
      <c r="BV2396" s="2" t="s">
        <v>233</v>
      </c>
      <c r="BW2396" s="2" t="s">
        <v>233</v>
      </c>
      <c r="BX2396" s="2" t="s">
        <v>233</v>
      </c>
      <c r="BY2396" s="2" t="s">
        <v>280</v>
      </c>
      <c r="BZ2396" s="2" t="s">
        <v>245</v>
      </c>
      <c r="CA2396" s="2" t="s">
        <v>10287</v>
      </c>
      <c r="CB2396" s="2" t="s">
        <v>10637</v>
      </c>
      <c r="CC2396" s="2" t="s">
        <v>246</v>
      </c>
      <c r="CD2396" s="2" t="s">
        <v>233</v>
      </c>
      <c r="CE2396" s="4">
        <v>100</v>
      </c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/>
      <c r="HA2396" s="4"/>
      <c r="HB2396" s="4"/>
      <c r="HC2396" s="4"/>
      <c r="HD2396" s="4"/>
      <c r="HE2396" s="4"/>
      <c r="HF2396" s="4"/>
      <c r="HG2396" s="4"/>
      <c r="HH2396" s="4"/>
      <c r="HI2396" s="4"/>
      <c r="HJ2396" s="4"/>
      <c r="HK2396" s="4"/>
      <c r="HL2396" s="4"/>
      <c r="HM2396" s="4"/>
      <c r="HN2396" s="4"/>
      <c r="HO2396" s="4"/>
      <c r="HP2396" s="4"/>
      <c r="HQ2396" s="4"/>
      <c r="HR2396" s="4"/>
    </row>
    <row r="2397">
      <c r="A2397" s="2" t="s">
        <v>10638</v>
      </c>
      <c r="B2397" s="2" t="s">
        <v>1242</v>
      </c>
      <c r="C2397" s="2" t="s">
        <v>3501</v>
      </c>
      <c r="D2397" s="2" t="s">
        <v>912</v>
      </c>
      <c r="E2397" s="2" t="s">
        <v>1139</v>
      </c>
      <c r="F2397" s="2" t="s">
        <v>10639</v>
      </c>
      <c r="G2397" s="2" t="s">
        <v>10639</v>
      </c>
      <c r="H2397" s="2" t="s">
        <v>10639</v>
      </c>
      <c r="I2397" s="2" t="s">
        <v>10640</v>
      </c>
      <c r="J2397" s="2" t="s">
        <v>1142</v>
      </c>
      <c r="K2397" s="2" t="s">
        <v>2817</v>
      </c>
      <c r="L2397" s="3">
        <v>45</v>
      </c>
      <c r="M2397" s="3">
        <v>47.25</v>
      </c>
      <c r="N2397" s="3">
        <v>99.99</v>
      </c>
      <c r="O2397" s="2" t="s">
        <v>252</v>
      </c>
      <c r="P2397" s="2" t="s">
        <v>311</v>
      </c>
      <c r="Q2397" s="2" t="s">
        <v>239</v>
      </c>
      <c r="R2397" s="2" t="s">
        <v>233</v>
      </c>
      <c r="S2397" s="2" t="s">
        <v>10641</v>
      </c>
      <c r="T2397" s="2" t="s">
        <v>395</v>
      </c>
      <c r="U2397" s="2" t="s">
        <v>475</v>
      </c>
      <c r="V2397" s="2" t="s">
        <v>1085</v>
      </c>
      <c r="W2397" s="2" t="s">
        <v>275</v>
      </c>
      <c r="X2397" s="2" t="s">
        <v>10642</v>
      </c>
      <c r="Y2397" s="2" t="s">
        <v>10643</v>
      </c>
      <c r="Z2397" s="4">
        <v>1</v>
      </c>
      <c r="AA2397" s="4">
        <f>=ROUNDDOWN(0.222222222222222,0)</f>
      </c>
      <c r="AB2397" s="5">
        <v>4.5</v>
      </c>
      <c r="AC2397" s="2" t="s">
        <v>233</v>
      </c>
      <c r="AD2397" s="4"/>
      <c r="AE2397" s="4"/>
      <c r="AF2397" s="6">
        <v>64</v>
      </c>
      <c r="AG2397" s="6"/>
      <c r="AH2397" s="7">
        <v>1</v>
      </c>
      <c r="AI2397" s="4"/>
      <c r="AJ2397" s="4">
        <f>=ROUNDDOWN({0},0)</f>
      </c>
      <c r="AK2397" s="5"/>
      <c r="AL2397" s="2" t="s">
        <v>233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/>
      <c r="BD2397" s="8"/>
      <c r="BE2397" s="4"/>
      <c r="BF2397" s="8"/>
      <c r="BG2397" s="7"/>
      <c r="BH2397" s="7"/>
      <c r="BI2397" s="7"/>
      <c r="BJ2397" s="4">
        <v>16</v>
      </c>
      <c r="BK2397" s="8">
        <v>198.56</v>
      </c>
      <c r="BL2397" s="2" t="s">
        <v>1592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10644</v>
      </c>
      <c r="BV2397" s="2" t="s">
        <v>233</v>
      </c>
      <c r="BW2397" s="2" t="s">
        <v>233</v>
      </c>
      <c r="BX2397" s="2" t="s">
        <v>233</v>
      </c>
      <c r="BY2397" s="2" t="s">
        <v>280</v>
      </c>
      <c r="BZ2397" s="2" t="s">
        <v>245</v>
      </c>
      <c r="CA2397" s="2" t="s">
        <v>5691</v>
      </c>
      <c r="CB2397" s="2" t="s">
        <v>10645</v>
      </c>
      <c r="CC2397" s="2" t="s">
        <v>246</v>
      </c>
      <c r="CD2397" s="2" t="s">
        <v>233</v>
      </c>
      <c r="CE2397" s="4">
        <v>1</v>
      </c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/>
      <c r="GL2397" s="4"/>
      <c r="GM2397" s="4"/>
      <c r="GN2397" s="4"/>
      <c r="GO2397" s="4"/>
      <c r="GP2397" s="4"/>
      <c r="GQ2397" s="4"/>
      <c r="GR2397" s="4"/>
      <c r="GS2397" s="4"/>
      <c r="GT2397" s="4"/>
      <c r="GU2397" s="4"/>
      <c r="GV2397" s="4"/>
      <c r="GW2397" s="4"/>
      <c r="GX2397" s="4"/>
      <c r="GY2397" s="4"/>
      <c r="GZ2397" s="4"/>
      <c r="HA2397" s="4"/>
      <c r="HB2397" s="4"/>
      <c r="HC2397" s="4"/>
      <c r="HD2397" s="4"/>
      <c r="HE2397" s="4"/>
      <c r="HF2397" s="4"/>
      <c r="HG2397" s="4"/>
      <c r="HH2397" s="4"/>
      <c r="HI2397" s="4"/>
      <c r="HJ2397" s="4"/>
      <c r="HK2397" s="4"/>
      <c r="HL2397" s="4"/>
      <c r="HM2397" s="4"/>
      <c r="HN2397" s="4"/>
      <c r="HO2397" s="4"/>
      <c r="HP2397" s="4"/>
      <c r="HQ2397" s="4"/>
      <c r="HR2397" s="4"/>
    </row>
    <row r="2398">
      <c r="A2398" s="2" t="s">
        <v>10646</v>
      </c>
      <c r="B2398" s="2" t="s">
        <v>928</v>
      </c>
      <c r="C2398" s="2" t="s">
        <v>530</v>
      </c>
      <c r="D2398" s="2" t="s">
        <v>1757</v>
      </c>
      <c r="E2398" s="2" t="s">
        <v>7319</v>
      </c>
      <c r="F2398" s="2" t="s">
        <v>10647</v>
      </c>
      <c r="G2398" s="2" t="s">
        <v>10647</v>
      </c>
      <c r="H2398" s="2" t="s">
        <v>10647</v>
      </c>
      <c r="I2398" s="2" t="s">
        <v>10648</v>
      </c>
      <c r="J2398" s="2" t="s">
        <v>892</v>
      </c>
      <c r="K2398" s="2" t="s">
        <v>2344</v>
      </c>
      <c r="L2398" s="3">
        <v>61.9</v>
      </c>
      <c r="M2398" s="3">
        <v>65</v>
      </c>
      <c r="N2398" s="3">
        <v>129.9</v>
      </c>
      <c r="O2398" s="2" t="s">
        <v>245</v>
      </c>
      <c r="P2398" s="2" t="s">
        <v>238</v>
      </c>
      <c r="Q2398" s="2" t="s">
        <v>239</v>
      </c>
      <c r="R2398" s="2" t="s">
        <v>233</v>
      </c>
      <c r="S2398" s="2" t="s">
        <v>233</v>
      </c>
      <c r="T2398" s="2" t="s">
        <v>233</v>
      </c>
      <c r="U2398" s="2" t="s">
        <v>396</v>
      </c>
      <c r="V2398" s="2" t="s">
        <v>343</v>
      </c>
      <c r="W2398" s="2" t="s">
        <v>343</v>
      </c>
      <c r="X2398" s="2" t="s">
        <v>275</v>
      </c>
      <c r="Y2398" s="2" t="s">
        <v>7797</v>
      </c>
      <c r="Z2398" s="4"/>
      <c r="AA2398" s="4">
        <f>=ROUNDDOWN({0},0)</f>
      </c>
      <c r="AB2398" s="5"/>
      <c r="AC2398" s="2" t="s">
        <v>3556</v>
      </c>
      <c r="AD2398" s="4">
        <v>100</v>
      </c>
      <c r="AE2398" s="4">
        <v>100</v>
      </c>
      <c r="AF2398" s="6">
        <v>65</v>
      </c>
      <c r="AG2398" s="6"/>
      <c r="AH2398" s="7">
        <v>0</v>
      </c>
      <c r="AI2398" s="4"/>
      <c r="AJ2398" s="4">
        <f>=ROUNDDOWN({0},0)</f>
      </c>
      <c r="AK2398" s="5"/>
      <c r="AL2398" s="2" t="s">
        <v>233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/>
      <c r="BD2398" s="8"/>
      <c r="BE2398" s="4"/>
      <c r="BF2398" s="8"/>
      <c r="BG2398" s="7"/>
      <c r="BH2398" s="7"/>
      <c r="BI2398" s="7"/>
      <c r="BJ2398" s="4"/>
      <c r="BK2398" s="8"/>
      <c r="BL2398" s="2" t="s">
        <v>233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243</v>
      </c>
      <c r="BV2398" s="2" t="s">
        <v>233</v>
      </c>
      <c r="BW2398" s="2" t="s">
        <v>233</v>
      </c>
      <c r="BX2398" s="2" t="s">
        <v>243</v>
      </c>
      <c r="BY2398" s="2" t="s">
        <v>244</v>
      </c>
      <c r="BZ2398" s="2" t="s">
        <v>245</v>
      </c>
      <c r="CA2398" s="2" t="s">
        <v>233</v>
      </c>
      <c r="CB2398" s="2" t="s">
        <v>233</v>
      </c>
      <c r="CC2398" s="2" t="s">
        <v>246</v>
      </c>
      <c r="CD2398" s="2" t="s">
        <v>233</v>
      </c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>
        <v>100</v>
      </c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/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4"/>
      <c r="HE2398" s="4"/>
      <c r="HF2398" s="4"/>
      <c r="HG2398" s="4"/>
      <c r="HH2398" s="4"/>
      <c r="HI2398" s="4"/>
      <c r="HJ2398" s="4"/>
      <c r="HK2398" s="4"/>
      <c r="HL2398" s="4"/>
      <c r="HM2398" s="4"/>
      <c r="HN2398" s="4"/>
      <c r="HO2398" s="4"/>
      <c r="HP2398" s="4"/>
      <c r="HQ2398" s="4"/>
      <c r="HR2398" s="4"/>
    </row>
    <row r="2399">
      <c r="A2399" s="2" t="s">
        <v>10649</v>
      </c>
      <c r="B2399" s="2" t="s">
        <v>333</v>
      </c>
      <c r="C2399" s="2" t="s">
        <v>1050</v>
      </c>
      <c r="D2399" s="2" t="s">
        <v>335</v>
      </c>
      <c r="E2399" s="2" t="s">
        <v>336</v>
      </c>
      <c r="F2399" s="2" t="s">
        <v>10650</v>
      </c>
      <c r="G2399" s="2" t="s">
        <v>10650</v>
      </c>
      <c r="H2399" s="2" t="s">
        <v>10650</v>
      </c>
      <c r="I2399" s="2" t="s">
        <v>338</v>
      </c>
      <c r="J2399" s="2" t="s">
        <v>270</v>
      </c>
      <c r="K2399" s="2" t="s">
        <v>1083</v>
      </c>
      <c r="L2399" s="3">
        <v>19.78</v>
      </c>
      <c r="M2399" s="3">
        <v>20.77</v>
      </c>
      <c r="N2399" s="3">
        <v>42.99</v>
      </c>
      <c r="O2399" s="2" t="s">
        <v>245</v>
      </c>
      <c r="P2399" s="2" t="s">
        <v>272</v>
      </c>
      <c r="Q2399" s="2" t="s">
        <v>239</v>
      </c>
      <c r="R2399" s="2" t="s">
        <v>233</v>
      </c>
      <c r="S2399" s="2" t="s">
        <v>10651</v>
      </c>
      <c r="T2399" s="2" t="s">
        <v>1622</v>
      </c>
      <c r="U2399" s="2" t="s">
        <v>233</v>
      </c>
      <c r="V2399" s="2" t="s">
        <v>241</v>
      </c>
      <c r="W2399" s="2" t="s">
        <v>275</v>
      </c>
      <c r="X2399" s="2" t="s">
        <v>233</v>
      </c>
      <c r="Y2399" s="2" t="s">
        <v>276</v>
      </c>
      <c r="Z2399" s="4">
        <v>109</v>
      </c>
      <c r="AA2399" s="4">
        <f>=ROUNDDOWN(7.26666666666667,0)</f>
      </c>
      <c r="AB2399" s="5">
        <v>15</v>
      </c>
      <c r="AC2399" s="2" t="s">
        <v>1341</v>
      </c>
      <c r="AD2399" s="4">
        <v>70</v>
      </c>
      <c r="AE2399" s="4">
        <v>70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233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233</v>
      </c>
      <c r="AW2399" s="8" t="s">
        <v>233</v>
      </c>
      <c r="AX2399" s="4" t="s">
        <v>233</v>
      </c>
      <c r="AY2399" s="8" t="s">
        <v>233</v>
      </c>
      <c r="AZ2399" s="7" t="s">
        <v>233</v>
      </c>
      <c r="BA2399" s="7" t="s">
        <v>233</v>
      </c>
      <c r="BB2399" s="7"/>
      <c r="BC2399" s="4" t="s">
        <v>233</v>
      </c>
      <c r="BD2399" s="8" t="s">
        <v>233</v>
      </c>
      <c r="BE2399" s="4" t="s">
        <v>233</v>
      </c>
      <c r="BF2399" s="8" t="s">
        <v>233</v>
      </c>
      <c r="BG2399" s="7" t="s">
        <v>233</v>
      </c>
      <c r="BH2399" s="7" t="s">
        <v>233</v>
      </c>
      <c r="BI2399" s="7"/>
      <c r="BJ2399" s="4">
        <v>14</v>
      </c>
      <c r="BK2399" s="8">
        <v>331.84</v>
      </c>
      <c r="BL2399" s="2" t="s">
        <v>10652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10653</v>
      </c>
      <c r="BV2399" s="2" t="s">
        <v>233</v>
      </c>
      <c r="BW2399" s="2" t="s">
        <v>233</v>
      </c>
      <c r="BX2399" s="2" t="s">
        <v>233</v>
      </c>
      <c r="BY2399" s="2" t="s">
        <v>280</v>
      </c>
      <c r="BZ2399" s="2" t="s">
        <v>245</v>
      </c>
      <c r="CA2399" s="2" t="s">
        <v>281</v>
      </c>
      <c r="CB2399" s="2" t="s">
        <v>528</v>
      </c>
      <c r="CC2399" s="2" t="s">
        <v>246</v>
      </c>
      <c r="CD2399" s="2" t="s">
        <v>233</v>
      </c>
      <c r="CE2399" s="4">
        <v>109</v>
      </c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>
        <v>70</v>
      </c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/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  <c r="HF2399" s="4"/>
      <c r="HG2399" s="4"/>
      <c r="HH2399" s="4"/>
      <c r="HI2399" s="4"/>
      <c r="HJ2399" s="4"/>
      <c r="HK2399" s="4"/>
      <c r="HL2399" s="4"/>
      <c r="HM2399" s="4"/>
      <c r="HN2399" s="4"/>
      <c r="HO2399" s="4"/>
      <c r="HP2399" s="4"/>
      <c r="HQ2399" s="4"/>
      <c r="HR2399" s="4"/>
    </row>
    <row r="2400">
      <c r="A2400" s="2" t="s">
        <v>10654</v>
      </c>
      <c r="B2400" s="2" t="s">
        <v>333</v>
      </c>
      <c r="C2400" s="2" t="s">
        <v>1050</v>
      </c>
      <c r="D2400" s="2" t="s">
        <v>335</v>
      </c>
      <c r="E2400" s="2" t="s">
        <v>336</v>
      </c>
      <c r="F2400" s="2" t="s">
        <v>10650</v>
      </c>
      <c r="G2400" s="2" t="s">
        <v>10650</v>
      </c>
      <c r="H2400" s="2" t="s">
        <v>10650</v>
      </c>
      <c r="I2400" s="2" t="s">
        <v>338</v>
      </c>
      <c r="J2400" s="2" t="s">
        <v>328</v>
      </c>
      <c r="K2400" s="2" t="s">
        <v>1083</v>
      </c>
      <c r="L2400" s="3">
        <v>34.5</v>
      </c>
      <c r="M2400" s="3">
        <v>36.22</v>
      </c>
      <c r="N2400" s="3">
        <v>74.99</v>
      </c>
      <c r="O2400" s="2" t="s">
        <v>245</v>
      </c>
      <c r="P2400" s="2" t="s">
        <v>272</v>
      </c>
      <c r="Q2400" s="2" t="s">
        <v>239</v>
      </c>
      <c r="R2400" s="2" t="s">
        <v>233</v>
      </c>
      <c r="S2400" s="2" t="s">
        <v>10651</v>
      </c>
      <c r="T2400" s="2" t="s">
        <v>1622</v>
      </c>
      <c r="U2400" s="2" t="s">
        <v>233</v>
      </c>
      <c r="V2400" s="2" t="s">
        <v>241</v>
      </c>
      <c r="W2400" s="2" t="s">
        <v>275</v>
      </c>
      <c r="X2400" s="2" t="s">
        <v>233</v>
      </c>
      <c r="Y2400" s="2" t="s">
        <v>276</v>
      </c>
      <c r="Z2400" s="4"/>
      <c r="AA2400" s="4">
        <f>=ROUNDDOWN({0},0)</f>
      </c>
      <c r="AB2400" s="5">
        <v>31</v>
      </c>
      <c r="AC2400" s="2" t="s">
        <v>1341</v>
      </c>
      <c r="AD2400" s="4">
        <v>200</v>
      </c>
      <c r="AE2400" s="4">
        <v>200</v>
      </c>
      <c r="AF2400" s="6">
        <v>65</v>
      </c>
      <c r="AG2400" s="6"/>
      <c r="AH2400" s="7">
        <v>0</v>
      </c>
      <c r="AI2400" s="4"/>
      <c r="AJ2400" s="4">
        <f>=ROUNDDOWN({0},0)</f>
      </c>
      <c r="AK2400" s="5"/>
      <c r="AL2400" s="2" t="s">
        <v>233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233</v>
      </c>
      <c r="AW2400" s="8" t="s">
        <v>233</v>
      </c>
      <c r="AX2400" s="4" t="s">
        <v>233</v>
      </c>
      <c r="AY2400" s="8" t="s">
        <v>233</v>
      </c>
      <c r="AZ2400" s="7" t="s">
        <v>233</v>
      </c>
      <c r="BA2400" s="7" t="s">
        <v>233</v>
      </c>
      <c r="BB2400" s="7"/>
      <c r="BC2400" s="4" t="s">
        <v>233</v>
      </c>
      <c r="BD2400" s="8" t="s">
        <v>233</v>
      </c>
      <c r="BE2400" s="4" t="s">
        <v>233</v>
      </c>
      <c r="BF2400" s="8" t="s">
        <v>233</v>
      </c>
      <c r="BG2400" s="7" t="s">
        <v>233</v>
      </c>
      <c r="BH2400" s="7" t="s">
        <v>233</v>
      </c>
      <c r="BI2400" s="7"/>
      <c r="BJ2400" s="4"/>
      <c r="BK2400" s="8"/>
      <c r="BL2400" s="2" t="s">
        <v>10655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10656</v>
      </c>
      <c r="BV2400" s="2" t="s">
        <v>233</v>
      </c>
      <c r="BW2400" s="2" t="s">
        <v>233</v>
      </c>
      <c r="BX2400" s="2" t="s">
        <v>233</v>
      </c>
      <c r="BY2400" s="2" t="s">
        <v>280</v>
      </c>
      <c r="BZ2400" s="2" t="s">
        <v>245</v>
      </c>
      <c r="CA2400" s="2" t="s">
        <v>281</v>
      </c>
      <c r="CB2400" s="2" t="s">
        <v>10657</v>
      </c>
      <c r="CC2400" s="2" t="s">
        <v>246</v>
      </c>
      <c r="CD2400" s="2" t="s">
        <v>233</v>
      </c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>
        <v>200</v>
      </c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/>
      <c r="GN2400" s="4"/>
      <c r="GO2400" s="4"/>
      <c r="GP2400" s="4"/>
      <c r="GQ2400" s="4"/>
      <c r="GR2400" s="4"/>
      <c r="GS2400" s="4"/>
      <c r="GT2400" s="4"/>
      <c r="GU2400" s="4"/>
      <c r="GV2400" s="4"/>
      <c r="GW2400" s="4"/>
      <c r="GX2400" s="4"/>
      <c r="GY2400" s="4"/>
      <c r="GZ2400" s="4"/>
      <c r="HA2400" s="4"/>
      <c r="HB2400" s="4"/>
      <c r="HC2400" s="4"/>
      <c r="HD2400" s="4"/>
      <c r="HE2400" s="4"/>
      <c r="HF2400" s="4"/>
      <c r="HG2400" s="4"/>
      <c r="HH2400" s="4"/>
      <c r="HI2400" s="4"/>
      <c r="HJ2400" s="4"/>
      <c r="HK2400" s="4"/>
      <c r="HL2400" s="4"/>
      <c r="HM2400" s="4"/>
      <c r="HN2400" s="4"/>
      <c r="HO2400" s="4"/>
      <c r="HP2400" s="4"/>
      <c r="HQ2400" s="4"/>
      <c r="HR2400" s="4"/>
    </row>
    <row r="2401">
      <c r="A2401" s="2" t="s">
        <v>10658</v>
      </c>
      <c r="B2401" s="2" t="s">
        <v>333</v>
      </c>
      <c r="C2401" s="2" t="s">
        <v>1050</v>
      </c>
      <c r="D2401" s="2" t="s">
        <v>335</v>
      </c>
      <c r="E2401" s="2" t="s">
        <v>336</v>
      </c>
      <c r="F2401" s="2" t="s">
        <v>10650</v>
      </c>
      <c r="G2401" s="2" t="s">
        <v>10650</v>
      </c>
      <c r="H2401" s="2" t="s">
        <v>10650</v>
      </c>
      <c r="I2401" s="2" t="s">
        <v>338</v>
      </c>
      <c r="J2401" s="2" t="s">
        <v>270</v>
      </c>
      <c r="K2401" s="2" t="s">
        <v>271</v>
      </c>
      <c r="L2401" s="3">
        <v>19.78</v>
      </c>
      <c r="M2401" s="3">
        <v>20.77</v>
      </c>
      <c r="N2401" s="3">
        <v>42.99</v>
      </c>
      <c r="O2401" s="2" t="s">
        <v>245</v>
      </c>
      <c r="P2401" s="2" t="s">
        <v>763</v>
      </c>
      <c r="Q2401" s="2" t="s">
        <v>239</v>
      </c>
      <c r="R2401" s="2" t="s">
        <v>233</v>
      </c>
      <c r="S2401" s="2" t="s">
        <v>10659</v>
      </c>
      <c r="T2401" s="2" t="s">
        <v>1622</v>
      </c>
      <c r="U2401" s="2" t="s">
        <v>233</v>
      </c>
      <c r="V2401" s="2" t="s">
        <v>241</v>
      </c>
      <c r="W2401" s="2" t="s">
        <v>275</v>
      </c>
      <c r="X2401" s="2" t="s">
        <v>233</v>
      </c>
      <c r="Y2401" s="2" t="s">
        <v>276</v>
      </c>
      <c r="Z2401" s="4">
        <v>35</v>
      </c>
      <c r="AA2401" s="4">
        <f>=ROUNDDOWN(1.06060606060606,0)</f>
      </c>
      <c r="AB2401" s="5">
        <v>33</v>
      </c>
      <c r="AC2401" s="2" t="s">
        <v>1341</v>
      </c>
      <c r="AD2401" s="4">
        <v>270</v>
      </c>
      <c r="AE2401" s="4">
        <v>270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233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 t="s">
        <v>233</v>
      </c>
      <c r="AW2401" s="8" t="s">
        <v>233</v>
      </c>
      <c r="AX2401" s="4" t="s">
        <v>233</v>
      </c>
      <c r="AY2401" s="8" t="s">
        <v>233</v>
      </c>
      <c r="AZ2401" s="7" t="s">
        <v>233</v>
      </c>
      <c r="BA2401" s="7" t="s">
        <v>233</v>
      </c>
      <c r="BB2401" s="7"/>
      <c r="BC2401" s="4" t="s">
        <v>233</v>
      </c>
      <c r="BD2401" s="8" t="s">
        <v>233</v>
      </c>
      <c r="BE2401" s="4" t="s">
        <v>233</v>
      </c>
      <c r="BF2401" s="8" t="s">
        <v>233</v>
      </c>
      <c r="BG2401" s="7" t="s">
        <v>233</v>
      </c>
      <c r="BH2401" s="7" t="s">
        <v>233</v>
      </c>
      <c r="BI2401" s="7"/>
      <c r="BJ2401" s="4">
        <v>42</v>
      </c>
      <c r="BK2401" s="8">
        <v>908.46</v>
      </c>
      <c r="BL2401" s="2" t="s">
        <v>10660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10661</v>
      </c>
      <c r="BV2401" s="2" t="s">
        <v>233</v>
      </c>
      <c r="BW2401" s="2" t="s">
        <v>233</v>
      </c>
      <c r="BX2401" s="2" t="s">
        <v>233</v>
      </c>
      <c r="BY2401" s="2" t="s">
        <v>280</v>
      </c>
      <c r="BZ2401" s="2" t="s">
        <v>245</v>
      </c>
      <c r="CA2401" s="2" t="s">
        <v>1625</v>
      </c>
      <c r="CB2401" s="2" t="s">
        <v>670</v>
      </c>
      <c r="CC2401" s="2" t="s">
        <v>246</v>
      </c>
      <c r="CD2401" s="2" t="s">
        <v>233</v>
      </c>
      <c r="CE2401" s="4">
        <v>35</v>
      </c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>
        <v>270</v>
      </c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/>
      <c r="HA2401" s="4"/>
      <c r="HB2401" s="4"/>
      <c r="HC2401" s="4"/>
      <c r="HD2401" s="4"/>
      <c r="HE2401" s="4"/>
      <c r="HF2401" s="4"/>
      <c r="HG2401" s="4"/>
      <c r="HH2401" s="4"/>
      <c r="HI2401" s="4"/>
      <c r="HJ2401" s="4"/>
      <c r="HK2401" s="4"/>
      <c r="HL2401" s="4"/>
      <c r="HM2401" s="4"/>
      <c r="HN2401" s="4"/>
      <c r="HO2401" s="4"/>
      <c r="HP2401" s="4"/>
      <c r="HQ2401" s="4"/>
      <c r="HR2401" s="4"/>
    </row>
    <row r="2402">
      <c r="A2402" s="2" t="s">
        <v>10662</v>
      </c>
      <c r="B2402" s="2" t="s">
        <v>333</v>
      </c>
      <c r="C2402" s="2" t="s">
        <v>1050</v>
      </c>
      <c r="D2402" s="2" t="s">
        <v>335</v>
      </c>
      <c r="E2402" s="2" t="s">
        <v>336</v>
      </c>
      <c r="F2402" s="2" t="s">
        <v>10650</v>
      </c>
      <c r="G2402" s="2" t="s">
        <v>10650</v>
      </c>
      <c r="H2402" s="2" t="s">
        <v>10650</v>
      </c>
      <c r="I2402" s="2" t="s">
        <v>338</v>
      </c>
      <c r="J2402" s="2" t="s">
        <v>348</v>
      </c>
      <c r="K2402" s="2" t="s">
        <v>271</v>
      </c>
      <c r="L2402" s="3">
        <v>28.35</v>
      </c>
      <c r="M2402" s="3">
        <v>29.77</v>
      </c>
      <c r="N2402" s="3">
        <v>62.99</v>
      </c>
      <c r="O2402" s="2" t="s">
        <v>245</v>
      </c>
      <c r="P2402" s="2" t="s">
        <v>2943</v>
      </c>
      <c r="Q2402" s="2" t="s">
        <v>239</v>
      </c>
      <c r="R2402" s="2" t="s">
        <v>233</v>
      </c>
      <c r="S2402" s="2" t="s">
        <v>10659</v>
      </c>
      <c r="T2402" s="2" t="s">
        <v>1622</v>
      </c>
      <c r="U2402" s="2" t="s">
        <v>233</v>
      </c>
      <c r="V2402" s="2" t="s">
        <v>241</v>
      </c>
      <c r="W2402" s="2" t="s">
        <v>275</v>
      </c>
      <c r="X2402" s="2" t="s">
        <v>233</v>
      </c>
      <c r="Y2402" s="2" t="s">
        <v>276</v>
      </c>
      <c r="Z2402" s="4"/>
      <c r="AA2402" s="4">
        <f>=ROUNDDOWN({0},0)</f>
      </c>
      <c r="AB2402" s="5">
        <v>50</v>
      </c>
      <c r="AC2402" s="2" t="s">
        <v>1341</v>
      </c>
      <c r="AD2402" s="4">
        <v>440</v>
      </c>
      <c r="AE2402" s="4">
        <v>440</v>
      </c>
      <c r="AF2402" s="6">
        <v>65</v>
      </c>
      <c r="AG2402" s="6"/>
      <c r="AH2402" s="7">
        <v>0</v>
      </c>
      <c r="AI2402" s="4"/>
      <c r="AJ2402" s="4">
        <f>=ROUNDDOWN({0},0)</f>
      </c>
      <c r="AK2402" s="5"/>
      <c r="AL2402" s="2" t="s">
        <v>233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 t="s">
        <v>233</v>
      </c>
      <c r="AW2402" s="8" t="s">
        <v>233</v>
      </c>
      <c r="AX2402" s="4" t="s">
        <v>233</v>
      </c>
      <c r="AY2402" s="8" t="s">
        <v>233</v>
      </c>
      <c r="AZ2402" s="7" t="s">
        <v>233</v>
      </c>
      <c r="BA2402" s="7" t="s">
        <v>233</v>
      </c>
      <c r="BB2402" s="7"/>
      <c r="BC2402" s="4" t="s">
        <v>233</v>
      </c>
      <c r="BD2402" s="8" t="s">
        <v>233</v>
      </c>
      <c r="BE2402" s="4" t="s">
        <v>233</v>
      </c>
      <c r="BF2402" s="8" t="s">
        <v>233</v>
      </c>
      <c r="BG2402" s="7" t="s">
        <v>233</v>
      </c>
      <c r="BH2402" s="7" t="s">
        <v>233</v>
      </c>
      <c r="BI2402" s="7"/>
      <c r="BJ2402" s="4"/>
      <c r="BK2402" s="8"/>
      <c r="BL2402" s="2" t="s">
        <v>233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10663</v>
      </c>
      <c r="BV2402" s="2" t="s">
        <v>233</v>
      </c>
      <c r="BW2402" s="2" t="s">
        <v>233</v>
      </c>
      <c r="BX2402" s="2" t="s">
        <v>233</v>
      </c>
      <c r="BY2402" s="2" t="s">
        <v>280</v>
      </c>
      <c r="BZ2402" s="2" t="s">
        <v>245</v>
      </c>
      <c r="CA2402" s="2" t="s">
        <v>1625</v>
      </c>
      <c r="CB2402" s="2" t="s">
        <v>670</v>
      </c>
      <c r="CC2402" s="2" t="s">
        <v>246</v>
      </c>
      <c r="CD2402" s="2" t="s">
        <v>233</v>
      </c>
      <c r="CE2402" s="4"/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>
        <v>440</v>
      </c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/>
      <c r="HA2402" s="4"/>
      <c r="HB2402" s="4"/>
      <c r="HC2402" s="4"/>
      <c r="HD2402" s="4"/>
      <c r="HE2402" s="4"/>
      <c r="HF2402" s="4"/>
      <c r="HG2402" s="4"/>
      <c r="HH2402" s="4"/>
      <c r="HI2402" s="4"/>
      <c r="HJ2402" s="4"/>
      <c r="HK2402" s="4"/>
      <c r="HL2402" s="4"/>
      <c r="HM2402" s="4"/>
      <c r="HN2402" s="4"/>
      <c r="HO2402" s="4"/>
      <c r="HP2402" s="4"/>
      <c r="HQ2402" s="4"/>
      <c r="HR2402" s="4"/>
    </row>
    <row r="2403">
      <c r="A2403" s="2" t="s">
        <v>10664</v>
      </c>
      <c r="B2403" s="2" t="s">
        <v>333</v>
      </c>
      <c r="C2403" s="2" t="s">
        <v>1050</v>
      </c>
      <c r="D2403" s="2" t="s">
        <v>335</v>
      </c>
      <c r="E2403" s="2" t="s">
        <v>336</v>
      </c>
      <c r="F2403" s="2" t="s">
        <v>10650</v>
      </c>
      <c r="G2403" s="2" t="s">
        <v>10650</v>
      </c>
      <c r="H2403" s="2" t="s">
        <v>10650</v>
      </c>
      <c r="I2403" s="2" t="s">
        <v>338</v>
      </c>
      <c r="J2403" s="2" t="s">
        <v>328</v>
      </c>
      <c r="K2403" s="2" t="s">
        <v>271</v>
      </c>
      <c r="L2403" s="3">
        <v>34.5</v>
      </c>
      <c r="M2403" s="3">
        <v>36.22</v>
      </c>
      <c r="N2403" s="3">
        <v>74.99</v>
      </c>
      <c r="O2403" s="2" t="s">
        <v>245</v>
      </c>
      <c r="P2403" s="2" t="s">
        <v>1366</v>
      </c>
      <c r="Q2403" s="2" t="s">
        <v>239</v>
      </c>
      <c r="R2403" s="2" t="s">
        <v>233</v>
      </c>
      <c r="S2403" s="2" t="s">
        <v>10659</v>
      </c>
      <c r="T2403" s="2" t="s">
        <v>1622</v>
      </c>
      <c r="U2403" s="2" t="s">
        <v>233</v>
      </c>
      <c r="V2403" s="2" t="s">
        <v>241</v>
      </c>
      <c r="W2403" s="2" t="s">
        <v>275</v>
      </c>
      <c r="X2403" s="2" t="s">
        <v>233</v>
      </c>
      <c r="Y2403" s="2" t="s">
        <v>276</v>
      </c>
      <c r="Z2403" s="4"/>
      <c r="AA2403" s="4">
        <f>=ROUNDDOWN({0},0)</f>
      </c>
      <c r="AB2403" s="5">
        <v>33</v>
      </c>
      <c r="AC2403" s="2" t="s">
        <v>1341</v>
      </c>
      <c r="AD2403" s="4">
        <v>240</v>
      </c>
      <c r="AE2403" s="4">
        <v>240</v>
      </c>
      <c r="AF2403" s="6">
        <v>65</v>
      </c>
      <c r="AG2403" s="6"/>
      <c r="AH2403" s="7">
        <v>0</v>
      </c>
      <c r="AI2403" s="4"/>
      <c r="AJ2403" s="4">
        <f>=ROUNDDOWN({0},0)</f>
      </c>
      <c r="AK2403" s="5"/>
      <c r="AL2403" s="2" t="s">
        <v>233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 t="s">
        <v>233</v>
      </c>
      <c r="AW2403" s="8" t="s">
        <v>233</v>
      </c>
      <c r="AX2403" s="4" t="s">
        <v>233</v>
      </c>
      <c r="AY2403" s="8" t="s">
        <v>233</v>
      </c>
      <c r="AZ2403" s="7" t="s">
        <v>233</v>
      </c>
      <c r="BA2403" s="7" t="s">
        <v>233</v>
      </c>
      <c r="BB2403" s="7"/>
      <c r="BC2403" s="4" t="s">
        <v>233</v>
      </c>
      <c r="BD2403" s="8" t="s">
        <v>233</v>
      </c>
      <c r="BE2403" s="4" t="s">
        <v>233</v>
      </c>
      <c r="BF2403" s="8" t="s">
        <v>233</v>
      </c>
      <c r="BG2403" s="7" t="s">
        <v>233</v>
      </c>
      <c r="BH2403" s="7" t="s">
        <v>233</v>
      </c>
      <c r="BI2403" s="7"/>
      <c r="BJ2403" s="4"/>
      <c r="BK2403" s="8"/>
      <c r="BL2403" s="2" t="s">
        <v>10665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10666</v>
      </c>
      <c r="BV2403" s="2" t="s">
        <v>233</v>
      </c>
      <c r="BW2403" s="2" t="s">
        <v>233</v>
      </c>
      <c r="BX2403" s="2" t="s">
        <v>233</v>
      </c>
      <c r="BY2403" s="2" t="s">
        <v>280</v>
      </c>
      <c r="BZ2403" s="2" t="s">
        <v>245</v>
      </c>
      <c r="CA2403" s="2" t="s">
        <v>1625</v>
      </c>
      <c r="CB2403" s="2" t="s">
        <v>670</v>
      </c>
      <c r="CC2403" s="2" t="s">
        <v>246</v>
      </c>
      <c r="CD2403" s="2" t="s">
        <v>233</v>
      </c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>
        <v>240</v>
      </c>
      <c r="GA2403" s="4"/>
      <c r="GB2403" s="4"/>
      <c r="GC2403" s="4"/>
      <c r="GD2403" s="4"/>
      <c r="GE2403" s="4"/>
      <c r="GF2403" s="4"/>
      <c r="GG2403" s="4"/>
      <c r="GH2403" s="4"/>
      <c r="GI2403" s="4"/>
      <c r="GJ2403" s="4"/>
      <c r="GK2403" s="4"/>
      <c r="GL2403" s="4"/>
      <c r="GM2403" s="4"/>
      <c r="GN2403" s="4"/>
      <c r="GO2403" s="4"/>
      <c r="GP2403" s="4"/>
      <c r="GQ2403" s="4"/>
      <c r="GR2403" s="4"/>
      <c r="GS2403" s="4"/>
      <c r="GT2403" s="4"/>
      <c r="GU2403" s="4"/>
      <c r="GV2403" s="4"/>
      <c r="GW2403" s="4"/>
      <c r="GX2403" s="4"/>
      <c r="GY2403" s="4"/>
      <c r="GZ2403" s="4"/>
      <c r="HA2403" s="4"/>
      <c r="HB2403" s="4"/>
      <c r="HC2403" s="4"/>
      <c r="HD2403" s="4"/>
      <c r="HE2403" s="4"/>
      <c r="HF2403" s="4"/>
      <c r="HG2403" s="4"/>
      <c r="HH2403" s="4"/>
      <c r="HI2403" s="4"/>
      <c r="HJ2403" s="4"/>
      <c r="HK2403" s="4"/>
      <c r="HL2403" s="4"/>
      <c r="HM2403" s="4"/>
      <c r="HN2403" s="4"/>
      <c r="HO2403" s="4"/>
      <c r="HP2403" s="4"/>
      <c r="HQ2403" s="4"/>
      <c r="HR2403" s="4"/>
    </row>
    <row r="2404">
      <c r="A2404" s="2" t="s">
        <v>10667</v>
      </c>
      <c r="B2404" s="2" t="s">
        <v>333</v>
      </c>
      <c r="C2404" s="2" t="s">
        <v>1050</v>
      </c>
      <c r="D2404" s="2" t="s">
        <v>335</v>
      </c>
      <c r="E2404" s="2" t="s">
        <v>336</v>
      </c>
      <c r="F2404" s="2" t="s">
        <v>10650</v>
      </c>
      <c r="G2404" s="2" t="s">
        <v>10650</v>
      </c>
      <c r="H2404" s="2" t="s">
        <v>10650</v>
      </c>
      <c r="I2404" s="2" t="s">
        <v>338</v>
      </c>
      <c r="J2404" s="2" t="s">
        <v>290</v>
      </c>
      <c r="K2404" s="2" t="s">
        <v>984</v>
      </c>
      <c r="L2404" s="3">
        <v>25.3</v>
      </c>
      <c r="M2404" s="3">
        <v>26.56</v>
      </c>
      <c r="N2404" s="3">
        <v>54.99</v>
      </c>
      <c r="O2404" s="2" t="s">
        <v>245</v>
      </c>
      <c r="P2404" s="2" t="s">
        <v>272</v>
      </c>
      <c r="Q2404" s="2" t="s">
        <v>239</v>
      </c>
      <c r="R2404" s="2" t="s">
        <v>233</v>
      </c>
      <c r="S2404" s="2" t="s">
        <v>10668</v>
      </c>
      <c r="T2404" s="2" t="s">
        <v>1622</v>
      </c>
      <c r="U2404" s="2" t="s">
        <v>233</v>
      </c>
      <c r="V2404" s="2" t="s">
        <v>241</v>
      </c>
      <c r="W2404" s="2" t="s">
        <v>275</v>
      </c>
      <c r="X2404" s="2" t="s">
        <v>233</v>
      </c>
      <c r="Y2404" s="2" t="s">
        <v>437</v>
      </c>
      <c r="Z2404" s="4"/>
      <c r="AA2404" s="4">
        <f>=ROUNDDOWN({0},0)</f>
      </c>
      <c r="AB2404" s="5">
        <v>12</v>
      </c>
      <c r="AC2404" s="2" t="s">
        <v>1341</v>
      </c>
      <c r="AD2404" s="4">
        <v>100</v>
      </c>
      <c r="AE2404" s="4">
        <v>100</v>
      </c>
      <c r="AF2404" s="6">
        <v>65</v>
      </c>
      <c r="AG2404" s="6"/>
      <c r="AH2404" s="7">
        <v>0</v>
      </c>
      <c r="AI2404" s="4"/>
      <c r="AJ2404" s="4">
        <f>=ROUNDDOWN({0},0)</f>
      </c>
      <c r="AK2404" s="5"/>
      <c r="AL2404" s="2" t="s">
        <v>233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 t="s">
        <v>233</v>
      </c>
      <c r="AW2404" s="8" t="s">
        <v>233</v>
      </c>
      <c r="AX2404" s="4" t="s">
        <v>233</v>
      </c>
      <c r="AY2404" s="8" t="s">
        <v>233</v>
      </c>
      <c r="AZ2404" s="7" t="s">
        <v>233</v>
      </c>
      <c r="BA2404" s="7" t="s">
        <v>233</v>
      </c>
      <c r="BB2404" s="7"/>
      <c r="BC2404" s="4" t="s">
        <v>233</v>
      </c>
      <c r="BD2404" s="8" t="s">
        <v>233</v>
      </c>
      <c r="BE2404" s="4" t="s">
        <v>233</v>
      </c>
      <c r="BF2404" s="8" t="s">
        <v>233</v>
      </c>
      <c r="BG2404" s="7" t="s">
        <v>233</v>
      </c>
      <c r="BH2404" s="7" t="s">
        <v>233</v>
      </c>
      <c r="BI2404" s="7"/>
      <c r="BJ2404" s="4"/>
      <c r="BK2404" s="8"/>
      <c r="BL2404" s="2" t="s">
        <v>10669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10670</v>
      </c>
      <c r="BV2404" s="2" t="s">
        <v>233</v>
      </c>
      <c r="BW2404" s="2" t="s">
        <v>233</v>
      </c>
      <c r="BX2404" s="2" t="s">
        <v>233</v>
      </c>
      <c r="BY2404" s="2" t="s">
        <v>280</v>
      </c>
      <c r="BZ2404" s="2" t="s">
        <v>245</v>
      </c>
      <c r="CA2404" s="2" t="s">
        <v>1625</v>
      </c>
      <c r="CB2404" s="2" t="s">
        <v>670</v>
      </c>
      <c r="CC2404" s="2" t="s">
        <v>246</v>
      </c>
      <c r="CD2404" s="2" t="s">
        <v>233</v>
      </c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>
        <v>100</v>
      </c>
      <c r="GA2404" s="4"/>
      <c r="GB2404" s="4"/>
      <c r="GC2404" s="4"/>
      <c r="GD2404" s="4"/>
      <c r="GE2404" s="4"/>
      <c r="GF2404" s="4"/>
      <c r="GG2404" s="4"/>
      <c r="GH2404" s="4"/>
      <c r="GI2404" s="4"/>
      <c r="GJ2404" s="4"/>
      <c r="GK2404" s="4"/>
      <c r="GL2404" s="4"/>
      <c r="GM2404" s="4"/>
      <c r="GN2404" s="4"/>
      <c r="GO2404" s="4"/>
      <c r="GP2404" s="4"/>
      <c r="GQ2404" s="4"/>
      <c r="GR2404" s="4"/>
      <c r="GS2404" s="4"/>
      <c r="GT2404" s="4"/>
      <c r="GU2404" s="4"/>
      <c r="GV2404" s="4"/>
      <c r="GW2404" s="4"/>
      <c r="GX2404" s="4"/>
      <c r="GY2404" s="4"/>
      <c r="GZ2404" s="4"/>
      <c r="HA2404" s="4"/>
      <c r="HB2404" s="4"/>
      <c r="HC2404" s="4"/>
      <c r="HD2404" s="4"/>
      <c r="HE2404" s="4"/>
      <c r="HF2404" s="4"/>
      <c r="HG2404" s="4"/>
      <c r="HH2404" s="4"/>
      <c r="HI2404" s="4"/>
      <c r="HJ2404" s="4"/>
      <c r="HK2404" s="4"/>
      <c r="HL2404" s="4"/>
      <c r="HM2404" s="4"/>
      <c r="HN2404" s="4"/>
      <c r="HO2404" s="4"/>
      <c r="HP2404" s="4"/>
      <c r="HQ2404" s="4"/>
      <c r="HR2404" s="4"/>
    </row>
    <row r="2405">
      <c r="A2405" s="2" t="s">
        <v>10671</v>
      </c>
      <c r="B2405" s="2" t="s">
        <v>333</v>
      </c>
      <c r="C2405" s="2" t="s">
        <v>1050</v>
      </c>
      <c r="D2405" s="2" t="s">
        <v>335</v>
      </c>
      <c r="E2405" s="2" t="s">
        <v>336</v>
      </c>
      <c r="F2405" s="2" t="s">
        <v>10650</v>
      </c>
      <c r="G2405" s="2" t="s">
        <v>10650</v>
      </c>
      <c r="H2405" s="2" t="s">
        <v>10650</v>
      </c>
      <c r="I2405" s="2" t="s">
        <v>338</v>
      </c>
      <c r="J2405" s="2" t="s">
        <v>348</v>
      </c>
      <c r="K2405" s="2" t="s">
        <v>984</v>
      </c>
      <c r="L2405" s="3">
        <v>28.35</v>
      </c>
      <c r="M2405" s="3">
        <v>29.77</v>
      </c>
      <c r="N2405" s="3">
        <v>62.99</v>
      </c>
      <c r="O2405" s="2" t="s">
        <v>245</v>
      </c>
      <c r="P2405" s="2" t="s">
        <v>2943</v>
      </c>
      <c r="Q2405" s="2" t="s">
        <v>239</v>
      </c>
      <c r="R2405" s="2" t="s">
        <v>233</v>
      </c>
      <c r="S2405" s="2" t="s">
        <v>10668</v>
      </c>
      <c r="T2405" s="2" t="s">
        <v>1622</v>
      </c>
      <c r="U2405" s="2" t="s">
        <v>233</v>
      </c>
      <c r="V2405" s="2" t="s">
        <v>241</v>
      </c>
      <c r="W2405" s="2" t="s">
        <v>275</v>
      </c>
      <c r="X2405" s="2" t="s">
        <v>233</v>
      </c>
      <c r="Y2405" s="2" t="s">
        <v>4026</v>
      </c>
      <c r="Z2405" s="4"/>
      <c r="AA2405" s="4">
        <f>=ROUNDDOWN({0},0)</f>
      </c>
      <c r="AB2405" s="5">
        <v>50</v>
      </c>
      <c r="AC2405" s="2" t="s">
        <v>1341</v>
      </c>
      <c r="AD2405" s="4">
        <v>430</v>
      </c>
      <c r="AE2405" s="4">
        <v>430</v>
      </c>
      <c r="AF2405" s="6">
        <v>65</v>
      </c>
      <c r="AG2405" s="6"/>
      <c r="AH2405" s="7">
        <v>0</v>
      </c>
      <c r="AI2405" s="4"/>
      <c r="AJ2405" s="4">
        <f>=ROUNDDOWN({0},0)</f>
      </c>
      <c r="AK2405" s="5"/>
      <c r="AL2405" s="2" t="s">
        <v>233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 t="s">
        <v>233</v>
      </c>
      <c r="AW2405" s="8" t="s">
        <v>233</v>
      </c>
      <c r="AX2405" s="4" t="s">
        <v>233</v>
      </c>
      <c r="AY2405" s="8" t="s">
        <v>233</v>
      </c>
      <c r="AZ2405" s="7" t="s">
        <v>233</v>
      </c>
      <c r="BA2405" s="7" t="s">
        <v>233</v>
      </c>
      <c r="BB2405" s="7"/>
      <c r="BC2405" s="4" t="s">
        <v>233</v>
      </c>
      <c r="BD2405" s="8" t="s">
        <v>233</v>
      </c>
      <c r="BE2405" s="4" t="s">
        <v>233</v>
      </c>
      <c r="BF2405" s="8" t="s">
        <v>233</v>
      </c>
      <c r="BG2405" s="7" t="s">
        <v>233</v>
      </c>
      <c r="BH2405" s="7" t="s">
        <v>233</v>
      </c>
      <c r="BI2405" s="7"/>
      <c r="BJ2405" s="4"/>
      <c r="BK2405" s="8"/>
      <c r="BL2405" s="2" t="s">
        <v>233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10672</v>
      </c>
      <c r="BV2405" s="2" t="s">
        <v>233</v>
      </c>
      <c r="BW2405" s="2" t="s">
        <v>233</v>
      </c>
      <c r="BX2405" s="2" t="s">
        <v>233</v>
      </c>
      <c r="BY2405" s="2" t="s">
        <v>280</v>
      </c>
      <c r="BZ2405" s="2" t="s">
        <v>245</v>
      </c>
      <c r="CA2405" s="2" t="s">
        <v>1625</v>
      </c>
      <c r="CB2405" s="2" t="s">
        <v>10673</v>
      </c>
      <c r="CC2405" s="2" t="s">
        <v>246</v>
      </c>
      <c r="CD2405" s="2" t="s">
        <v>233</v>
      </c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>
        <v>430</v>
      </c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/>
      <c r="GV2405" s="4"/>
      <c r="GW2405" s="4"/>
      <c r="GX2405" s="4"/>
      <c r="GY2405" s="4"/>
      <c r="GZ2405" s="4"/>
      <c r="HA2405" s="4"/>
      <c r="HB2405" s="4"/>
      <c r="HC2405" s="4"/>
      <c r="HD2405" s="4"/>
      <c r="HE2405" s="4"/>
      <c r="HF2405" s="4"/>
      <c r="HG2405" s="4"/>
      <c r="HH2405" s="4"/>
      <c r="HI2405" s="4"/>
      <c r="HJ2405" s="4"/>
      <c r="HK2405" s="4"/>
      <c r="HL2405" s="4"/>
      <c r="HM2405" s="4"/>
      <c r="HN2405" s="4"/>
      <c r="HO2405" s="4"/>
      <c r="HP2405" s="4"/>
      <c r="HQ2405" s="4"/>
      <c r="HR2405" s="4"/>
    </row>
    <row r="2406">
      <c r="A2406" s="2" t="s">
        <v>10674</v>
      </c>
      <c r="B2406" s="2" t="s">
        <v>333</v>
      </c>
      <c r="C2406" s="2" t="s">
        <v>1050</v>
      </c>
      <c r="D2406" s="2" t="s">
        <v>335</v>
      </c>
      <c r="E2406" s="2" t="s">
        <v>336</v>
      </c>
      <c r="F2406" s="2" t="s">
        <v>10650</v>
      </c>
      <c r="G2406" s="2" t="s">
        <v>10650</v>
      </c>
      <c r="H2406" s="2" t="s">
        <v>10650</v>
      </c>
      <c r="I2406" s="2" t="s">
        <v>338</v>
      </c>
      <c r="J2406" s="2" t="s">
        <v>328</v>
      </c>
      <c r="K2406" s="2" t="s">
        <v>984</v>
      </c>
      <c r="L2406" s="3">
        <v>34.5</v>
      </c>
      <c r="M2406" s="3">
        <v>36.22</v>
      </c>
      <c r="N2406" s="3">
        <v>74.99</v>
      </c>
      <c r="O2406" s="2" t="s">
        <v>245</v>
      </c>
      <c r="P2406" s="2" t="s">
        <v>763</v>
      </c>
      <c r="Q2406" s="2" t="s">
        <v>239</v>
      </c>
      <c r="R2406" s="2" t="s">
        <v>233</v>
      </c>
      <c r="S2406" s="2" t="s">
        <v>10668</v>
      </c>
      <c r="T2406" s="2" t="s">
        <v>1622</v>
      </c>
      <c r="U2406" s="2" t="s">
        <v>233</v>
      </c>
      <c r="V2406" s="2" t="s">
        <v>241</v>
      </c>
      <c r="W2406" s="2" t="s">
        <v>275</v>
      </c>
      <c r="X2406" s="2" t="s">
        <v>233</v>
      </c>
      <c r="Y2406" s="2" t="s">
        <v>276</v>
      </c>
      <c r="Z2406" s="4">
        <v>3</v>
      </c>
      <c r="AA2406" s="4">
        <f>=ROUNDDOWN(0.115384615384615,0)</f>
      </c>
      <c r="AB2406" s="5">
        <v>26</v>
      </c>
      <c r="AC2406" s="2" t="s">
        <v>1341</v>
      </c>
      <c r="AD2406" s="4">
        <v>200</v>
      </c>
      <c r="AE2406" s="4">
        <v>200</v>
      </c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233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 t="s">
        <v>233</v>
      </c>
      <c r="AW2406" s="8" t="s">
        <v>233</v>
      </c>
      <c r="AX2406" s="4" t="s">
        <v>233</v>
      </c>
      <c r="AY2406" s="8" t="s">
        <v>233</v>
      </c>
      <c r="AZ2406" s="7" t="s">
        <v>233</v>
      </c>
      <c r="BA2406" s="7" t="s">
        <v>233</v>
      </c>
      <c r="BB2406" s="7"/>
      <c r="BC2406" s="4" t="s">
        <v>233</v>
      </c>
      <c r="BD2406" s="8" t="s">
        <v>233</v>
      </c>
      <c r="BE2406" s="4" t="s">
        <v>233</v>
      </c>
      <c r="BF2406" s="8" t="s">
        <v>233</v>
      </c>
      <c r="BG2406" s="7" t="s">
        <v>233</v>
      </c>
      <c r="BH2406" s="7" t="s">
        <v>233</v>
      </c>
      <c r="BI2406" s="7"/>
      <c r="BJ2406" s="4">
        <v>29</v>
      </c>
      <c r="BK2406" s="8">
        <v>1034.01</v>
      </c>
      <c r="BL2406" s="2" t="s">
        <v>10675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10676</v>
      </c>
      <c r="BV2406" s="2" t="s">
        <v>233</v>
      </c>
      <c r="BW2406" s="2" t="s">
        <v>233</v>
      </c>
      <c r="BX2406" s="2" t="s">
        <v>233</v>
      </c>
      <c r="BY2406" s="2" t="s">
        <v>280</v>
      </c>
      <c r="BZ2406" s="2" t="s">
        <v>245</v>
      </c>
      <c r="CA2406" s="2" t="s">
        <v>1625</v>
      </c>
      <c r="CB2406" s="2" t="s">
        <v>528</v>
      </c>
      <c r="CC2406" s="2" t="s">
        <v>246</v>
      </c>
      <c r="CD2406" s="2" t="s">
        <v>233</v>
      </c>
      <c r="CE2406" s="4">
        <v>3</v>
      </c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>
        <v>200</v>
      </c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  <c r="HF2406" s="4"/>
      <c r="HG2406" s="4"/>
      <c r="HH2406" s="4"/>
      <c r="HI2406" s="4"/>
      <c r="HJ2406" s="4"/>
      <c r="HK2406" s="4"/>
      <c r="HL2406" s="4"/>
      <c r="HM2406" s="4"/>
      <c r="HN2406" s="4"/>
      <c r="HO2406" s="4"/>
      <c r="HP2406" s="4"/>
      <c r="HQ2406" s="4"/>
      <c r="HR2406" s="4"/>
    </row>
    <row r="2407">
      <c r="A2407" s="2" t="s">
        <v>10677</v>
      </c>
      <c r="B2407" s="2" t="s">
        <v>333</v>
      </c>
      <c r="C2407" s="2" t="s">
        <v>1050</v>
      </c>
      <c r="D2407" s="2" t="s">
        <v>335</v>
      </c>
      <c r="E2407" s="2" t="s">
        <v>336</v>
      </c>
      <c r="F2407" s="2" t="s">
        <v>10650</v>
      </c>
      <c r="G2407" s="2" t="s">
        <v>10650</v>
      </c>
      <c r="H2407" s="2" t="s">
        <v>10650</v>
      </c>
      <c r="I2407" s="2" t="s">
        <v>338</v>
      </c>
      <c r="J2407" s="2" t="s">
        <v>270</v>
      </c>
      <c r="K2407" s="2" t="s">
        <v>449</v>
      </c>
      <c r="L2407" s="3">
        <v>19.78</v>
      </c>
      <c r="M2407" s="3">
        <v>20.77</v>
      </c>
      <c r="N2407" s="3">
        <v>42.99</v>
      </c>
      <c r="O2407" s="2" t="s">
        <v>245</v>
      </c>
      <c r="P2407" s="2" t="s">
        <v>272</v>
      </c>
      <c r="Q2407" s="2" t="s">
        <v>239</v>
      </c>
      <c r="R2407" s="2" t="s">
        <v>233</v>
      </c>
      <c r="S2407" s="2" t="s">
        <v>10678</v>
      </c>
      <c r="T2407" s="2" t="s">
        <v>1622</v>
      </c>
      <c r="U2407" s="2" t="s">
        <v>233</v>
      </c>
      <c r="V2407" s="2" t="s">
        <v>241</v>
      </c>
      <c r="W2407" s="2" t="s">
        <v>275</v>
      </c>
      <c r="X2407" s="2" t="s">
        <v>233</v>
      </c>
      <c r="Y2407" s="2" t="s">
        <v>276</v>
      </c>
      <c r="Z2407" s="4">
        <v>136</v>
      </c>
      <c r="AA2407" s="4">
        <f>=ROUNDDOWN(19.4285714285714,0)</f>
      </c>
      <c r="AB2407" s="5">
        <v>7</v>
      </c>
      <c r="AC2407" s="2" t="s">
        <v>233</v>
      </c>
      <c r="AD2407" s="4"/>
      <c r="AE2407" s="4"/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233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 t="s">
        <v>233</v>
      </c>
      <c r="AW2407" s="8" t="s">
        <v>233</v>
      </c>
      <c r="AX2407" s="4" t="s">
        <v>233</v>
      </c>
      <c r="AY2407" s="8" t="s">
        <v>233</v>
      </c>
      <c r="AZ2407" s="7" t="s">
        <v>233</v>
      </c>
      <c r="BA2407" s="7" t="s">
        <v>233</v>
      </c>
      <c r="BB2407" s="7"/>
      <c r="BC2407" s="4" t="s">
        <v>233</v>
      </c>
      <c r="BD2407" s="8" t="s">
        <v>233</v>
      </c>
      <c r="BE2407" s="4" t="s">
        <v>233</v>
      </c>
      <c r="BF2407" s="8" t="s">
        <v>233</v>
      </c>
      <c r="BG2407" s="7" t="s">
        <v>233</v>
      </c>
      <c r="BH2407" s="7" t="s">
        <v>233</v>
      </c>
      <c r="BI2407" s="7"/>
      <c r="BJ2407" s="4">
        <v>11</v>
      </c>
      <c r="BK2407" s="8">
        <v>233.7</v>
      </c>
      <c r="BL2407" s="2" t="s">
        <v>10679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10680</v>
      </c>
      <c r="BV2407" s="2" t="s">
        <v>233</v>
      </c>
      <c r="BW2407" s="2" t="s">
        <v>233</v>
      </c>
      <c r="BX2407" s="2" t="s">
        <v>233</v>
      </c>
      <c r="BY2407" s="2" t="s">
        <v>280</v>
      </c>
      <c r="BZ2407" s="2" t="s">
        <v>245</v>
      </c>
      <c r="CA2407" s="2" t="s">
        <v>281</v>
      </c>
      <c r="CB2407" s="2" t="s">
        <v>1848</v>
      </c>
      <c r="CC2407" s="2" t="s">
        <v>246</v>
      </c>
      <c r="CD2407" s="2" t="s">
        <v>233</v>
      </c>
      <c r="CE2407" s="4">
        <v>136</v>
      </c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/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/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/>
      <c r="GY2407" s="4"/>
      <c r="GZ2407" s="4"/>
      <c r="HA2407" s="4"/>
      <c r="HB2407" s="4"/>
      <c r="HC2407" s="4"/>
      <c r="HD2407" s="4"/>
      <c r="HE2407" s="4"/>
      <c r="HF2407" s="4"/>
      <c r="HG2407" s="4"/>
      <c r="HH2407" s="4"/>
      <c r="HI2407" s="4"/>
      <c r="HJ2407" s="4"/>
      <c r="HK2407" s="4"/>
      <c r="HL2407" s="4"/>
      <c r="HM2407" s="4"/>
      <c r="HN2407" s="4"/>
      <c r="HO2407" s="4"/>
      <c r="HP2407" s="4"/>
      <c r="HQ2407" s="4"/>
      <c r="HR2407" s="4"/>
    </row>
    <row r="2408">
      <c r="A2408" s="2" t="s">
        <v>10681</v>
      </c>
      <c r="B2408" s="2" t="s">
        <v>333</v>
      </c>
      <c r="C2408" s="2" t="s">
        <v>1050</v>
      </c>
      <c r="D2408" s="2" t="s">
        <v>335</v>
      </c>
      <c r="E2408" s="2" t="s">
        <v>336</v>
      </c>
      <c r="F2408" s="2" t="s">
        <v>10650</v>
      </c>
      <c r="G2408" s="2" t="s">
        <v>10650</v>
      </c>
      <c r="H2408" s="2" t="s">
        <v>10650</v>
      </c>
      <c r="I2408" s="2" t="s">
        <v>338</v>
      </c>
      <c r="J2408" s="2" t="s">
        <v>290</v>
      </c>
      <c r="K2408" s="2" t="s">
        <v>449</v>
      </c>
      <c r="L2408" s="3">
        <v>25.3</v>
      </c>
      <c r="M2408" s="3">
        <v>26.56</v>
      </c>
      <c r="N2408" s="3">
        <v>54.99</v>
      </c>
      <c r="O2408" s="2" t="s">
        <v>245</v>
      </c>
      <c r="P2408" s="2" t="s">
        <v>272</v>
      </c>
      <c r="Q2408" s="2" t="s">
        <v>239</v>
      </c>
      <c r="R2408" s="2" t="s">
        <v>233</v>
      </c>
      <c r="S2408" s="2" t="s">
        <v>10678</v>
      </c>
      <c r="T2408" s="2" t="s">
        <v>1622</v>
      </c>
      <c r="U2408" s="2" t="s">
        <v>233</v>
      </c>
      <c r="V2408" s="2" t="s">
        <v>241</v>
      </c>
      <c r="W2408" s="2" t="s">
        <v>275</v>
      </c>
      <c r="X2408" s="2" t="s">
        <v>233</v>
      </c>
      <c r="Y2408" s="2" t="s">
        <v>276</v>
      </c>
      <c r="Z2408" s="4"/>
      <c r="AA2408" s="4">
        <f>=ROUNDDOWN({0},0)</f>
      </c>
      <c r="AB2408" s="5">
        <v>13</v>
      </c>
      <c r="AC2408" s="2" t="s">
        <v>1341</v>
      </c>
      <c r="AD2408" s="4">
        <v>100</v>
      </c>
      <c r="AE2408" s="4">
        <v>100</v>
      </c>
      <c r="AF2408" s="6">
        <v>65</v>
      </c>
      <c r="AG2408" s="6"/>
      <c r="AH2408" s="7">
        <v>0</v>
      </c>
      <c r="AI2408" s="4"/>
      <c r="AJ2408" s="4">
        <f>=ROUNDDOWN({0},0)</f>
      </c>
      <c r="AK2408" s="5"/>
      <c r="AL2408" s="2" t="s">
        <v>233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 t="s">
        <v>233</v>
      </c>
      <c r="AW2408" s="8" t="s">
        <v>233</v>
      </c>
      <c r="AX2408" s="4" t="s">
        <v>233</v>
      </c>
      <c r="AY2408" s="8" t="s">
        <v>233</v>
      </c>
      <c r="AZ2408" s="7" t="s">
        <v>233</v>
      </c>
      <c r="BA2408" s="7" t="s">
        <v>233</v>
      </c>
      <c r="BB2408" s="7"/>
      <c r="BC2408" s="4" t="s">
        <v>233</v>
      </c>
      <c r="BD2408" s="8" t="s">
        <v>233</v>
      </c>
      <c r="BE2408" s="4" t="s">
        <v>233</v>
      </c>
      <c r="BF2408" s="8" t="s">
        <v>233</v>
      </c>
      <c r="BG2408" s="7" t="s">
        <v>233</v>
      </c>
      <c r="BH2408" s="7" t="s">
        <v>233</v>
      </c>
      <c r="BI2408" s="7"/>
      <c r="BJ2408" s="4"/>
      <c r="BK2408" s="8"/>
      <c r="BL2408" s="2" t="s">
        <v>233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10682</v>
      </c>
      <c r="BV2408" s="2" t="s">
        <v>233</v>
      </c>
      <c r="BW2408" s="2" t="s">
        <v>233</v>
      </c>
      <c r="BX2408" s="2" t="s">
        <v>233</v>
      </c>
      <c r="BY2408" s="2" t="s">
        <v>280</v>
      </c>
      <c r="BZ2408" s="2" t="s">
        <v>245</v>
      </c>
      <c r="CA2408" s="2" t="s">
        <v>1625</v>
      </c>
      <c r="CB2408" s="2" t="s">
        <v>670</v>
      </c>
      <c r="CC2408" s="2" t="s">
        <v>246</v>
      </c>
      <c r="CD2408" s="2" t="s">
        <v>233</v>
      </c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>
        <v>100</v>
      </c>
      <c r="GA2408" s="4"/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/>
      <c r="GY2408" s="4"/>
      <c r="GZ2408" s="4"/>
      <c r="HA2408" s="4"/>
      <c r="HB2408" s="4"/>
      <c r="HC2408" s="4"/>
      <c r="HD2408" s="4"/>
      <c r="HE2408" s="4"/>
      <c r="HF2408" s="4"/>
      <c r="HG2408" s="4"/>
      <c r="HH2408" s="4"/>
      <c r="HI2408" s="4"/>
      <c r="HJ2408" s="4"/>
      <c r="HK2408" s="4"/>
      <c r="HL2408" s="4"/>
      <c r="HM2408" s="4"/>
      <c r="HN2408" s="4"/>
      <c r="HO2408" s="4"/>
      <c r="HP2408" s="4"/>
      <c r="HQ2408" s="4"/>
      <c r="HR2408" s="4"/>
    </row>
    <row r="2409">
      <c r="A2409" s="2" t="s">
        <v>10683</v>
      </c>
      <c r="B2409" s="2" t="s">
        <v>333</v>
      </c>
      <c r="C2409" s="2" t="s">
        <v>1050</v>
      </c>
      <c r="D2409" s="2" t="s">
        <v>335</v>
      </c>
      <c r="E2409" s="2" t="s">
        <v>336</v>
      </c>
      <c r="F2409" s="2" t="s">
        <v>10650</v>
      </c>
      <c r="G2409" s="2" t="s">
        <v>10650</v>
      </c>
      <c r="H2409" s="2" t="s">
        <v>10650</v>
      </c>
      <c r="I2409" s="2" t="s">
        <v>338</v>
      </c>
      <c r="J2409" s="2" t="s">
        <v>348</v>
      </c>
      <c r="K2409" s="2" t="s">
        <v>449</v>
      </c>
      <c r="L2409" s="3">
        <v>28.35</v>
      </c>
      <c r="M2409" s="3">
        <v>29.77</v>
      </c>
      <c r="N2409" s="3">
        <v>62.99</v>
      </c>
      <c r="O2409" s="2" t="s">
        <v>245</v>
      </c>
      <c r="P2409" s="2" t="s">
        <v>1366</v>
      </c>
      <c r="Q2409" s="2" t="s">
        <v>239</v>
      </c>
      <c r="R2409" s="2" t="s">
        <v>233</v>
      </c>
      <c r="S2409" s="2" t="s">
        <v>10678</v>
      </c>
      <c r="T2409" s="2" t="s">
        <v>1622</v>
      </c>
      <c r="U2409" s="2" t="s">
        <v>233</v>
      </c>
      <c r="V2409" s="2" t="s">
        <v>241</v>
      </c>
      <c r="W2409" s="2" t="s">
        <v>275</v>
      </c>
      <c r="X2409" s="2" t="s">
        <v>233</v>
      </c>
      <c r="Y2409" s="2" t="s">
        <v>276</v>
      </c>
      <c r="Z2409" s="4"/>
      <c r="AA2409" s="4">
        <f>=ROUNDDOWN({0},0)</f>
      </c>
      <c r="AB2409" s="5">
        <v>33</v>
      </c>
      <c r="AC2409" s="2" t="s">
        <v>1341</v>
      </c>
      <c r="AD2409" s="4">
        <v>280</v>
      </c>
      <c r="AE2409" s="4">
        <v>280</v>
      </c>
      <c r="AF2409" s="6">
        <v>65</v>
      </c>
      <c r="AG2409" s="6"/>
      <c r="AH2409" s="7">
        <v>0</v>
      </c>
      <c r="AI2409" s="4"/>
      <c r="AJ2409" s="4">
        <f>=ROUNDDOWN({0},0)</f>
      </c>
      <c r="AK2409" s="5"/>
      <c r="AL2409" s="2" t="s">
        <v>233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 t="s">
        <v>233</v>
      </c>
      <c r="AW2409" s="8" t="s">
        <v>233</v>
      </c>
      <c r="AX2409" s="4" t="s">
        <v>233</v>
      </c>
      <c r="AY2409" s="8" t="s">
        <v>233</v>
      </c>
      <c r="AZ2409" s="7" t="s">
        <v>233</v>
      </c>
      <c r="BA2409" s="7" t="s">
        <v>233</v>
      </c>
      <c r="BB2409" s="7"/>
      <c r="BC2409" s="4" t="s">
        <v>233</v>
      </c>
      <c r="BD2409" s="8" t="s">
        <v>233</v>
      </c>
      <c r="BE2409" s="4" t="s">
        <v>233</v>
      </c>
      <c r="BF2409" s="8" t="s">
        <v>233</v>
      </c>
      <c r="BG2409" s="7" t="s">
        <v>233</v>
      </c>
      <c r="BH2409" s="7" t="s">
        <v>233</v>
      </c>
      <c r="BI2409" s="7"/>
      <c r="BJ2409" s="4"/>
      <c r="BK2409" s="8"/>
      <c r="BL2409" s="2" t="s">
        <v>233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10684</v>
      </c>
      <c r="BV2409" s="2" t="s">
        <v>233</v>
      </c>
      <c r="BW2409" s="2" t="s">
        <v>233</v>
      </c>
      <c r="BX2409" s="2" t="s">
        <v>233</v>
      </c>
      <c r="BY2409" s="2" t="s">
        <v>280</v>
      </c>
      <c r="BZ2409" s="2" t="s">
        <v>245</v>
      </c>
      <c r="CA2409" s="2" t="s">
        <v>1625</v>
      </c>
      <c r="CB2409" s="2" t="s">
        <v>670</v>
      </c>
      <c r="CC2409" s="2" t="s">
        <v>246</v>
      </c>
      <c r="CD2409" s="2" t="s">
        <v>233</v>
      </c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>
        <v>280</v>
      </c>
      <c r="GA2409" s="4"/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/>
      <c r="GR2409" s="4"/>
      <c r="GS2409" s="4"/>
      <c r="GT2409" s="4"/>
      <c r="GU2409" s="4"/>
      <c r="GV2409" s="4"/>
      <c r="GW2409" s="4"/>
      <c r="GX2409" s="4"/>
      <c r="GY2409" s="4"/>
      <c r="GZ2409" s="4"/>
      <c r="HA2409" s="4"/>
      <c r="HB2409" s="4"/>
      <c r="HC2409" s="4"/>
      <c r="HD2409" s="4"/>
      <c r="HE2409" s="4"/>
      <c r="HF2409" s="4"/>
      <c r="HG2409" s="4"/>
      <c r="HH2409" s="4"/>
      <c r="HI2409" s="4"/>
      <c r="HJ2409" s="4"/>
      <c r="HK2409" s="4"/>
      <c r="HL2409" s="4"/>
      <c r="HM2409" s="4"/>
      <c r="HN2409" s="4"/>
      <c r="HO2409" s="4"/>
      <c r="HP2409" s="4"/>
      <c r="HQ2409" s="4"/>
      <c r="HR2409" s="4"/>
    </row>
    <row r="2410">
      <c r="A2410" s="2" t="s">
        <v>10685</v>
      </c>
      <c r="B2410" s="2" t="s">
        <v>333</v>
      </c>
      <c r="C2410" s="2" t="s">
        <v>1050</v>
      </c>
      <c r="D2410" s="2" t="s">
        <v>335</v>
      </c>
      <c r="E2410" s="2" t="s">
        <v>336</v>
      </c>
      <c r="F2410" s="2" t="s">
        <v>10650</v>
      </c>
      <c r="G2410" s="2" t="s">
        <v>10650</v>
      </c>
      <c r="H2410" s="2" t="s">
        <v>10650</v>
      </c>
      <c r="I2410" s="2" t="s">
        <v>338</v>
      </c>
      <c r="J2410" s="2" t="s">
        <v>328</v>
      </c>
      <c r="K2410" s="2" t="s">
        <v>449</v>
      </c>
      <c r="L2410" s="3">
        <v>34.5</v>
      </c>
      <c r="M2410" s="3">
        <v>36.22</v>
      </c>
      <c r="N2410" s="3">
        <v>74.99</v>
      </c>
      <c r="O2410" s="2" t="s">
        <v>245</v>
      </c>
      <c r="P2410" s="2" t="s">
        <v>272</v>
      </c>
      <c r="Q2410" s="2" t="s">
        <v>239</v>
      </c>
      <c r="R2410" s="2" t="s">
        <v>233</v>
      </c>
      <c r="S2410" s="2" t="s">
        <v>10678</v>
      </c>
      <c r="T2410" s="2" t="s">
        <v>1622</v>
      </c>
      <c r="U2410" s="2" t="s">
        <v>233</v>
      </c>
      <c r="V2410" s="2" t="s">
        <v>241</v>
      </c>
      <c r="W2410" s="2" t="s">
        <v>275</v>
      </c>
      <c r="X2410" s="2" t="s">
        <v>233</v>
      </c>
      <c r="Y2410" s="2" t="s">
        <v>437</v>
      </c>
      <c r="Z2410" s="4">
        <v>2</v>
      </c>
      <c r="AA2410" s="4">
        <f>=ROUNDDOWN(0.142857142857143,0)</f>
      </c>
      <c r="AB2410" s="5">
        <v>14</v>
      </c>
      <c r="AC2410" s="2" t="s">
        <v>1341</v>
      </c>
      <c r="AD2410" s="4">
        <v>100</v>
      </c>
      <c r="AE2410" s="4">
        <v>100</v>
      </c>
      <c r="AF2410" s="6">
        <v>65</v>
      </c>
      <c r="AG2410" s="6"/>
      <c r="AH2410" s="7">
        <v>0</v>
      </c>
      <c r="AI2410" s="4"/>
      <c r="AJ2410" s="4">
        <f>=ROUNDDOWN({0},0)</f>
      </c>
      <c r="AK2410" s="5"/>
      <c r="AL2410" s="2" t="s">
        <v>233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 t="s">
        <v>233</v>
      </c>
      <c r="AW2410" s="8" t="s">
        <v>233</v>
      </c>
      <c r="AX2410" s="4" t="s">
        <v>233</v>
      </c>
      <c r="AY2410" s="8" t="s">
        <v>233</v>
      </c>
      <c r="AZ2410" s="7" t="s">
        <v>233</v>
      </c>
      <c r="BA2410" s="7" t="s">
        <v>233</v>
      </c>
      <c r="BB2410" s="7"/>
      <c r="BC2410" s="4" t="s">
        <v>233</v>
      </c>
      <c r="BD2410" s="8" t="s">
        <v>233</v>
      </c>
      <c r="BE2410" s="4" t="s">
        <v>233</v>
      </c>
      <c r="BF2410" s="8" t="s">
        <v>233</v>
      </c>
      <c r="BG2410" s="7" t="s">
        <v>233</v>
      </c>
      <c r="BH2410" s="7" t="s">
        <v>233</v>
      </c>
      <c r="BI2410" s="7"/>
      <c r="BJ2410" s="4"/>
      <c r="BK2410" s="8"/>
      <c r="BL2410" s="2" t="s">
        <v>3519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10686</v>
      </c>
      <c r="BV2410" s="2" t="s">
        <v>233</v>
      </c>
      <c r="BW2410" s="2" t="s">
        <v>233</v>
      </c>
      <c r="BX2410" s="2" t="s">
        <v>233</v>
      </c>
      <c r="BY2410" s="2" t="s">
        <v>280</v>
      </c>
      <c r="BZ2410" s="2" t="s">
        <v>245</v>
      </c>
      <c r="CA2410" s="2" t="s">
        <v>1625</v>
      </c>
      <c r="CB2410" s="2" t="s">
        <v>670</v>
      </c>
      <c r="CC2410" s="2" t="s">
        <v>246</v>
      </c>
      <c r="CD2410" s="2" t="s">
        <v>233</v>
      </c>
      <c r="CE2410" s="4">
        <v>2</v>
      </c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>
        <v>100</v>
      </c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/>
      <c r="GR2410" s="4"/>
      <c r="GS2410" s="4"/>
      <c r="GT2410" s="4"/>
      <c r="GU2410" s="4"/>
      <c r="GV2410" s="4"/>
      <c r="GW2410" s="4"/>
      <c r="GX2410" s="4"/>
      <c r="GY2410" s="4"/>
      <c r="GZ2410" s="4"/>
      <c r="HA2410" s="4"/>
      <c r="HB2410" s="4"/>
      <c r="HC2410" s="4"/>
      <c r="HD2410" s="4"/>
      <c r="HE2410" s="4"/>
      <c r="HF2410" s="4"/>
      <c r="HG2410" s="4"/>
      <c r="HH2410" s="4"/>
      <c r="HI2410" s="4"/>
      <c r="HJ2410" s="4"/>
      <c r="HK2410" s="4"/>
      <c r="HL2410" s="4"/>
      <c r="HM2410" s="4"/>
      <c r="HN2410" s="4"/>
      <c r="HO2410" s="4"/>
      <c r="HP2410" s="4"/>
      <c r="HQ2410" s="4"/>
      <c r="HR2410" s="4"/>
    </row>
    <row r="2411">
      <c r="A2411" s="2" t="s">
        <v>10687</v>
      </c>
      <c r="B2411" s="2" t="s">
        <v>333</v>
      </c>
      <c r="C2411" s="2" t="s">
        <v>1050</v>
      </c>
      <c r="D2411" s="2" t="s">
        <v>335</v>
      </c>
      <c r="E2411" s="2" t="s">
        <v>336</v>
      </c>
      <c r="F2411" s="2" t="s">
        <v>10650</v>
      </c>
      <c r="G2411" s="2" t="s">
        <v>10650</v>
      </c>
      <c r="H2411" s="2" t="s">
        <v>10650</v>
      </c>
      <c r="I2411" s="2" t="s">
        <v>338</v>
      </c>
      <c r="J2411" s="2" t="s">
        <v>270</v>
      </c>
      <c r="K2411" s="2" t="s">
        <v>255</v>
      </c>
      <c r="L2411" s="3">
        <v>19.78</v>
      </c>
      <c r="M2411" s="3">
        <v>20.77</v>
      </c>
      <c r="N2411" s="3">
        <v>42.99</v>
      </c>
      <c r="O2411" s="2" t="s">
        <v>245</v>
      </c>
      <c r="P2411" s="2" t="s">
        <v>1366</v>
      </c>
      <c r="Q2411" s="2" t="s">
        <v>239</v>
      </c>
      <c r="R2411" s="2" t="s">
        <v>233</v>
      </c>
      <c r="S2411" s="2" t="s">
        <v>10688</v>
      </c>
      <c r="T2411" s="2" t="s">
        <v>1622</v>
      </c>
      <c r="U2411" s="2" t="s">
        <v>233</v>
      </c>
      <c r="V2411" s="2" t="s">
        <v>241</v>
      </c>
      <c r="W2411" s="2" t="s">
        <v>275</v>
      </c>
      <c r="X2411" s="2" t="s">
        <v>233</v>
      </c>
      <c r="Y2411" s="2" t="s">
        <v>276</v>
      </c>
      <c r="Z2411" s="4">
        <v>324</v>
      </c>
      <c r="AA2411" s="4">
        <f>=ROUNDDOWN(7.90243902439024,0)</f>
      </c>
      <c r="AB2411" s="5">
        <v>41</v>
      </c>
      <c r="AC2411" s="2" t="s">
        <v>1341</v>
      </c>
      <c r="AD2411" s="4">
        <v>220</v>
      </c>
      <c r="AE2411" s="4">
        <v>220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233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233</v>
      </c>
      <c r="AW2411" s="8" t="s">
        <v>233</v>
      </c>
      <c r="AX2411" s="4" t="s">
        <v>233</v>
      </c>
      <c r="AY2411" s="8" t="s">
        <v>233</v>
      </c>
      <c r="AZ2411" s="7" t="s">
        <v>233</v>
      </c>
      <c r="BA2411" s="7" t="s">
        <v>233</v>
      </c>
      <c r="BB2411" s="7"/>
      <c r="BC2411" s="4" t="s">
        <v>233</v>
      </c>
      <c r="BD2411" s="8" t="s">
        <v>233</v>
      </c>
      <c r="BE2411" s="4" t="s">
        <v>233</v>
      </c>
      <c r="BF2411" s="8" t="s">
        <v>233</v>
      </c>
      <c r="BG2411" s="7" t="s">
        <v>233</v>
      </c>
      <c r="BH2411" s="7" t="s">
        <v>233</v>
      </c>
      <c r="BI2411" s="7"/>
      <c r="BJ2411" s="4">
        <v>7</v>
      </c>
      <c r="BK2411" s="8">
        <v>152.32</v>
      </c>
      <c r="BL2411" s="2" t="s">
        <v>10689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10690</v>
      </c>
      <c r="BV2411" s="2" t="s">
        <v>233</v>
      </c>
      <c r="BW2411" s="2" t="s">
        <v>233</v>
      </c>
      <c r="BX2411" s="2" t="s">
        <v>233</v>
      </c>
      <c r="BY2411" s="2" t="s">
        <v>280</v>
      </c>
      <c r="BZ2411" s="2" t="s">
        <v>245</v>
      </c>
      <c r="CA2411" s="2" t="s">
        <v>10691</v>
      </c>
      <c r="CB2411" s="2" t="s">
        <v>4014</v>
      </c>
      <c r="CC2411" s="2" t="s">
        <v>246</v>
      </c>
      <c r="CD2411" s="2" t="s">
        <v>233</v>
      </c>
      <c r="CE2411" s="4">
        <v>324</v>
      </c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>
        <v>220</v>
      </c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/>
      <c r="HD2411" s="4"/>
      <c r="HE2411" s="4"/>
      <c r="HF2411" s="4"/>
      <c r="HG2411" s="4"/>
      <c r="HH2411" s="4"/>
      <c r="HI2411" s="4"/>
      <c r="HJ2411" s="4"/>
      <c r="HK2411" s="4"/>
      <c r="HL2411" s="4"/>
      <c r="HM2411" s="4"/>
      <c r="HN2411" s="4"/>
      <c r="HO2411" s="4"/>
      <c r="HP2411" s="4"/>
      <c r="HQ2411" s="4"/>
      <c r="HR2411" s="4"/>
    </row>
    <row r="2412">
      <c r="A2412" s="2" t="s">
        <v>10692</v>
      </c>
      <c r="B2412" s="2" t="s">
        <v>333</v>
      </c>
      <c r="C2412" s="2" t="s">
        <v>1050</v>
      </c>
      <c r="D2412" s="2" t="s">
        <v>335</v>
      </c>
      <c r="E2412" s="2" t="s">
        <v>336</v>
      </c>
      <c r="F2412" s="2" t="s">
        <v>10650</v>
      </c>
      <c r="G2412" s="2" t="s">
        <v>10650</v>
      </c>
      <c r="H2412" s="2" t="s">
        <v>10650</v>
      </c>
      <c r="I2412" s="2" t="s">
        <v>338</v>
      </c>
      <c r="J2412" s="2" t="s">
        <v>290</v>
      </c>
      <c r="K2412" s="2" t="s">
        <v>255</v>
      </c>
      <c r="L2412" s="3">
        <v>25.3</v>
      </c>
      <c r="M2412" s="3">
        <v>26.56</v>
      </c>
      <c r="N2412" s="3">
        <v>54.99</v>
      </c>
      <c r="O2412" s="2" t="s">
        <v>245</v>
      </c>
      <c r="P2412" s="2" t="s">
        <v>1366</v>
      </c>
      <c r="Q2412" s="2" t="s">
        <v>239</v>
      </c>
      <c r="R2412" s="2" t="s">
        <v>233</v>
      </c>
      <c r="S2412" s="2" t="s">
        <v>10688</v>
      </c>
      <c r="T2412" s="2" t="s">
        <v>1622</v>
      </c>
      <c r="U2412" s="2" t="s">
        <v>233</v>
      </c>
      <c r="V2412" s="2" t="s">
        <v>241</v>
      </c>
      <c r="W2412" s="2" t="s">
        <v>275</v>
      </c>
      <c r="X2412" s="2" t="s">
        <v>233</v>
      </c>
      <c r="Y2412" s="2" t="s">
        <v>276</v>
      </c>
      <c r="Z2412" s="4">
        <v>171</v>
      </c>
      <c r="AA2412" s="4">
        <f>=ROUNDDOWN(3.88636363636364,0)</f>
      </c>
      <c r="AB2412" s="5">
        <v>44</v>
      </c>
      <c r="AC2412" s="2" t="s">
        <v>1341</v>
      </c>
      <c r="AD2412" s="4">
        <v>310</v>
      </c>
      <c r="AE2412" s="4">
        <v>310</v>
      </c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233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 t="s">
        <v>233</v>
      </c>
      <c r="AW2412" s="8" t="s">
        <v>233</v>
      </c>
      <c r="AX2412" s="4" t="s">
        <v>233</v>
      </c>
      <c r="AY2412" s="8" t="s">
        <v>233</v>
      </c>
      <c r="AZ2412" s="7" t="s">
        <v>233</v>
      </c>
      <c r="BA2412" s="7" t="s">
        <v>233</v>
      </c>
      <c r="BB2412" s="7"/>
      <c r="BC2412" s="4" t="s">
        <v>233</v>
      </c>
      <c r="BD2412" s="8" t="s">
        <v>233</v>
      </c>
      <c r="BE2412" s="4" t="s">
        <v>233</v>
      </c>
      <c r="BF2412" s="8" t="s">
        <v>233</v>
      </c>
      <c r="BG2412" s="7" t="s">
        <v>233</v>
      </c>
      <c r="BH2412" s="7" t="s">
        <v>233</v>
      </c>
      <c r="BI2412" s="7"/>
      <c r="BJ2412" s="4">
        <v>17</v>
      </c>
      <c r="BK2412" s="8">
        <v>471.54</v>
      </c>
      <c r="BL2412" s="2" t="s">
        <v>10693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10694</v>
      </c>
      <c r="BV2412" s="2" t="s">
        <v>233</v>
      </c>
      <c r="BW2412" s="2" t="s">
        <v>233</v>
      </c>
      <c r="BX2412" s="2" t="s">
        <v>233</v>
      </c>
      <c r="BY2412" s="2" t="s">
        <v>280</v>
      </c>
      <c r="BZ2412" s="2" t="s">
        <v>245</v>
      </c>
      <c r="CA2412" s="2" t="s">
        <v>10691</v>
      </c>
      <c r="CB2412" s="2" t="s">
        <v>10695</v>
      </c>
      <c r="CC2412" s="2" t="s">
        <v>246</v>
      </c>
      <c r="CD2412" s="2" t="s">
        <v>233</v>
      </c>
      <c r="CE2412" s="4">
        <v>171</v>
      </c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>
        <v>310</v>
      </c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/>
      <c r="HD2412" s="4"/>
      <c r="HE2412" s="4"/>
      <c r="HF2412" s="4"/>
      <c r="HG2412" s="4"/>
      <c r="HH2412" s="4"/>
      <c r="HI2412" s="4"/>
      <c r="HJ2412" s="4"/>
      <c r="HK2412" s="4"/>
      <c r="HL2412" s="4"/>
      <c r="HM2412" s="4"/>
      <c r="HN2412" s="4"/>
      <c r="HO2412" s="4"/>
      <c r="HP2412" s="4"/>
      <c r="HQ2412" s="4"/>
      <c r="HR2412" s="4"/>
    </row>
    <row r="2413">
      <c r="A2413" s="2" t="s">
        <v>10696</v>
      </c>
      <c r="B2413" s="2" t="s">
        <v>333</v>
      </c>
      <c r="C2413" s="2" t="s">
        <v>1050</v>
      </c>
      <c r="D2413" s="2" t="s">
        <v>335</v>
      </c>
      <c r="E2413" s="2" t="s">
        <v>336</v>
      </c>
      <c r="F2413" s="2" t="s">
        <v>10650</v>
      </c>
      <c r="G2413" s="2" t="s">
        <v>10650</v>
      </c>
      <c r="H2413" s="2" t="s">
        <v>10650</v>
      </c>
      <c r="I2413" s="2" t="s">
        <v>338</v>
      </c>
      <c r="J2413" s="2" t="s">
        <v>348</v>
      </c>
      <c r="K2413" s="2" t="s">
        <v>255</v>
      </c>
      <c r="L2413" s="3">
        <v>28.35</v>
      </c>
      <c r="M2413" s="3">
        <v>29.77</v>
      </c>
      <c r="N2413" s="3">
        <v>62.99</v>
      </c>
      <c r="O2413" s="2" t="s">
        <v>245</v>
      </c>
      <c r="P2413" s="2" t="s">
        <v>2943</v>
      </c>
      <c r="Q2413" s="2" t="s">
        <v>239</v>
      </c>
      <c r="R2413" s="2" t="s">
        <v>233</v>
      </c>
      <c r="S2413" s="2" t="s">
        <v>10688</v>
      </c>
      <c r="T2413" s="2" t="s">
        <v>1622</v>
      </c>
      <c r="U2413" s="2" t="s">
        <v>233</v>
      </c>
      <c r="V2413" s="2" t="s">
        <v>241</v>
      </c>
      <c r="W2413" s="2" t="s">
        <v>275</v>
      </c>
      <c r="X2413" s="2" t="s">
        <v>233</v>
      </c>
      <c r="Y2413" s="2" t="s">
        <v>276</v>
      </c>
      <c r="Z2413" s="4">
        <v>112</v>
      </c>
      <c r="AA2413" s="4">
        <f>=ROUNDDOWN(0.835820895522388,0)</f>
      </c>
      <c r="AB2413" s="5">
        <v>134</v>
      </c>
      <c r="AC2413" s="2" t="s">
        <v>1341</v>
      </c>
      <c r="AD2413" s="4">
        <v>1050</v>
      </c>
      <c r="AE2413" s="4">
        <v>1050</v>
      </c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233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 t="s">
        <v>233</v>
      </c>
      <c r="AW2413" s="8" t="s">
        <v>233</v>
      </c>
      <c r="AX2413" s="4" t="s">
        <v>233</v>
      </c>
      <c r="AY2413" s="8" t="s">
        <v>233</v>
      </c>
      <c r="AZ2413" s="7" t="s">
        <v>233</v>
      </c>
      <c r="BA2413" s="7" t="s">
        <v>233</v>
      </c>
      <c r="BB2413" s="7"/>
      <c r="BC2413" s="4" t="s">
        <v>233</v>
      </c>
      <c r="BD2413" s="8" t="s">
        <v>233</v>
      </c>
      <c r="BE2413" s="4" t="s">
        <v>233</v>
      </c>
      <c r="BF2413" s="8" t="s">
        <v>233</v>
      </c>
      <c r="BG2413" s="7" t="s">
        <v>233</v>
      </c>
      <c r="BH2413" s="7" t="s">
        <v>233</v>
      </c>
      <c r="BI2413" s="7"/>
      <c r="BJ2413" s="4">
        <v>37</v>
      </c>
      <c r="BK2413" s="8">
        <v>1081.64</v>
      </c>
      <c r="BL2413" s="2" t="s">
        <v>10697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10698</v>
      </c>
      <c r="BV2413" s="2" t="s">
        <v>233</v>
      </c>
      <c r="BW2413" s="2" t="s">
        <v>233</v>
      </c>
      <c r="BX2413" s="2" t="s">
        <v>233</v>
      </c>
      <c r="BY2413" s="2" t="s">
        <v>280</v>
      </c>
      <c r="BZ2413" s="2" t="s">
        <v>245</v>
      </c>
      <c r="CA2413" s="2" t="s">
        <v>10691</v>
      </c>
      <c r="CB2413" s="2" t="s">
        <v>10617</v>
      </c>
      <c r="CC2413" s="2" t="s">
        <v>246</v>
      </c>
      <c r="CD2413" s="2" t="s">
        <v>233</v>
      </c>
      <c r="CE2413" s="4">
        <v>112</v>
      </c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>
        <v>1050</v>
      </c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/>
      <c r="HD2413" s="4"/>
      <c r="HE2413" s="4"/>
      <c r="HF2413" s="4"/>
      <c r="HG2413" s="4"/>
      <c r="HH2413" s="4"/>
      <c r="HI2413" s="4"/>
      <c r="HJ2413" s="4"/>
      <c r="HK2413" s="4"/>
      <c r="HL2413" s="4"/>
      <c r="HM2413" s="4"/>
      <c r="HN2413" s="4"/>
      <c r="HO2413" s="4"/>
      <c r="HP2413" s="4"/>
      <c r="HQ2413" s="4"/>
      <c r="HR2413" s="4"/>
    </row>
    <row r="2414">
      <c r="A2414" s="2" t="s">
        <v>10699</v>
      </c>
      <c r="B2414" s="2" t="s">
        <v>333</v>
      </c>
      <c r="C2414" s="2" t="s">
        <v>1050</v>
      </c>
      <c r="D2414" s="2" t="s">
        <v>335</v>
      </c>
      <c r="E2414" s="2" t="s">
        <v>336</v>
      </c>
      <c r="F2414" s="2" t="s">
        <v>10650</v>
      </c>
      <c r="G2414" s="2" t="s">
        <v>10650</v>
      </c>
      <c r="H2414" s="2" t="s">
        <v>10650</v>
      </c>
      <c r="I2414" s="2" t="s">
        <v>338</v>
      </c>
      <c r="J2414" s="2" t="s">
        <v>270</v>
      </c>
      <c r="K2414" s="2" t="s">
        <v>569</v>
      </c>
      <c r="L2414" s="3">
        <v>19.78</v>
      </c>
      <c r="M2414" s="3">
        <v>20.77</v>
      </c>
      <c r="N2414" s="3">
        <v>42.99</v>
      </c>
      <c r="O2414" s="2" t="s">
        <v>245</v>
      </c>
      <c r="P2414" s="2" t="s">
        <v>741</v>
      </c>
      <c r="Q2414" s="2" t="s">
        <v>239</v>
      </c>
      <c r="R2414" s="2" t="s">
        <v>233</v>
      </c>
      <c r="S2414" s="2" t="s">
        <v>10700</v>
      </c>
      <c r="T2414" s="2" t="s">
        <v>1622</v>
      </c>
      <c r="U2414" s="2" t="s">
        <v>233</v>
      </c>
      <c r="V2414" s="2" t="s">
        <v>241</v>
      </c>
      <c r="W2414" s="2" t="s">
        <v>275</v>
      </c>
      <c r="X2414" s="2" t="s">
        <v>233</v>
      </c>
      <c r="Y2414" s="2" t="s">
        <v>276</v>
      </c>
      <c r="Z2414" s="4"/>
      <c r="AA2414" s="4">
        <f>=ROUNDDOWN({0},0)</f>
      </c>
      <c r="AB2414" s="5">
        <v>26</v>
      </c>
      <c r="AC2414" s="2" t="s">
        <v>1341</v>
      </c>
      <c r="AD2414" s="4">
        <v>220</v>
      </c>
      <c r="AE2414" s="4">
        <v>220</v>
      </c>
      <c r="AF2414" s="6">
        <v>65</v>
      </c>
      <c r="AG2414" s="6"/>
      <c r="AH2414" s="7">
        <v>0</v>
      </c>
      <c r="AI2414" s="4"/>
      <c r="AJ2414" s="4">
        <f>=ROUNDDOWN({0},0)</f>
      </c>
      <c r="AK2414" s="5"/>
      <c r="AL2414" s="2" t="s">
        <v>233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 t="s">
        <v>233</v>
      </c>
      <c r="AW2414" s="8" t="s">
        <v>233</v>
      </c>
      <c r="AX2414" s="4" t="s">
        <v>233</v>
      </c>
      <c r="AY2414" s="8" t="s">
        <v>233</v>
      </c>
      <c r="AZ2414" s="7" t="s">
        <v>233</v>
      </c>
      <c r="BA2414" s="7" t="s">
        <v>233</v>
      </c>
      <c r="BB2414" s="7"/>
      <c r="BC2414" s="4" t="s">
        <v>233</v>
      </c>
      <c r="BD2414" s="8" t="s">
        <v>233</v>
      </c>
      <c r="BE2414" s="4" t="s">
        <v>233</v>
      </c>
      <c r="BF2414" s="8" t="s">
        <v>233</v>
      </c>
      <c r="BG2414" s="7" t="s">
        <v>233</v>
      </c>
      <c r="BH2414" s="7" t="s">
        <v>233</v>
      </c>
      <c r="BI2414" s="7"/>
      <c r="BJ2414" s="4"/>
      <c r="BK2414" s="8"/>
      <c r="BL2414" s="2" t="s">
        <v>9497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10701</v>
      </c>
      <c r="BV2414" s="2" t="s">
        <v>233</v>
      </c>
      <c r="BW2414" s="2" t="s">
        <v>233</v>
      </c>
      <c r="BX2414" s="2" t="s">
        <v>233</v>
      </c>
      <c r="BY2414" s="2" t="s">
        <v>280</v>
      </c>
      <c r="BZ2414" s="2" t="s">
        <v>245</v>
      </c>
      <c r="CA2414" s="2" t="s">
        <v>1625</v>
      </c>
      <c r="CB2414" s="2" t="s">
        <v>670</v>
      </c>
      <c r="CC2414" s="2" t="s">
        <v>246</v>
      </c>
      <c r="CD2414" s="2" t="s">
        <v>233</v>
      </c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>
        <v>220</v>
      </c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/>
      <c r="GR2414" s="4"/>
      <c r="GS2414" s="4"/>
      <c r="GT2414" s="4"/>
      <c r="GU2414" s="4"/>
      <c r="GV2414" s="4"/>
      <c r="GW2414" s="4"/>
      <c r="GX2414" s="4"/>
      <c r="GY2414" s="4"/>
      <c r="GZ2414" s="4"/>
      <c r="HA2414" s="4"/>
      <c r="HB2414" s="4"/>
      <c r="HC2414" s="4"/>
      <c r="HD2414" s="4"/>
      <c r="HE2414" s="4"/>
      <c r="HF2414" s="4"/>
      <c r="HG2414" s="4"/>
      <c r="HH2414" s="4"/>
      <c r="HI2414" s="4"/>
      <c r="HJ2414" s="4"/>
      <c r="HK2414" s="4"/>
      <c r="HL2414" s="4"/>
      <c r="HM2414" s="4"/>
      <c r="HN2414" s="4"/>
      <c r="HO2414" s="4"/>
      <c r="HP2414" s="4"/>
      <c r="HQ2414" s="4"/>
      <c r="HR2414" s="4"/>
    </row>
    <row r="2415">
      <c r="A2415" s="2" t="s">
        <v>10702</v>
      </c>
      <c r="B2415" s="2" t="s">
        <v>333</v>
      </c>
      <c r="C2415" s="2" t="s">
        <v>1050</v>
      </c>
      <c r="D2415" s="2" t="s">
        <v>335</v>
      </c>
      <c r="E2415" s="2" t="s">
        <v>336</v>
      </c>
      <c r="F2415" s="2" t="s">
        <v>10650</v>
      </c>
      <c r="G2415" s="2" t="s">
        <v>10650</v>
      </c>
      <c r="H2415" s="2" t="s">
        <v>10650</v>
      </c>
      <c r="I2415" s="2" t="s">
        <v>338</v>
      </c>
      <c r="J2415" s="2" t="s">
        <v>290</v>
      </c>
      <c r="K2415" s="2" t="s">
        <v>569</v>
      </c>
      <c r="L2415" s="3">
        <v>25.3</v>
      </c>
      <c r="M2415" s="3">
        <v>26.56</v>
      </c>
      <c r="N2415" s="3">
        <v>54.99</v>
      </c>
      <c r="O2415" s="2" t="s">
        <v>245</v>
      </c>
      <c r="P2415" s="2" t="s">
        <v>741</v>
      </c>
      <c r="Q2415" s="2" t="s">
        <v>239</v>
      </c>
      <c r="R2415" s="2" t="s">
        <v>233</v>
      </c>
      <c r="S2415" s="2" t="s">
        <v>10700</v>
      </c>
      <c r="T2415" s="2" t="s">
        <v>1622</v>
      </c>
      <c r="U2415" s="2" t="s">
        <v>233</v>
      </c>
      <c r="V2415" s="2" t="s">
        <v>241</v>
      </c>
      <c r="W2415" s="2" t="s">
        <v>275</v>
      </c>
      <c r="X2415" s="2" t="s">
        <v>233</v>
      </c>
      <c r="Y2415" s="2" t="s">
        <v>276</v>
      </c>
      <c r="Z2415" s="4">
        <v>3</v>
      </c>
      <c r="AA2415" s="4">
        <f>=ROUNDDOWN(0.115384615384615,0)</f>
      </c>
      <c r="AB2415" s="5">
        <v>26</v>
      </c>
      <c r="AC2415" s="2" t="s">
        <v>1341</v>
      </c>
      <c r="AD2415" s="4">
        <v>190</v>
      </c>
      <c r="AE2415" s="4">
        <v>190</v>
      </c>
      <c r="AF2415" s="6">
        <v>65</v>
      </c>
      <c r="AG2415" s="6"/>
      <c r="AH2415" s="7">
        <v>0</v>
      </c>
      <c r="AI2415" s="4"/>
      <c r="AJ2415" s="4">
        <f>=ROUNDDOWN({0},0)</f>
      </c>
      <c r="AK2415" s="5"/>
      <c r="AL2415" s="2" t="s">
        <v>233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233</v>
      </c>
      <c r="AW2415" s="8" t="s">
        <v>233</v>
      </c>
      <c r="AX2415" s="4" t="s">
        <v>233</v>
      </c>
      <c r="AY2415" s="8" t="s">
        <v>233</v>
      </c>
      <c r="AZ2415" s="7" t="s">
        <v>233</v>
      </c>
      <c r="BA2415" s="7" t="s">
        <v>233</v>
      </c>
      <c r="BB2415" s="7"/>
      <c r="BC2415" s="4" t="s">
        <v>233</v>
      </c>
      <c r="BD2415" s="8" t="s">
        <v>233</v>
      </c>
      <c r="BE2415" s="4" t="s">
        <v>233</v>
      </c>
      <c r="BF2415" s="8" t="s">
        <v>233</v>
      </c>
      <c r="BG2415" s="7" t="s">
        <v>233</v>
      </c>
      <c r="BH2415" s="7" t="s">
        <v>233</v>
      </c>
      <c r="BI2415" s="7"/>
      <c r="BJ2415" s="4"/>
      <c r="BK2415" s="8"/>
      <c r="BL2415" s="2" t="s">
        <v>1292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10703</v>
      </c>
      <c r="BV2415" s="2" t="s">
        <v>233</v>
      </c>
      <c r="BW2415" s="2" t="s">
        <v>233</v>
      </c>
      <c r="BX2415" s="2" t="s">
        <v>233</v>
      </c>
      <c r="BY2415" s="2" t="s">
        <v>280</v>
      </c>
      <c r="BZ2415" s="2" t="s">
        <v>245</v>
      </c>
      <c r="CA2415" s="2" t="s">
        <v>1625</v>
      </c>
      <c r="CB2415" s="2" t="s">
        <v>528</v>
      </c>
      <c r="CC2415" s="2" t="s">
        <v>246</v>
      </c>
      <c r="CD2415" s="2" t="s">
        <v>233</v>
      </c>
      <c r="CE2415" s="4">
        <v>3</v>
      </c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>
        <v>190</v>
      </c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/>
      <c r="GL2415" s="4"/>
      <c r="GM2415" s="4"/>
      <c r="GN2415" s="4"/>
      <c r="GO2415" s="4"/>
      <c r="GP2415" s="4"/>
      <c r="GQ2415" s="4"/>
      <c r="GR2415" s="4"/>
      <c r="GS2415" s="4"/>
      <c r="GT2415" s="4"/>
      <c r="GU2415" s="4"/>
      <c r="GV2415" s="4"/>
      <c r="GW2415" s="4"/>
      <c r="GX2415" s="4"/>
      <c r="GY2415" s="4"/>
      <c r="GZ2415" s="4"/>
      <c r="HA2415" s="4"/>
      <c r="HB2415" s="4"/>
      <c r="HC2415" s="4"/>
      <c r="HD2415" s="4"/>
      <c r="HE2415" s="4"/>
      <c r="HF2415" s="4"/>
      <c r="HG2415" s="4"/>
      <c r="HH2415" s="4"/>
      <c r="HI2415" s="4"/>
      <c r="HJ2415" s="4"/>
      <c r="HK2415" s="4"/>
      <c r="HL2415" s="4"/>
      <c r="HM2415" s="4"/>
      <c r="HN2415" s="4"/>
      <c r="HO2415" s="4"/>
      <c r="HP2415" s="4"/>
      <c r="HQ2415" s="4"/>
      <c r="HR2415" s="4"/>
    </row>
    <row r="2416">
      <c r="A2416" s="2" t="s">
        <v>10704</v>
      </c>
      <c r="B2416" s="2" t="s">
        <v>333</v>
      </c>
      <c r="C2416" s="2" t="s">
        <v>1050</v>
      </c>
      <c r="D2416" s="2" t="s">
        <v>335</v>
      </c>
      <c r="E2416" s="2" t="s">
        <v>336</v>
      </c>
      <c r="F2416" s="2" t="s">
        <v>10650</v>
      </c>
      <c r="G2416" s="2" t="s">
        <v>10650</v>
      </c>
      <c r="H2416" s="2" t="s">
        <v>10650</v>
      </c>
      <c r="I2416" s="2" t="s">
        <v>338</v>
      </c>
      <c r="J2416" s="2" t="s">
        <v>348</v>
      </c>
      <c r="K2416" s="2" t="s">
        <v>569</v>
      </c>
      <c r="L2416" s="3">
        <v>28.35</v>
      </c>
      <c r="M2416" s="3">
        <v>29.77</v>
      </c>
      <c r="N2416" s="3">
        <v>62.99</v>
      </c>
      <c r="O2416" s="2" t="s">
        <v>245</v>
      </c>
      <c r="P2416" s="2" t="s">
        <v>2943</v>
      </c>
      <c r="Q2416" s="2" t="s">
        <v>239</v>
      </c>
      <c r="R2416" s="2" t="s">
        <v>233</v>
      </c>
      <c r="S2416" s="2" t="s">
        <v>10700</v>
      </c>
      <c r="T2416" s="2" t="s">
        <v>1622</v>
      </c>
      <c r="U2416" s="2" t="s">
        <v>233</v>
      </c>
      <c r="V2416" s="2" t="s">
        <v>241</v>
      </c>
      <c r="W2416" s="2" t="s">
        <v>275</v>
      </c>
      <c r="X2416" s="2" t="s">
        <v>233</v>
      </c>
      <c r="Y2416" s="2" t="s">
        <v>276</v>
      </c>
      <c r="Z2416" s="4"/>
      <c r="AA2416" s="4">
        <f>=ROUNDDOWN({0},0)</f>
      </c>
      <c r="AB2416" s="5">
        <v>59</v>
      </c>
      <c r="AC2416" s="2" t="s">
        <v>1341</v>
      </c>
      <c r="AD2416" s="4">
        <v>510</v>
      </c>
      <c r="AE2416" s="4">
        <v>510</v>
      </c>
      <c r="AF2416" s="6">
        <v>65</v>
      </c>
      <c r="AG2416" s="6"/>
      <c r="AH2416" s="7">
        <v>0</v>
      </c>
      <c r="AI2416" s="4"/>
      <c r="AJ2416" s="4">
        <f>=ROUNDDOWN({0},0)</f>
      </c>
      <c r="AK2416" s="5"/>
      <c r="AL2416" s="2" t="s">
        <v>233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233</v>
      </c>
      <c r="AW2416" s="8" t="s">
        <v>233</v>
      </c>
      <c r="AX2416" s="4" t="s">
        <v>233</v>
      </c>
      <c r="AY2416" s="8" t="s">
        <v>233</v>
      </c>
      <c r="AZ2416" s="7" t="s">
        <v>233</v>
      </c>
      <c r="BA2416" s="7" t="s">
        <v>233</v>
      </c>
      <c r="BB2416" s="7"/>
      <c r="BC2416" s="4" t="s">
        <v>233</v>
      </c>
      <c r="BD2416" s="8" t="s">
        <v>233</v>
      </c>
      <c r="BE2416" s="4" t="s">
        <v>233</v>
      </c>
      <c r="BF2416" s="8" t="s">
        <v>233</v>
      </c>
      <c r="BG2416" s="7" t="s">
        <v>233</v>
      </c>
      <c r="BH2416" s="7" t="s">
        <v>233</v>
      </c>
      <c r="BI2416" s="7"/>
      <c r="BJ2416" s="4"/>
      <c r="BK2416" s="8"/>
      <c r="BL2416" s="2" t="s">
        <v>233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10705</v>
      </c>
      <c r="BV2416" s="2" t="s">
        <v>233</v>
      </c>
      <c r="BW2416" s="2" t="s">
        <v>233</v>
      </c>
      <c r="BX2416" s="2" t="s">
        <v>233</v>
      </c>
      <c r="BY2416" s="2" t="s">
        <v>280</v>
      </c>
      <c r="BZ2416" s="2" t="s">
        <v>245</v>
      </c>
      <c r="CA2416" s="2" t="s">
        <v>1625</v>
      </c>
      <c r="CB2416" s="2" t="s">
        <v>528</v>
      </c>
      <c r="CC2416" s="2" t="s">
        <v>246</v>
      </c>
      <c r="CD2416" s="2" t="s">
        <v>233</v>
      </c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>
        <v>510</v>
      </c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  <c r="HF2416" s="4"/>
      <c r="HG2416" s="4"/>
      <c r="HH2416" s="4"/>
      <c r="HI2416" s="4"/>
      <c r="HJ2416" s="4"/>
      <c r="HK2416" s="4"/>
      <c r="HL2416" s="4"/>
      <c r="HM2416" s="4"/>
      <c r="HN2416" s="4"/>
      <c r="HO2416" s="4"/>
      <c r="HP2416" s="4"/>
      <c r="HQ2416" s="4"/>
      <c r="HR2416" s="4"/>
    </row>
    <row r="2417">
      <c r="A2417" s="2" t="s">
        <v>10706</v>
      </c>
      <c r="B2417" s="2" t="s">
        <v>333</v>
      </c>
      <c r="C2417" s="2" t="s">
        <v>1050</v>
      </c>
      <c r="D2417" s="2" t="s">
        <v>335</v>
      </c>
      <c r="E2417" s="2" t="s">
        <v>336</v>
      </c>
      <c r="F2417" s="2" t="s">
        <v>10650</v>
      </c>
      <c r="G2417" s="2" t="s">
        <v>10650</v>
      </c>
      <c r="H2417" s="2" t="s">
        <v>10650</v>
      </c>
      <c r="I2417" s="2" t="s">
        <v>338</v>
      </c>
      <c r="J2417" s="2" t="s">
        <v>270</v>
      </c>
      <c r="K2417" s="2" t="s">
        <v>620</v>
      </c>
      <c r="L2417" s="3">
        <v>19.78</v>
      </c>
      <c r="M2417" s="3">
        <v>20.77</v>
      </c>
      <c r="N2417" s="3">
        <v>42.99</v>
      </c>
      <c r="O2417" s="2" t="s">
        <v>245</v>
      </c>
      <c r="P2417" s="2" t="s">
        <v>311</v>
      </c>
      <c r="Q2417" s="2" t="s">
        <v>239</v>
      </c>
      <c r="R2417" s="2" t="s">
        <v>233</v>
      </c>
      <c r="S2417" s="2" t="s">
        <v>10707</v>
      </c>
      <c r="T2417" s="2" t="s">
        <v>1622</v>
      </c>
      <c r="U2417" s="2" t="s">
        <v>233</v>
      </c>
      <c r="V2417" s="2" t="s">
        <v>241</v>
      </c>
      <c r="W2417" s="2" t="s">
        <v>275</v>
      </c>
      <c r="X2417" s="2" t="s">
        <v>8731</v>
      </c>
      <c r="Y2417" s="2" t="s">
        <v>6119</v>
      </c>
      <c r="Z2417" s="4">
        <v>32</v>
      </c>
      <c r="AA2417" s="4">
        <f>=ROUNDDOWN(1.91616766467066,0)</f>
      </c>
      <c r="AB2417" s="5">
        <v>16.7</v>
      </c>
      <c r="AC2417" s="2" t="s">
        <v>233</v>
      </c>
      <c r="AD2417" s="4"/>
      <c r="AE2417" s="4"/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233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233</v>
      </c>
      <c r="AW2417" s="8" t="s">
        <v>233</v>
      </c>
      <c r="AX2417" s="4" t="s">
        <v>233</v>
      </c>
      <c r="AY2417" s="8" t="s">
        <v>233</v>
      </c>
      <c r="AZ2417" s="7" t="s">
        <v>233</v>
      </c>
      <c r="BA2417" s="7" t="s">
        <v>233</v>
      </c>
      <c r="BB2417" s="7"/>
      <c r="BC2417" s="4" t="s">
        <v>233</v>
      </c>
      <c r="BD2417" s="8" t="s">
        <v>233</v>
      </c>
      <c r="BE2417" s="4" t="s">
        <v>233</v>
      </c>
      <c r="BF2417" s="8" t="s">
        <v>233</v>
      </c>
      <c r="BG2417" s="7" t="s">
        <v>233</v>
      </c>
      <c r="BH2417" s="7" t="s">
        <v>233</v>
      </c>
      <c r="BI2417" s="7"/>
      <c r="BJ2417" s="4">
        <v>23</v>
      </c>
      <c r="BK2417" s="8">
        <v>500.98</v>
      </c>
      <c r="BL2417" s="2" t="s">
        <v>10708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10709</v>
      </c>
      <c r="BV2417" s="2" t="s">
        <v>233</v>
      </c>
      <c r="BW2417" s="2" t="s">
        <v>233</v>
      </c>
      <c r="BX2417" s="2" t="s">
        <v>595</v>
      </c>
      <c r="BY2417" s="2" t="s">
        <v>280</v>
      </c>
      <c r="BZ2417" s="2" t="s">
        <v>245</v>
      </c>
      <c r="CA2417" s="2" t="s">
        <v>10710</v>
      </c>
      <c r="CB2417" s="2" t="s">
        <v>10711</v>
      </c>
      <c r="CC2417" s="2" t="s">
        <v>246</v>
      </c>
      <c r="CD2417" s="2" t="s">
        <v>233</v>
      </c>
      <c r="CE2417" s="4">
        <v>32</v>
      </c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  <c r="HF2417" s="4"/>
      <c r="HG2417" s="4"/>
      <c r="HH2417" s="4"/>
      <c r="HI2417" s="4"/>
      <c r="HJ2417" s="4"/>
      <c r="HK2417" s="4"/>
      <c r="HL2417" s="4"/>
      <c r="HM2417" s="4"/>
      <c r="HN2417" s="4"/>
      <c r="HO2417" s="4"/>
      <c r="HP2417" s="4"/>
      <c r="HQ2417" s="4"/>
      <c r="HR2417" s="4"/>
    </row>
    <row r="2418">
      <c r="A2418" s="2" t="s">
        <v>10712</v>
      </c>
      <c r="B2418" s="2" t="s">
        <v>333</v>
      </c>
      <c r="C2418" s="2" t="s">
        <v>1050</v>
      </c>
      <c r="D2418" s="2" t="s">
        <v>335</v>
      </c>
      <c r="E2418" s="2" t="s">
        <v>336</v>
      </c>
      <c r="F2418" s="2" t="s">
        <v>10650</v>
      </c>
      <c r="G2418" s="2" t="s">
        <v>10650</v>
      </c>
      <c r="H2418" s="2" t="s">
        <v>10650</v>
      </c>
      <c r="I2418" s="2" t="s">
        <v>338</v>
      </c>
      <c r="J2418" s="2" t="s">
        <v>328</v>
      </c>
      <c r="K2418" s="2" t="s">
        <v>620</v>
      </c>
      <c r="L2418" s="3">
        <v>34.5</v>
      </c>
      <c r="M2418" s="3">
        <v>36.22</v>
      </c>
      <c r="N2418" s="3">
        <v>74.99</v>
      </c>
      <c r="O2418" s="2" t="s">
        <v>245</v>
      </c>
      <c r="P2418" s="2" t="s">
        <v>311</v>
      </c>
      <c r="Q2418" s="2" t="s">
        <v>239</v>
      </c>
      <c r="R2418" s="2" t="s">
        <v>233</v>
      </c>
      <c r="S2418" s="2" t="s">
        <v>10707</v>
      </c>
      <c r="T2418" s="2" t="s">
        <v>1622</v>
      </c>
      <c r="U2418" s="2" t="s">
        <v>233</v>
      </c>
      <c r="V2418" s="2" t="s">
        <v>241</v>
      </c>
      <c r="W2418" s="2" t="s">
        <v>275</v>
      </c>
      <c r="X2418" s="2" t="s">
        <v>8731</v>
      </c>
      <c r="Y2418" s="2" t="s">
        <v>6119</v>
      </c>
      <c r="Z2418" s="4">
        <v>38</v>
      </c>
      <c r="AA2418" s="4">
        <f>=ROUNDDOWN(1.86274509803922,0)</f>
      </c>
      <c r="AB2418" s="5">
        <v>20.4</v>
      </c>
      <c r="AC2418" s="2" t="s">
        <v>233</v>
      </c>
      <c r="AD2418" s="4"/>
      <c r="AE2418" s="4"/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233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 t="s">
        <v>233</v>
      </c>
      <c r="AW2418" s="8" t="s">
        <v>233</v>
      </c>
      <c r="AX2418" s="4" t="s">
        <v>233</v>
      </c>
      <c r="AY2418" s="8" t="s">
        <v>233</v>
      </c>
      <c r="AZ2418" s="7" t="s">
        <v>233</v>
      </c>
      <c r="BA2418" s="7" t="s">
        <v>233</v>
      </c>
      <c r="BB2418" s="7"/>
      <c r="BC2418" s="4" t="s">
        <v>233</v>
      </c>
      <c r="BD2418" s="8" t="s">
        <v>233</v>
      </c>
      <c r="BE2418" s="4" t="s">
        <v>233</v>
      </c>
      <c r="BF2418" s="8" t="s">
        <v>233</v>
      </c>
      <c r="BG2418" s="7" t="s">
        <v>233</v>
      </c>
      <c r="BH2418" s="7" t="s">
        <v>233</v>
      </c>
      <c r="BI2418" s="7"/>
      <c r="BJ2418" s="4">
        <v>19</v>
      </c>
      <c r="BK2418" s="8">
        <v>698.79</v>
      </c>
      <c r="BL2418" s="2" t="s">
        <v>10713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10714</v>
      </c>
      <c r="BV2418" s="2" t="s">
        <v>233</v>
      </c>
      <c r="BW2418" s="2" t="s">
        <v>233</v>
      </c>
      <c r="BX2418" s="2" t="s">
        <v>595</v>
      </c>
      <c r="BY2418" s="2" t="s">
        <v>280</v>
      </c>
      <c r="BZ2418" s="2" t="s">
        <v>245</v>
      </c>
      <c r="CA2418" s="2" t="s">
        <v>6119</v>
      </c>
      <c r="CB2418" s="2" t="s">
        <v>1399</v>
      </c>
      <c r="CC2418" s="2" t="s">
        <v>246</v>
      </c>
      <c r="CD2418" s="2" t="s">
        <v>233</v>
      </c>
      <c r="CE2418" s="4">
        <v>38</v>
      </c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/>
      <c r="GY2418" s="4"/>
      <c r="GZ2418" s="4"/>
      <c r="HA2418" s="4"/>
      <c r="HB2418" s="4"/>
      <c r="HC2418" s="4"/>
      <c r="HD2418" s="4"/>
      <c r="HE2418" s="4"/>
      <c r="HF2418" s="4"/>
      <c r="HG2418" s="4"/>
      <c r="HH2418" s="4"/>
      <c r="HI2418" s="4"/>
      <c r="HJ2418" s="4"/>
      <c r="HK2418" s="4"/>
      <c r="HL2418" s="4"/>
      <c r="HM2418" s="4"/>
      <c r="HN2418" s="4"/>
      <c r="HO2418" s="4"/>
      <c r="HP2418" s="4"/>
      <c r="HQ2418" s="4"/>
      <c r="HR2418" s="4"/>
    </row>
    <row r="2419">
      <c r="A2419" s="2" t="s">
        <v>10715</v>
      </c>
      <c r="B2419" s="2" t="s">
        <v>1066</v>
      </c>
      <c r="C2419" s="2" t="s">
        <v>530</v>
      </c>
      <c r="D2419" s="2" t="s">
        <v>2140</v>
      </c>
      <c r="E2419" s="2" t="s">
        <v>2141</v>
      </c>
      <c r="F2419" s="2" t="s">
        <v>10716</v>
      </c>
      <c r="G2419" s="2" t="s">
        <v>2253</v>
      </c>
      <c r="H2419" s="2" t="s">
        <v>10717</v>
      </c>
      <c r="I2419" s="2" t="s">
        <v>10718</v>
      </c>
      <c r="J2419" s="2" t="s">
        <v>892</v>
      </c>
      <c r="K2419" s="2" t="s">
        <v>297</v>
      </c>
      <c r="L2419" s="3">
        <v>275</v>
      </c>
      <c r="M2419" s="3">
        <v>288.75</v>
      </c>
      <c r="N2419" s="3">
        <v>579</v>
      </c>
      <c r="O2419" s="2" t="s">
        <v>237</v>
      </c>
      <c r="P2419" s="2" t="s">
        <v>311</v>
      </c>
      <c r="Q2419" s="2" t="s">
        <v>239</v>
      </c>
      <c r="R2419" s="2" t="s">
        <v>233</v>
      </c>
      <c r="S2419" s="2" t="s">
        <v>10719</v>
      </c>
      <c r="T2419" s="2" t="s">
        <v>233</v>
      </c>
      <c r="U2419" s="2" t="s">
        <v>233</v>
      </c>
      <c r="V2419" s="2" t="s">
        <v>241</v>
      </c>
      <c r="W2419" s="2" t="s">
        <v>451</v>
      </c>
      <c r="X2419" s="2" t="s">
        <v>233</v>
      </c>
      <c r="Y2419" s="2" t="s">
        <v>4075</v>
      </c>
      <c r="Z2419" s="4">
        <v>30</v>
      </c>
      <c r="AA2419" s="4">
        <f>=ROUNDDOWN(37.5,0)</f>
      </c>
      <c r="AB2419" s="5">
        <v>0.8</v>
      </c>
      <c r="AC2419" s="2" t="s">
        <v>233</v>
      </c>
      <c r="AD2419" s="4"/>
      <c r="AE2419" s="4"/>
      <c r="AF2419" s="6">
        <v>65</v>
      </c>
      <c r="AG2419" s="6">
        <v>48</v>
      </c>
      <c r="AH2419" s="7">
        <v>1</v>
      </c>
      <c r="AI2419" s="4"/>
      <c r="AJ2419" s="4">
        <f>=ROUNDDOWN({0},0)</f>
      </c>
      <c r="AK2419" s="5"/>
      <c r="AL2419" s="2" t="s">
        <v>233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/>
      <c r="BD2419" s="8"/>
      <c r="BE2419" s="4"/>
      <c r="BF2419" s="8"/>
      <c r="BG2419" s="7"/>
      <c r="BH2419" s="7"/>
      <c r="BI2419" s="7"/>
      <c r="BJ2419" s="4">
        <v>2</v>
      </c>
      <c r="BK2419" s="8">
        <v>473.79</v>
      </c>
      <c r="BL2419" s="2" t="s">
        <v>2915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10720</v>
      </c>
      <c r="BV2419" s="2" t="s">
        <v>233</v>
      </c>
      <c r="BW2419" s="2" t="s">
        <v>233</v>
      </c>
      <c r="BX2419" s="2" t="s">
        <v>233</v>
      </c>
      <c r="BY2419" s="2" t="s">
        <v>280</v>
      </c>
      <c r="BZ2419" s="2" t="s">
        <v>245</v>
      </c>
      <c r="CA2419" s="2" t="s">
        <v>6023</v>
      </c>
      <c r="CB2419" s="2" t="s">
        <v>10721</v>
      </c>
      <c r="CC2419" s="2" t="s">
        <v>246</v>
      </c>
      <c r="CD2419" s="2" t="s">
        <v>233</v>
      </c>
      <c r="CE2419" s="4"/>
      <c r="CF2419" s="4">
        <v>30</v>
      </c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/>
      <c r="HE2419" s="4"/>
      <c r="HF2419" s="4"/>
      <c r="HG2419" s="4"/>
      <c r="HH2419" s="4"/>
      <c r="HI2419" s="4"/>
      <c r="HJ2419" s="4"/>
      <c r="HK2419" s="4"/>
      <c r="HL2419" s="4"/>
      <c r="HM2419" s="4"/>
      <c r="HN2419" s="4"/>
      <c r="HO2419" s="4"/>
      <c r="HP2419" s="4"/>
      <c r="HQ2419" s="4"/>
      <c r="HR2419" s="4"/>
    </row>
    <row r="2420">
      <c r="A2420" s="2" t="s">
        <v>10722</v>
      </c>
      <c r="B2420" s="2" t="s">
        <v>1066</v>
      </c>
      <c r="C2420" s="2" t="s">
        <v>901</v>
      </c>
      <c r="D2420" s="2" t="s">
        <v>10723</v>
      </c>
      <c r="E2420" s="2" t="s">
        <v>8524</v>
      </c>
      <c r="F2420" s="2" t="s">
        <v>10724</v>
      </c>
      <c r="G2420" s="2" t="s">
        <v>10724</v>
      </c>
      <c r="H2420" s="2" t="s">
        <v>10724</v>
      </c>
      <c r="I2420" s="2" t="s">
        <v>10725</v>
      </c>
      <c r="J2420" s="2" t="s">
        <v>892</v>
      </c>
      <c r="K2420" s="2" t="s">
        <v>1537</v>
      </c>
      <c r="L2420" s="3">
        <v>730.65</v>
      </c>
      <c r="M2420" s="3">
        <v>767.18</v>
      </c>
      <c r="N2420" s="3">
        <v>1549</v>
      </c>
      <c r="O2420" s="2" t="s">
        <v>245</v>
      </c>
      <c r="P2420" s="2" t="s">
        <v>1118</v>
      </c>
      <c r="Q2420" s="2" t="s">
        <v>239</v>
      </c>
      <c r="R2420" s="2" t="s">
        <v>16</v>
      </c>
      <c r="S2420" s="2" t="s">
        <v>233</v>
      </c>
      <c r="T2420" s="2" t="s">
        <v>233</v>
      </c>
      <c r="U2420" s="2" t="s">
        <v>871</v>
      </c>
      <c r="V2420" s="2" t="s">
        <v>241</v>
      </c>
      <c r="W2420" s="2" t="s">
        <v>2652</v>
      </c>
      <c r="X2420" s="2" t="s">
        <v>233</v>
      </c>
      <c r="Y2420" s="2" t="s">
        <v>10726</v>
      </c>
      <c r="Z2420" s="4">
        <v>60</v>
      </c>
      <c r="AA2420" s="4">
        <f>=ROUNDDOWN(300,0)</f>
      </c>
      <c r="AB2420" s="5">
        <v>0.2</v>
      </c>
      <c r="AC2420" s="2" t="s">
        <v>233</v>
      </c>
      <c r="AD2420" s="4"/>
      <c r="AE2420" s="4"/>
      <c r="AF2420" s="6"/>
      <c r="AG2420" s="6"/>
      <c r="AH2420" s="7">
        <v>1</v>
      </c>
      <c r="AI2420" s="4"/>
      <c r="AJ2420" s="4">
        <f>=ROUNDDOWN({0},0)</f>
      </c>
      <c r="AK2420" s="5"/>
      <c r="AL2420" s="2" t="s">
        <v>233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233</v>
      </c>
      <c r="AW2420" s="8" t="s">
        <v>233</v>
      </c>
      <c r="AX2420" s="4" t="s">
        <v>233</v>
      </c>
      <c r="AY2420" s="8" t="s">
        <v>233</v>
      </c>
      <c r="AZ2420" s="7" t="s">
        <v>233</v>
      </c>
      <c r="BA2420" s="7" t="s">
        <v>233</v>
      </c>
      <c r="BB2420" s="7" t="s">
        <v>233</v>
      </c>
      <c r="BC2420" s="4" t="s">
        <v>233</v>
      </c>
      <c r="BD2420" s="8" t="s">
        <v>233</v>
      </c>
      <c r="BE2420" s="4" t="s">
        <v>233</v>
      </c>
      <c r="BF2420" s="8" t="s">
        <v>233</v>
      </c>
      <c r="BG2420" s="7" t="s">
        <v>233</v>
      </c>
      <c r="BH2420" s="7" t="s">
        <v>233</v>
      </c>
      <c r="BI2420" s="7"/>
      <c r="BJ2420" s="4"/>
      <c r="BK2420" s="8"/>
      <c r="BL2420" s="2" t="s">
        <v>233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10727</v>
      </c>
      <c r="BV2420" s="2" t="s">
        <v>233</v>
      </c>
      <c r="BW2420" s="2" t="s">
        <v>233</v>
      </c>
      <c r="BX2420" s="2" t="s">
        <v>233</v>
      </c>
      <c r="BY2420" s="2" t="s">
        <v>280</v>
      </c>
      <c r="BZ2420" s="2" t="s">
        <v>245</v>
      </c>
      <c r="CA2420" s="2" t="s">
        <v>1283</v>
      </c>
      <c r="CB2420" s="2" t="s">
        <v>3042</v>
      </c>
      <c r="CC2420" s="2" t="s">
        <v>246</v>
      </c>
      <c r="CD2420" s="2" t="s">
        <v>233</v>
      </c>
      <c r="CE2420" s="4"/>
      <c r="CF2420" s="4">
        <v>60</v>
      </c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/>
      <c r="GV2420" s="4"/>
      <c r="GW2420" s="4"/>
      <c r="GX2420" s="4"/>
      <c r="GY2420" s="4"/>
      <c r="GZ2420" s="4"/>
      <c r="HA2420" s="4"/>
      <c r="HB2420" s="4"/>
      <c r="HC2420" s="4"/>
      <c r="HD2420" s="4"/>
      <c r="HE2420" s="4"/>
      <c r="HF2420" s="4"/>
      <c r="HG2420" s="4"/>
      <c r="HH2420" s="4"/>
      <c r="HI2420" s="4"/>
      <c r="HJ2420" s="4"/>
      <c r="HK2420" s="4"/>
      <c r="HL2420" s="4"/>
      <c r="HM2420" s="4"/>
      <c r="HN2420" s="4"/>
      <c r="HO2420" s="4"/>
      <c r="HP2420" s="4"/>
      <c r="HQ2420" s="4"/>
      <c r="HR2420" s="4"/>
    </row>
    <row r="2421">
      <c r="A2421" s="2" t="s">
        <v>10728</v>
      </c>
      <c r="B2421" s="2" t="s">
        <v>1066</v>
      </c>
      <c r="C2421" s="2" t="s">
        <v>901</v>
      </c>
      <c r="D2421" s="2" t="s">
        <v>10723</v>
      </c>
      <c r="E2421" s="2" t="s">
        <v>8524</v>
      </c>
      <c r="F2421" s="2" t="s">
        <v>10724</v>
      </c>
      <c r="G2421" s="2" t="s">
        <v>10724</v>
      </c>
      <c r="H2421" s="2" t="s">
        <v>10724</v>
      </c>
      <c r="I2421" s="2" t="s">
        <v>10729</v>
      </c>
      <c r="J2421" s="2" t="s">
        <v>892</v>
      </c>
      <c r="K2421" s="2" t="s">
        <v>1537</v>
      </c>
      <c r="L2421" s="3">
        <v>759.5</v>
      </c>
      <c r="M2421" s="3">
        <v>797.48</v>
      </c>
      <c r="N2421" s="3">
        <v>1599</v>
      </c>
      <c r="O2421" s="2" t="s">
        <v>245</v>
      </c>
      <c r="P2421" s="2" t="s">
        <v>1118</v>
      </c>
      <c r="Q2421" s="2" t="s">
        <v>239</v>
      </c>
      <c r="R2421" s="2" t="s">
        <v>16</v>
      </c>
      <c r="S2421" s="2" t="s">
        <v>233</v>
      </c>
      <c r="T2421" s="2" t="s">
        <v>233</v>
      </c>
      <c r="U2421" s="2" t="s">
        <v>1507</v>
      </c>
      <c r="V2421" s="2" t="s">
        <v>241</v>
      </c>
      <c r="W2421" s="2" t="s">
        <v>2652</v>
      </c>
      <c r="X2421" s="2" t="s">
        <v>233</v>
      </c>
      <c r="Y2421" s="2" t="s">
        <v>10726</v>
      </c>
      <c r="Z2421" s="4">
        <v>40</v>
      </c>
      <c r="AA2421" s="4">
        <f>=ROUNDDOWN({0},0)</f>
      </c>
      <c r="AB2421" s="5"/>
      <c r="AC2421" s="2" t="s">
        <v>233</v>
      </c>
      <c r="AD2421" s="4"/>
      <c r="AE2421" s="4"/>
      <c r="AF2421" s="6"/>
      <c r="AG2421" s="6"/>
      <c r="AH2421" s="7">
        <v>1</v>
      </c>
      <c r="AI2421" s="4"/>
      <c r="AJ2421" s="4">
        <f>=ROUNDDOWN({0},0)</f>
      </c>
      <c r="AK2421" s="5"/>
      <c r="AL2421" s="2" t="s">
        <v>233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233</v>
      </c>
      <c r="AW2421" s="8" t="s">
        <v>233</v>
      </c>
      <c r="AX2421" s="4" t="s">
        <v>233</v>
      </c>
      <c r="AY2421" s="8" t="s">
        <v>233</v>
      </c>
      <c r="AZ2421" s="7" t="s">
        <v>233</v>
      </c>
      <c r="BA2421" s="7" t="s">
        <v>233</v>
      </c>
      <c r="BB2421" s="7" t="s">
        <v>233</v>
      </c>
      <c r="BC2421" s="4" t="s">
        <v>233</v>
      </c>
      <c r="BD2421" s="8" t="s">
        <v>233</v>
      </c>
      <c r="BE2421" s="4" t="s">
        <v>233</v>
      </c>
      <c r="BF2421" s="8" t="s">
        <v>233</v>
      </c>
      <c r="BG2421" s="7" t="s">
        <v>233</v>
      </c>
      <c r="BH2421" s="7" t="s">
        <v>233</v>
      </c>
      <c r="BI2421" s="7"/>
      <c r="BJ2421" s="4"/>
      <c r="BK2421" s="8"/>
      <c r="BL2421" s="2" t="s">
        <v>233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10730</v>
      </c>
      <c r="BV2421" s="2" t="s">
        <v>233</v>
      </c>
      <c r="BW2421" s="2" t="s">
        <v>233</v>
      </c>
      <c r="BX2421" s="2" t="s">
        <v>233</v>
      </c>
      <c r="BY2421" s="2" t="s">
        <v>280</v>
      </c>
      <c r="BZ2421" s="2" t="s">
        <v>245</v>
      </c>
      <c r="CA2421" s="2" t="s">
        <v>1283</v>
      </c>
      <c r="CB2421" s="2" t="s">
        <v>233</v>
      </c>
      <c r="CC2421" s="2" t="s">
        <v>246</v>
      </c>
      <c r="CD2421" s="2" t="s">
        <v>233</v>
      </c>
      <c r="CE2421" s="4"/>
      <c r="CF2421" s="4">
        <v>40</v>
      </c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/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/>
      <c r="HB2421" s="4"/>
      <c r="HC2421" s="4"/>
      <c r="HD2421" s="4"/>
      <c r="HE2421" s="4"/>
      <c r="HF2421" s="4"/>
      <c r="HG2421" s="4"/>
      <c r="HH2421" s="4"/>
      <c r="HI2421" s="4"/>
      <c r="HJ2421" s="4"/>
      <c r="HK2421" s="4"/>
      <c r="HL2421" s="4"/>
      <c r="HM2421" s="4"/>
      <c r="HN2421" s="4"/>
      <c r="HO2421" s="4"/>
      <c r="HP2421" s="4"/>
      <c r="HQ2421" s="4"/>
      <c r="HR2421" s="4"/>
    </row>
    <row r="2422">
      <c r="A2422" s="2" t="s">
        <v>10731</v>
      </c>
      <c r="B2422" s="2" t="s">
        <v>1066</v>
      </c>
      <c r="C2422" s="2" t="s">
        <v>901</v>
      </c>
      <c r="D2422" s="2" t="s">
        <v>10723</v>
      </c>
      <c r="E2422" s="2" t="s">
        <v>8524</v>
      </c>
      <c r="F2422" s="2" t="s">
        <v>10724</v>
      </c>
      <c r="G2422" s="2" t="s">
        <v>10724</v>
      </c>
      <c r="H2422" s="2" t="s">
        <v>10724</v>
      </c>
      <c r="I2422" s="2" t="s">
        <v>10732</v>
      </c>
      <c r="J2422" s="2" t="s">
        <v>892</v>
      </c>
      <c r="K2422" s="2" t="s">
        <v>9674</v>
      </c>
      <c r="L2422" s="3">
        <v>759.5</v>
      </c>
      <c r="M2422" s="3">
        <v>797.48</v>
      </c>
      <c r="N2422" s="3">
        <v>1599</v>
      </c>
      <c r="O2422" s="2" t="s">
        <v>245</v>
      </c>
      <c r="P2422" s="2" t="s">
        <v>1118</v>
      </c>
      <c r="Q2422" s="2" t="s">
        <v>239</v>
      </c>
      <c r="R2422" s="2" t="s">
        <v>16</v>
      </c>
      <c r="S2422" s="2" t="s">
        <v>233</v>
      </c>
      <c r="T2422" s="2" t="s">
        <v>233</v>
      </c>
      <c r="U2422" s="2" t="s">
        <v>1507</v>
      </c>
      <c r="V2422" s="2" t="s">
        <v>241</v>
      </c>
      <c r="W2422" s="2" t="s">
        <v>2652</v>
      </c>
      <c r="X2422" s="2" t="s">
        <v>397</v>
      </c>
      <c r="Y2422" s="2" t="s">
        <v>10733</v>
      </c>
      <c r="Z2422" s="4">
        <v>45</v>
      </c>
      <c r="AA2422" s="4">
        <f>=ROUNDDOWN({0},0)</f>
      </c>
      <c r="AB2422" s="5"/>
      <c r="AC2422" s="2" t="s">
        <v>233</v>
      </c>
      <c r="AD2422" s="4"/>
      <c r="AE2422" s="4"/>
      <c r="AF2422" s="6"/>
      <c r="AG2422" s="6"/>
      <c r="AH2422" s="7">
        <v>1</v>
      </c>
      <c r="AI2422" s="4"/>
      <c r="AJ2422" s="4">
        <f>=ROUNDDOWN({0},0)</f>
      </c>
      <c r="AK2422" s="5"/>
      <c r="AL2422" s="2" t="s">
        <v>233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233</v>
      </c>
      <c r="AW2422" s="8" t="s">
        <v>233</v>
      </c>
      <c r="AX2422" s="4" t="s">
        <v>233</v>
      </c>
      <c r="AY2422" s="8" t="s">
        <v>233</v>
      </c>
      <c r="AZ2422" s="7" t="s">
        <v>233</v>
      </c>
      <c r="BA2422" s="7" t="s">
        <v>233</v>
      </c>
      <c r="BB2422" s="7" t="s">
        <v>233</v>
      </c>
      <c r="BC2422" s="4" t="s">
        <v>233</v>
      </c>
      <c r="BD2422" s="8" t="s">
        <v>233</v>
      </c>
      <c r="BE2422" s="4" t="s">
        <v>233</v>
      </c>
      <c r="BF2422" s="8" t="s">
        <v>233</v>
      </c>
      <c r="BG2422" s="7" t="s">
        <v>233</v>
      </c>
      <c r="BH2422" s="7" t="s">
        <v>233</v>
      </c>
      <c r="BI2422" s="7"/>
      <c r="BJ2422" s="4"/>
      <c r="BK2422" s="8"/>
      <c r="BL2422" s="2" t="s">
        <v>233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10734</v>
      </c>
      <c r="BV2422" s="2" t="s">
        <v>233</v>
      </c>
      <c r="BW2422" s="2" t="s">
        <v>233</v>
      </c>
      <c r="BX2422" s="2" t="s">
        <v>233</v>
      </c>
      <c r="BY2422" s="2" t="s">
        <v>280</v>
      </c>
      <c r="BZ2422" s="2" t="s">
        <v>245</v>
      </c>
      <c r="CA2422" s="2" t="s">
        <v>1283</v>
      </c>
      <c r="CB2422" s="2" t="s">
        <v>233</v>
      </c>
      <c r="CC2422" s="2" t="s">
        <v>246</v>
      </c>
      <c r="CD2422" s="2" t="s">
        <v>233</v>
      </c>
      <c r="CE2422" s="4"/>
      <c r="CF2422" s="4">
        <v>45</v>
      </c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/>
      <c r="GL2422" s="4"/>
      <c r="GM2422" s="4"/>
      <c r="GN2422" s="4"/>
      <c r="GO2422" s="4"/>
      <c r="GP2422" s="4"/>
      <c r="GQ2422" s="4"/>
      <c r="GR2422" s="4"/>
      <c r="GS2422" s="4"/>
      <c r="GT2422" s="4"/>
      <c r="GU2422" s="4"/>
      <c r="GV2422" s="4"/>
      <c r="GW2422" s="4"/>
      <c r="GX2422" s="4"/>
      <c r="GY2422" s="4"/>
      <c r="GZ2422" s="4"/>
      <c r="HA2422" s="4"/>
      <c r="HB2422" s="4"/>
      <c r="HC2422" s="4"/>
      <c r="HD2422" s="4"/>
      <c r="HE2422" s="4"/>
      <c r="HF2422" s="4"/>
      <c r="HG2422" s="4"/>
      <c r="HH2422" s="4"/>
      <c r="HI2422" s="4"/>
      <c r="HJ2422" s="4"/>
      <c r="HK2422" s="4"/>
      <c r="HL2422" s="4"/>
      <c r="HM2422" s="4"/>
      <c r="HN2422" s="4"/>
      <c r="HO2422" s="4"/>
      <c r="HP2422" s="4"/>
      <c r="HQ2422" s="4"/>
      <c r="HR2422" s="4"/>
    </row>
    <row r="2423">
      <c r="A2423" s="2" t="s">
        <v>10735</v>
      </c>
      <c r="B2423" s="2" t="s">
        <v>1066</v>
      </c>
      <c r="C2423" s="2" t="s">
        <v>901</v>
      </c>
      <c r="D2423" s="2" t="s">
        <v>2333</v>
      </c>
      <c r="E2423" s="2" t="s">
        <v>2334</v>
      </c>
      <c r="F2423" s="2" t="s">
        <v>10724</v>
      </c>
      <c r="G2423" s="2" t="s">
        <v>10724</v>
      </c>
      <c r="H2423" s="2" t="s">
        <v>10724</v>
      </c>
      <c r="I2423" s="2" t="s">
        <v>7109</v>
      </c>
      <c r="J2423" s="2" t="s">
        <v>892</v>
      </c>
      <c r="K2423" s="2" t="s">
        <v>9674</v>
      </c>
      <c r="L2423" s="3">
        <v>285.2</v>
      </c>
      <c r="M2423" s="3">
        <v>299.46</v>
      </c>
      <c r="N2423" s="3">
        <v>599</v>
      </c>
      <c r="O2423" s="2" t="s">
        <v>245</v>
      </c>
      <c r="P2423" s="2" t="s">
        <v>272</v>
      </c>
      <c r="Q2423" s="2" t="s">
        <v>239</v>
      </c>
      <c r="R2423" s="2" t="s">
        <v>233</v>
      </c>
      <c r="S2423" s="2" t="s">
        <v>233</v>
      </c>
      <c r="T2423" s="2" t="s">
        <v>233</v>
      </c>
      <c r="U2423" s="2" t="s">
        <v>396</v>
      </c>
      <c r="V2423" s="2" t="s">
        <v>241</v>
      </c>
      <c r="W2423" s="2" t="s">
        <v>2652</v>
      </c>
      <c r="X2423" s="2" t="s">
        <v>397</v>
      </c>
      <c r="Y2423" s="2" t="s">
        <v>3152</v>
      </c>
      <c r="Z2423" s="4">
        <v>95</v>
      </c>
      <c r="AA2423" s="4">
        <f>=ROUNDDOWN(50,0)</f>
      </c>
      <c r="AB2423" s="5">
        <v>1.9</v>
      </c>
      <c r="AC2423" s="2" t="s">
        <v>3144</v>
      </c>
      <c r="AD2423" s="4">
        <v>100</v>
      </c>
      <c r="AE2423" s="4">
        <v>100</v>
      </c>
      <c r="AF2423" s="6">
        <v>74</v>
      </c>
      <c r="AG2423" s="6"/>
      <c r="AH2423" s="7">
        <v>1</v>
      </c>
      <c r="AI2423" s="4"/>
      <c r="AJ2423" s="4">
        <f>=ROUNDDOWN({0},0)</f>
      </c>
      <c r="AK2423" s="5"/>
      <c r="AL2423" s="2" t="s">
        <v>233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233</v>
      </c>
      <c r="AW2423" s="8" t="s">
        <v>233</v>
      </c>
      <c r="AX2423" s="4" t="s">
        <v>233</v>
      </c>
      <c r="AY2423" s="8" t="s">
        <v>233</v>
      </c>
      <c r="AZ2423" s="7" t="s">
        <v>233</v>
      </c>
      <c r="BA2423" s="7" t="s">
        <v>233</v>
      </c>
      <c r="BB2423" s="7" t="s">
        <v>233</v>
      </c>
      <c r="BC2423" s="4" t="s">
        <v>233</v>
      </c>
      <c r="BD2423" s="8" t="s">
        <v>233</v>
      </c>
      <c r="BE2423" s="4" t="s">
        <v>233</v>
      </c>
      <c r="BF2423" s="8" t="s">
        <v>233</v>
      </c>
      <c r="BG2423" s="7" t="s">
        <v>233</v>
      </c>
      <c r="BH2423" s="7" t="s">
        <v>233</v>
      </c>
      <c r="BI2423" s="7"/>
      <c r="BJ2423" s="4">
        <v>10</v>
      </c>
      <c r="BK2423" s="8">
        <v>2974.59</v>
      </c>
      <c r="BL2423" s="2" t="s">
        <v>10736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10737</v>
      </c>
      <c r="BV2423" s="2" t="s">
        <v>233</v>
      </c>
      <c r="BW2423" s="2" t="s">
        <v>233</v>
      </c>
      <c r="BX2423" s="2" t="s">
        <v>233</v>
      </c>
      <c r="BY2423" s="2" t="s">
        <v>280</v>
      </c>
      <c r="BZ2423" s="2" t="s">
        <v>245</v>
      </c>
      <c r="CA2423" s="2" t="s">
        <v>3152</v>
      </c>
      <c r="CB2423" s="2" t="s">
        <v>10738</v>
      </c>
      <c r="CC2423" s="2" t="s">
        <v>246</v>
      </c>
      <c r="CD2423" s="2" t="s">
        <v>233</v>
      </c>
      <c r="CE2423" s="4"/>
      <c r="CF2423" s="4">
        <v>95</v>
      </c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/>
      <c r="FF2423" s="4"/>
      <c r="FG2423" s="4"/>
      <c r="FH2423" s="4"/>
      <c r="FI2423" s="4"/>
      <c r="FJ2423" s="4"/>
      <c r="FK2423" s="4">
        <v>100</v>
      </c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/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/>
      <c r="GU2423" s="4"/>
      <c r="GV2423" s="4"/>
      <c r="GW2423" s="4"/>
      <c r="GX2423" s="4"/>
      <c r="GY2423" s="4"/>
      <c r="GZ2423" s="4"/>
      <c r="HA2423" s="4"/>
      <c r="HB2423" s="4"/>
      <c r="HC2423" s="4"/>
      <c r="HD2423" s="4"/>
      <c r="HE2423" s="4"/>
      <c r="HF2423" s="4"/>
      <c r="HG2423" s="4"/>
      <c r="HH2423" s="4"/>
      <c r="HI2423" s="4"/>
      <c r="HJ2423" s="4"/>
      <c r="HK2423" s="4"/>
      <c r="HL2423" s="4"/>
      <c r="HM2423" s="4"/>
      <c r="HN2423" s="4"/>
      <c r="HO2423" s="4"/>
      <c r="HP2423" s="4"/>
      <c r="HQ2423" s="4"/>
      <c r="HR2423" s="4"/>
    </row>
    <row r="2424">
      <c r="A2424" s="2" t="s">
        <v>10739</v>
      </c>
      <c r="B2424" s="2" t="s">
        <v>1066</v>
      </c>
      <c r="C2424" s="2" t="s">
        <v>901</v>
      </c>
      <c r="D2424" s="2" t="s">
        <v>10723</v>
      </c>
      <c r="E2424" s="2" t="s">
        <v>8524</v>
      </c>
      <c r="F2424" s="2" t="s">
        <v>10724</v>
      </c>
      <c r="G2424" s="2" t="s">
        <v>10724</v>
      </c>
      <c r="H2424" s="2" t="s">
        <v>10724</v>
      </c>
      <c r="I2424" s="2" t="s">
        <v>10740</v>
      </c>
      <c r="J2424" s="2" t="s">
        <v>892</v>
      </c>
      <c r="K2424" s="2" t="s">
        <v>7121</v>
      </c>
      <c r="L2424" s="3">
        <v>730.65</v>
      </c>
      <c r="M2424" s="3">
        <v>767.18</v>
      </c>
      <c r="N2424" s="3">
        <v>1549</v>
      </c>
      <c r="O2424" s="2" t="s">
        <v>245</v>
      </c>
      <c r="P2424" s="2" t="s">
        <v>1118</v>
      </c>
      <c r="Q2424" s="2" t="s">
        <v>239</v>
      </c>
      <c r="R2424" s="2" t="s">
        <v>16</v>
      </c>
      <c r="S2424" s="2" t="s">
        <v>233</v>
      </c>
      <c r="T2424" s="2" t="s">
        <v>233</v>
      </c>
      <c r="U2424" s="2" t="s">
        <v>871</v>
      </c>
      <c r="V2424" s="2" t="s">
        <v>241</v>
      </c>
      <c r="W2424" s="2" t="s">
        <v>2652</v>
      </c>
      <c r="X2424" s="2" t="s">
        <v>397</v>
      </c>
      <c r="Y2424" s="2" t="s">
        <v>851</v>
      </c>
      <c r="Z2424" s="4">
        <v>44</v>
      </c>
      <c r="AA2424" s="4">
        <f>=ROUNDDOWN({0},0)</f>
      </c>
      <c r="AB2424" s="5"/>
      <c r="AC2424" s="2" t="s">
        <v>233</v>
      </c>
      <c r="AD2424" s="4"/>
      <c r="AE2424" s="4"/>
      <c r="AF2424" s="6"/>
      <c r="AG2424" s="6"/>
      <c r="AH2424" s="7">
        <v>1</v>
      </c>
      <c r="AI2424" s="4"/>
      <c r="AJ2424" s="4">
        <f>=ROUNDDOWN({0},0)</f>
      </c>
      <c r="AK2424" s="5"/>
      <c r="AL2424" s="2" t="s">
        <v>233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233</v>
      </c>
      <c r="AW2424" s="8" t="s">
        <v>233</v>
      </c>
      <c r="AX2424" s="4" t="s">
        <v>233</v>
      </c>
      <c r="AY2424" s="8" t="s">
        <v>233</v>
      </c>
      <c r="AZ2424" s="7" t="s">
        <v>233</v>
      </c>
      <c r="BA2424" s="7" t="s">
        <v>233</v>
      </c>
      <c r="BB2424" s="7" t="s">
        <v>233</v>
      </c>
      <c r="BC2424" s="4" t="s">
        <v>233</v>
      </c>
      <c r="BD2424" s="8" t="s">
        <v>233</v>
      </c>
      <c r="BE2424" s="4" t="s">
        <v>233</v>
      </c>
      <c r="BF2424" s="8" t="s">
        <v>233</v>
      </c>
      <c r="BG2424" s="7" t="s">
        <v>233</v>
      </c>
      <c r="BH2424" s="7" t="s">
        <v>233</v>
      </c>
      <c r="BI2424" s="7"/>
      <c r="BJ2424" s="4"/>
      <c r="BK2424" s="8"/>
      <c r="BL2424" s="2" t="s">
        <v>233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10741</v>
      </c>
      <c r="BV2424" s="2" t="s">
        <v>233</v>
      </c>
      <c r="BW2424" s="2" t="s">
        <v>233</v>
      </c>
      <c r="BX2424" s="2" t="s">
        <v>233</v>
      </c>
      <c r="BY2424" s="2" t="s">
        <v>280</v>
      </c>
      <c r="BZ2424" s="2" t="s">
        <v>245</v>
      </c>
      <c r="CA2424" s="2" t="s">
        <v>1283</v>
      </c>
      <c r="CB2424" s="2" t="s">
        <v>233</v>
      </c>
      <c r="CC2424" s="2" t="s">
        <v>246</v>
      </c>
      <c r="CD2424" s="2" t="s">
        <v>233</v>
      </c>
      <c r="CE2424" s="4"/>
      <c r="CF2424" s="4">
        <v>44</v>
      </c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/>
      <c r="EX2424" s="4"/>
      <c r="EY2424" s="4"/>
      <c r="EZ2424" s="4"/>
      <c r="FA2424" s="4"/>
      <c r="FB2424" s="4"/>
      <c r="FC2424" s="4"/>
      <c r="FD2424" s="4"/>
      <c r="FE2424" s="4"/>
      <c r="FF2424" s="4"/>
      <c r="FG2424" s="4"/>
      <c r="FH2424" s="4"/>
      <c r="FI2424" s="4"/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/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  <c r="HF2424" s="4"/>
      <c r="HG2424" s="4"/>
      <c r="HH2424" s="4"/>
      <c r="HI2424" s="4"/>
      <c r="HJ2424" s="4"/>
      <c r="HK2424" s="4"/>
      <c r="HL2424" s="4"/>
      <c r="HM2424" s="4"/>
      <c r="HN2424" s="4"/>
      <c r="HO2424" s="4"/>
      <c r="HP2424" s="4"/>
      <c r="HQ2424" s="4"/>
      <c r="HR2424" s="4"/>
    </row>
    <row r="2425">
      <c r="A2425" s="2" t="s">
        <v>10742</v>
      </c>
      <c r="B2425" s="2" t="s">
        <v>1066</v>
      </c>
      <c r="C2425" s="2" t="s">
        <v>901</v>
      </c>
      <c r="D2425" s="2" t="s">
        <v>10723</v>
      </c>
      <c r="E2425" s="2" t="s">
        <v>8524</v>
      </c>
      <c r="F2425" s="2" t="s">
        <v>10724</v>
      </c>
      <c r="G2425" s="2" t="s">
        <v>10724</v>
      </c>
      <c r="H2425" s="2" t="s">
        <v>10724</v>
      </c>
      <c r="I2425" s="2" t="s">
        <v>10743</v>
      </c>
      <c r="J2425" s="2" t="s">
        <v>892</v>
      </c>
      <c r="K2425" s="2" t="s">
        <v>7121</v>
      </c>
      <c r="L2425" s="3">
        <v>759.5</v>
      </c>
      <c r="M2425" s="3">
        <v>797.48</v>
      </c>
      <c r="N2425" s="3">
        <v>1599</v>
      </c>
      <c r="O2425" s="2" t="s">
        <v>245</v>
      </c>
      <c r="P2425" s="2" t="s">
        <v>1118</v>
      </c>
      <c r="Q2425" s="2" t="s">
        <v>239</v>
      </c>
      <c r="R2425" s="2" t="s">
        <v>16</v>
      </c>
      <c r="S2425" s="2" t="s">
        <v>233</v>
      </c>
      <c r="T2425" s="2" t="s">
        <v>233</v>
      </c>
      <c r="U2425" s="2" t="s">
        <v>1507</v>
      </c>
      <c r="V2425" s="2" t="s">
        <v>241</v>
      </c>
      <c r="W2425" s="2" t="s">
        <v>2652</v>
      </c>
      <c r="X2425" s="2" t="s">
        <v>397</v>
      </c>
      <c r="Y2425" s="2" t="s">
        <v>851</v>
      </c>
      <c r="Z2425" s="4">
        <v>29</v>
      </c>
      <c r="AA2425" s="4">
        <f>=ROUNDDOWN({0},0)</f>
      </c>
      <c r="AB2425" s="5"/>
      <c r="AC2425" s="2" t="s">
        <v>233</v>
      </c>
      <c r="AD2425" s="4"/>
      <c r="AE2425" s="4"/>
      <c r="AF2425" s="6"/>
      <c r="AG2425" s="6"/>
      <c r="AH2425" s="7">
        <v>1</v>
      </c>
      <c r="AI2425" s="4"/>
      <c r="AJ2425" s="4">
        <f>=ROUNDDOWN({0},0)</f>
      </c>
      <c r="AK2425" s="5"/>
      <c r="AL2425" s="2" t="s">
        <v>233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233</v>
      </c>
      <c r="AW2425" s="8" t="s">
        <v>233</v>
      </c>
      <c r="AX2425" s="4" t="s">
        <v>233</v>
      </c>
      <c r="AY2425" s="8" t="s">
        <v>233</v>
      </c>
      <c r="AZ2425" s="7" t="s">
        <v>233</v>
      </c>
      <c r="BA2425" s="7" t="s">
        <v>233</v>
      </c>
      <c r="BB2425" s="7" t="s">
        <v>233</v>
      </c>
      <c r="BC2425" s="4" t="s">
        <v>233</v>
      </c>
      <c r="BD2425" s="8" t="s">
        <v>233</v>
      </c>
      <c r="BE2425" s="4" t="s">
        <v>233</v>
      </c>
      <c r="BF2425" s="8" t="s">
        <v>233</v>
      </c>
      <c r="BG2425" s="7" t="s">
        <v>233</v>
      </c>
      <c r="BH2425" s="7" t="s">
        <v>233</v>
      </c>
      <c r="BI2425" s="7"/>
      <c r="BJ2425" s="4"/>
      <c r="BK2425" s="8"/>
      <c r="BL2425" s="2" t="s">
        <v>233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10744</v>
      </c>
      <c r="BV2425" s="2" t="s">
        <v>233</v>
      </c>
      <c r="BW2425" s="2" t="s">
        <v>233</v>
      </c>
      <c r="BX2425" s="2" t="s">
        <v>233</v>
      </c>
      <c r="BY2425" s="2" t="s">
        <v>280</v>
      </c>
      <c r="BZ2425" s="2" t="s">
        <v>245</v>
      </c>
      <c r="CA2425" s="2" t="s">
        <v>1283</v>
      </c>
      <c r="CB2425" s="2" t="s">
        <v>233</v>
      </c>
      <c r="CC2425" s="2" t="s">
        <v>246</v>
      </c>
      <c r="CD2425" s="2" t="s">
        <v>233</v>
      </c>
      <c r="CE2425" s="4"/>
      <c r="CF2425" s="4">
        <v>29</v>
      </c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/>
      <c r="FH2425" s="4"/>
      <c r="FI2425" s="4"/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/>
      <c r="HF2425" s="4"/>
      <c r="HG2425" s="4"/>
      <c r="HH2425" s="4"/>
      <c r="HI2425" s="4"/>
      <c r="HJ2425" s="4"/>
      <c r="HK2425" s="4"/>
      <c r="HL2425" s="4"/>
      <c r="HM2425" s="4"/>
      <c r="HN2425" s="4"/>
      <c r="HO2425" s="4"/>
      <c r="HP2425" s="4"/>
      <c r="HQ2425" s="4"/>
      <c r="HR2425" s="4"/>
    </row>
    <row r="2426">
      <c r="A2426" s="2" t="s">
        <v>10745</v>
      </c>
      <c r="B2426" s="2" t="s">
        <v>1414</v>
      </c>
      <c r="C2426" s="2" t="s">
        <v>530</v>
      </c>
      <c r="D2426" s="2" t="s">
        <v>1414</v>
      </c>
      <c r="E2426" s="2" t="s">
        <v>1414</v>
      </c>
      <c r="F2426" s="2" t="s">
        <v>3366</v>
      </c>
      <c r="G2426" s="2" t="s">
        <v>3366</v>
      </c>
      <c r="H2426" s="2" t="s">
        <v>3366</v>
      </c>
      <c r="I2426" s="2" t="s">
        <v>10746</v>
      </c>
      <c r="J2426" s="2" t="s">
        <v>1418</v>
      </c>
      <c r="K2426" s="2" t="s">
        <v>1191</v>
      </c>
      <c r="L2426" s="3">
        <v>89.7</v>
      </c>
      <c r="M2426" s="3">
        <v>94.19</v>
      </c>
      <c r="N2426" s="3">
        <v>199.99</v>
      </c>
      <c r="O2426" s="2" t="s">
        <v>237</v>
      </c>
      <c r="P2426" s="2" t="s">
        <v>311</v>
      </c>
      <c r="Q2426" s="2" t="s">
        <v>239</v>
      </c>
      <c r="R2426" s="2" t="s">
        <v>233</v>
      </c>
      <c r="S2426" s="2" t="s">
        <v>233</v>
      </c>
      <c r="T2426" s="2" t="s">
        <v>233</v>
      </c>
      <c r="U2426" s="2" t="s">
        <v>396</v>
      </c>
      <c r="V2426" s="2" t="s">
        <v>241</v>
      </c>
      <c r="W2426" s="2" t="s">
        <v>451</v>
      </c>
      <c r="X2426" s="2" t="s">
        <v>233</v>
      </c>
      <c r="Y2426" s="2" t="s">
        <v>8941</v>
      </c>
      <c r="Z2426" s="4">
        <v>197</v>
      </c>
      <c r="AA2426" s="4">
        <f>=ROUNDDOWN({0},0)</f>
      </c>
      <c r="AB2426" s="5"/>
      <c r="AC2426" s="2" t="s">
        <v>233</v>
      </c>
      <c r="AD2426" s="4"/>
      <c r="AE2426" s="4"/>
      <c r="AF2426" s="6">
        <v>63</v>
      </c>
      <c r="AG2426" s="6"/>
      <c r="AH2426" s="7">
        <v>1</v>
      </c>
      <c r="AI2426" s="4"/>
      <c r="AJ2426" s="4">
        <f>=ROUNDDOWN({0},0)</f>
      </c>
      <c r="AK2426" s="5"/>
      <c r="AL2426" s="2" t="s">
        <v>233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233</v>
      </c>
      <c r="AW2426" s="8" t="s">
        <v>233</v>
      </c>
      <c r="AX2426" s="4" t="s">
        <v>233</v>
      </c>
      <c r="AY2426" s="8" t="s">
        <v>233</v>
      </c>
      <c r="AZ2426" s="7" t="s">
        <v>233</v>
      </c>
      <c r="BA2426" s="7" t="s">
        <v>233</v>
      </c>
      <c r="BB2426" s="7"/>
      <c r="BC2426" s="4" t="s">
        <v>233</v>
      </c>
      <c r="BD2426" s="8" t="s">
        <v>233</v>
      </c>
      <c r="BE2426" s="4" t="s">
        <v>233</v>
      </c>
      <c r="BF2426" s="8" t="s">
        <v>233</v>
      </c>
      <c r="BG2426" s="7" t="s">
        <v>233</v>
      </c>
      <c r="BH2426" s="7" t="s">
        <v>233</v>
      </c>
      <c r="BI2426" s="7"/>
      <c r="BJ2426" s="4"/>
      <c r="BK2426" s="8"/>
      <c r="BL2426" s="2" t="s">
        <v>233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10747</v>
      </c>
      <c r="BV2426" s="2" t="s">
        <v>233</v>
      </c>
      <c r="BW2426" s="2" t="s">
        <v>233</v>
      </c>
      <c r="BX2426" s="2" t="s">
        <v>233</v>
      </c>
      <c r="BY2426" s="2" t="s">
        <v>280</v>
      </c>
      <c r="BZ2426" s="2" t="s">
        <v>245</v>
      </c>
      <c r="CA2426" s="2" t="s">
        <v>4610</v>
      </c>
      <c r="CB2426" s="2" t="s">
        <v>233</v>
      </c>
      <c r="CC2426" s="2" t="s">
        <v>246</v>
      </c>
      <c r="CD2426" s="2" t="s">
        <v>233</v>
      </c>
      <c r="CE2426" s="4"/>
      <c r="CF2426" s="4">
        <v>197</v>
      </c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/>
      <c r="GV2426" s="4"/>
      <c r="GW2426" s="4"/>
      <c r="GX2426" s="4"/>
      <c r="GY2426" s="4"/>
      <c r="GZ2426" s="4"/>
      <c r="HA2426" s="4"/>
      <c r="HB2426" s="4"/>
      <c r="HC2426" s="4"/>
      <c r="HD2426" s="4"/>
      <c r="HE2426" s="4"/>
      <c r="HF2426" s="4"/>
      <c r="HG2426" s="4"/>
      <c r="HH2426" s="4"/>
      <c r="HI2426" s="4"/>
      <c r="HJ2426" s="4"/>
      <c r="HK2426" s="4"/>
      <c r="HL2426" s="4"/>
      <c r="HM2426" s="4"/>
      <c r="HN2426" s="4"/>
      <c r="HO2426" s="4"/>
      <c r="HP2426" s="4"/>
      <c r="HQ2426" s="4"/>
      <c r="HR2426" s="4"/>
    </row>
    <row r="2427">
      <c r="A2427" s="2" t="s">
        <v>10748</v>
      </c>
      <c r="B2427" s="2" t="s">
        <v>1414</v>
      </c>
      <c r="C2427" s="2" t="s">
        <v>530</v>
      </c>
      <c r="D2427" s="2" t="s">
        <v>1414</v>
      </c>
      <c r="E2427" s="2" t="s">
        <v>1414</v>
      </c>
      <c r="F2427" s="2" t="s">
        <v>3366</v>
      </c>
      <c r="G2427" s="2" t="s">
        <v>3366</v>
      </c>
      <c r="H2427" s="2" t="s">
        <v>3366</v>
      </c>
      <c r="I2427" s="2" t="s">
        <v>10746</v>
      </c>
      <c r="J2427" s="2" t="s">
        <v>1808</v>
      </c>
      <c r="K2427" s="2" t="s">
        <v>1191</v>
      </c>
      <c r="L2427" s="3">
        <v>211.98</v>
      </c>
      <c r="M2427" s="3">
        <v>222.58</v>
      </c>
      <c r="N2427" s="3">
        <v>474.99</v>
      </c>
      <c r="O2427" s="2" t="s">
        <v>237</v>
      </c>
      <c r="P2427" s="2" t="s">
        <v>311</v>
      </c>
      <c r="Q2427" s="2" t="s">
        <v>239</v>
      </c>
      <c r="R2427" s="2" t="s">
        <v>233</v>
      </c>
      <c r="S2427" s="2" t="s">
        <v>233</v>
      </c>
      <c r="T2427" s="2" t="s">
        <v>233</v>
      </c>
      <c r="U2427" s="2" t="s">
        <v>396</v>
      </c>
      <c r="V2427" s="2" t="s">
        <v>241</v>
      </c>
      <c r="W2427" s="2" t="s">
        <v>451</v>
      </c>
      <c r="X2427" s="2" t="s">
        <v>233</v>
      </c>
      <c r="Y2427" s="2" t="s">
        <v>8941</v>
      </c>
      <c r="Z2427" s="4">
        <v>103</v>
      </c>
      <c r="AA2427" s="4">
        <f>=ROUNDDOWN({0},0)</f>
      </c>
      <c r="AB2427" s="5"/>
      <c r="AC2427" s="2" t="s">
        <v>233</v>
      </c>
      <c r="AD2427" s="4"/>
      <c r="AE2427" s="4"/>
      <c r="AF2427" s="6">
        <v>63</v>
      </c>
      <c r="AG2427" s="6"/>
      <c r="AH2427" s="7">
        <v>1</v>
      </c>
      <c r="AI2427" s="4"/>
      <c r="AJ2427" s="4">
        <f>=ROUNDDOWN({0},0)</f>
      </c>
      <c r="AK2427" s="5"/>
      <c r="AL2427" s="2" t="s">
        <v>233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233</v>
      </c>
      <c r="AW2427" s="8" t="s">
        <v>233</v>
      </c>
      <c r="AX2427" s="4" t="s">
        <v>233</v>
      </c>
      <c r="AY2427" s="8" t="s">
        <v>233</v>
      </c>
      <c r="AZ2427" s="7" t="s">
        <v>233</v>
      </c>
      <c r="BA2427" s="7" t="s">
        <v>233</v>
      </c>
      <c r="BB2427" s="7"/>
      <c r="BC2427" s="4" t="s">
        <v>233</v>
      </c>
      <c r="BD2427" s="8" t="s">
        <v>233</v>
      </c>
      <c r="BE2427" s="4" t="s">
        <v>233</v>
      </c>
      <c r="BF2427" s="8" t="s">
        <v>233</v>
      </c>
      <c r="BG2427" s="7" t="s">
        <v>233</v>
      </c>
      <c r="BH2427" s="7" t="s">
        <v>233</v>
      </c>
      <c r="BI2427" s="7"/>
      <c r="BJ2427" s="4"/>
      <c r="BK2427" s="8"/>
      <c r="BL2427" s="2" t="s">
        <v>744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10749</v>
      </c>
      <c r="BV2427" s="2" t="s">
        <v>233</v>
      </c>
      <c r="BW2427" s="2" t="s">
        <v>233</v>
      </c>
      <c r="BX2427" s="2" t="s">
        <v>233</v>
      </c>
      <c r="BY2427" s="2" t="s">
        <v>280</v>
      </c>
      <c r="BZ2427" s="2" t="s">
        <v>245</v>
      </c>
      <c r="CA2427" s="2" t="s">
        <v>4610</v>
      </c>
      <c r="CB2427" s="2" t="s">
        <v>6316</v>
      </c>
      <c r="CC2427" s="2" t="s">
        <v>246</v>
      </c>
      <c r="CD2427" s="2" t="s">
        <v>233</v>
      </c>
      <c r="CE2427" s="4"/>
      <c r="CF2427" s="4">
        <v>103</v>
      </c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/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/>
      <c r="FN2427" s="4"/>
      <c r="FO2427" s="4"/>
      <c r="FP2427" s="4"/>
      <c r="FQ2427" s="4"/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  <c r="HF2427" s="4"/>
      <c r="HG2427" s="4"/>
      <c r="HH2427" s="4"/>
      <c r="HI2427" s="4"/>
      <c r="HJ2427" s="4"/>
      <c r="HK2427" s="4"/>
      <c r="HL2427" s="4"/>
      <c r="HM2427" s="4"/>
      <c r="HN2427" s="4"/>
      <c r="HO2427" s="4"/>
      <c r="HP2427" s="4"/>
      <c r="HQ2427" s="4"/>
      <c r="HR2427" s="4"/>
    </row>
    <row r="2428">
      <c r="A2428" s="2" t="s">
        <v>10750</v>
      </c>
      <c r="B2428" s="2" t="s">
        <v>1174</v>
      </c>
      <c r="C2428" s="2" t="s">
        <v>911</v>
      </c>
      <c r="D2428" s="2" t="s">
        <v>1175</v>
      </c>
      <c r="E2428" s="2" t="s">
        <v>1448</v>
      </c>
      <c r="F2428" s="2" t="s">
        <v>3832</v>
      </c>
      <c r="G2428" s="2" t="s">
        <v>6780</v>
      </c>
      <c r="H2428" s="2" t="s">
        <v>1826</v>
      </c>
      <c r="I2428" s="2" t="s">
        <v>10751</v>
      </c>
      <c r="J2428" s="2" t="s">
        <v>1524</v>
      </c>
      <c r="K2428" s="2" t="s">
        <v>645</v>
      </c>
      <c r="L2428" s="3">
        <v>14</v>
      </c>
      <c r="M2428" s="3">
        <v>14.7</v>
      </c>
      <c r="N2428" s="3">
        <v>34.99</v>
      </c>
      <c r="O2428" s="2" t="s">
        <v>245</v>
      </c>
      <c r="P2428" s="2" t="s">
        <v>272</v>
      </c>
      <c r="Q2428" s="2" t="s">
        <v>239</v>
      </c>
      <c r="R2428" s="2" t="s">
        <v>233</v>
      </c>
      <c r="S2428" s="2" t="s">
        <v>10752</v>
      </c>
      <c r="T2428" s="2" t="s">
        <v>233</v>
      </c>
      <c r="U2428" s="2" t="s">
        <v>396</v>
      </c>
      <c r="V2428" s="2" t="s">
        <v>3836</v>
      </c>
      <c r="W2428" s="2" t="s">
        <v>275</v>
      </c>
      <c r="X2428" s="2" t="s">
        <v>1526</v>
      </c>
      <c r="Y2428" s="2" t="s">
        <v>10753</v>
      </c>
      <c r="Z2428" s="4">
        <v>526</v>
      </c>
      <c r="AA2428" s="4">
        <f>=ROUNDDOWN(26.3,0)</f>
      </c>
      <c r="AB2428" s="5">
        <v>20</v>
      </c>
      <c r="AC2428" s="2" t="s">
        <v>3626</v>
      </c>
      <c r="AD2428" s="4">
        <v>164</v>
      </c>
      <c r="AE2428" s="4">
        <v>164</v>
      </c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233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233</v>
      </c>
      <c r="BD2428" s="8" t="s">
        <v>233</v>
      </c>
      <c r="BE2428" s="4" t="s">
        <v>233</v>
      </c>
      <c r="BF2428" s="8" t="s">
        <v>233</v>
      </c>
      <c r="BG2428" s="7" t="s">
        <v>233</v>
      </c>
      <c r="BH2428" s="7" t="s">
        <v>233</v>
      </c>
      <c r="BI2428" s="7"/>
      <c r="BJ2428" s="4">
        <v>57</v>
      </c>
      <c r="BK2428" s="8">
        <v>856.32</v>
      </c>
      <c r="BL2428" s="2" t="s">
        <v>10754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10755</v>
      </c>
      <c r="BV2428" s="2" t="s">
        <v>233</v>
      </c>
      <c r="BW2428" s="2" t="s">
        <v>233</v>
      </c>
      <c r="BX2428" s="2" t="s">
        <v>243</v>
      </c>
      <c r="BY2428" s="2" t="s">
        <v>280</v>
      </c>
      <c r="BZ2428" s="2" t="s">
        <v>245</v>
      </c>
      <c r="CA2428" s="2" t="s">
        <v>10756</v>
      </c>
      <c r="CB2428" s="2" t="s">
        <v>4208</v>
      </c>
      <c r="CC2428" s="2" t="s">
        <v>246</v>
      </c>
      <c r="CD2428" s="2" t="s">
        <v>233</v>
      </c>
      <c r="CE2428" s="4">
        <v>526</v>
      </c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/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/>
      <c r="FF2428" s="4"/>
      <c r="FG2428" s="4"/>
      <c r="FH2428" s="4"/>
      <c r="FI2428" s="4">
        <v>164</v>
      </c>
      <c r="FJ2428" s="4"/>
      <c r="FK2428" s="4"/>
      <c r="FL2428" s="4"/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/>
      <c r="GM2428" s="4"/>
      <c r="GN2428" s="4"/>
      <c r="GO2428" s="4"/>
      <c r="GP2428" s="4"/>
      <c r="GQ2428" s="4"/>
      <c r="GR2428" s="4"/>
      <c r="GS2428" s="4"/>
      <c r="GT2428" s="4"/>
      <c r="GU2428" s="4"/>
      <c r="GV2428" s="4"/>
      <c r="GW2428" s="4"/>
      <c r="GX2428" s="4"/>
      <c r="GY2428" s="4"/>
      <c r="GZ2428" s="4"/>
      <c r="HA2428" s="4"/>
      <c r="HB2428" s="4"/>
      <c r="HC2428" s="4"/>
      <c r="HD2428" s="4"/>
      <c r="HE2428" s="4"/>
      <c r="HF2428" s="4"/>
      <c r="HG2428" s="4"/>
      <c r="HH2428" s="4"/>
      <c r="HI2428" s="4"/>
      <c r="HJ2428" s="4"/>
      <c r="HK2428" s="4"/>
      <c r="HL2428" s="4"/>
      <c r="HM2428" s="4"/>
      <c r="HN2428" s="4"/>
      <c r="HO2428" s="4"/>
      <c r="HP2428" s="4"/>
      <c r="HQ2428" s="4"/>
      <c r="HR2428" s="4"/>
    </row>
    <row r="2429">
      <c r="A2429" s="2" t="s">
        <v>10757</v>
      </c>
      <c r="B2429" s="2" t="s">
        <v>1174</v>
      </c>
      <c r="C2429" s="2" t="s">
        <v>911</v>
      </c>
      <c r="D2429" s="2" t="s">
        <v>1175</v>
      </c>
      <c r="E2429" s="2" t="s">
        <v>1448</v>
      </c>
      <c r="F2429" s="2" t="s">
        <v>3832</v>
      </c>
      <c r="G2429" s="2" t="s">
        <v>6780</v>
      </c>
      <c r="H2429" s="2" t="s">
        <v>1826</v>
      </c>
      <c r="I2429" s="2" t="s">
        <v>10751</v>
      </c>
      <c r="J2429" s="2" t="s">
        <v>1524</v>
      </c>
      <c r="K2429" s="2" t="s">
        <v>552</v>
      </c>
      <c r="L2429" s="3">
        <v>14</v>
      </c>
      <c r="M2429" s="3">
        <v>14.7</v>
      </c>
      <c r="N2429" s="3">
        <v>34.99</v>
      </c>
      <c r="O2429" s="2" t="s">
        <v>245</v>
      </c>
      <c r="P2429" s="2" t="s">
        <v>996</v>
      </c>
      <c r="Q2429" s="2" t="s">
        <v>239</v>
      </c>
      <c r="R2429" s="2" t="s">
        <v>233</v>
      </c>
      <c r="S2429" s="2" t="s">
        <v>10758</v>
      </c>
      <c r="T2429" s="2" t="s">
        <v>1481</v>
      </c>
      <c r="U2429" s="2" t="s">
        <v>396</v>
      </c>
      <c r="V2429" s="2" t="s">
        <v>3836</v>
      </c>
      <c r="W2429" s="2" t="s">
        <v>275</v>
      </c>
      <c r="X2429" s="2" t="s">
        <v>233</v>
      </c>
      <c r="Y2429" s="2" t="s">
        <v>5044</v>
      </c>
      <c r="Z2429" s="4">
        <v>319</v>
      </c>
      <c r="AA2429" s="4">
        <f>=ROUNDDOWN(19.9375,0)</f>
      </c>
      <c r="AB2429" s="5">
        <v>16</v>
      </c>
      <c r="AC2429" s="2" t="s">
        <v>233</v>
      </c>
      <c r="AD2429" s="4"/>
      <c r="AE2429" s="4"/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233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233</v>
      </c>
      <c r="BD2429" s="8" t="s">
        <v>233</v>
      </c>
      <c r="BE2429" s="4" t="s">
        <v>233</v>
      </c>
      <c r="BF2429" s="8" t="s">
        <v>233</v>
      </c>
      <c r="BG2429" s="7" t="s">
        <v>233</v>
      </c>
      <c r="BH2429" s="7" t="s">
        <v>233</v>
      </c>
      <c r="BI2429" s="7"/>
      <c r="BJ2429" s="4">
        <v>15</v>
      </c>
      <c r="BK2429" s="8">
        <v>244.6</v>
      </c>
      <c r="BL2429" s="2" t="s">
        <v>10759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10760</v>
      </c>
      <c r="BV2429" s="2" t="s">
        <v>233</v>
      </c>
      <c r="BW2429" s="2" t="s">
        <v>233</v>
      </c>
      <c r="BX2429" s="2" t="s">
        <v>233</v>
      </c>
      <c r="BY2429" s="2" t="s">
        <v>280</v>
      </c>
      <c r="BZ2429" s="2" t="s">
        <v>245</v>
      </c>
      <c r="CA2429" s="2" t="s">
        <v>5044</v>
      </c>
      <c r="CB2429" s="2" t="s">
        <v>8807</v>
      </c>
      <c r="CC2429" s="2" t="s">
        <v>246</v>
      </c>
      <c r="CD2429" s="2" t="s">
        <v>233</v>
      </c>
      <c r="CE2429" s="4">
        <v>319</v>
      </c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/>
      <c r="GC2429" s="4"/>
      <c r="GD2429" s="4"/>
      <c r="GE2429" s="4"/>
      <c r="GF2429" s="4"/>
      <c r="GG2429" s="4"/>
      <c r="GH2429" s="4"/>
      <c r="GI2429" s="4"/>
      <c r="GJ2429" s="4"/>
      <c r="GK2429" s="4"/>
      <c r="GL2429" s="4"/>
      <c r="GM2429" s="4"/>
      <c r="GN2429" s="4"/>
      <c r="GO2429" s="4"/>
      <c r="GP2429" s="4"/>
      <c r="GQ2429" s="4"/>
      <c r="GR2429" s="4"/>
      <c r="GS2429" s="4"/>
      <c r="GT2429" s="4"/>
      <c r="GU2429" s="4"/>
      <c r="GV2429" s="4"/>
      <c r="GW2429" s="4"/>
      <c r="GX2429" s="4"/>
      <c r="GY2429" s="4"/>
      <c r="GZ2429" s="4"/>
      <c r="HA2429" s="4"/>
      <c r="HB2429" s="4"/>
      <c r="HC2429" s="4"/>
      <c r="HD2429" s="4"/>
      <c r="HE2429" s="4"/>
      <c r="HF2429" s="4"/>
      <c r="HG2429" s="4"/>
      <c r="HH2429" s="4"/>
      <c r="HI2429" s="4"/>
      <c r="HJ2429" s="4"/>
      <c r="HK2429" s="4"/>
      <c r="HL2429" s="4"/>
      <c r="HM2429" s="4"/>
      <c r="HN2429" s="4"/>
      <c r="HO2429" s="4"/>
      <c r="HP2429" s="4"/>
      <c r="HQ2429" s="4"/>
      <c r="HR2429" s="4"/>
    </row>
    <row r="2430">
      <c r="A2430" s="2" t="s">
        <v>10761</v>
      </c>
      <c r="B2430" s="2" t="s">
        <v>1414</v>
      </c>
      <c r="C2430" s="2" t="s">
        <v>530</v>
      </c>
      <c r="D2430" s="2" t="s">
        <v>1414</v>
      </c>
      <c r="E2430" s="2" t="s">
        <v>1414</v>
      </c>
      <c r="F2430" s="2" t="s">
        <v>3832</v>
      </c>
      <c r="G2430" s="2" t="s">
        <v>3832</v>
      </c>
      <c r="H2430" s="2" t="s">
        <v>3832</v>
      </c>
      <c r="I2430" s="2" t="s">
        <v>10746</v>
      </c>
      <c r="J2430" s="2" t="s">
        <v>2054</v>
      </c>
      <c r="K2430" s="2" t="s">
        <v>1191</v>
      </c>
      <c r="L2430" s="3">
        <v>29</v>
      </c>
      <c r="M2430" s="3">
        <v>30.45</v>
      </c>
      <c r="N2430" s="3">
        <v>59.99</v>
      </c>
      <c r="O2430" s="2" t="s">
        <v>245</v>
      </c>
      <c r="P2430" s="2" t="s">
        <v>311</v>
      </c>
      <c r="Q2430" s="2" t="s">
        <v>239</v>
      </c>
      <c r="R2430" s="2" t="s">
        <v>233</v>
      </c>
      <c r="S2430" s="2" t="s">
        <v>10762</v>
      </c>
      <c r="T2430" s="2" t="s">
        <v>233</v>
      </c>
      <c r="U2430" s="2" t="s">
        <v>396</v>
      </c>
      <c r="V2430" s="2" t="s">
        <v>1085</v>
      </c>
      <c r="W2430" s="2" t="s">
        <v>451</v>
      </c>
      <c r="X2430" s="2" t="s">
        <v>233</v>
      </c>
      <c r="Y2430" s="2" t="s">
        <v>518</v>
      </c>
      <c r="Z2430" s="4">
        <v>65</v>
      </c>
      <c r="AA2430" s="4">
        <f>=ROUNDDOWN(162.5,0)</f>
      </c>
      <c r="AB2430" s="5">
        <v>0.4</v>
      </c>
      <c r="AC2430" s="2" t="s">
        <v>233</v>
      </c>
      <c r="AD2430" s="4"/>
      <c r="AE2430" s="4"/>
      <c r="AF2430" s="6">
        <v>63</v>
      </c>
      <c r="AG2430" s="6"/>
      <c r="AH2430" s="7">
        <v>1</v>
      </c>
      <c r="AI2430" s="4"/>
      <c r="AJ2430" s="4">
        <f>=ROUNDDOWN({0},0)</f>
      </c>
      <c r="AK2430" s="5"/>
      <c r="AL2430" s="2" t="s">
        <v>233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233</v>
      </c>
      <c r="AW2430" s="8" t="s">
        <v>233</v>
      </c>
      <c r="AX2430" s="4" t="s">
        <v>233</v>
      </c>
      <c r="AY2430" s="8" t="s">
        <v>233</v>
      </c>
      <c r="AZ2430" s="7" t="s">
        <v>233</v>
      </c>
      <c r="BA2430" s="7" t="s">
        <v>233</v>
      </c>
      <c r="BB2430" s="7"/>
      <c r="BC2430" s="4" t="s">
        <v>233</v>
      </c>
      <c r="BD2430" s="8" t="s">
        <v>233</v>
      </c>
      <c r="BE2430" s="4" t="s">
        <v>233</v>
      </c>
      <c r="BF2430" s="8" t="s">
        <v>233</v>
      </c>
      <c r="BG2430" s="7" t="s">
        <v>233</v>
      </c>
      <c r="BH2430" s="7" t="s">
        <v>233</v>
      </c>
      <c r="BI2430" s="7"/>
      <c r="BJ2430" s="4">
        <v>1</v>
      </c>
      <c r="BK2430" s="8">
        <v>15.99</v>
      </c>
      <c r="BL2430" s="2" t="s">
        <v>3076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10763</v>
      </c>
      <c r="BV2430" s="2" t="s">
        <v>233</v>
      </c>
      <c r="BW2430" s="2" t="s">
        <v>233</v>
      </c>
      <c r="BX2430" s="2" t="s">
        <v>233</v>
      </c>
      <c r="BY2430" s="2" t="s">
        <v>280</v>
      </c>
      <c r="BZ2430" s="2" t="s">
        <v>245</v>
      </c>
      <c r="CA2430" s="2" t="s">
        <v>5398</v>
      </c>
      <c r="CB2430" s="2" t="s">
        <v>233</v>
      </c>
      <c r="CC2430" s="2" t="s">
        <v>246</v>
      </c>
      <c r="CD2430" s="2" t="s">
        <v>233</v>
      </c>
      <c r="CE2430" s="4"/>
      <c r="CF2430" s="4">
        <v>65</v>
      </c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/>
      <c r="GC2430" s="4"/>
      <c r="GD2430" s="4"/>
      <c r="GE2430" s="4"/>
      <c r="GF2430" s="4"/>
      <c r="GG2430" s="4"/>
      <c r="GH2430" s="4"/>
      <c r="GI2430" s="4"/>
      <c r="GJ2430" s="4"/>
      <c r="GK2430" s="4"/>
      <c r="GL2430" s="4"/>
      <c r="GM2430" s="4"/>
      <c r="GN2430" s="4"/>
      <c r="GO2430" s="4"/>
      <c r="GP2430" s="4"/>
      <c r="GQ2430" s="4"/>
      <c r="GR2430" s="4"/>
      <c r="GS2430" s="4"/>
      <c r="GT2430" s="4"/>
      <c r="GU2430" s="4"/>
      <c r="GV2430" s="4"/>
      <c r="GW2430" s="4"/>
      <c r="GX2430" s="4"/>
      <c r="GY2430" s="4"/>
      <c r="GZ2430" s="4"/>
      <c r="HA2430" s="4"/>
      <c r="HB2430" s="4"/>
      <c r="HC2430" s="4"/>
      <c r="HD2430" s="4"/>
      <c r="HE2430" s="4"/>
      <c r="HF2430" s="4"/>
      <c r="HG2430" s="4"/>
      <c r="HH2430" s="4"/>
      <c r="HI2430" s="4"/>
      <c r="HJ2430" s="4"/>
      <c r="HK2430" s="4"/>
      <c r="HL2430" s="4"/>
      <c r="HM2430" s="4"/>
      <c r="HN2430" s="4"/>
      <c r="HO2430" s="4"/>
      <c r="HP2430" s="4"/>
      <c r="HQ2430" s="4"/>
      <c r="HR2430" s="4"/>
    </row>
    <row r="2431">
      <c r="A2431" s="2" t="s">
        <v>10764</v>
      </c>
      <c r="B2431" s="2" t="s">
        <v>1414</v>
      </c>
      <c r="C2431" s="2" t="s">
        <v>530</v>
      </c>
      <c r="D2431" s="2" t="s">
        <v>1414</v>
      </c>
      <c r="E2431" s="2" t="s">
        <v>1414</v>
      </c>
      <c r="F2431" s="2" t="s">
        <v>3832</v>
      </c>
      <c r="G2431" s="2" t="s">
        <v>3832</v>
      </c>
      <c r="H2431" s="2" t="s">
        <v>3832</v>
      </c>
      <c r="I2431" s="2" t="s">
        <v>10746</v>
      </c>
      <c r="J2431" s="2" t="s">
        <v>1426</v>
      </c>
      <c r="K2431" s="2" t="s">
        <v>1191</v>
      </c>
      <c r="L2431" s="3">
        <v>134.55</v>
      </c>
      <c r="M2431" s="3">
        <v>141.28</v>
      </c>
      <c r="N2431" s="3">
        <v>280.49</v>
      </c>
      <c r="O2431" s="2" t="s">
        <v>245</v>
      </c>
      <c r="P2431" s="2" t="s">
        <v>311</v>
      </c>
      <c r="Q2431" s="2" t="s">
        <v>239</v>
      </c>
      <c r="R2431" s="2" t="s">
        <v>233</v>
      </c>
      <c r="S2431" s="2" t="s">
        <v>10762</v>
      </c>
      <c r="T2431" s="2" t="s">
        <v>233</v>
      </c>
      <c r="U2431" s="2" t="s">
        <v>396</v>
      </c>
      <c r="V2431" s="2" t="s">
        <v>1085</v>
      </c>
      <c r="W2431" s="2" t="s">
        <v>451</v>
      </c>
      <c r="X2431" s="2" t="s">
        <v>233</v>
      </c>
      <c r="Y2431" s="2" t="s">
        <v>518</v>
      </c>
      <c r="Z2431" s="4">
        <v>45</v>
      </c>
      <c r="AA2431" s="4">
        <f>=ROUNDDOWN(225,0)</f>
      </c>
      <c r="AB2431" s="5">
        <v>0.2</v>
      </c>
      <c r="AC2431" s="2" t="s">
        <v>233</v>
      </c>
      <c r="AD2431" s="4"/>
      <c r="AE2431" s="4"/>
      <c r="AF2431" s="6">
        <v>63</v>
      </c>
      <c r="AG2431" s="6"/>
      <c r="AH2431" s="7">
        <v>1</v>
      </c>
      <c r="AI2431" s="4"/>
      <c r="AJ2431" s="4">
        <f>=ROUNDDOWN({0},0)</f>
      </c>
      <c r="AK2431" s="5"/>
      <c r="AL2431" s="2" t="s">
        <v>233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233</v>
      </c>
      <c r="AW2431" s="8" t="s">
        <v>233</v>
      </c>
      <c r="AX2431" s="4" t="s">
        <v>233</v>
      </c>
      <c r="AY2431" s="8" t="s">
        <v>233</v>
      </c>
      <c r="AZ2431" s="7" t="s">
        <v>233</v>
      </c>
      <c r="BA2431" s="7" t="s">
        <v>233</v>
      </c>
      <c r="BB2431" s="7"/>
      <c r="BC2431" s="4" t="s">
        <v>233</v>
      </c>
      <c r="BD2431" s="8" t="s">
        <v>233</v>
      </c>
      <c r="BE2431" s="4" t="s">
        <v>233</v>
      </c>
      <c r="BF2431" s="8" t="s">
        <v>233</v>
      </c>
      <c r="BG2431" s="7" t="s">
        <v>233</v>
      </c>
      <c r="BH2431" s="7" t="s">
        <v>233</v>
      </c>
      <c r="BI2431" s="7"/>
      <c r="BJ2431" s="4">
        <v>1</v>
      </c>
      <c r="BK2431" s="8">
        <v>159.64</v>
      </c>
      <c r="BL2431" s="2" t="s">
        <v>744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10765</v>
      </c>
      <c r="BV2431" s="2" t="s">
        <v>233</v>
      </c>
      <c r="BW2431" s="2" t="s">
        <v>233</v>
      </c>
      <c r="BX2431" s="2" t="s">
        <v>233</v>
      </c>
      <c r="BY2431" s="2" t="s">
        <v>280</v>
      </c>
      <c r="BZ2431" s="2" t="s">
        <v>245</v>
      </c>
      <c r="CA2431" s="2" t="s">
        <v>5398</v>
      </c>
      <c r="CB2431" s="2" t="s">
        <v>233</v>
      </c>
      <c r="CC2431" s="2" t="s">
        <v>246</v>
      </c>
      <c r="CD2431" s="2" t="s">
        <v>233</v>
      </c>
      <c r="CE2431" s="4"/>
      <c r="CF2431" s="4">
        <v>45</v>
      </c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/>
      <c r="GE2431" s="4"/>
      <c r="GF2431" s="4"/>
      <c r="GG2431" s="4"/>
      <c r="GH2431" s="4"/>
      <c r="GI2431" s="4"/>
      <c r="GJ2431" s="4"/>
      <c r="GK2431" s="4"/>
      <c r="GL2431" s="4"/>
      <c r="GM2431" s="4"/>
      <c r="GN2431" s="4"/>
      <c r="GO2431" s="4"/>
      <c r="GP2431" s="4"/>
      <c r="GQ2431" s="4"/>
      <c r="GR2431" s="4"/>
      <c r="GS2431" s="4"/>
      <c r="GT2431" s="4"/>
      <c r="GU2431" s="4"/>
      <c r="GV2431" s="4"/>
      <c r="GW2431" s="4"/>
      <c r="GX2431" s="4"/>
      <c r="GY2431" s="4"/>
      <c r="GZ2431" s="4"/>
      <c r="HA2431" s="4"/>
      <c r="HB2431" s="4"/>
      <c r="HC2431" s="4"/>
      <c r="HD2431" s="4"/>
      <c r="HE2431" s="4"/>
      <c r="HF2431" s="4"/>
      <c r="HG2431" s="4"/>
      <c r="HH2431" s="4"/>
      <c r="HI2431" s="4"/>
      <c r="HJ2431" s="4"/>
      <c r="HK2431" s="4"/>
      <c r="HL2431" s="4"/>
      <c r="HM2431" s="4"/>
      <c r="HN2431" s="4"/>
      <c r="HO2431" s="4"/>
      <c r="HP2431" s="4"/>
      <c r="HQ2431" s="4"/>
      <c r="HR2431" s="4"/>
    </row>
    <row r="2432">
      <c r="A2432" s="2" t="s">
        <v>10766</v>
      </c>
      <c r="B2432" s="2" t="s">
        <v>1174</v>
      </c>
      <c r="C2432" s="2" t="s">
        <v>911</v>
      </c>
      <c r="D2432" s="2" t="s">
        <v>1175</v>
      </c>
      <c r="E2432" s="2" t="s">
        <v>1448</v>
      </c>
      <c r="F2432" s="2" t="s">
        <v>3832</v>
      </c>
      <c r="G2432" s="2" t="s">
        <v>6780</v>
      </c>
      <c r="H2432" s="2" t="s">
        <v>1826</v>
      </c>
      <c r="I2432" s="2" t="s">
        <v>10751</v>
      </c>
      <c r="J2432" s="2" t="s">
        <v>1524</v>
      </c>
      <c r="K2432" s="2" t="s">
        <v>255</v>
      </c>
      <c r="L2432" s="3">
        <v>14</v>
      </c>
      <c r="M2432" s="3">
        <v>14.7</v>
      </c>
      <c r="N2432" s="3">
        <v>34.99</v>
      </c>
      <c r="O2432" s="2" t="s">
        <v>245</v>
      </c>
      <c r="P2432" s="2" t="s">
        <v>311</v>
      </c>
      <c r="Q2432" s="2" t="s">
        <v>239</v>
      </c>
      <c r="R2432" s="2" t="s">
        <v>233</v>
      </c>
      <c r="S2432" s="2" t="s">
        <v>10752</v>
      </c>
      <c r="T2432" s="2" t="s">
        <v>233</v>
      </c>
      <c r="U2432" s="2" t="s">
        <v>396</v>
      </c>
      <c r="V2432" s="2" t="s">
        <v>3836</v>
      </c>
      <c r="W2432" s="2" t="s">
        <v>275</v>
      </c>
      <c r="X2432" s="2" t="s">
        <v>233</v>
      </c>
      <c r="Y2432" s="2" t="s">
        <v>10753</v>
      </c>
      <c r="Z2432" s="4">
        <v>7</v>
      </c>
      <c r="AA2432" s="4">
        <f>=ROUNDDOWN(0.875,0)</f>
      </c>
      <c r="AB2432" s="5">
        <v>8</v>
      </c>
      <c r="AC2432" s="2" t="s">
        <v>233</v>
      </c>
      <c r="AD2432" s="4"/>
      <c r="AE2432" s="4"/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233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233</v>
      </c>
      <c r="BD2432" s="8" t="s">
        <v>233</v>
      </c>
      <c r="BE2432" s="4" t="s">
        <v>233</v>
      </c>
      <c r="BF2432" s="8" t="s">
        <v>233</v>
      </c>
      <c r="BG2432" s="7" t="s">
        <v>233</v>
      </c>
      <c r="BH2432" s="7" t="s">
        <v>233</v>
      </c>
      <c r="BI2432" s="7"/>
      <c r="BJ2432" s="4">
        <v>4</v>
      </c>
      <c r="BK2432" s="8">
        <v>55.84</v>
      </c>
      <c r="BL2432" s="2" t="s">
        <v>10767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10768</v>
      </c>
      <c r="BV2432" s="2" t="s">
        <v>233</v>
      </c>
      <c r="BW2432" s="2" t="s">
        <v>233</v>
      </c>
      <c r="BX2432" s="2" t="s">
        <v>243</v>
      </c>
      <c r="BY2432" s="2" t="s">
        <v>280</v>
      </c>
      <c r="BZ2432" s="2" t="s">
        <v>245</v>
      </c>
      <c r="CA2432" s="2" t="s">
        <v>10756</v>
      </c>
      <c r="CB2432" s="2" t="s">
        <v>4204</v>
      </c>
      <c r="CC2432" s="2" t="s">
        <v>246</v>
      </c>
      <c r="CD2432" s="2" t="s">
        <v>233</v>
      </c>
      <c r="CE2432" s="4">
        <v>7</v>
      </c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/>
      <c r="EP2432" s="4"/>
      <c r="EQ2432" s="4"/>
      <c r="ER2432" s="4"/>
      <c r="ES2432" s="4"/>
      <c r="ET2432" s="4"/>
      <c r="EU2432" s="4"/>
      <c r="EV2432" s="4"/>
      <c r="EW2432" s="4"/>
      <c r="EX2432" s="4"/>
      <c r="EY2432" s="4"/>
      <c r="EZ2432" s="4"/>
      <c r="FA2432" s="4"/>
      <c r="FB2432" s="4"/>
      <c r="FC2432" s="4"/>
      <c r="FD2432" s="4"/>
      <c r="FE2432" s="4"/>
      <c r="FF2432" s="4"/>
      <c r="FG2432" s="4"/>
      <c r="FH2432" s="4"/>
      <c r="FI2432" s="4"/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/>
      <c r="GE2432" s="4"/>
      <c r="GF2432" s="4"/>
      <c r="GG2432" s="4"/>
      <c r="GH2432" s="4"/>
      <c r="GI2432" s="4"/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/>
      <c r="GU2432" s="4"/>
      <c r="GV2432" s="4"/>
      <c r="GW2432" s="4"/>
      <c r="GX2432" s="4"/>
      <c r="GY2432" s="4"/>
      <c r="GZ2432" s="4"/>
      <c r="HA2432" s="4"/>
      <c r="HB2432" s="4"/>
      <c r="HC2432" s="4"/>
      <c r="HD2432" s="4"/>
      <c r="HE2432" s="4"/>
      <c r="HF2432" s="4"/>
      <c r="HG2432" s="4"/>
      <c r="HH2432" s="4"/>
      <c r="HI2432" s="4"/>
      <c r="HJ2432" s="4"/>
      <c r="HK2432" s="4"/>
      <c r="HL2432" s="4"/>
      <c r="HM2432" s="4"/>
      <c r="HN2432" s="4"/>
      <c r="HO2432" s="4"/>
      <c r="HP2432" s="4"/>
      <c r="HQ2432" s="4"/>
      <c r="HR2432" s="4"/>
    </row>
    <row r="2433">
      <c r="A2433" s="2" t="s">
        <v>10769</v>
      </c>
      <c r="B2433" s="2" t="s">
        <v>1414</v>
      </c>
      <c r="C2433" s="2" t="s">
        <v>530</v>
      </c>
      <c r="D2433" s="2" t="s">
        <v>1414</v>
      </c>
      <c r="E2433" s="2" t="s">
        <v>1414</v>
      </c>
      <c r="F2433" s="2" t="s">
        <v>3832</v>
      </c>
      <c r="G2433" s="2" t="s">
        <v>3832</v>
      </c>
      <c r="H2433" s="2" t="s">
        <v>3832</v>
      </c>
      <c r="I2433" s="2" t="s">
        <v>10770</v>
      </c>
      <c r="J2433" s="2" t="s">
        <v>2054</v>
      </c>
      <c r="K2433" s="2" t="s">
        <v>5989</v>
      </c>
      <c r="L2433" s="3">
        <v>29</v>
      </c>
      <c r="M2433" s="3">
        <v>30.45</v>
      </c>
      <c r="N2433" s="3">
        <v>59.99</v>
      </c>
      <c r="O2433" s="2" t="s">
        <v>245</v>
      </c>
      <c r="P2433" s="2" t="s">
        <v>311</v>
      </c>
      <c r="Q2433" s="2" t="s">
        <v>239</v>
      </c>
      <c r="R2433" s="2" t="s">
        <v>233</v>
      </c>
      <c r="S2433" s="2" t="s">
        <v>10771</v>
      </c>
      <c r="T2433" s="2" t="s">
        <v>233</v>
      </c>
      <c r="U2433" s="2" t="s">
        <v>396</v>
      </c>
      <c r="V2433" s="2" t="s">
        <v>1085</v>
      </c>
      <c r="W2433" s="2" t="s">
        <v>451</v>
      </c>
      <c r="X2433" s="2" t="s">
        <v>233</v>
      </c>
      <c r="Y2433" s="2" t="s">
        <v>518</v>
      </c>
      <c r="Z2433" s="4">
        <v>30</v>
      </c>
      <c r="AA2433" s="4">
        <f>=ROUNDDOWN(75,0)</f>
      </c>
      <c r="AB2433" s="5">
        <v>0.4</v>
      </c>
      <c r="AC2433" s="2" t="s">
        <v>233</v>
      </c>
      <c r="AD2433" s="4"/>
      <c r="AE2433" s="4"/>
      <c r="AF2433" s="6">
        <v>63</v>
      </c>
      <c r="AG2433" s="6"/>
      <c r="AH2433" s="7">
        <v>1</v>
      </c>
      <c r="AI2433" s="4"/>
      <c r="AJ2433" s="4">
        <f>=ROUNDDOWN({0},0)</f>
      </c>
      <c r="AK2433" s="5"/>
      <c r="AL2433" s="2" t="s">
        <v>233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233</v>
      </c>
      <c r="AW2433" s="8" t="s">
        <v>233</v>
      </c>
      <c r="AX2433" s="4" t="s">
        <v>233</v>
      </c>
      <c r="AY2433" s="8" t="s">
        <v>233</v>
      </c>
      <c r="AZ2433" s="7" t="s">
        <v>233</v>
      </c>
      <c r="BA2433" s="7" t="s">
        <v>233</v>
      </c>
      <c r="BB2433" s="7"/>
      <c r="BC2433" s="4" t="s">
        <v>233</v>
      </c>
      <c r="BD2433" s="8" t="s">
        <v>233</v>
      </c>
      <c r="BE2433" s="4" t="s">
        <v>233</v>
      </c>
      <c r="BF2433" s="8" t="s">
        <v>233</v>
      </c>
      <c r="BG2433" s="7" t="s">
        <v>233</v>
      </c>
      <c r="BH2433" s="7" t="s">
        <v>233</v>
      </c>
      <c r="BI2433" s="7"/>
      <c r="BJ2433" s="4">
        <v>1</v>
      </c>
      <c r="BK2433" s="8">
        <v>83.99</v>
      </c>
      <c r="BL2433" s="2" t="s">
        <v>10772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10773</v>
      </c>
      <c r="BV2433" s="2" t="s">
        <v>233</v>
      </c>
      <c r="BW2433" s="2" t="s">
        <v>233</v>
      </c>
      <c r="BX2433" s="2" t="s">
        <v>233</v>
      </c>
      <c r="BY2433" s="2" t="s">
        <v>280</v>
      </c>
      <c r="BZ2433" s="2" t="s">
        <v>245</v>
      </c>
      <c r="CA2433" s="2" t="s">
        <v>5398</v>
      </c>
      <c r="CB2433" s="2" t="s">
        <v>233</v>
      </c>
      <c r="CC2433" s="2" t="s">
        <v>246</v>
      </c>
      <c r="CD2433" s="2" t="s">
        <v>233</v>
      </c>
      <c r="CE2433" s="4"/>
      <c r="CF2433" s="4">
        <v>30</v>
      </c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/>
      <c r="FF2433" s="4"/>
      <c r="FG2433" s="4"/>
      <c r="FH2433" s="4"/>
      <c r="FI2433" s="4"/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/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/>
      <c r="GR2433" s="4"/>
      <c r="GS2433" s="4"/>
      <c r="GT2433" s="4"/>
      <c r="GU2433" s="4"/>
      <c r="GV2433" s="4"/>
      <c r="GW2433" s="4"/>
      <c r="GX2433" s="4"/>
      <c r="GY2433" s="4"/>
      <c r="GZ2433" s="4"/>
      <c r="HA2433" s="4"/>
      <c r="HB2433" s="4"/>
      <c r="HC2433" s="4"/>
      <c r="HD2433" s="4"/>
      <c r="HE2433" s="4"/>
      <c r="HF2433" s="4"/>
      <c r="HG2433" s="4"/>
      <c r="HH2433" s="4"/>
      <c r="HI2433" s="4"/>
      <c r="HJ2433" s="4"/>
      <c r="HK2433" s="4"/>
      <c r="HL2433" s="4"/>
      <c r="HM2433" s="4"/>
      <c r="HN2433" s="4"/>
      <c r="HO2433" s="4"/>
      <c r="HP2433" s="4"/>
      <c r="HQ2433" s="4"/>
      <c r="HR2433" s="4"/>
    </row>
    <row r="2434">
      <c r="A2434" s="2" t="s">
        <v>10774</v>
      </c>
      <c r="B2434" s="2" t="s">
        <v>1414</v>
      </c>
      <c r="C2434" s="2" t="s">
        <v>530</v>
      </c>
      <c r="D2434" s="2" t="s">
        <v>1414</v>
      </c>
      <c r="E2434" s="2" t="s">
        <v>1414</v>
      </c>
      <c r="F2434" s="2" t="s">
        <v>3832</v>
      </c>
      <c r="G2434" s="2" t="s">
        <v>3832</v>
      </c>
      <c r="H2434" s="2" t="s">
        <v>3832</v>
      </c>
      <c r="I2434" s="2" t="s">
        <v>10770</v>
      </c>
      <c r="J2434" s="2" t="s">
        <v>1418</v>
      </c>
      <c r="K2434" s="2" t="s">
        <v>5989</v>
      </c>
      <c r="L2434" s="3">
        <v>89.7</v>
      </c>
      <c r="M2434" s="3">
        <v>94.19</v>
      </c>
      <c r="N2434" s="3">
        <v>199.99</v>
      </c>
      <c r="O2434" s="2" t="s">
        <v>245</v>
      </c>
      <c r="P2434" s="2" t="s">
        <v>311</v>
      </c>
      <c r="Q2434" s="2" t="s">
        <v>239</v>
      </c>
      <c r="R2434" s="2" t="s">
        <v>233</v>
      </c>
      <c r="S2434" s="2" t="s">
        <v>10771</v>
      </c>
      <c r="T2434" s="2" t="s">
        <v>233</v>
      </c>
      <c r="U2434" s="2" t="s">
        <v>396</v>
      </c>
      <c r="V2434" s="2" t="s">
        <v>1085</v>
      </c>
      <c r="W2434" s="2" t="s">
        <v>451</v>
      </c>
      <c r="X2434" s="2" t="s">
        <v>233</v>
      </c>
      <c r="Y2434" s="2" t="s">
        <v>518</v>
      </c>
      <c r="Z2434" s="4">
        <v>119</v>
      </c>
      <c r="AA2434" s="4">
        <f>=ROUNDDOWN(238,0)</f>
      </c>
      <c r="AB2434" s="5">
        <v>0.5</v>
      </c>
      <c r="AC2434" s="2" t="s">
        <v>233</v>
      </c>
      <c r="AD2434" s="4"/>
      <c r="AE2434" s="4"/>
      <c r="AF2434" s="6">
        <v>63</v>
      </c>
      <c r="AG2434" s="6"/>
      <c r="AH2434" s="7">
        <v>1</v>
      </c>
      <c r="AI2434" s="4"/>
      <c r="AJ2434" s="4">
        <f>=ROUNDDOWN({0},0)</f>
      </c>
      <c r="AK2434" s="5"/>
      <c r="AL2434" s="2" t="s">
        <v>233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233</v>
      </c>
      <c r="AW2434" s="8" t="s">
        <v>233</v>
      </c>
      <c r="AX2434" s="4" t="s">
        <v>233</v>
      </c>
      <c r="AY2434" s="8" t="s">
        <v>233</v>
      </c>
      <c r="AZ2434" s="7" t="s">
        <v>233</v>
      </c>
      <c r="BA2434" s="7" t="s">
        <v>233</v>
      </c>
      <c r="BB2434" s="7"/>
      <c r="BC2434" s="4" t="s">
        <v>233</v>
      </c>
      <c r="BD2434" s="8" t="s">
        <v>233</v>
      </c>
      <c r="BE2434" s="4" t="s">
        <v>233</v>
      </c>
      <c r="BF2434" s="8" t="s">
        <v>233</v>
      </c>
      <c r="BG2434" s="7" t="s">
        <v>233</v>
      </c>
      <c r="BH2434" s="7" t="s">
        <v>233</v>
      </c>
      <c r="BI2434" s="7"/>
      <c r="BJ2434" s="4"/>
      <c r="BK2434" s="8"/>
      <c r="BL2434" s="2" t="s">
        <v>744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10775</v>
      </c>
      <c r="BV2434" s="2" t="s">
        <v>233</v>
      </c>
      <c r="BW2434" s="2" t="s">
        <v>233</v>
      </c>
      <c r="BX2434" s="2" t="s">
        <v>233</v>
      </c>
      <c r="BY2434" s="2" t="s">
        <v>280</v>
      </c>
      <c r="BZ2434" s="2" t="s">
        <v>245</v>
      </c>
      <c r="CA2434" s="2" t="s">
        <v>5398</v>
      </c>
      <c r="CB2434" s="2" t="s">
        <v>233</v>
      </c>
      <c r="CC2434" s="2" t="s">
        <v>246</v>
      </c>
      <c r="CD2434" s="2" t="s">
        <v>233</v>
      </c>
      <c r="CE2434" s="4"/>
      <c r="CF2434" s="4">
        <v>119</v>
      </c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/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/>
      <c r="GN2434" s="4"/>
      <c r="GO2434" s="4"/>
      <c r="GP2434" s="4"/>
      <c r="GQ2434" s="4"/>
      <c r="GR2434" s="4"/>
      <c r="GS2434" s="4"/>
      <c r="GT2434" s="4"/>
      <c r="GU2434" s="4"/>
      <c r="GV2434" s="4"/>
      <c r="GW2434" s="4"/>
      <c r="GX2434" s="4"/>
      <c r="GY2434" s="4"/>
      <c r="GZ2434" s="4"/>
      <c r="HA2434" s="4"/>
      <c r="HB2434" s="4"/>
      <c r="HC2434" s="4"/>
      <c r="HD2434" s="4"/>
      <c r="HE2434" s="4"/>
      <c r="HF2434" s="4"/>
      <c r="HG2434" s="4"/>
      <c r="HH2434" s="4"/>
      <c r="HI2434" s="4"/>
      <c r="HJ2434" s="4"/>
      <c r="HK2434" s="4"/>
      <c r="HL2434" s="4"/>
      <c r="HM2434" s="4"/>
      <c r="HN2434" s="4"/>
      <c r="HO2434" s="4"/>
      <c r="HP2434" s="4"/>
      <c r="HQ2434" s="4"/>
      <c r="HR2434" s="4"/>
    </row>
    <row r="2435">
      <c r="A2435" s="2" t="s">
        <v>10776</v>
      </c>
      <c r="B2435" s="2" t="s">
        <v>1414</v>
      </c>
      <c r="C2435" s="2" t="s">
        <v>530</v>
      </c>
      <c r="D2435" s="2" t="s">
        <v>1414</v>
      </c>
      <c r="E2435" s="2" t="s">
        <v>1414</v>
      </c>
      <c r="F2435" s="2" t="s">
        <v>3832</v>
      </c>
      <c r="G2435" s="2" t="s">
        <v>3832</v>
      </c>
      <c r="H2435" s="2" t="s">
        <v>3832</v>
      </c>
      <c r="I2435" s="2" t="s">
        <v>10770</v>
      </c>
      <c r="J2435" s="2" t="s">
        <v>1426</v>
      </c>
      <c r="K2435" s="2" t="s">
        <v>5989</v>
      </c>
      <c r="L2435" s="3">
        <v>134.55</v>
      </c>
      <c r="M2435" s="3">
        <v>141.28</v>
      </c>
      <c r="N2435" s="3">
        <v>280.49</v>
      </c>
      <c r="O2435" s="2" t="s">
        <v>245</v>
      </c>
      <c r="P2435" s="2" t="s">
        <v>311</v>
      </c>
      <c r="Q2435" s="2" t="s">
        <v>239</v>
      </c>
      <c r="R2435" s="2" t="s">
        <v>233</v>
      </c>
      <c r="S2435" s="2" t="s">
        <v>10771</v>
      </c>
      <c r="T2435" s="2" t="s">
        <v>233</v>
      </c>
      <c r="U2435" s="2" t="s">
        <v>396</v>
      </c>
      <c r="V2435" s="2" t="s">
        <v>1085</v>
      </c>
      <c r="W2435" s="2" t="s">
        <v>451</v>
      </c>
      <c r="X2435" s="2" t="s">
        <v>233</v>
      </c>
      <c r="Y2435" s="2" t="s">
        <v>518</v>
      </c>
      <c r="Z2435" s="4">
        <v>49</v>
      </c>
      <c r="AA2435" s="4">
        <f>=ROUNDDOWN(70,0)</f>
      </c>
      <c r="AB2435" s="5">
        <v>0.7</v>
      </c>
      <c r="AC2435" s="2" t="s">
        <v>233</v>
      </c>
      <c r="AD2435" s="4"/>
      <c r="AE2435" s="4"/>
      <c r="AF2435" s="6">
        <v>63</v>
      </c>
      <c r="AG2435" s="6"/>
      <c r="AH2435" s="7">
        <v>1</v>
      </c>
      <c r="AI2435" s="4"/>
      <c r="AJ2435" s="4">
        <f>=ROUNDDOWN({0},0)</f>
      </c>
      <c r="AK2435" s="5"/>
      <c r="AL2435" s="2" t="s">
        <v>233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233</v>
      </c>
      <c r="AW2435" s="8" t="s">
        <v>233</v>
      </c>
      <c r="AX2435" s="4" t="s">
        <v>233</v>
      </c>
      <c r="AY2435" s="8" t="s">
        <v>233</v>
      </c>
      <c r="AZ2435" s="7" t="s">
        <v>233</v>
      </c>
      <c r="BA2435" s="7" t="s">
        <v>233</v>
      </c>
      <c r="BB2435" s="7"/>
      <c r="BC2435" s="4" t="s">
        <v>233</v>
      </c>
      <c r="BD2435" s="8" t="s">
        <v>233</v>
      </c>
      <c r="BE2435" s="4" t="s">
        <v>233</v>
      </c>
      <c r="BF2435" s="8" t="s">
        <v>233</v>
      </c>
      <c r="BG2435" s="7" t="s">
        <v>233</v>
      </c>
      <c r="BH2435" s="7" t="s">
        <v>233</v>
      </c>
      <c r="BI2435" s="7"/>
      <c r="BJ2435" s="4"/>
      <c r="BK2435" s="8"/>
      <c r="BL2435" s="2" t="s">
        <v>233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10777</v>
      </c>
      <c r="BV2435" s="2" t="s">
        <v>233</v>
      </c>
      <c r="BW2435" s="2" t="s">
        <v>233</v>
      </c>
      <c r="BX2435" s="2" t="s">
        <v>233</v>
      </c>
      <c r="BY2435" s="2" t="s">
        <v>280</v>
      </c>
      <c r="BZ2435" s="2" t="s">
        <v>245</v>
      </c>
      <c r="CA2435" s="2" t="s">
        <v>5398</v>
      </c>
      <c r="CB2435" s="2" t="s">
        <v>1109</v>
      </c>
      <c r="CC2435" s="2" t="s">
        <v>246</v>
      </c>
      <c r="CD2435" s="2" t="s">
        <v>233</v>
      </c>
      <c r="CE2435" s="4"/>
      <c r="CF2435" s="4">
        <v>49</v>
      </c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/>
      <c r="FC2435" s="4"/>
      <c r="FD2435" s="4"/>
      <c r="FE2435" s="4"/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/>
      <c r="GI2435" s="4"/>
      <c r="GJ2435" s="4"/>
      <c r="GK2435" s="4"/>
      <c r="GL2435" s="4"/>
      <c r="GM2435" s="4"/>
      <c r="GN2435" s="4"/>
      <c r="GO2435" s="4"/>
      <c r="GP2435" s="4"/>
      <c r="GQ2435" s="4"/>
      <c r="GR2435" s="4"/>
      <c r="GS2435" s="4"/>
      <c r="GT2435" s="4"/>
      <c r="GU2435" s="4"/>
      <c r="GV2435" s="4"/>
      <c r="GW2435" s="4"/>
      <c r="GX2435" s="4"/>
      <c r="GY2435" s="4"/>
      <c r="GZ2435" s="4"/>
      <c r="HA2435" s="4"/>
      <c r="HB2435" s="4"/>
      <c r="HC2435" s="4"/>
      <c r="HD2435" s="4"/>
      <c r="HE2435" s="4"/>
      <c r="HF2435" s="4"/>
      <c r="HG2435" s="4"/>
      <c r="HH2435" s="4"/>
      <c r="HI2435" s="4"/>
      <c r="HJ2435" s="4"/>
      <c r="HK2435" s="4"/>
      <c r="HL2435" s="4"/>
      <c r="HM2435" s="4"/>
      <c r="HN2435" s="4"/>
      <c r="HO2435" s="4"/>
      <c r="HP2435" s="4"/>
      <c r="HQ2435" s="4"/>
      <c r="HR2435" s="4"/>
    </row>
    <row r="2436">
      <c r="A2436" s="2" t="s">
        <v>10778</v>
      </c>
      <c r="B2436" s="2" t="s">
        <v>1414</v>
      </c>
      <c r="C2436" s="2" t="s">
        <v>530</v>
      </c>
      <c r="D2436" s="2" t="s">
        <v>1414</v>
      </c>
      <c r="E2436" s="2" t="s">
        <v>1414</v>
      </c>
      <c r="F2436" s="2" t="s">
        <v>3832</v>
      </c>
      <c r="G2436" s="2" t="s">
        <v>3832</v>
      </c>
      <c r="H2436" s="2" t="s">
        <v>3832</v>
      </c>
      <c r="I2436" s="2" t="s">
        <v>10770</v>
      </c>
      <c r="J2436" s="2" t="s">
        <v>1808</v>
      </c>
      <c r="K2436" s="2" t="s">
        <v>5989</v>
      </c>
      <c r="L2436" s="3">
        <v>211.98</v>
      </c>
      <c r="M2436" s="3">
        <v>222.58</v>
      </c>
      <c r="N2436" s="3">
        <v>474.99</v>
      </c>
      <c r="O2436" s="2" t="s">
        <v>245</v>
      </c>
      <c r="P2436" s="2" t="s">
        <v>311</v>
      </c>
      <c r="Q2436" s="2" t="s">
        <v>239</v>
      </c>
      <c r="R2436" s="2" t="s">
        <v>233</v>
      </c>
      <c r="S2436" s="2" t="s">
        <v>10771</v>
      </c>
      <c r="T2436" s="2" t="s">
        <v>233</v>
      </c>
      <c r="U2436" s="2" t="s">
        <v>396</v>
      </c>
      <c r="V2436" s="2" t="s">
        <v>1085</v>
      </c>
      <c r="W2436" s="2" t="s">
        <v>451</v>
      </c>
      <c r="X2436" s="2" t="s">
        <v>233</v>
      </c>
      <c r="Y2436" s="2" t="s">
        <v>518</v>
      </c>
      <c r="Z2436" s="4">
        <v>104</v>
      </c>
      <c r="AA2436" s="4">
        <f>=ROUNDDOWN({0},0)</f>
      </c>
      <c r="AB2436" s="5"/>
      <c r="AC2436" s="2" t="s">
        <v>233</v>
      </c>
      <c r="AD2436" s="4"/>
      <c r="AE2436" s="4"/>
      <c r="AF2436" s="6">
        <v>63</v>
      </c>
      <c r="AG2436" s="6"/>
      <c r="AH2436" s="7">
        <v>1</v>
      </c>
      <c r="AI2436" s="4"/>
      <c r="AJ2436" s="4">
        <f>=ROUNDDOWN({0},0)</f>
      </c>
      <c r="AK2436" s="5"/>
      <c r="AL2436" s="2" t="s">
        <v>233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233</v>
      </c>
      <c r="AW2436" s="8" t="s">
        <v>233</v>
      </c>
      <c r="AX2436" s="4" t="s">
        <v>233</v>
      </c>
      <c r="AY2436" s="8" t="s">
        <v>233</v>
      </c>
      <c r="AZ2436" s="7" t="s">
        <v>233</v>
      </c>
      <c r="BA2436" s="7" t="s">
        <v>233</v>
      </c>
      <c r="BB2436" s="7"/>
      <c r="BC2436" s="4" t="s">
        <v>233</v>
      </c>
      <c r="BD2436" s="8" t="s">
        <v>233</v>
      </c>
      <c r="BE2436" s="4" t="s">
        <v>233</v>
      </c>
      <c r="BF2436" s="8" t="s">
        <v>233</v>
      </c>
      <c r="BG2436" s="7" t="s">
        <v>233</v>
      </c>
      <c r="BH2436" s="7" t="s">
        <v>233</v>
      </c>
      <c r="BI2436" s="7"/>
      <c r="BJ2436" s="4"/>
      <c r="BK2436" s="8"/>
      <c r="BL2436" s="2" t="s">
        <v>744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10779</v>
      </c>
      <c r="BV2436" s="2" t="s">
        <v>233</v>
      </c>
      <c r="BW2436" s="2" t="s">
        <v>233</v>
      </c>
      <c r="BX2436" s="2" t="s">
        <v>233</v>
      </c>
      <c r="BY2436" s="2" t="s">
        <v>280</v>
      </c>
      <c r="BZ2436" s="2" t="s">
        <v>245</v>
      </c>
      <c r="CA2436" s="2" t="s">
        <v>5398</v>
      </c>
      <c r="CB2436" s="2" t="s">
        <v>233</v>
      </c>
      <c r="CC2436" s="2" t="s">
        <v>246</v>
      </c>
      <c r="CD2436" s="2" t="s">
        <v>233</v>
      </c>
      <c r="CE2436" s="4"/>
      <c r="CF2436" s="4">
        <v>104</v>
      </c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/>
      <c r="GJ2436" s="4"/>
      <c r="GK2436" s="4"/>
      <c r="GL2436" s="4"/>
      <c r="GM2436" s="4"/>
      <c r="GN2436" s="4"/>
      <c r="GO2436" s="4"/>
      <c r="GP2436" s="4"/>
      <c r="GQ2436" s="4"/>
      <c r="GR2436" s="4"/>
      <c r="GS2436" s="4"/>
      <c r="GT2436" s="4"/>
      <c r="GU2436" s="4"/>
      <c r="GV2436" s="4"/>
      <c r="GW2436" s="4"/>
      <c r="GX2436" s="4"/>
      <c r="GY2436" s="4"/>
      <c r="GZ2436" s="4"/>
      <c r="HA2436" s="4"/>
      <c r="HB2436" s="4"/>
      <c r="HC2436" s="4"/>
      <c r="HD2436" s="4"/>
      <c r="HE2436" s="4"/>
      <c r="HF2436" s="4"/>
      <c r="HG2436" s="4"/>
      <c r="HH2436" s="4"/>
      <c r="HI2436" s="4"/>
      <c r="HJ2436" s="4"/>
      <c r="HK2436" s="4"/>
      <c r="HL2436" s="4"/>
      <c r="HM2436" s="4"/>
      <c r="HN2436" s="4"/>
      <c r="HO2436" s="4"/>
      <c r="HP2436" s="4"/>
      <c r="HQ2436" s="4"/>
      <c r="HR2436" s="4"/>
    </row>
    <row r="2437">
      <c r="A2437" s="2" t="s">
        <v>10780</v>
      </c>
      <c r="B2437" s="2" t="s">
        <v>928</v>
      </c>
      <c r="C2437" s="2" t="s">
        <v>530</v>
      </c>
      <c r="D2437" s="2" t="s">
        <v>929</v>
      </c>
      <c r="E2437" s="2" t="s">
        <v>939</v>
      </c>
      <c r="F2437" s="2" t="s">
        <v>10781</v>
      </c>
      <c r="G2437" s="2" t="s">
        <v>10781</v>
      </c>
      <c r="H2437" s="2" t="s">
        <v>10781</v>
      </c>
      <c r="I2437" s="2" t="s">
        <v>10782</v>
      </c>
      <c r="J2437" s="2" t="s">
        <v>892</v>
      </c>
      <c r="K2437" s="2" t="s">
        <v>271</v>
      </c>
      <c r="L2437" s="3">
        <v>36.42</v>
      </c>
      <c r="M2437" s="3">
        <v>38.24</v>
      </c>
      <c r="N2437" s="3">
        <v>76.49</v>
      </c>
      <c r="O2437" s="2" t="s">
        <v>245</v>
      </c>
      <c r="P2437" s="2" t="s">
        <v>238</v>
      </c>
      <c r="Q2437" s="2" t="s">
        <v>239</v>
      </c>
      <c r="R2437" s="2" t="s">
        <v>233</v>
      </c>
      <c r="S2437" s="2" t="s">
        <v>233</v>
      </c>
      <c r="T2437" s="2" t="s">
        <v>233</v>
      </c>
      <c r="U2437" s="2" t="s">
        <v>396</v>
      </c>
      <c r="V2437" s="2" t="s">
        <v>343</v>
      </c>
      <c r="W2437" s="2" t="s">
        <v>343</v>
      </c>
      <c r="X2437" s="2" t="s">
        <v>451</v>
      </c>
      <c r="Y2437" s="2" t="s">
        <v>754</v>
      </c>
      <c r="Z2437" s="4">
        <v>47</v>
      </c>
      <c r="AA2437" s="4">
        <f>=ROUNDDOWN(11.75,0)</f>
      </c>
      <c r="AB2437" s="5">
        <v>4</v>
      </c>
      <c r="AC2437" s="2" t="s">
        <v>2183</v>
      </c>
      <c r="AD2437" s="4">
        <v>100</v>
      </c>
      <c r="AE2437" s="4">
        <v>100</v>
      </c>
      <c r="AF2437" s="6">
        <v>63</v>
      </c>
      <c r="AG2437" s="6"/>
      <c r="AH2437" s="7">
        <v>1</v>
      </c>
      <c r="AI2437" s="4"/>
      <c r="AJ2437" s="4">
        <f>=ROUNDDOWN({0},0)</f>
      </c>
      <c r="AK2437" s="5"/>
      <c r="AL2437" s="2" t="s">
        <v>233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/>
      <c r="BD2437" s="8"/>
      <c r="BE2437" s="4"/>
      <c r="BF2437" s="8"/>
      <c r="BG2437" s="7"/>
      <c r="BH2437" s="7"/>
      <c r="BI2437" s="7"/>
      <c r="BJ2437" s="4">
        <v>7</v>
      </c>
      <c r="BK2437" s="8">
        <v>306.04</v>
      </c>
      <c r="BL2437" s="2" t="s">
        <v>1687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10783</v>
      </c>
      <c r="BV2437" s="2" t="s">
        <v>233</v>
      </c>
      <c r="BW2437" s="2" t="s">
        <v>233</v>
      </c>
      <c r="BX2437" s="2" t="s">
        <v>243</v>
      </c>
      <c r="BY2437" s="2" t="s">
        <v>280</v>
      </c>
      <c r="BZ2437" s="2" t="s">
        <v>245</v>
      </c>
      <c r="CA2437" s="2" t="s">
        <v>4310</v>
      </c>
      <c r="CB2437" s="2" t="s">
        <v>233</v>
      </c>
      <c r="CC2437" s="2" t="s">
        <v>246</v>
      </c>
      <c r="CD2437" s="2" t="s">
        <v>233</v>
      </c>
      <c r="CE2437" s="4">
        <v>47</v>
      </c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/>
      <c r="FH2437" s="4"/>
      <c r="FI2437" s="4"/>
      <c r="FJ2437" s="4"/>
      <c r="FK2437" s="4"/>
      <c r="FL2437" s="4"/>
      <c r="FM2437" s="4"/>
      <c r="FN2437" s="4">
        <v>100</v>
      </c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/>
      <c r="GN2437" s="4"/>
      <c r="GO2437" s="4"/>
      <c r="GP2437" s="4"/>
      <c r="GQ2437" s="4"/>
      <c r="GR2437" s="4"/>
      <c r="GS2437" s="4"/>
      <c r="GT2437" s="4"/>
      <c r="GU2437" s="4"/>
      <c r="GV2437" s="4"/>
      <c r="GW2437" s="4"/>
      <c r="GX2437" s="4"/>
      <c r="GY2437" s="4"/>
      <c r="GZ2437" s="4"/>
      <c r="HA2437" s="4"/>
      <c r="HB2437" s="4"/>
      <c r="HC2437" s="4"/>
      <c r="HD2437" s="4"/>
      <c r="HE2437" s="4"/>
      <c r="HF2437" s="4"/>
      <c r="HG2437" s="4"/>
      <c r="HH2437" s="4"/>
      <c r="HI2437" s="4"/>
      <c r="HJ2437" s="4"/>
      <c r="HK2437" s="4"/>
      <c r="HL2437" s="4"/>
      <c r="HM2437" s="4"/>
      <c r="HN2437" s="4"/>
      <c r="HO2437" s="4"/>
      <c r="HP2437" s="4"/>
      <c r="HQ2437" s="4"/>
      <c r="HR2437" s="4"/>
    </row>
    <row r="2438">
      <c r="A2438" s="2" t="s">
        <v>10784</v>
      </c>
      <c r="B2438" s="2" t="s">
        <v>989</v>
      </c>
      <c r="C2438" s="2" t="s">
        <v>1321</v>
      </c>
      <c r="D2438" s="2" t="s">
        <v>991</v>
      </c>
      <c r="E2438" s="2" t="s">
        <v>992</v>
      </c>
      <c r="F2438" s="2" t="s">
        <v>10785</v>
      </c>
      <c r="G2438" s="2" t="s">
        <v>10785</v>
      </c>
      <c r="H2438" s="2" t="s">
        <v>10785</v>
      </c>
      <c r="I2438" s="2" t="s">
        <v>10786</v>
      </c>
      <c r="J2438" s="2" t="s">
        <v>892</v>
      </c>
      <c r="K2438" s="2" t="s">
        <v>255</v>
      </c>
      <c r="L2438" s="3">
        <v>50.4</v>
      </c>
      <c r="M2438" s="3">
        <v>52.92</v>
      </c>
      <c r="N2438" s="3">
        <v>104.99</v>
      </c>
      <c r="O2438" s="2" t="s">
        <v>245</v>
      </c>
      <c r="P2438" s="2" t="s">
        <v>741</v>
      </c>
      <c r="Q2438" s="2" t="s">
        <v>239</v>
      </c>
      <c r="R2438" s="2" t="s">
        <v>233</v>
      </c>
      <c r="S2438" s="2" t="s">
        <v>10787</v>
      </c>
      <c r="T2438" s="2" t="s">
        <v>341</v>
      </c>
      <c r="U2438" s="2" t="s">
        <v>871</v>
      </c>
      <c r="V2438" s="2" t="s">
        <v>241</v>
      </c>
      <c r="W2438" s="2" t="s">
        <v>705</v>
      </c>
      <c r="X2438" s="2" t="s">
        <v>397</v>
      </c>
      <c r="Y2438" s="2" t="s">
        <v>4147</v>
      </c>
      <c r="Z2438" s="4">
        <v>258</v>
      </c>
      <c r="AA2438" s="4">
        <f>=ROUNDDOWN(18.4285714285714,0)</f>
      </c>
      <c r="AB2438" s="5">
        <v>14</v>
      </c>
      <c r="AC2438" s="2" t="s">
        <v>1947</v>
      </c>
      <c r="AD2438" s="4">
        <v>300</v>
      </c>
      <c r="AE2438" s="4">
        <v>600</v>
      </c>
      <c r="AF2438" s="6">
        <v>67</v>
      </c>
      <c r="AG2438" s="6"/>
      <c r="AH2438" s="7">
        <v>0.4194</v>
      </c>
      <c r="AI2438" s="4"/>
      <c r="AJ2438" s="4">
        <f>=ROUNDDOWN({0},0)</f>
      </c>
      <c r="AK2438" s="5"/>
      <c r="AL2438" s="2" t="s">
        <v>233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/>
      <c r="BD2438" s="8"/>
      <c r="BE2438" s="4"/>
      <c r="BF2438" s="8"/>
      <c r="BG2438" s="7"/>
      <c r="BH2438" s="7"/>
      <c r="BI2438" s="7"/>
      <c r="BJ2438" s="4">
        <v>9</v>
      </c>
      <c r="BK2438" s="8">
        <v>511.15</v>
      </c>
      <c r="BL2438" s="2" t="s">
        <v>10788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10789</v>
      </c>
      <c r="BV2438" s="2" t="s">
        <v>233</v>
      </c>
      <c r="BW2438" s="2" t="s">
        <v>233</v>
      </c>
      <c r="BX2438" s="2" t="s">
        <v>233</v>
      </c>
      <c r="BY2438" s="2" t="s">
        <v>280</v>
      </c>
      <c r="BZ2438" s="2" t="s">
        <v>245</v>
      </c>
      <c r="CA2438" s="2" t="s">
        <v>10790</v>
      </c>
      <c r="CB2438" s="2" t="s">
        <v>7442</v>
      </c>
      <c r="CC2438" s="2" t="s">
        <v>246</v>
      </c>
      <c r="CD2438" s="2" t="s">
        <v>233</v>
      </c>
      <c r="CE2438" s="4">
        <v>258</v>
      </c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>
        <v>300</v>
      </c>
      <c r="FC2438" s="4"/>
      <c r="FD2438" s="4"/>
      <c r="FE2438" s="4"/>
      <c r="FF2438" s="4"/>
      <c r="FG2438" s="4"/>
      <c r="FH2438" s="4"/>
      <c r="FI2438" s="4"/>
      <c r="FJ2438" s="4"/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/>
      <c r="GH2438" s="4"/>
      <c r="GI2438" s="4"/>
      <c r="GJ2438" s="4"/>
      <c r="GK2438" s="4"/>
      <c r="GL2438" s="4"/>
      <c r="GM2438" s="4"/>
      <c r="GN2438" s="4">
        <v>300</v>
      </c>
      <c r="GO2438" s="4"/>
      <c r="GP2438" s="4"/>
      <c r="GQ2438" s="4"/>
      <c r="GR2438" s="4"/>
      <c r="GS2438" s="4"/>
      <c r="GT2438" s="4"/>
      <c r="GU2438" s="4"/>
      <c r="GV2438" s="4"/>
      <c r="GW2438" s="4"/>
      <c r="GX2438" s="4"/>
      <c r="GY2438" s="4"/>
      <c r="GZ2438" s="4"/>
      <c r="HA2438" s="4"/>
      <c r="HB2438" s="4"/>
      <c r="HC2438" s="4"/>
      <c r="HD2438" s="4"/>
      <c r="HE2438" s="4"/>
      <c r="HF2438" s="4"/>
      <c r="HG2438" s="4"/>
      <c r="HH2438" s="4"/>
      <c r="HI2438" s="4"/>
      <c r="HJ2438" s="4"/>
      <c r="HK2438" s="4"/>
      <c r="HL2438" s="4"/>
      <c r="HM2438" s="4"/>
      <c r="HN2438" s="4"/>
      <c r="HO2438" s="4"/>
      <c r="HP2438" s="4"/>
      <c r="HQ2438" s="4"/>
      <c r="HR2438" s="4"/>
    </row>
    <row r="2439">
      <c r="A2439" s="2" t="s">
        <v>10791</v>
      </c>
      <c r="B2439" s="2" t="s">
        <v>928</v>
      </c>
      <c r="C2439" s="2" t="s">
        <v>947</v>
      </c>
      <c r="D2439" s="2" t="s">
        <v>1757</v>
      </c>
      <c r="E2439" s="2" t="s">
        <v>930</v>
      </c>
      <c r="F2439" s="2" t="s">
        <v>10792</v>
      </c>
      <c r="G2439" s="2" t="s">
        <v>10792</v>
      </c>
      <c r="H2439" s="2" t="s">
        <v>10792</v>
      </c>
      <c r="I2439" s="2" t="s">
        <v>10793</v>
      </c>
      <c r="J2439" s="2" t="s">
        <v>892</v>
      </c>
      <c r="K2439" s="2" t="s">
        <v>271</v>
      </c>
      <c r="L2439" s="3">
        <v>32</v>
      </c>
      <c r="M2439" s="3">
        <v>33.6</v>
      </c>
      <c r="N2439" s="3">
        <v>69.99</v>
      </c>
      <c r="O2439" s="2" t="s">
        <v>245</v>
      </c>
      <c r="P2439" s="2" t="s">
        <v>238</v>
      </c>
      <c r="Q2439" s="2" t="s">
        <v>239</v>
      </c>
      <c r="R2439" s="2" t="s">
        <v>233</v>
      </c>
      <c r="S2439" s="2" t="s">
        <v>233</v>
      </c>
      <c r="T2439" s="2" t="s">
        <v>233</v>
      </c>
      <c r="U2439" s="2" t="s">
        <v>396</v>
      </c>
      <c r="V2439" s="2" t="s">
        <v>921</v>
      </c>
      <c r="W2439" s="2" t="s">
        <v>5825</v>
      </c>
      <c r="X2439" s="2" t="s">
        <v>397</v>
      </c>
      <c r="Y2439" s="2" t="s">
        <v>7797</v>
      </c>
      <c r="Z2439" s="4"/>
      <c r="AA2439" s="4">
        <f>=ROUNDDOWN({0},0)</f>
      </c>
      <c r="AB2439" s="5"/>
      <c r="AC2439" s="2" t="s">
        <v>3556</v>
      </c>
      <c r="AD2439" s="4">
        <v>100</v>
      </c>
      <c r="AE2439" s="4">
        <v>100</v>
      </c>
      <c r="AF2439" s="6">
        <v>65</v>
      </c>
      <c r="AG2439" s="6"/>
      <c r="AH2439" s="7">
        <v>0</v>
      </c>
      <c r="AI2439" s="4"/>
      <c r="AJ2439" s="4">
        <f>=ROUNDDOWN({0},0)</f>
      </c>
      <c r="AK2439" s="5"/>
      <c r="AL2439" s="2" t="s">
        <v>233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233</v>
      </c>
      <c r="BD2439" s="8" t="s">
        <v>233</v>
      </c>
      <c r="BE2439" s="4" t="s">
        <v>233</v>
      </c>
      <c r="BF2439" s="8" t="s">
        <v>233</v>
      </c>
      <c r="BG2439" s="7" t="s">
        <v>233</v>
      </c>
      <c r="BH2439" s="7" t="s">
        <v>233</v>
      </c>
      <c r="BI2439" s="7"/>
      <c r="BJ2439" s="4"/>
      <c r="BK2439" s="8"/>
      <c r="BL2439" s="2" t="s">
        <v>233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243</v>
      </c>
      <c r="BV2439" s="2" t="s">
        <v>233</v>
      </c>
      <c r="BW2439" s="2" t="s">
        <v>233</v>
      </c>
      <c r="BX2439" s="2" t="s">
        <v>243</v>
      </c>
      <c r="BY2439" s="2" t="s">
        <v>244</v>
      </c>
      <c r="BZ2439" s="2" t="s">
        <v>245</v>
      </c>
      <c r="CA2439" s="2" t="s">
        <v>233</v>
      </c>
      <c r="CB2439" s="2" t="s">
        <v>233</v>
      </c>
      <c r="CC2439" s="2" t="s">
        <v>246</v>
      </c>
      <c r="CD2439" s="2" t="s">
        <v>233</v>
      </c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>
        <v>100</v>
      </c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/>
      <c r="EX2439" s="4"/>
      <c r="EY2439" s="4"/>
      <c r="EZ2439" s="4"/>
      <c r="FA2439" s="4"/>
      <c r="FB2439" s="4"/>
      <c r="FC2439" s="4"/>
      <c r="FD2439" s="4"/>
      <c r="FE2439" s="4"/>
      <c r="FF2439" s="4"/>
      <c r="FG2439" s="4"/>
      <c r="FH2439" s="4"/>
      <c r="FI2439" s="4"/>
      <c r="FJ2439" s="4"/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/>
      <c r="GH2439" s="4"/>
      <c r="GI2439" s="4"/>
      <c r="GJ2439" s="4"/>
      <c r="GK2439" s="4"/>
      <c r="GL2439" s="4"/>
      <c r="GM2439" s="4"/>
      <c r="GN2439" s="4"/>
      <c r="GO2439" s="4"/>
      <c r="GP2439" s="4"/>
      <c r="GQ2439" s="4"/>
      <c r="GR2439" s="4"/>
      <c r="GS2439" s="4"/>
      <c r="GT2439" s="4"/>
      <c r="GU2439" s="4"/>
      <c r="GV2439" s="4"/>
      <c r="GW2439" s="4"/>
      <c r="GX2439" s="4"/>
      <c r="GY2439" s="4"/>
      <c r="GZ2439" s="4"/>
      <c r="HA2439" s="4"/>
      <c r="HB2439" s="4"/>
      <c r="HC2439" s="4"/>
      <c r="HD2439" s="4"/>
      <c r="HE2439" s="4"/>
      <c r="HF2439" s="4"/>
      <c r="HG2439" s="4"/>
      <c r="HH2439" s="4"/>
      <c r="HI2439" s="4"/>
      <c r="HJ2439" s="4"/>
      <c r="HK2439" s="4"/>
      <c r="HL2439" s="4"/>
      <c r="HM2439" s="4"/>
      <c r="HN2439" s="4"/>
      <c r="HO2439" s="4"/>
      <c r="HP2439" s="4"/>
      <c r="HQ2439" s="4"/>
      <c r="HR2439" s="4"/>
    </row>
    <row r="2440">
      <c r="A2440" s="2" t="s">
        <v>10794</v>
      </c>
      <c r="B2440" s="2" t="s">
        <v>928</v>
      </c>
      <c r="C2440" s="2" t="s">
        <v>947</v>
      </c>
      <c r="D2440" s="2" t="s">
        <v>1757</v>
      </c>
      <c r="E2440" s="2" t="s">
        <v>930</v>
      </c>
      <c r="F2440" s="2" t="s">
        <v>10792</v>
      </c>
      <c r="G2440" s="2" t="s">
        <v>10792</v>
      </c>
      <c r="H2440" s="2" t="s">
        <v>10792</v>
      </c>
      <c r="I2440" s="2" t="s">
        <v>10795</v>
      </c>
      <c r="J2440" s="2" t="s">
        <v>892</v>
      </c>
      <c r="K2440" s="2" t="s">
        <v>2344</v>
      </c>
      <c r="L2440" s="3">
        <v>32</v>
      </c>
      <c r="M2440" s="3">
        <v>33.6</v>
      </c>
      <c r="N2440" s="3">
        <v>69.99</v>
      </c>
      <c r="O2440" s="2" t="s">
        <v>245</v>
      </c>
      <c r="P2440" s="2" t="s">
        <v>238</v>
      </c>
      <c r="Q2440" s="2" t="s">
        <v>239</v>
      </c>
      <c r="R2440" s="2" t="s">
        <v>233</v>
      </c>
      <c r="S2440" s="2" t="s">
        <v>233</v>
      </c>
      <c r="T2440" s="2" t="s">
        <v>233</v>
      </c>
      <c r="U2440" s="2" t="s">
        <v>396</v>
      </c>
      <c r="V2440" s="2" t="s">
        <v>921</v>
      </c>
      <c r="W2440" s="2" t="s">
        <v>5825</v>
      </c>
      <c r="X2440" s="2" t="s">
        <v>397</v>
      </c>
      <c r="Y2440" s="2" t="s">
        <v>7797</v>
      </c>
      <c r="Z2440" s="4"/>
      <c r="AA2440" s="4">
        <f>=ROUNDDOWN({0},0)</f>
      </c>
      <c r="AB2440" s="5"/>
      <c r="AC2440" s="2" t="s">
        <v>3556</v>
      </c>
      <c r="AD2440" s="4">
        <v>100</v>
      </c>
      <c r="AE2440" s="4">
        <v>100</v>
      </c>
      <c r="AF2440" s="6">
        <v>65</v>
      </c>
      <c r="AG2440" s="6"/>
      <c r="AH2440" s="7">
        <v>0</v>
      </c>
      <c r="AI2440" s="4"/>
      <c r="AJ2440" s="4">
        <f>=ROUNDDOWN({0},0)</f>
      </c>
      <c r="AK2440" s="5"/>
      <c r="AL2440" s="2" t="s">
        <v>233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233</v>
      </c>
      <c r="BD2440" s="8" t="s">
        <v>233</v>
      </c>
      <c r="BE2440" s="4" t="s">
        <v>233</v>
      </c>
      <c r="BF2440" s="8" t="s">
        <v>233</v>
      </c>
      <c r="BG2440" s="7" t="s">
        <v>233</v>
      </c>
      <c r="BH2440" s="7" t="s">
        <v>233</v>
      </c>
      <c r="BI2440" s="7"/>
      <c r="BJ2440" s="4"/>
      <c r="BK2440" s="8"/>
      <c r="BL2440" s="2" t="s">
        <v>233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243</v>
      </c>
      <c r="BV2440" s="2" t="s">
        <v>233</v>
      </c>
      <c r="BW2440" s="2" t="s">
        <v>233</v>
      </c>
      <c r="BX2440" s="2" t="s">
        <v>243</v>
      </c>
      <c r="BY2440" s="2" t="s">
        <v>244</v>
      </c>
      <c r="BZ2440" s="2" t="s">
        <v>245</v>
      </c>
      <c r="CA2440" s="2" t="s">
        <v>233</v>
      </c>
      <c r="CB2440" s="2" t="s">
        <v>233</v>
      </c>
      <c r="CC2440" s="2" t="s">
        <v>246</v>
      </c>
      <c r="CD2440" s="2" t="s">
        <v>233</v>
      </c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>
        <v>100</v>
      </c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/>
      <c r="GH2440" s="4"/>
      <c r="GI2440" s="4"/>
      <c r="GJ2440" s="4"/>
      <c r="GK2440" s="4"/>
      <c r="GL2440" s="4"/>
      <c r="GM2440" s="4"/>
      <c r="GN2440" s="4"/>
      <c r="GO2440" s="4"/>
      <c r="GP2440" s="4"/>
      <c r="GQ2440" s="4"/>
      <c r="GR2440" s="4"/>
      <c r="GS2440" s="4"/>
      <c r="GT2440" s="4"/>
      <c r="GU2440" s="4"/>
      <c r="GV2440" s="4"/>
      <c r="GW2440" s="4"/>
      <c r="GX2440" s="4"/>
      <c r="GY2440" s="4"/>
      <c r="GZ2440" s="4"/>
      <c r="HA2440" s="4"/>
      <c r="HB2440" s="4"/>
      <c r="HC2440" s="4"/>
      <c r="HD2440" s="4"/>
      <c r="HE2440" s="4"/>
      <c r="HF2440" s="4"/>
      <c r="HG2440" s="4"/>
      <c r="HH2440" s="4"/>
      <c r="HI2440" s="4"/>
      <c r="HJ2440" s="4"/>
      <c r="HK2440" s="4"/>
      <c r="HL2440" s="4"/>
      <c r="HM2440" s="4"/>
      <c r="HN2440" s="4"/>
      <c r="HO2440" s="4"/>
      <c r="HP2440" s="4"/>
      <c r="HQ2440" s="4"/>
      <c r="HR2440" s="4"/>
    </row>
    <row r="2441">
      <c r="A2441" s="2" t="s">
        <v>10796</v>
      </c>
      <c r="B2441" s="2" t="s">
        <v>1066</v>
      </c>
      <c r="C2441" s="2" t="s">
        <v>530</v>
      </c>
      <c r="D2441" s="2" t="s">
        <v>2037</v>
      </c>
      <c r="E2441" s="2" t="s">
        <v>2038</v>
      </c>
      <c r="F2441" s="2" t="s">
        <v>10797</v>
      </c>
      <c r="G2441" s="2" t="s">
        <v>10798</v>
      </c>
      <c r="H2441" s="2" t="s">
        <v>10799</v>
      </c>
      <c r="I2441" s="2" t="s">
        <v>2038</v>
      </c>
      <c r="J2441" s="2" t="s">
        <v>892</v>
      </c>
      <c r="K2441" s="2" t="s">
        <v>773</v>
      </c>
      <c r="L2441" s="3">
        <v>260</v>
      </c>
      <c r="M2441" s="3">
        <v>273</v>
      </c>
      <c r="N2441" s="3">
        <v>549</v>
      </c>
      <c r="O2441" s="2" t="s">
        <v>237</v>
      </c>
      <c r="P2441" s="2" t="s">
        <v>311</v>
      </c>
      <c r="Q2441" s="2" t="s">
        <v>239</v>
      </c>
      <c r="R2441" s="2" t="s">
        <v>233</v>
      </c>
      <c r="S2441" s="2" t="s">
        <v>233</v>
      </c>
      <c r="T2441" s="2" t="s">
        <v>233</v>
      </c>
      <c r="U2441" s="2" t="s">
        <v>396</v>
      </c>
      <c r="V2441" s="2" t="s">
        <v>241</v>
      </c>
      <c r="W2441" s="2" t="s">
        <v>451</v>
      </c>
      <c r="X2441" s="2" t="s">
        <v>233</v>
      </c>
      <c r="Y2441" s="2" t="s">
        <v>10800</v>
      </c>
      <c r="Z2441" s="4">
        <v>22</v>
      </c>
      <c r="AA2441" s="4">
        <f>=ROUNDDOWN(27.5,0)</f>
      </c>
      <c r="AB2441" s="5">
        <v>0.8</v>
      </c>
      <c r="AC2441" s="2" t="s">
        <v>233</v>
      </c>
      <c r="AD2441" s="4"/>
      <c r="AE2441" s="4"/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233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/>
      <c r="BD2441" s="8"/>
      <c r="BE2441" s="4"/>
      <c r="BF2441" s="8"/>
      <c r="BG2441" s="7"/>
      <c r="BH2441" s="7"/>
      <c r="BI2441" s="7"/>
      <c r="BJ2441" s="4">
        <v>5</v>
      </c>
      <c r="BK2441" s="8">
        <v>801.97</v>
      </c>
      <c r="BL2441" s="2" t="s">
        <v>1588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10801</v>
      </c>
      <c r="BV2441" s="2" t="s">
        <v>233</v>
      </c>
      <c r="BW2441" s="2" t="s">
        <v>233</v>
      </c>
      <c r="BX2441" s="2" t="s">
        <v>233</v>
      </c>
      <c r="BY2441" s="2" t="s">
        <v>280</v>
      </c>
      <c r="BZ2441" s="2" t="s">
        <v>245</v>
      </c>
      <c r="CA2441" s="2" t="s">
        <v>5304</v>
      </c>
      <c r="CB2441" s="2" t="s">
        <v>10802</v>
      </c>
      <c r="CC2441" s="2" t="s">
        <v>246</v>
      </c>
      <c r="CD2441" s="2" t="s">
        <v>233</v>
      </c>
      <c r="CE2441" s="4"/>
      <c r="CF2441" s="4">
        <v>22</v>
      </c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/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/>
      <c r="FF2441" s="4"/>
      <c r="FG2441" s="4"/>
      <c r="FH2441" s="4"/>
      <c r="FI2441" s="4"/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/>
      <c r="GR2441" s="4"/>
      <c r="GS2441" s="4"/>
      <c r="GT2441" s="4"/>
      <c r="GU2441" s="4"/>
      <c r="GV2441" s="4"/>
      <c r="GW2441" s="4"/>
      <c r="GX2441" s="4"/>
      <c r="GY2441" s="4"/>
      <c r="GZ2441" s="4"/>
      <c r="HA2441" s="4"/>
      <c r="HB2441" s="4"/>
      <c r="HC2441" s="4"/>
      <c r="HD2441" s="4"/>
      <c r="HE2441" s="4"/>
      <c r="HF2441" s="4"/>
      <c r="HG2441" s="4"/>
      <c r="HH2441" s="4"/>
      <c r="HI2441" s="4"/>
      <c r="HJ2441" s="4"/>
      <c r="HK2441" s="4"/>
      <c r="HL2441" s="4"/>
      <c r="HM2441" s="4"/>
      <c r="HN2441" s="4"/>
      <c r="HO2441" s="4"/>
      <c r="HP2441" s="4"/>
      <c r="HQ2441" s="4"/>
      <c r="HR2441" s="4"/>
    </row>
    <row r="2442">
      <c r="A2442" s="2" t="s">
        <v>10803</v>
      </c>
      <c r="B2442" s="2" t="s">
        <v>910</v>
      </c>
      <c r="C2442" s="2" t="s">
        <v>3320</v>
      </c>
      <c r="D2442" s="2" t="s">
        <v>1862</v>
      </c>
      <c r="E2442" s="2" t="s">
        <v>3734</v>
      </c>
      <c r="F2442" s="2" t="s">
        <v>10804</v>
      </c>
      <c r="G2442" s="2" t="s">
        <v>10805</v>
      </c>
      <c r="H2442" s="2" t="s">
        <v>10806</v>
      </c>
      <c r="I2442" s="2" t="s">
        <v>10807</v>
      </c>
      <c r="J2442" s="2" t="s">
        <v>270</v>
      </c>
      <c r="K2442" s="2" t="s">
        <v>773</v>
      </c>
      <c r="L2442" s="3">
        <v>31.5</v>
      </c>
      <c r="M2442" s="3">
        <v>33.08</v>
      </c>
      <c r="N2442" s="3">
        <v>69.99</v>
      </c>
      <c r="O2442" s="2" t="s">
        <v>245</v>
      </c>
      <c r="P2442" s="2" t="s">
        <v>996</v>
      </c>
      <c r="Q2442" s="2" t="s">
        <v>239</v>
      </c>
      <c r="R2442" s="2" t="s">
        <v>233</v>
      </c>
      <c r="S2442" s="2" t="s">
        <v>10808</v>
      </c>
      <c r="T2442" s="2" t="s">
        <v>395</v>
      </c>
      <c r="U2442" s="2" t="s">
        <v>475</v>
      </c>
      <c r="V2442" s="2" t="s">
        <v>1658</v>
      </c>
      <c r="W2442" s="2" t="s">
        <v>275</v>
      </c>
      <c r="X2442" s="2" t="s">
        <v>233</v>
      </c>
      <c r="Y2442" s="2" t="s">
        <v>10809</v>
      </c>
      <c r="Z2442" s="4"/>
      <c r="AA2442" s="4">
        <f>=ROUNDDOWN({0},0)</f>
      </c>
      <c r="AB2442" s="5">
        <v>4</v>
      </c>
      <c r="AC2442" s="2" t="s">
        <v>233</v>
      </c>
      <c r="AD2442" s="4"/>
      <c r="AE2442" s="4"/>
      <c r="AF2442" s="6">
        <v>65</v>
      </c>
      <c r="AG2442" s="6"/>
      <c r="AH2442" s="7">
        <v>0</v>
      </c>
      <c r="AI2442" s="4"/>
      <c r="AJ2442" s="4">
        <f>=ROUNDDOWN({0},0)</f>
      </c>
      <c r="AK2442" s="5"/>
      <c r="AL2442" s="2" t="s">
        <v>233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/>
      <c r="BD2442" s="8"/>
      <c r="BE2442" s="4"/>
      <c r="BF2442" s="8"/>
      <c r="BG2442" s="7"/>
      <c r="BH2442" s="7"/>
      <c r="BI2442" s="7"/>
      <c r="BJ2442" s="4"/>
      <c r="BK2442" s="8"/>
      <c r="BL2442" s="2" t="s">
        <v>10810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10811</v>
      </c>
      <c r="BV2442" s="2" t="s">
        <v>233</v>
      </c>
      <c r="BW2442" s="2" t="s">
        <v>233</v>
      </c>
      <c r="BX2442" s="2" t="s">
        <v>233</v>
      </c>
      <c r="BY2442" s="2" t="s">
        <v>280</v>
      </c>
      <c r="BZ2442" s="2" t="s">
        <v>245</v>
      </c>
      <c r="CA2442" s="2" t="s">
        <v>9879</v>
      </c>
      <c r="CB2442" s="2" t="s">
        <v>1371</v>
      </c>
      <c r="CC2442" s="2" t="s">
        <v>246</v>
      </c>
      <c r="CD2442" s="2" t="s">
        <v>233</v>
      </c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/>
      <c r="EP2442" s="4"/>
      <c r="EQ2442" s="4"/>
      <c r="ER2442" s="4"/>
      <c r="ES2442" s="4"/>
      <c r="ET2442" s="4"/>
      <c r="EU2442" s="4"/>
      <c r="EV2442" s="4"/>
      <c r="EW2442" s="4"/>
      <c r="EX2442" s="4"/>
      <c r="EY2442" s="4"/>
      <c r="EZ2442" s="4"/>
      <c r="FA2442" s="4"/>
      <c r="FB2442" s="4"/>
      <c r="FC2442" s="4"/>
      <c r="FD2442" s="4"/>
      <c r="FE2442" s="4"/>
      <c r="FF2442" s="4"/>
      <c r="FG2442" s="4"/>
      <c r="FH2442" s="4"/>
      <c r="FI2442" s="4"/>
      <c r="FJ2442" s="4"/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/>
      <c r="GR2442" s="4"/>
      <c r="GS2442" s="4"/>
      <c r="GT2442" s="4"/>
      <c r="GU2442" s="4"/>
      <c r="GV2442" s="4"/>
      <c r="GW2442" s="4"/>
      <c r="GX2442" s="4"/>
      <c r="GY2442" s="4"/>
      <c r="GZ2442" s="4"/>
      <c r="HA2442" s="4"/>
      <c r="HB2442" s="4"/>
      <c r="HC2442" s="4"/>
      <c r="HD2442" s="4"/>
      <c r="HE2442" s="4"/>
      <c r="HF2442" s="4"/>
      <c r="HG2442" s="4"/>
      <c r="HH2442" s="4"/>
      <c r="HI2442" s="4"/>
      <c r="HJ2442" s="4"/>
      <c r="HK2442" s="4"/>
      <c r="HL2442" s="4"/>
      <c r="HM2442" s="4"/>
      <c r="HN2442" s="4"/>
      <c r="HO2442" s="4"/>
      <c r="HP2442" s="4"/>
      <c r="HQ2442" s="4"/>
      <c r="HR2442" s="4"/>
    </row>
    <row r="2443">
      <c r="A2443" s="2" t="s">
        <v>10812</v>
      </c>
      <c r="B2443" s="2" t="s">
        <v>264</v>
      </c>
      <c r="C2443" s="2" t="s">
        <v>530</v>
      </c>
      <c r="D2443" s="2" t="s">
        <v>969</v>
      </c>
      <c r="E2443" s="2" t="s">
        <v>2383</v>
      </c>
      <c r="F2443" s="2" t="s">
        <v>10813</v>
      </c>
      <c r="G2443" s="2" t="s">
        <v>10813</v>
      </c>
      <c r="H2443" s="2" t="s">
        <v>10813</v>
      </c>
      <c r="I2443" s="2" t="s">
        <v>10814</v>
      </c>
      <c r="J2443" s="2" t="s">
        <v>981</v>
      </c>
      <c r="K2443" s="2" t="s">
        <v>1201</v>
      </c>
      <c r="L2443" s="3">
        <v>54.47</v>
      </c>
      <c r="M2443" s="3">
        <v>57.19</v>
      </c>
      <c r="N2443" s="3">
        <v>109.99</v>
      </c>
      <c r="O2443" s="2" t="s">
        <v>245</v>
      </c>
      <c r="P2443" s="2" t="s">
        <v>238</v>
      </c>
      <c r="Q2443" s="2" t="s">
        <v>239</v>
      </c>
      <c r="R2443" s="2" t="s">
        <v>233</v>
      </c>
      <c r="S2443" s="2" t="s">
        <v>10815</v>
      </c>
      <c r="T2443" s="2" t="s">
        <v>395</v>
      </c>
      <c r="U2443" s="2" t="s">
        <v>396</v>
      </c>
      <c r="V2443" s="2" t="s">
        <v>241</v>
      </c>
      <c r="W2443" s="2" t="s">
        <v>275</v>
      </c>
      <c r="X2443" s="2" t="s">
        <v>705</v>
      </c>
      <c r="Y2443" s="2" t="s">
        <v>233</v>
      </c>
      <c r="Z2443" s="4"/>
      <c r="AA2443" s="4">
        <f>=ROUNDDOWN({0},0)</f>
      </c>
      <c r="AB2443" s="5"/>
      <c r="AC2443" s="2" t="s">
        <v>1947</v>
      </c>
      <c r="AD2443" s="4">
        <v>200</v>
      </c>
      <c r="AE2443" s="4">
        <v>460</v>
      </c>
      <c r="AF2443" s="6">
        <v>65</v>
      </c>
      <c r="AG2443" s="6"/>
      <c r="AH2443" s="7">
        <v>0</v>
      </c>
      <c r="AI2443" s="4"/>
      <c r="AJ2443" s="4">
        <f>=ROUNDDOWN({0},0)</f>
      </c>
      <c r="AK2443" s="5"/>
      <c r="AL2443" s="2" t="s">
        <v>233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 t="s">
        <v>233</v>
      </c>
      <c r="AW2443" s="8" t="s">
        <v>233</v>
      </c>
      <c r="AX2443" s="4" t="s">
        <v>233</v>
      </c>
      <c r="AY2443" s="8" t="s">
        <v>233</v>
      </c>
      <c r="AZ2443" s="7" t="s">
        <v>233</v>
      </c>
      <c r="BA2443" s="7" t="s">
        <v>233</v>
      </c>
      <c r="BB2443" s="7"/>
      <c r="BC2443" s="4" t="s">
        <v>233</v>
      </c>
      <c r="BD2443" s="8" t="s">
        <v>233</v>
      </c>
      <c r="BE2443" s="4" t="s">
        <v>233</v>
      </c>
      <c r="BF2443" s="8" t="s">
        <v>233</v>
      </c>
      <c r="BG2443" s="7" t="s">
        <v>233</v>
      </c>
      <c r="BH2443" s="7" t="s">
        <v>233</v>
      </c>
      <c r="BI2443" s="7"/>
      <c r="BJ2443" s="4"/>
      <c r="BK2443" s="8"/>
      <c r="BL2443" s="2" t="s">
        <v>233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243</v>
      </c>
      <c r="BV2443" s="2" t="s">
        <v>233</v>
      </c>
      <c r="BW2443" s="2" t="s">
        <v>233</v>
      </c>
      <c r="BX2443" s="2" t="s">
        <v>243</v>
      </c>
      <c r="BY2443" s="2" t="s">
        <v>244</v>
      </c>
      <c r="BZ2443" s="2" t="s">
        <v>245</v>
      </c>
      <c r="CA2443" s="2" t="s">
        <v>233</v>
      </c>
      <c r="CB2443" s="2" t="s">
        <v>233</v>
      </c>
      <c r="CC2443" s="2" t="s">
        <v>246</v>
      </c>
      <c r="CD2443" s="2" t="s">
        <v>233</v>
      </c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/>
      <c r="EO2443" s="4"/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>
        <v>200</v>
      </c>
      <c r="FC2443" s="4"/>
      <c r="FD2443" s="4"/>
      <c r="FE2443" s="4"/>
      <c r="FF2443" s="4"/>
      <c r="FG2443" s="4"/>
      <c r="FH2443" s="4"/>
      <c r="FI2443" s="4"/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/>
      <c r="GG2443" s="4"/>
      <c r="GH2443" s="4"/>
      <c r="GI2443" s="4"/>
      <c r="GJ2443" s="4"/>
      <c r="GK2443" s="4"/>
      <c r="GL2443" s="4"/>
      <c r="GM2443" s="4"/>
      <c r="GN2443" s="4"/>
      <c r="GO2443" s="4"/>
      <c r="GP2443" s="4"/>
      <c r="GQ2443" s="4"/>
      <c r="GR2443" s="4"/>
      <c r="GS2443" s="4"/>
      <c r="GT2443" s="4"/>
      <c r="GU2443" s="4"/>
      <c r="GV2443" s="4"/>
      <c r="GW2443" s="4">
        <v>260</v>
      </c>
      <c r="GX2443" s="4"/>
      <c r="GY2443" s="4"/>
      <c r="GZ2443" s="4"/>
      <c r="HA2443" s="4"/>
      <c r="HB2443" s="4"/>
      <c r="HC2443" s="4"/>
      <c r="HD2443" s="4"/>
      <c r="HE2443" s="4"/>
      <c r="HF2443" s="4"/>
      <c r="HG2443" s="4"/>
      <c r="HH2443" s="4"/>
      <c r="HI2443" s="4"/>
      <c r="HJ2443" s="4"/>
      <c r="HK2443" s="4"/>
      <c r="HL2443" s="4"/>
      <c r="HM2443" s="4"/>
      <c r="HN2443" s="4"/>
      <c r="HO2443" s="4"/>
      <c r="HP2443" s="4"/>
      <c r="HQ2443" s="4"/>
      <c r="HR2443" s="4"/>
    </row>
    <row r="2444">
      <c r="A2444" s="2" t="s">
        <v>10816</v>
      </c>
      <c r="B2444" s="2" t="s">
        <v>264</v>
      </c>
      <c r="C2444" s="2" t="s">
        <v>530</v>
      </c>
      <c r="D2444" s="2" t="s">
        <v>487</v>
      </c>
      <c r="E2444" s="2" t="s">
        <v>9776</v>
      </c>
      <c r="F2444" s="2" t="s">
        <v>10813</v>
      </c>
      <c r="G2444" s="2" t="s">
        <v>10813</v>
      </c>
      <c r="H2444" s="2" t="s">
        <v>10813</v>
      </c>
      <c r="I2444" s="2" t="s">
        <v>10817</v>
      </c>
      <c r="J2444" s="2" t="s">
        <v>328</v>
      </c>
      <c r="K2444" s="2" t="s">
        <v>1201</v>
      </c>
      <c r="L2444" s="3">
        <v>15</v>
      </c>
      <c r="M2444" s="3">
        <v>15.75</v>
      </c>
      <c r="N2444" s="3">
        <v>34.99</v>
      </c>
      <c r="O2444" s="2" t="s">
        <v>245</v>
      </c>
      <c r="P2444" s="2" t="s">
        <v>238</v>
      </c>
      <c r="Q2444" s="2" t="s">
        <v>239</v>
      </c>
      <c r="R2444" s="2" t="s">
        <v>233</v>
      </c>
      <c r="S2444" s="2" t="s">
        <v>10818</v>
      </c>
      <c r="T2444" s="2" t="s">
        <v>395</v>
      </c>
      <c r="U2444" s="2" t="s">
        <v>396</v>
      </c>
      <c r="V2444" s="2" t="s">
        <v>241</v>
      </c>
      <c r="W2444" s="2" t="s">
        <v>275</v>
      </c>
      <c r="X2444" s="2" t="s">
        <v>705</v>
      </c>
      <c r="Y2444" s="2" t="s">
        <v>233</v>
      </c>
      <c r="Z2444" s="4"/>
      <c r="AA2444" s="4">
        <f>=ROUNDDOWN({0},0)</f>
      </c>
      <c r="AB2444" s="5"/>
      <c r="AC2444" s="2" t="s">
        <v>1947</v>
      </c>
      <c r="AD2444" s="4">
        <v>170</v>
      </c>
      <c r="AE2444" s="4">
        <v>170</v>
      </c>
      <c r="AF2444" s="6">
        <v>65</v>
      </c>
      <c r="AG2444" s="6"/>
      <c r="AH2444" s="7">
        <v>0</v>
      </c>
      <c r="AI2444" s="4"/>
      <c r="AJ2444" s="4">
        <f>=ROUNDDOWN({0},0)</f>
      </c>
      <c r="AK2444" s="5"/>
      <c r="AL2444" s="2" t="s">
        <v>233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 t="s">
        <v>233</v>
      </c>
      <c r="AW2444" s="8" t="s">
        <v>233</v>
      </c>
      <c r="AX2444" s="4" t="s">
        <v>233</v>
      </c>
      <c r="AY2444" s="8" t="s">
        <v>233</v>
      </c>
      <c r="AZ2444" s="7" t="s">
        <v>233</v>
      </c>
      <c r="BA2444" s="7" t="s">
        <v>233</v>
      </c>
      <c r="BB2444" s="7"/>
      <c r="BC2444" s="4" t="s">
        <v>233</v>
      </c>
      <c r="BD2444" s="8" t="s">
        <v>233</v>
      </c>
      <c r="BE2444" s="4" t="s">
        <v>233</v>
      </c>
      <c r="BF2444" s="8" t="s">
        <v>233</v>
      </c>
      <c r="BG2444" s="7" t="s">
        <v>233</v>
      </c>
      <c r="BH2444" s="7" t="s">
        <v>233</v>
      </c>
      <c r="BI2444" s="7"/>
      <c r="BJ2444" s="4"/>
      <c r="BK2444" s="8"/>
      <c r="BL2444" s="2" t="s">
        <v>233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243</v>
      </c>
      <c r="BV2444" s="2" t="s">
        <v>233</v>
      </c>
      <c r="BW2444" s="2" t="s">
        <v>233</v>
      </c>
      <c r="BX2444" s="2" t="s">
        <v>243</v>
      </c>
      <c r="BY2444" s="2" t="s">
        <v>244</v>
      </c>
      <c r="BZ2444" s="2" t="s">
        <v>245</v>
      </c>
      <c r="CA2444" s="2" t="s">
        <v>233</v>
      </c>
      <c r="CB2444" s="2" t="s">
        <v>233</v>
      </c>
      <c r="CC2444" s="2" t="s">
        <v>246</v>
      </c>
      <c r="CD2444" s="2" t="s">
        <v>233</v>
      </c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/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/>
      <c r="FA2444" s="4"/>
      <c r="FB2444" s="4">
        <v>170</v>
      </c>
      <c r="FC2444" s="4"/>
      <c r="FD2444" s="4"/>
      <c r="FE2444" s="4"/>
      <c r="FF2444" s="4"/>
      <c r="FG2444" s="4"/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/>
      <c r="GH2444" s="4"/>
      <c r="GI2444" s="4"/>
      <c r="GJ2444" s="4"/>
      <c r="GK2444" s="4"/>
      <c r="GL2444" s="4"/>
      <c r="GM2444" s="4"/>
      <c r="GN2444" s="4"/>
      <c r="GO2444" s="4"/>
      <c r="GP2444" s="4"/>
      <c r="GQ2444" s="4"/>
      <c r="GR2444" s="4"/>
      <c r="GS2444" s="4"/>
      <c r="GT2444" s="4"/>
      <c r="GU2444" s="4"/>
      <c r="GV2444" s="4"/>
      <c r="GW2444" s="4"/>
      <c r="GX2444" s="4"/>
      <c r="GY2444" s="4"/>
      <c r="GZ2444" s="4"/>
      <c r="HA2444" s="4"/>
      <c r="HB2444" s="4"/>
      <c r="HC2444" s="4"/>
      <c r="HD2444" s="4"/>
      <c r="HE2444" s="4"/>
      <c r="HF2444" s="4"/>
      <c r="HG2444" s="4"/>
      <c r="HH2444" s="4"/>
      <c r="HI2444" s="4"/>
      <c r="HJ2444" s="4"/>
      <c r="HK2444" s="4"/>
      <c r="HL2444" s="4"/>
      <c r="HM2444" s="4"/>
      <c r="HN2444" s="4"/>
      <c r="HO2444" s="4"/>
      <c r="HP2444" s="4"/>
      <c r="HQ2444" s="4"/>
      <c r="HR2444" s="4"/>
    </row>
    <row r="2445">
      <c r="A2445" s="2" t="s">
        <v>10819</v>
      </c>
      <c r="B2445" s="2" t="s">
        <v>264</v>
      </c>
      <c r="C2445" s="2" t="s">
        <v>530</v>
      </c>
      <c r="D2445" s="2" t="s">
        <v>969</v>
      </c>
      <c r="E2445" s="2" t="s">
        <v>2383</v>
      </c>
      <c r="F2445" s="2" t="s">
        <v>10813</v>
      </c>
      <c r="G2445" s="2" t="s">
        <v>10813</v>
      </c>
      <c r="H2445" s="2" t="s">
        <v>10813</v>
      </c>
      <c r="I2445" s="2" t="s">
        <v>10814</v>
      </c>
      <c r="J2445" s="2" t="s">
        <v>1142</v>
      </c>
      <c r="K2445" s="2" t="s">
        <v>1201</v>
      </c>
      <c r="L2445" s="3">
        <v>64.38</v>
      </c>
      <c r="M2445" s="3">
        <v>67.6</v>
      </c>
      <c r="N2445" s="3">
        <v>129.99</v>
      </c>
      <c r="O2445" s="2" t="s">
        <v>245</v>
      </c>
      <c r="P2445" s="2" t="s">
        <v>238</v>
      </c>
      <c r="Q2445" s="2" t="s">
        <v>239</v>
      </c>
      <c r="R2445" s="2" t="s">
        <v>233</v>
      </c>
      <c r="S2445" s="2" t="s">
        <v>10815</v>
      </c>
      <c r="T2445" s="2" t="s">
        <v>395</v>
      </c>
      <c r="U2445" s="2" t="s">
        <v>396</v>
      </c>
      <c r="V2445" s="2" t="s">
        <v>241</v>
      </c>
      <c r="W2445" s="2" t="s">
        <v>275</v>
      </c>
      <c r="X2445" s="2" t="s">
        <v>705</v>
      </c>
      <c r="Y2445" s="2" t="s">
        <v>233</v>
      </c>
      <c r="Z2445" s="4"/>
      <c r="AA2445" s="4">
        <f>=ROUNDDOWN({0},0)</f>
      </c>
      <c r="AB2445" s="5"/>
      <c r="AC2445" s="2" t="s">
        <v>1947</v>
      </c>
      <c r="AD2445" s="4">
        <v>240</v>
      </c>
      <c r="AE2445" s="4">
        <v>540</v>
      </c>
      <c r="AF2445" s="6">
        <v>65</v>
      </c>
      <c r="AG2445" s="6"/>
      <c r="AH2445" s="7">
        <v>0</v>
      </c>
      <c r="AI2445" s="4"/>
      <c r="AJ2445" s="4">
        <f>=ROUNDDOWN({0},0)</f>
      </c>
      <c r="AK2445" s="5"/>
      <c r="AL2445" s="2" t="s">
        <v>233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233</v>
      </c>
      <c r="AW2445" s="8" t="s">
        <v>233</v>
      </c>
      <c r="AX2445" s="4" t="s">
        <v>233</v>
      </c>
      <c r="AY2445" s="8" t="s">
        <v>233</v>
      </c>
      <c r="AZ2445" s="7" t="s">
        <v>233</v>
      </c>
      <c r="BA2445" s="7" t="s">
        <v>233</v>
      </c>
      <c r="BB2445" s="7"/>
      <c r="BC2445" s="4" t="s">
        <v>233</v>
      </c>
      <c r="BD2445" s="8" t="s">
        <v>233</v>
      </c>
      <c r="BE2445" s="4" t="s">
        <v>233</v>
      </c>
      <c r="BF2445" s="8" t="s">
        <v>233</v>
      </c>
      <c r="BG2445" s="7" t="s">
        <v>233</v>
      </c>
      <c r="BH2445" s="7" t="s">
        <v>233</v>
      </c>
      <c r="BI2445" s="7"/>
      <c r="BJ2445" s="4"/>
      <c r="BK2445" s="8"/>
      <c r="BL2445" s="2" t="s">
        <v>233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243</v>
      </c>
      <c r="BV2445" s="2" t="s">
        <v>233</v>
      </c>
      <c r="BW2445" s="2" t="s">
        <v>233</v>
      </c>
      <c r="BX2445" s="2" t="s">
        <v>243</v>
      </c>
      <c r="BY2445" s="2" t="s">
        <v>244</v>
      </c>
      <c r="BZ2445" s="2" t="s">
        <v>245</v>
      </c>
      <c r="CA2445" s="2" t="s">
        <v>233</v>
      </c>
      <c r="CB2445" s="2" t="s">
        <v>233</v>
      </c>
      <c r="CC2445" s="2" t="s">
        <v>246</v>
      </c>
      <c r="CD2445" s="2" t="s">
        <v>233</v>
      </c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/>
      <c r="EO2445" s="4"/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/>
      <c r="FA2445" s="4"/>
      <c r="FB2445" s="4">
        <v>240</v>
      </c>
      <c r="FC2445" s="4"/>
      <c r="FD2445" s="4"/>
      <c r="FE2445" s="4"/>
      <c r="FF2445" s="4"/>
      <c r="FG2445" s="4"/>
      <c r="FH2445" s="4"/>
      <c r="FI2445" s="4"/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/>
      <c r="GR2445" s="4"/>
      <c r="GS2445" s="4"/>
      <c r="GT2445" s="4"/>
      <c r="GU2445" s="4"/>
      <c r="GV2445" s="4"/>
      <c r="GW2445" s="4">
        <v>300</v>
      </c>
      <c r="GX2445" s="4"/>
      <c r="GY2445" s="4"/>
      <c r="GZ2445" s="4"/>
      <c r="HA2445" s="4"/>
      <c r="HB2445" s="4"/>
      <c r="HC2445" s="4"/>
      <c r="HD2445" s="4"/>
      <c r="HE2445" s="4"/>
      <c r="HF2445" s="4"/>
      <c r="HG2445" s="4"/>
      <c r="HH2445" s="4"/>
      <c r="HI2445" s="4"/>
      <c r="HJ2445" s="4"/>
      <c r="HK2445" s="4"/>
      <c r="HL2445" s="4"/>
      <c r="HM2445" s="4"/>
      <c r="HN2445" s="4"/>
      <c r="HO2445" s="4"/>
      <c r="HP2445" s="4"/>
      <c r="HQ2445" s="4"/>
      <c r="HR2445" s="4"/>
    </row>
    <row r="2446">
      <c r="A2446" s="2" t="s">
        <v>10820</v>
      </c>
      <c r="B2446" s="2" t="s">
        <v>264</v>
      </c>
      <c r="C2446" s="2" t="s">
        <v>530</v>
      </c>
      <c r="D2446" s="2" t="s">
        <v>487</v>
      </c>
      <c r="E2446" s="2" t="s">
        <v>9776</v>
      </c>
      <c r="F2446" s="2" t="s">
        <v>10813</v>
      </c>
      <c r="G2446" s="2" t="s">
        <v>10813</v>
      </c>
      <c r="H2446" s="2" t="s">
        <v>10813</v>
      </c>
      <c r="I2446" s="2" t="s">
        <v>10817</v>
      </c>
      <c r="J2446" s="2" t="s">
        <v>7575</v>
      </c>
      <c r="K2446" s="2" t="s">
        <v>1201</v>
      </c>
      <c r="L2446" s="3">
        <v>13.71</v>
      </c>
      <c r="M2446" s="3">
        <v>14.4</v>
      </c>
      <c r="N2446" s="3">
        <v>31.99</v>
      </c>
      <c r="O2446" s="2" t="s">
        <v>245</v>
      </c>
      <c r="P2446" s="2" t="s">
        <v>238</v>
      </c>
      <c r="Q2446" s="2" t="s">
        <v>239</v>
      </c>
      <c r="R2446" s="2" t="s">
        <v>233</v>
      </c>
      <c r="S2446" s="2" t="s">
        <v>10818</v>
      </c>
      <c r="T2446" s="2" t="s">
        <v>395</v>
      </c>
      <c r="U2446" s="2" t="s">
        <v>396</v>
      </c>
      <c r="V2446" s="2" t="s">
        <v>241</v>
      </c>
      <c r="W2446" s="2" t="s">
        <v>275</v>
      </c>
      <c r="X2446" s="2" t="s">
        <v>705</v>
      </c>
      <c r="Y2446" s="2" t="s">
        <v>233</v>
      </c>
      <c r="Z2446" s="4"/>
      <c r="AA2446" s="4">
        <f>=ROUNDDOWN({0},0)</f>
      </c>
      <c r="AB2446" s="5"/>
      <c r="AC2446" s="2" t="s">
        <v>1947</v>
      </c>
      <c r="AD2446" s="4">
        <v>170</v>
      </c>
      <c r="AE2446" s="4">
        <v>170</v>
      </c>
      <c r="AF2446" s="6">
        <v>65</v>
      </c>
      <c r="AG2446" s="6"/>
      <c r="AH2446" s="7">
        <v>0</v>
      </c>
      <c r="AI2446" s="4"/>
      <c r="AJ2446" s="4">
        <f>=ROUNDDOWN({0},0)</f>
      </c>
      <c r="AK2446" s="5"/>
      <c r="AL2446" s="2" t="s">
        <v>233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233</v>
      </c>
      <c r="AW2446" s="8" t="s">
        <v>233</v>
      </c>
      <c r="AX2446" s="4" t="s">
        <v>233</v>
      </c>
      <c r="AY2446" s="8" t="s">
        <v>233</v>
      </c>
      <c r="AZ2446" s="7" t="s">
        <v>233</v>
      </c>
      <c r="BA2446" s="7" t="s">
        <v>233</v>
      </c>
      <c r="BB2446" s="7"/>
      <c r="BC2446" s="4" t="s">
        <v>233</v>
      </c>
      <c r="BD2446" s="8" t="s">
        <v>233</v>
      </c>
      <c r="BE2446" s="4" t="s">
        <v>233</v>
      </c>
      <c r="BF2446" s="8" t="s">
        <v>233</v>
      </c>
      <c r="BG2446" s="7" t="s">
        <v>233</v>
      </c>
      <c r="BH2446" s="7" t="s">
        <v>233</v>
      </c>
      <c r="BI2446" s="7"/>
      <c r="BJ2446" s="4"/>
      <c r="BK2446" s="8"/>
      <c r="BL2446" s="2" t="s">
        <v>233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243</v>
      </c>
      <c r="BV2446" s="2" t="s">
        <v>233</v>
      </c>
      <c r="BW2446" s="2" t="s">
        <v>233</v>
      </c>
      <c r="BX2446" s="2" t="s">
        <v>243</v>
      </c>
      <c r="BY2446" s="2" t="s">
        <v>244</v>
      </c>
      <c r="BZ2446" s="2" t="s">
        <v>245</v>
      </c>
      <c r="CA2446" s="2" t="s">
        <v>233</v>
      </c>
      <c r="CB2446" s="2" t="s">
        <v>233</v>
      </c>
      <c r="CC2446" s="2" t="s">
        <v>246</v>
      </c>
      <c r="CD2446" s="2" t="s">
        <v>233</v>
      </c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/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/>
      <c r="FA2446" s="4"/>
      <c r="FB2446" s="4">
        <v>170</v>
      </c>
      <c r="FC2446" s="4"/>
      <c r="FD2446" s="4"/>
      <c r="FE2446" s="4"/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/>
      <c r="GY2446" s="4"/>
      <c r="GZ2446" s="4"/>
      <c r="HA2446" s="4"/>
      <c r="HB2446" s="4"/>
      <c r="HC2446" s="4"/>
      <c r="HD2446" s="4"/>
      <c r="HE2446" s="4"/>
      <c r="HF2446" s="4"/>
      <c r="HG2446" s="4"/>
      <c r="HH2446" s="4"/>
      <c r="HI2446" s="4"/>
      <c r="HJ2446" s="4"/>
      <c r="HK2446" s="4"/>
      <c r="HL2446" s="4"/>
      <c r="HM2446" s="4"/>
      <c r="HN2446" s="4"/>
      <c r="HO2446" s="4"/>
      <c r="HP2446" s="4"/>
      <c r="HQ2446" s="4"/>
      <c r="HR2446" s="4"/>
    </row>
    <row r="2447">
      <c r="A2447" s="2" t="s">
        <v>10821</v>
      </c>
      <c r="B2447" s="2" t="s">
        <v>264</v>
      </c>
      <c r="C2447" s="2" t="s">
        <v>530</v>
      </c>
      <c r="D2447" s="2" t="s">
        <v>969</v>
      </c>
      <c r="E2447" s="2" t="s">
        <v>2383</v>
      </c>
      <c r="F2447" s="2" t="s">
        <v>10813</v>
      </c>
      <c r="G2447" s="2" t="s">
        <v>10813</v>
      </c>
      <c r="H2447" s="2" t="s">
        <v>10813</v>
      </c>
      <c r="I2447" s="2" t="s">
        <v>10814</v>
      </c>
      <c r="J2447" s="2" t="s">
        <v>981</v>
      </c>
      <c r="K2447" s="2" t="s">
        <v>297</v>
      </c>
      <c r="L2447" s="3">
        <v>54.47</v>
      </c>
      <c r="M2447" s="3">
        <v>57.19</v>
      </c>
      <c r="N2447" s="3">
        <v>109.99</v>
      </c>
      <c r="O2447" s="2" t="s">
        <v>245</v>
      </c>
      <c r="P2447" s="2" t="s">
        <v>272</v>
      </c>
      <c r="Q2447" s="2" t="s">
        <v>239</v>
      </c>
      <c r="R2447" s="2" t="s">
        <v>233</v>
      </c>
      <c r="S2447" s="2" t="s">
        <v>10822</v>
      </c>
      <c r="T2447" s="2" t="s">
        <v>395</v>
      </c>
      <c r="U2447" s="2" t="s">
        <v>396</v>
      </c>
      <c r="V2447" s="2" t="s">
        <v>241</v>
      </c>
      <c r="W2447" s="2" t="s">
        <v>275</v>
      </c>
      <c r="X2447" s="2" t="s">
        <v>705</v>
      </c>
      <c r="Y2447" s="2" t="s">
        <v>485</v>
      </c>
      <c r="Z2447" s="4"/>
      <c r="AA2447" s="4">
        <f>=ROUNDDOWN({0},0)</f>
      </c>
      <c r="AB2447" s="5">
        <v>11.2</v>
      </c>
      <c r="AC2447" s="2" t="s">
        <v>2533</v>
      </c>
      <c r="AD2447" s="4">
        <v>399</v>
      </c>
      <c r="AE2447" s="4">
        <v>399</v>
      </c>
      <c r="AF2447" s="6">
        <v>65</v>
      </c>
      <c r="AG2447" s="6"/>
      <c r="AH2447" s="7">
        <v>0.0645</v>
      </c>
      <c r="AI2447" s="4"/>
      <c r="AJ2447" s="4">
        <f>=ROUNDDOWN({0},0)</f>
      </c>
      <c r="AK2447" s="5"/>
      <c r="AL2447" s="2" t="s">
        <v>233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 t="s">
        <v>233</v>
      </c>
      <c r="AW2447" s="8" t="s">
        <v>233</v>
      </c>
      <c r="AX2447" s="4" t="s">
        <v>233</v>
      </c>
      <c r="AY2447" s="8" t="s">
        <v>233</v>
      </c>
      <c r="AZ2447" s="7" t="s">
        <v>233</v>
      </c>
      <c r="BA2447" s="7" t="s">
        <v>233</v>
      </c>
      <c r="BB2447" s="7"/>
      <c r="BC2447" s="4" t="s">
        <v>233</v>
      </c>
      <c r="BD2447" s="8" t="s">
        <v>233</v>
      </c>
      <c r="BE2447" s="4" t="s">
        <v>233</v>
      </c>
      <c r="BF2447" s="8" t="s">
        <v>233</v>
      </c>
      <c r="BG2447" s="7" t="s">
        <v>233</v>
      </c>
      <c r="BH2447" s="7" t="s">
        <v>233</v>
      </c>
      <c r="BI2447" s="7"/>
      <c r="BJ2447" s="4">
        <v>18</v>
      </c>
      <c r="BK2447" s="8">
        <v>1093.27</v>
      </c>
      <c r="BL2447" s="2" t="s">
        <v>4224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10823</v>
      </c>
      <c r="BV2447" s="2" t="s">
        <v>233</v>
      </c>
      <c r="BW2447" s="2" t="s">
        <v>233</v>
      </c>
      <c r="BX2447" s="2" t="s">
        <v>233</v>
      </c>
      <c r="BY2447" s="2" t="s">
        <v>280</v>
      </c>
      <c r="BZ2447" s="2" t="s">
        <v>245</v>
      </c>
      <c r="CA2447" s="2" t="s">
        <v>401</v>
      </c>
      <c r="CB2447" s="2" t="s">
        <v>5074</v>
      </c>
      <c r="CC2447" s="2" t="s">
        <v>246</v>
      </c>
      <c r="CD2447" s="2" t="s">
        <v>233</v>
      </c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>
        <v>399</v>
      </c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/>
      <c r="FF2447" s="4"/>
      <c r="FG2447" s="4"/>
      <c r="FH2447" s="4"/>
      <c r="FI2447" s="4"/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/>
      <c r="GH2447" s="4"/>
      <c r="GI2447" s="4"/>
      <c r="GJ2447" s="4"/>
      <c r="GK2447" s="4"/>
      <c r="GL2447" s="4"/>
      <c r="GM2447" s="4"/>
      <c r="GN2447" s="4"/>
      <c r="GO2447" s="4"/>
      <c r="GP2447" s="4"/>
      <c r="GQ2447" s="4"/>
      <c r="GR2447" s="4"/>
      <c r="GS2447" s="4"/>
      <c r="GT2447" s="4"/>
      <c r="GU2447" s="4"/>
      <c r="GV2447" s="4"/>
      <c r="GW2447" s="4"/>
      <c r="GX2447" s="4"/>
      <c r="GY2447" s="4"/>
      <c r="GZ2447" s="4"/>
      <c r="HA2447" s="4"/>
      <c r="HB2447" s="4"/>
      <c r="HC2447" s="4"/>
      <c r="HD2447" s="4"/>
      <c r="HE2447" s="4"/>
      <c r="HF2447" s="4"/>
      <c r="HG2447" s="4"/>
      <c r="HH2447" s="4"/>
      <c r="HI2447" s="4"/>
      <c r="HJ2447" s="4"/>
      <c r="HK2447" s="4"/>
      <c r="HL2447" s="4"/>
      <c r="HM2447" s="4"/>
      <c r="HN2447" s="4"/>
      <c r="HO2447" s="4"/>
      <c r="HP2447" s="4"/>
      <c r="HQ2447" s="4"/>
      <c r="HR2447" s="4"/>
    </row>
    <row r="2448">
      <c r="A2448" s="2" t="s">
        <v>10824</v>
      </c>
      <c r="B2448" s="2" t="s">
        <v>264</v>
      </c>
      <c r="C2448" s="2" t="s">
        <v>530</v>
      </c>
      <c r="D2448" s="2" t="s">
        <v>969</v>
      </c>
      <c r="E2448" s="2" t="s">
        <v>2383</v>
      </c>
      <c r="F2448" s="2" t="s">
        <v>10813</v>
      </c>
      <c r="G2448" s="2" t="s">
        <v>10813</v>
      </c>
      <c r="H2448" s="2" t="s">
        <v>10813</v>
      </c>
      <c r="I2448" s="2" t="s">
        <v>10814</v>
      </c>
      <c r="J2448" s="2" t="s">
        <v>1142</v>
      </c>
      <c r="K2448" s="2" t="s">
        <v>297</v>
      </c>
      <c r="L2448" s="3">
        <v>64.38</v>
      </c>
      <c r="M2448" s="3">
        <v>67.6</v>
      </c>
      <c r="N2448" s="3">
        <v>129.99</v>
      </c>
      <c r="O2448" s="2" t="s">
        <v>245</v>
      </c>
      <c r="P2448" s="2" t="s">
        <v>763</v>
      </c>
      <c r="Q2448" s="2" t="s">
        <v>239</v>
      </c>
      <c r="R2448" s="2" t="s">
        <v>233</v>
      </c>
      <c r="S2448" s="2" t="s">
        <v>10822</v>
      </c>
      <c r="T2448" s="2" t="s">
        <v>395</v>
      </c>
      <c r="U2448" s="2" t="s">
        <v>396</v>
      </c>
      <c r="V2448" s="2" t="s">
        <v>241</v>
      </c>
      <c r="W2448" s="2" t="s">
        <v>275</v>
      </c>
      <c r="X2448" s="2" t="s">
        <v>705</v>
      </c>
      <c r="Y2448" s="2" t="s">
        <v>3584</v>
      </c>
      <c r="Z2448" s="4"/>
      <c r="AA2448" s="4">
        <f>=ROUNDDOWN({0},0)</f>
      </c>
      <c r="AB2448" s="5">
        <v>6</v>
      </c>
      <c r="AC2448" s="2" t="s">
        <v>2533</v>
      </c>
      <c r="AD2448" s="4">
        <v>400</v>
      </c>
      <c r="AE2448" s="4">
        <v>400</v>
      </c>
      <c r="AF2448" s="6">
        <v>65</v>
      </c>
      <c r="AG2448" s="6"/>
      <c r="AH2448" s="7">
        <v>0</v>
      </c>
      <c r="AI2448" s="4"/>
      <c r="AJ2448" s="4">
        <f>=ROUNDDOWN({0},0)</f>
      </c>
      <c r="AK2448" s="5"/>
      <c r="AL2448" s="2" t="s">
        <v>233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 t="s">
        <v>233</v>
      </c>
      <c r="AW2448" s="8" t="s">
        <v>233</v>
      </c>
      <c r="AX2448" s="4" t="s">
        <v>233</v>
      </c>
      <c r="AY2448" s="8" t="s">
        <v>233</v>
      </c>
      <c r="AZ2448" s="7" t="s">
        <v>233</v>
      </c>
      <c r="BA2448" s="7" t="s">
        <v>233</v>
      </c>
      <c r="BB2448" s="7"/>
      <c r="BC2448" s="4" t="s">
        <v>233</v>
      </c>
      <c r="BD2448" s="8" t="s">
        <v>233</v>
      </c>
      <c r="BE2448" s="4" t="s">
        <v>233</v>
      </c>
      <c r="BF2448" s="8" t="s">
        <v>233</v>
      </c>
      <c r="BG2448" s="7" t="s">
        <v>233</v>
      </c>
      <c r="BH2448" s="7" t="s">
        <v>233</v>
      </c>
      <c r="BI2448" s="7"/>
      <c r="BJ2448" s="4"/>
      <c r="BK2448" s="8"/>
      <c r="BL2448" s="2" t="s">
        <v>233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10825</v>
      </c>
      <c r="BV2448" s="2" t="s">
        <v>233</v>
      </c>
      <c r="BW2448" s="2" t="s">
        <v>233</v>
      </c>
      <c r="BX2448" s="2" t="s">
        <v>233</v>
      </c>
      <c r="BY2448" s="2" t="s">
        <v>280</v>
      </c>
      <c r="BZ2448" s="2" t="s">
        <v>245</v>
      </c>
      <c r="CA2448" s="2" t="s">
        <v>401</v>
      </c>
      <c r="CB2448" s="2" t="s">
        <v>908</v>
      </c>
      <c r="CC2448" s="2" t="s">
        <v>246</v>
      </c>
      <c r="CD2448" s="2" t="s">
        <v>233</v>
      </c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>
        <v>400</v>
      </c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/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/>
      <c r="GU2448" s="4"/>
      <c r="GV2448" s="4"/>
      <c r="GW2448" s="4"/>
      <c r="GX2448" s="4"/>
      <c r="GY2448" s="4"/>
      <c r="GZ2448" s="4"/>
      <c r="HA2448" s="4"/>
      <c r="HB2448" s="4"/>
      <c r="HC2448" s="4"/>
      <c r="HD2448" s="4"/>
      <c r="HE2448" s="4"/>
      <c r="HF2448" s="4"/>
      <c r="HG2448" s="4"/>
      <c r="HH2448" s="4"/>
      <c r="HI2448" s="4"/>
      <c r="HJ2448" s="4"/>
      <c r="HK2448" s="4"/>
      <c r="HL2448" s="4"/>
      <c r="HM2448" s="4"/>
      <c r="HN2448" s="4"/>
      <c r="HO2448" s="4"/>
      <c r="HP2448" s="4"/>
      <c r="HQ2448" s="4"/>
      <c r="HR2448" s="4"/>
    </row>
    <row r="2449">
      <c r="A2449" s="2" t="s">
        <v>10826</v>
      </c>
      <c r="B2449" s="2" t="s">
        <v>910</v>
      </c>
      <c r="C2449" s="2" t="s">
        <v>911</v>
      </c>
      <c r="D2449" s="2" t="s">
        <v>969</v>
      </c>
      <c r="E2449" s="2" t="s">
        <v>1078</v>
      </c>
      <c r="F2449" s="2" t="s">
        <v>10827</v>
      </c>
      <c r="G2449" s="2" t="s">
        <v>7560</v>
      </c>
      <c r="H2449" s="2" t="s">
        <v>10828</v>
      </c>
      <c r="I2449" s="2" t="s">
        <v>10829</v>
      </c>
      <c r="J2449" s="2" t="s">
        <v>918</v>
      </c>
      <c r="K2449" s="2" t="s">
        <v>257</v>
      </c>
      <c r="L2449" s="3">
        <v>28.57</v>
      </c>
      <c r="M2449" s="3">
        <v>30</v>
      </c>
      <c r="N2449" s="3">
        <v>59.99</v>
      </c>
      <c r="O2449" s="2" t="s">
        <v>245</v>
      </c>
      <c r="P2449" s="2" t="s">
        <v>272</v>
      </c>
      <c r="Q2449" s="2" t="s">
        <v>239</v>
      </c>
      <c r="R2449" s="2" t="s">
        <v>233</v>
      </c>
      <c r="S2449" s="2" t="s">
        <v>10830</v>
      </c>
      <c r="T2449" s="2" t="s">
        <v>395</v>
      </c>
      <c r="U2449" s="2" t="s">
        <v>475</v>
      </c>
      <c r="V2449" s="2" t="s">
        <v>1658</v>
      </c>
      <c r="W2449" s="2" t="s">
        <v>397</v>
      </c>
      <c r="X2449" s="2" t="s">
        <v>7831</v>
      </c>
      <c r="Y2449" s="2" t="s">
        <v>7663</v>
      </c>
      <c r="Z2449" s="4">
        <v>239</v>
      </c>
      <c r="AA2449" s="4">
        <f>=ROUNDDOWN(47.8,0)</f>
      </c>
      <c r="AB2449" s="5">
        <v>5</v>
      </c>
      <c r="AC2449" s="2" t="s">
        <v>1719</v>
      </c>
      <c r="AD2449" s="4">
        <v>40</v>
      </c>
      <c r="AE2449" s="4">
        <v>220</v>
      </c>
      <c r="AF2449" s="6">
        <v>64</v>
      </c>
      <c r="AG2449" s="6"/>
      <c r="AH2449" s="7">
        <v>1</v>
      </c>
      <c r="AI2449" s="4"/>
      <c r="AJ2449" s="4">
        <f>=ROUNDDOWN({0},0)</f>
      </c>
      <c r="AK2449" s="5"/>
      <c r="AL2449" s="2" t="s">
        <v>233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/>
      <c r="BD2449" s="8"/>
      <c r="BE2449" s="4"/>
      <c r="BF2449" s="8"/>
      <c r="BG2449" s="7"/>
      <c r="BH2449" s="7"/>
      <c r="BI2449" s="7"/>
      <c r="BJ2449" s="4">
        <v>12</v>
      </c>
      <c r="BK2449" s="8">
        <v>391.24</v>
      </c>
      <c r="BL2449" s="2" t="s">
        <v>2380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10831</v>
      </c>
      <c r="BV2449" s="2" t="s">
        <v>233</v>
      </c>
      <c r="BW2449" s="2" t="s">
        <v>233</v>
      </c>
      <c r="BX2449" s="2" t="s">
        <v>233</v>
      </c>
      <c r="BY2449" s="2" t="s">
        <v>280</v>
      </c>
      <c r="BZ2449" s="2" t="s">
        <v>245</v>
      </c>
      <c r="CA2449" s="2" t="s">
        <v>5065</v>
      </c>
      <c r="CB2449" s="2" t="s">
        <v>1824</v>
      </c>
      <c r="CC2449" s="2" t="s">
        <v>246</v>
      </c>
      <c r="CD2449" s="2" t="s">
        <v>233</v>
      </c>
      <c r="CE2449" s="4">
        <v>239</v>
      </c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>
        <v>40</v>
      </c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>
        <v>180</v>
      </c>
      <c r="EV2449" s="4"/>
      <c r="EW2449" s="4"/>
      <c r="EX2449" s="4"/>
      <c r="EY2449" s="4"/>
      <c r="EZ2449" s="4"/>
      <c r="FA2449" s="4"/>
      <c r="FB2449" s="4"/>
      <c r="FC2449" s="4"/>
      <c r="FD2449" s="4"/>
      <c r="FE2449" s="4"/>
      <c r="FF2449" s="4"/>
      <c r="FG2449" s="4"/>
      <c r="FH2449" s="4"/>
      <c r="FI2449" s="4"/>
      <c r="FJ2449" s="4"/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/>
      <c r="GH2449" s="4"/>
      <c r="GI2449" s="4"/>
      <c r="GJ2449" s="4"/>
      <c r="GK2449" s="4"/>
      <c r="GL2449" s="4"/>
      <c r="GM2449" s="4"/>
      <c r="GN2449" s="4"/>
      <c r="GO2449" s="4"/>
      <c r="GP2449" s="4"/>
      <c r="GQ2449" s="4"/>
      <c r="GR2449" s="4"/>
      <c r="GS2449" s="4"/>
      <c r="GT2449" s="4"/>
      <c r="GU2449" s="4"/>
      <c r="GV2449" s="4"/>
      <c r="GW2449" s="4"/>
      <c r="GX2449" s="4"/>
      <c r="GY2449" s="4"/>
      <c r="GZ2449" s="4"/>
      <c r="HA2449" s="4"/>
      <c r="HB2449" s="4"/>
      <c r="HC2449" s="4"/>
      <c r="HD2449" s="4"/>
      <c r="HE2449" s="4"/>
      <c r="HF2449" s="4"/>
      <c r="HG2449" s="4"/>
      <c r="HH2449" s="4"/>
      <c r="HI2449" s="4"/>
      <c r="HJ2449" s="4"/>
      <c r="HK2449" s="4"/>
      <c r="HL2449" s="4"/>
      <c r="HM2449" s="4"/>
      <c r="HN2449" s="4"/>
      <c r="HO2449" s="4"/>
      <c r="HP2449" s="4"/>
      <c r="HQ2449" s="4"/>
      <c r="HR2449" s="4"/>
    </row>
    <row r="2450">
      <c r="A2450" s="2" t="s">
        <v>10832</v>
      </c>
      <c r="B2450" s="2" t="s">
        <v>1242</v>
      </c>
      <c r="C2450" s="2" t="s">
        <v>901</v>
      </c>
      <c r="D2450" s="2" t="s">
        <v>1194</v>
      </c>
      <c r="E2450" s="2" t="s">
        <v>1195</v>
      </c>
      <c r="F2450" s="2" t="s">
        <v>10833</v>
      </c>
      <c r="G2450" s="2" t="s">
        <v>10833</v>
      </c>
      <c r="H2450" s="2" t="s">
        <v>10833</v>
      </c>
      <c r="I2450" s="2" t="s">
        <v>10834</v>
      </c>
      <c r="J2450" s="2" t="s">
        <v>2747</v>
      </c>
      <c r="K2450" s="2" t="s">
        <v>3827</v>
      </c>
      <c r="L2450" s="3">
        <v>11.88</v>
      </c>
      <c r="M2450" s="3">
        <v>12.47</v>
      </c>
      <c r="N2450" s="3">
        <v>26.99</v>
      </c>
      <c r="O2450" s="2" t="s">
        <v>245</v>
      </c>
      <c r="P2450" s="2" t="s">
        <v>311</v>
      </c>
      <c r="Q2450" s="2" t="s">
        <v>239</v>
      </c>
      <c r="R2450" s="2" t="s">
        <v>233</v>
      </c>
      <c r="S2450" s="2" t="s">
        <v>10835</v>
      </c>
      <c r="T2450" s="2" t="s">
        <v>233</v>
      </c>
      <c r="U2450" s="2" t="s">
        <v>233</v>
      </c>
      <c r="V2450" s="2" t="s">
        <v>1302</v>
      </c>
      <c r="W2450" s="2" t="s">
        <v>397</v>
      </c>
      <c r="X2450" s="2" t="s">
        <v>451</v>
      </c>
      <c r="Y2450" s="2" t="s">
        <v>3130</v>
      </c>
      <c r="Z2450" s="4">
        <v>117</v>
      </c>
      <c r="AA2450" s="4">
        <f>=ROUNDDOWN(36.5625,0)</f>
      </c>
      <c r="AB2450" s="5">
        <v>3.2</v>
      </c>
      <c r="AC2450" s="2" t="s">
        <v>233</v>
      </c>
      <c r="AD2450" s="4"/>
      <c r="AE2450" s="4"/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233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/>
      <c r="BD2450" s="8"/>
      <c r="BE2450" s="4"/>
      <c r="BF2450" s="8"/>
      <c r="BG2450" s="7"/>
      <c r="BH2450" s="7"/>
      <c r="BI2450" s="7"/>
      <c r="BJ2450" s="4">
        <v>16</v>
      </c>
      <c r="BK2450" s="8">
        <v>192.55</v>
      </c>
      <c r="BL2450" s="2" t="s">
        <v>10836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10837</v>
      </c>
      <c r="BV2450" s="2" t="s">
        <v>233</v>
      </c>
      <c r="BW2450" s="2" t="s">
        <v>233</v>
      </c>
      <c r="BX2450" s="2" t="s">
        <v>233</v>
      </c>
      <c r="BY2450" s="2" t="s">
        <v>280</v>
      </c>
      <c r="BZ2450" s="2" t="s">
        <v>245</v>
      </c>
      <c r="CA2450" s="2" t="s">
        <v>4257</v>
      </c>
      <c r="CB2450" s="2" t="s">
        <v>4372</v>
      </c>
      <c r="CC2450" s="2" t="s">
        <v>246</v>
      </c>
      <c r="CD2450" s="2" t="s">
        <v>233</v>
      </c>
      <c r="CE2450" s="4">
        <v>117</v>
      </c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/>
      <c r="EW2450" s="4"/>
      <c r="EX2450" s="4"/>
      <c r="EY2450" s="4"/>
      <c r="EZ2450" s="4"/>
      <c r="FA2450" s="4"/>
      <c r="FB2450" s="4"/>
      <c r="FC2450" s="4"/>
      <c r="FD2450" s="4"/>
      <c r="FE2450" s="4"/>
      <c r="FF2450" s="4"/>
      <c r="FG2450" s="4"/>
      <c r="FH2450" s="4"/>
      <c r="FI2450" s="4"/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/>
      <c r="FV2450" s="4"/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/>
      <c r="GH2450" s="4"/>
      <c r="GI2450" s="4"/>
      <c r="GJ2450" s="4"/>
      <c r="GK2450" s="4"/>
      <c r="GL2450" s="4"/>
      <c r="GM2450" s="4"/>
      <c r="GN2450" s="4"/>
      <c r="GO2450" s="4"/>
      <c r="GP2450" s="4"/>
      <c r="GQ2450" s="4"/>
      <c r="GR2450" s="4"/>
      <c r="GS2450" s="4"/>
      <c r="GT2450" s="4"/>
      <c r="GU2450" s="4"/>
      <c r="GV2450" s="4"/>
      <c r="GW2450" s="4"/>
      <c r="GX2450" s="4"/>
      <c r="GY2450" s="4"/>
      <c r="GZ2450" s="4"/>
      <c r="HA2450" s="4"/>
      <c r="HB2450" s="4"/>
      <c r="HC2450" s="4"/>
      <c r="HD2450" s="4"/>
      <c r="HE2450" s="4"/>
      <c r="HF2450" s="4"/>
      <c r="HG2450" s="4"/>
      <c r="HH2450" s="4"/>
      <c r="HI2450" s="4"/>
      <c r="HJ2450" s="4"/>
      <c r="HK2450" s="4"/>
      <c r="HL2450" s="4"/>
      <c r="HM2450" s="4"/>
      <c r="HN2450" s="4"/>
      <c r="HO2450" s="4"/>
      <c r="HP2450" s="4"/>
      <c r="HQ2450" s="4"/>
      <c r="HR2450" s="4"/>
    </row>
    <row r="2451">
      <c r="A2451" s="2" t="s">
        <v>10838</v>
      </c>
      <c r="B2451" s="2" t="s">
        <v>928</v>
      </c>
      <c r="C2451" s="2" t="s">
        <v>530</v>
      </c>
      <c r="D2451" s="2" t="s">
        <v>961</v>
      </c>
      <c r="E2451" s="2" t="s">
        <v>2028</v>
      </c>
      <c r="F2451" s="2" t="s">
        <v>10839</v>
      </c>
      <c r="G2451" s="2" t="s">
        <v>10839</v>
      </c>
      <c r="H2451" s="2" t="s">
        <v>10839</v>
      </c>
      <c r="I2451" s="2" t="s">
        <v>10840</v>
      </c>
      <c r="J2451" s="2" t="s">
        <v>892</v>
      </c>
      <c r="K2451" s="2" t="s">
        <v>255</v>
      </c>
      <c r="L2451" s="3">
        <v>68.02</v>
      </c>
      <c r="M2451" s="3">
        <v>71.42</v>
      </c>
      <c r="N2451" s="3">
        <v>146.99</v>
      </c>
      <c r="O2451" s="2" t="s">
        <v>237</v>
      </c>
      <c r="P2451" s="2" t="s">
        <v>311</v>
      </c>
      <c r="Q2451" s="2" t="s">
        <v>239</v>
      </c>
      <c r="R2451" s="2" t="s">
        <v>233</v>
      </c>
      <c r="S2451" s="2" t="s">
        <v>10841</v>
      </c>
      <c r="T2451" s="2" t="s">
        <v>233</v>
      </c>
      <c r="U2451" s="2" t="s">
        <v>475</v>
      </c>
      <c r="V2451" s="2" t="s">
        <v>921</v>
      </c>
      <c r="W2451" s="2" t="s">
        <v>705</v>
      </c>
      <c r="X2451" s="2" t="s">
        <v>10842</v>
      </c>
      <c r="Y2451" s="2" t="s">
        <v>10843</v>
      </c>
      <c r="Z2451" s="4">
        <v>43</v>
      </c>
      <c r="AA2451" s="4">
        <f>=ROUNDDOWN(39.0909090909091,0)</f>
      </c>
      <c r="AB2451" s="5">
        <v>1.1</v>
      </c>
      <c r="AC2451" s="2" t="s">
        <v>233</v>
      </c>
      <c r="AD2451" s="4"/>
      <c r="AE2451" s="4"/>
      <c r="AF2451" s="6">
        <v>63</v>
      </c>
      <c r="AG2451" s="6"/>
      <c r="AH2451" s="7">
        <v>1</v>
      </c>
      <c r="AI2451" s="4"/>
      <c r="AJ2451" s="4">
        <f>=ROUNDDOWN({0},0)</f>
      </c>
      <c r="AK2451" s="5"/>
      <c r="AL2451" s="2" t="s">
        <v>233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/>
      <c r="BD2451" s="8"/>
      <c r="BE2451" s="4"/>
      <c r="BF2451" s="8"/>
      <c r="BG2451" s="7"/>
      <c r="BH2451" s="7"/>
      <c r="BI2451" s="7"/>
      <c r="BJ2451" s="4">
        <v>5</v>
      </c>
      <c r="BK2451" s="8">
        <v>360.38</v>
      </c>
      <c r="BL2451" s="2" t="s">
        <v>10844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10845</v>
      </c>
      <c r="BV2451" s="2" t="s">
        <v>233</v>
      </c>
      <c r="BW2451" s="2" t="s">
        <v>233</v>
      </c>
      <c r="BX2451" s="2" t="s">
        <v>233</v>
      </c>
      <c r="BY2451" s="2" t="s">
        <v>280</v>
      </c>
      <c r="BZ2451" s="2" t="s">
        <v>245</v>
      </c>
      <c r="CA2451" s="2" t="s">
        <v>10846</v>
      </c>
      <c r="CB2451" s="2" t="s">
        <v>10847</v>
      </c>
      <c r="CC2451" s="2" t="s">
        <v>246</v>
      </c>
      <c r="CD2451" s="2" t="s">
        <v>233</v>
      </c>
      <c r="CE2451" s="4"/>
      <c r="CF2451" s="4">
        <v>43</v>
      </c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/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/>
      <c r="GL2451" s="4"/>
      <c r="GM2451" s="4"/>
      <c r="GN2451" s="4"/>
      <c r="GO2451" s="4"/>
      <c r="GP2451" s="4"/>
      <c r="GQ2451" s="4"/>
      <c r="GR2451" s="4"/>
      <c r="GS2451" s="4"/>
      <c r="GT2451" s="4"/>
      <c r="GU2451" s="4"/>
      <c r="GV2451" s="4"/>
      <c r="GW2451" s="4"/>
      <c r="GX2451" s="4"/>
      <c r="GY2451" s="4"/>
      <c r="GZ2451" s="4"/>
      <c r="HA2451" s="4"/>
      <c r="HB2451" s="4"/>
      <c r="HC2451" s="4"/>
      <c r="HD2451" s="4"/>
      <c r="HE2451" s="4"/>
      <c r="HF2451" s="4"/>
      <c r="HG2451" s="4"/>
      <c r="HH2451" s="4"/>
      <c r="HI2451" s="4"/>
      <c r="HJ2451" s="4"/>
      <c r="HK2451" s="4"/>
      <c r="HL2451" s="4"/>
      <c r="HM2451" s="4"/>
      <c r="HN2451" s="4"/>
      <c r="HO2451" s="4"/>
      <c r="HP2451" s="4"/>
      <c r="HQ2451" s="4"/>
      <c r="HR2451" s="4"/>
    </row>
    <row r="2452">
      <c r="A2452" s="2" t="s">
        <v>10848</v>
      </c>
      <c r="B2452" s="2" t="s">
        <v>1066</v>
      </c>
      <c r="C2452" s="2" t="s">
        <v>901</v>
      </c>
      <c r="D2452" s="2" t="s">
        <v>1713</v>
      </c>
      <c r="E2452" s="2" t="s">
        <v>1913</v>
      </c>
      <c r="F2452" s="2" t="s">
        <v>10849</v>
      </c>
      <c r="G2452" s="2" t="s">
        <v>10849</v>
      </c>
      <c r="H2452" s="2" t="s">
        <v>10849</v>
      </c>
      <c r="I2452" s="2" t="s">
        <v>10850</v>
      </c>
      <c r="J2452" s="2" t="s">
        <v>10851</v>
      </c>
      <c r="K2452" s="2" t="s">
        <v>2358</v>
      </c>
      <c r="L2452" s="3">
        <v>110</v>
      </c>
      <c r="M2452" s="3">
        <v>115.5</v>
      </c>
      <c r="N2452" s="3">
        <v>229</v>
      </c>
      <c r="O2452" s="2" t="s">
        <v>245</v>
      </c>
      <c r="P2452" s="2" t="s">
        <v>238</v>
      </c>
      <c r="Q2452" s="2" t="s">
        <v>239</v>
      </c>
      <c r="R2452" s="2" t="s">
        <v>233</v>
      </c>
      <c r="S2452" s="2" t="s">
        <v>233</v>
      </c>
      <c r="T2452" s="2" t="s">
        <v>233</v>
      </c>
      <c r="U2452" s="2" t="s">
        <v>396</v>
      </c>
      <c r="V2452" s="2" t="s">
        <v>241</v>
      </c>
      <c r="W2452" s="2" t="s">
        <v>275</v>
      </c>
      <c r="X2452" s="2" t="s">
        <v>233</v>
      </c>
      <c r="Y2452" s="2" t="s">
        <v>3329</v>
      </c>
      <c r="Z2452" s="4">
        <v>144</v>
      </c>
      <c r="AA2452" s="4">
        <f>=ROUNDDOWN({0},0)</f>
      </c>
      <c r="AB2452" s="5"/>
      <c r="AC2452" s="2" t="s">
        <v>233</v>
      </c>
      <c r="AD2452" s="4"/>
      <c r="AE2452" s="4"/>
      <c r="AF2452" s="6">
        <v>66</v>
      </c>
      <c r="AG2452" s="6"/>
      <c r="AH2452" s="7">
        <v>0.2258</v>
      </c>
      <c r="AI2452" s="4"/>
      <c r="AJ2452" s="4">
        <f>=ROUNDDOWN({0},0)</f>
      </c>
      <c r="AK2452" s="5"/>
      <c r="AL2452" s="2" t="s">
        <v>233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233</v>
      </c>
      <c r="AW2452" s="8" t="s">
        <v>233</v>
      </c>
      <c r="AX2452" s="4" t="s">
        <v>233</v>
      </c>
      <c r="AY2452" s="8" t="s">
        <v>233</v>
      </c>
      <c r="AZ2452" s="7" t="s">
        <v>233</v>
      </c>
      <c r="BA2452" s="7" t="s">
        <v>233</v>
      </c>
      <c r="BB2452" s="7"/>
      <c r="BC2452" s="4" t="s">
        <v>233</v>
      </c>
      <c r="BD2452" s="8" t="s">
        <v>233</v>
      </c>
      <c r="BE2452" s="4" t="s">
        <v>233</v>
      </c>
      <c r="BF2452" s="8" t="s">
        <v>233</v>
      </c>
      <c r="BG2452" s="7" t="s">
        <v>233</v>
      </c>
      <c r="BH2452" s="7" t="s">
        <v>233</v>
      </c>
      <c r="BI2452" s="7"/>
      <c r="BJ2452" s="4">
        <v>1</v>
      </c>
      <c r="BK2452" s="8">
        <v>109.72</v>
      </c>
      <c r="BL2452" s="2" t="s">
        <v>744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10852</v>
      </c>
      <c r="BV2452" s="2" t="s">
        <v>233</v>
      </c>
      <c r="BW2452" s="2" t="s">
        <v>233</v>
      </c>
      <c r="BX2452" s="2" t="s">
        <v>243</v>
      </c>
      <c r="BY2452" s="2" t="s">
        <v>280</v>
      </c>
      <c r="BZ2452" s="2" t="s">
        <v>245</v>
      </c>
      <c r="CA2452" s="2" t="s">
        <v>350</v>
      </c>
      <c r="CB2452" s="2" t="s">
        <v>233</v>
      </c>
      <c r="CC2452" s="2" t="s">
        <v>246</v>
      </c>
      <c r="CD2452" s="2" t="s">
        <v>233</v>
      </c>
      <c r="CE2452" s="4"/>
      <c r="CF2452" s="4">
        <v>144</v>
      </c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/>
      <c r="EO2452" s="4"/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/>
      <c r="FF2452" s="4"/>
      <c r="FG2452" s="4"/>
      <c r="FH2452" s="4"/>
      <c r="FI2452" s="4"/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/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/>
      <c r="GL2452" s="4"/>
      <c r="GM2452" s="4"/>
      <c r="GN2452" s="4"/>
      <c r="GO2452" s="4"/>
      <c r="GP2452" s="4"/>
      <c r="GQ2452" s="4"/>
      <c r="GR2452" s="4"/>
      <c r="GS2452" s="4"/>
      <c r="GT2452" s="4"/>
      <c r="GU2452" s="4"/>
      <c r="GV2452" s="4"/>
      <c r="GW2452" s="4"/>
      <c r="GX2452" s="4"/>
      <c r="GY2452" s="4"/>
      <c r="GZ2452" s="4"/>
      <c r="HA2452" s="4"/>
      <c r="HB2452" s="4"/>
      <c r="HC2452" s="4"/>
      <c r="HD2452" s="4"/>
      <c r="HE2452" s="4"/>
      <c r="HF2452" s="4"/>
      <c r="HG2452" s="4"/>
      <c r="HH2452" s="4"/>
      <c r="HI2452" s="4"/>
      <c r="HJ2452" s="4"/>
      <c r="HK2452" s="4"/>
      <c r="HL2452" s="4"/>
      <c r="HM2452" s="4"/>
      <c r="HN2452" s="4"/>
      <c r="HO2452" s="4"/>
      <c r="HP2452" s="4"/>
      <c r="HQ2452" s="4"/>
      <c r="HR2452" s="4"/>
    </row>
    <row r="2453">
      <c r="A2453" s="2" t="s">
        <v>10853</v>
      </c>
      <c r="B2453" s="2" t="s">
        <v>1066</v>
      </c>
      <c r="C2453" s="2" t="s">
        <v>901</v>
      </c>
      <c r="D2453" s="2" t="s">
        <v>1713</v>
      </c>
      <c r="E2453" s="2" t="s">
        <v>1913</v>
      </c>
      <c r="F2453" s="2" t="s">
        <v>10849</v>
      </c>
      <c r="G2453" s="2" t="s">
        <v>10849</v>
      </c>
      <c r="H2453" s="2" t="s">
        <v>10849</v>
      </c>
      <c r="I2453" s="2" t="s">
        <v>10850</v>
      </c>
      <c r="J2453" s="2" t="s">
        <v>10854</v>
      </c>
      <c r="K2453" s="2" t="s">
        <v>2358</v>
      </c>
      <c r="L2453" s="3">
        <v>135</v>
      </c>
      <c r="M2453" s="3">
        <v>141.75</v>
      </c>
      <c r="N2453" s="3">
        <v>265</v>
      </c>
      <c r="O2453" s="2" t="s">
        <v>245</v>
      </c>
      <c r="P2453" s="2" t="s">
        <v>238</v>
      </c>
      <c r="Q2453" s="2" t="s">
        <v>239</v>
      </c>
      <c r="R2453" s="2" t="s">
        <v>233</v>
      </c>
      <c r="S2453" s="2" t="s">
        <v>233</v>
      </c>
      <c r="T2453" s="2" t="s">
        <v>233</v>
      </c>
      <c r="U2453" s="2" t="s">
        <v>396</v>
      </c>
      <c r="V2453" s="2" t="s">
        <v>893</v>
      </c>
      <c r="W2453" s="2" t="s">
        <v>275</v>
      </c>
      <c r="X2453" s="2" t="s">
        <v>233</v>
      </c>
      <c r="Y2453" s="2" t="s">
        <v>3329</v>
      </c>
      <c r="Z2453" s="4"/>
      <c r="AA2453" s="4">
        <f>=ROUNDDOWN({0},0)</f>
      </c>
      <c r="AB2453" s="5">
        <v>1.8</v>
      </c>
      <c r="AC2453" s="2" t="s">
        <v>319</v>
      </c>
      <c r="AD2453" s="4">
        <v>297</v>
      </c>
      <c r="AE2453" s="4">
        <v>347</v>
      </c>
      <c r="AF2453" s="6">
        <v>66</v>
      </c>
      <c r="AG2453" s="6"/>
      <c r="AH2453" s="7">
        <v>0.0323</v>
      </c>
      <c r="AI2453" s="4"/>
      <c r="AJ2453" s="4">
        <f>=ROUNDDOWN({0},0)</f>
      </c>
      <c r="AK2453" s="5"/>
      <c r="AL2453" s="2" t="s">
        <v>233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233</v>
      </c>
      <c r="AW2453" s="8" t="s">
        <v>233</v>
      </c>
      <c r="AX2453" s="4" t="s">
        <v>233</v>
      </c>
      <c r="AY2453" s="8" t="s">
        <v>233</v>
      </c>
      <c r="AZ2453" s="7" t="s">
        <v>233</v>
      </c>
      <c r="BA2453" s="7" t="s">
        <v>233</v>
      </c>
      <c r="BB2453" s="7"/>
      <c r="BC2453" s="4" t="s">
        <v>233</v>
      </c>
      <c r="BD2453" s="8" t="s">
        <v>233</v>
      </c>
      <c r="BE2453" s="4" t="s">
        <v>233</v>
      </c>
      <c r="BF2453" s="8" t="s">
        <v>233</v>
      </c>
      <c r="BG2453" s="7" t="s">
        <v>233</v>
      </c>
      <c r="BH2453" s="7" t="s">
        <v>233</v>
      </c>
      <c r="BI2453" s="7"/>
      <c r="BJ2453" s="4"/>
      <c r="BK2453" s="8"/>
      <c r="BL2453" s="2" t="s">
        <v>233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243</v>
      </c>
      <c r="BV2453" s="2" t="s">
        <v>233</v>
      </c>
      <c r="BW2453" s="2" t="s">
        <v>233</v>
      </c>
      <c r="BX2453" s="2" t="s">
        <v>243</v>
      </c>
      <c r="BY2453" s="2" t="s">
        <v>244</v>
      </c>
      <c r="BZ2453" s="2" t="s">
        <v>245</v>
      </c>
      <c r="CA2453" s="2" t="s">
        <v>233</v>
      </c>
      <c r="CB2453" s="2" t="s">
        <v>233</v>
      </c>
      <c r="CC2453" s="2" t="s">
        <v>246</v>
      </c>
      <c r="CD2453" s="2" t="s">
        <v>233</v>
      </c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>
        <v>297</v>
      </c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>
        <v>50</v>
      </c>
      <c r="EN2453" s="4"/>
      <c r="EO2453" s="4"/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/>
      <c r="FH2453" s="4"/>
      <c r="FI2453" s="4"/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/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/>
      <c r="GR2453" s="4"/>
      <c r="GS2453" s="4"/>
      <c r="GT2453" s="4"/>
      <c r="GU2453" s="4"/>
      <c r="GV2453" s="4"/>
      <c r="GW2453" s="4"/>
      <c r="GX2453" s="4"/>
      <c r="GY2453" s="4"/>
      <c r="GZ2453" s="4"/>
      <c r="HA2453" s="4"/>
      <c r="HB2453" s="4"/>
      <c r="HC2453" s="4"/>
      <c r="HD2453" s="4"/>
      <c r="HE2453" s="4"/>
      <c r="HF2453" s="4"/>
      <c r="HG2453" s="4"/>
      <c r="HH2453" s="4"/>
      <c r="HI2453" s="4"/>
      <c r="HJ2453" s="4"/>
      <c r="HK2453" s="4"/>
      <c r="HL2453" s="4"/>
      <c r="HM2453" s="4"/>
      <c r="HN2453" s="4"/>
      <c r="HO2453" s="4"/>
      <c r="HP2453" s="4"/>
      <c r="HQ2453" s="4"/>
      <c r="HR2453" s="4"/>
    </row>
    <row r="2454">
      <c r="A2454" s="2" t="s">
        <v>10855</v>
      </c>
      <c r="B2454" s="2" t="s">
        <v>1066</v>
      </c>
      <c r="C2454" s="2" t="s">
        <v>901</v>
      </c>
      <c r="D2454" s="2" t="s">
        <v>1713</v>
      </c>
      <c r="E2454" s="2" t="s">
        <v>1913</v>
      </c>
      <c r="F2454" s="2" t="s">
        <v>10849</v>
      </c>
      <c r="G2454" s="2" t="s">
        <v>10849</v>
      </c>
      <c r="H2454" s="2" t="s">
        <v>10849</v>
      </c>
      <c r="I2454" s="2" t="s">
        <v>10850</v>
      </c>
      <c r="J2454" s="2" t="s">
        <v>10854</v>
      </c>
      <c r="K2454" s="2" t="s">
        <v>1191</v>
      </c>
      <c r="L2454" s="3">
        <v>135</v>
      </c>
      <c r="M2454" s="3">
        <v>141.75</v>
      </c>
      <c r="N2454" s="3">
        <v>265</v>
      </c>
      <c r="O2454" s="2" t="s">
        <v>245</v>
      </c>
      <c r="P2454" s="2" t="s">
        <v>238</v>
      </c>
      <c r="Q2454" s="2" t="s">
        <v>239</v>
      </c>
      <c r="R2454" s="2" t="s">
        <v>233</v>
      </c>
      <c r="S2454" s="2" t="s">
        <v>233</v>
      </c>
      <c r="T2454" s="2" t="s">
        <v>233</v>
      </c>
      <c r="U2454" s="2" t="s">
        <v>396</v>
      </c>
      <c r="V2454" s="2" t="s">
        <v>893</v>
      </c>
      <c r="W2454" s="2" t="s">
        <v>275</v>
      </c>
      <c r="X2454" s="2" t="s">
        <v>233</v>
      </c>
      <c r="Y2454" s="2" t="s">
        <v>233</v>
      </c>
      <c r="Z2454" s="4"/>
      <c r="AA2454" s="4">
        <f>=ROUNDDOWN({0},0)</f>
      </c>
      <c r="AB2454" s="5"/>
      <c r="AC2454" s="2" t="s">
        <v>813</v>
      </c>
      <c r="AD2454" s="4">
        <v>225</v>
      </c>
      <c r="AE2454" s="4">
        <v>260</v>
      </c>
      <c r="AF2454" s="6">
        <v>66</v>
      </c>
      <c r="AG2454" s="6"/>
      <c r="AH2454" s="7">
        <v>0</v>
      </c>
      <c r="AI2454" s="4"/>
      <c r="AJ2454" s="4">
        <f>=ROUNDDOWN({0},0)</f>
      </c>
      <c r="AK2454" s="5"/>
      <c r="AL2454" s="2" t="s">
        <v>233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233</v>
      </c>
      <c r="BD2454" s="8" t="s">
        <v>233</v>
      </c>
      <c r="BE2454" s="4" t="s">
        <v>233</v>
      </c>
      <c r="BF2454" s="8" t="s">
        <v>233</v>
      </c>
      <c r="BG2454" s="7" t="s">
        <v>233</v>
      </c>
      <c r="BH2454" s="7" t="s">
        <v>233</v>
      </c>
      <c r="BI2454" s="7"/>
      <c r="BJ2454" s="4"/>
      <c r="BK2454" s="8"/>
      <c r="BL2454" s="2" t="s">
        <v>233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243</v>
      </c>
      <c r="BV2454" s="2" t="s">
        <v>233</v>
      </c>
      <c r="BW2454" s="2" t="s">
        <v>233</v>
      </c>
      <c r="BX2454" s="2" t="s">
        <v>243</v>
      </c>
      <c r="BY2454" s="2" t="s">
        <v>244</v>
      </c>
      <c r="BZ2454" s="2" t="s">
        <v>245</v>
      </c>
      <c r="CA2454" s="2" t="s">
        <v>233</v>
      </c>
      <c r="CB2454" s="2" t="s">
        <v>233</v>
      </c>
      <c r="CC2454" s="2" t="s">
        <v>246</v>
      </c>
      <c r="CD2454" s="2" t="s">
        <v>233</v>
      </c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>
        <v>225</v>
      </c>
      <c r="EJ2454" s="4"/>
      <c r="EK2454" s="4"/>
      <c r="EL2454" s="4"/>
      <c r="EM2454" s="4"/>
      <c r="EN2454" s="4"/>
      <c r="EO2454" s="4">
        <v>15</v>
      </c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>
        <v>20</v>
      </c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/>
      <c r="HA2454" s="4"/>
      <c r="HB2454" s="4"/>
      <c r="HC2454" s="4"/>
      <c r="HD2454" s="4"/>
      <c r="HE2454" s="4"/>
      <c r="HF2454" s="4"/>
      <c r="HG2454" s="4"/>
      <c r="HH2454" s="4"/>
      <c r="HI2454" s="4"/>
      <c r="HJ2454" s="4"/>
      <c r="HK2454" s="4"/>
      <c r="HL2454" s="4"/>
      <c r="HM2454" s="4"/>
      <c r="HN2454" s="4"/>
      <c r="HO2454" s="4"/>
      <c r="HP2454" s="4"/>
      <c r="HQ2454" s="4"/>
      <c r="HR2454" s="4"/>
    </row>
    <row r="2455">
      <c r="A2455" s="2" t="s">
        <v>10856</v>
      </c>
      <c r="B2455" s="2" t="s">
        <v>1066</v>
      </c>
      <c r="C2455" s="2" t="s">
        <v>530</v>
      </c>
      <c r="D2455" s="2" t="s">
        <v>1919</v>
      </c>
      <c r="E2455" s="2" t="s">
        <v>1920</v>
      </c>
      <c r="F2455" s="2" t="s">
        <v>10857</v>
      </c>
      <c r="G2455" s="2" t="s">
        <v>10389</v>
      </c>
      <c r="H2455" s="2" t="s">
        <v>3251</v>
      </c>
      <c r="I2455" s="2" t="s">
        <v>10858</v>
      </c>
      <c r="J2455" s="2" t="s">
        <v>892</v>
      </c>
      <c r="K2455" s="2" t="s">
        <v>1201</v>
      </c>
      <c r="L2455" s="3">
        <v>171</v>
      </c>
      <c r="M2455" s="3">
        <v>179.55</v>
      </c>
      <c r="N2455" s="3">
        <v>359</v>
      </c>
      <c r="O2455" s="2" t="s">
        <v>245</v>
      </c>
      <c r="P2455" s="2" t="s">
        <v>393</v>
      </c>
      <c r="Q2455" s="2" t="s">
        <v>239</v>
      </c>
      <c r="R2455" s="2" t="s">
        <v>233</v>
      </c>
      <c r="S2455" s="2" t="s">
        <v>233</v>
      </c>
      <c r="T2455" s="2" t="s">
        <v>233</v>
      </c>
      <c r="U2455" s="2" t="s">
        <v>396</v>
      </c>
      <c r="V2455" s="2" t="s">
        <v>241</v>
      </c>
      <c r="W2455" s="2" t="s">
        <v>451</v>
      </c>
      <c r="X2455" s="2" t="s">
        <v>977</v>
      </c>
      <c r="Y2455" s="2" t="s">
        <v>1684</v>
      </c>
      <c r="Z2455" s="4">
        <v>60</v>
      </c>
      <c r="AA2455" s="4">
        <f>=ROUNDDOWN(31.5789473684211,0)</f>
      </c>
      <c r="AB2455" s="5">
        <v>1.9</v>
      </c>
      <c r="AC2455" s="2" t="s">
        <v>8654</v>
      </c>
      <c r="AD2455" s="4">
        <v>98</v>
      </c>
      <c r="AE2455" s="4">
        <v>98</v>
      </c>
      <c r="AF2455" s="6">
        <v>66</v>
      </c>
      <c r="AG2455" s="6"/>
      <c r="AH2455" s="7">
        <v>1</v>
      </c>
      <c r="AI2455" s="4"/>
      <c r="AJ2455" s="4">
        <f>=ROUNDDOWN({0},0)</f>
      </c>
      <c r="AK2455" s="5"/>
      <c r="AL2455" s="2" t="s">
        <v>233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/>
      <c r="BD2455" s="8"/>
      <c r="BE2455" s="4"/>
      <c r="BF2455" s="8"/>
      <c r="BG2455" s="7"/>
      <c r="BH2455" s="7"/>
      <c r="BI2455" s="7"/>
      <c r="BJ2455" s="4">
        <v>4</v>
      </c>
      <c r="BK2455" s="8">
        <v>764.88</v>
      </c>
      <c r="BL2455" s="2" t="s">
        <v>10859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10860</v>
      </c>
      <c r="BV2455" s="2" t="s">
        <v>233</v>
      </c>
      <c r="BW2455" s="2" t="s">
        <v>233</v>
      </c>
      <c r="BX2455" s="2" t="s">
        <v>233</v>
      </c>
      <c r="BY2455" s="2" t="s">
        <v>280</v>
      </c>
      <c r="BZ2455" s="2" t="s">
        <v>245</v>
      </c>
      <c r="CA2455" s="2" t="s">
        <v>5992</v>
      </c>
      <c r="CB2455" s="2" t="s">
        <v>3479</v>
      </c>
      <c r="CC2455" s="2" t="s">
        <v>246</v>
      </c>
      <c r="CD2455" s="2" t="s">
        <v>233</v>
      </c>
      <c r="CE2455" s="4"/>
      <c r="CF2455" s="4">
        <v>60</v>
      </c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/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/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/>
      <c r="GE2455" s="4"/>
      <c r="GF2455" s="4"/>
      <c r="GG2455" s="4"/>
      <c r="GH2455" s="4"/>
      <c r="GI2455" s="4"/>
      <c r="GJ2455" s="4"/>
      <c r="GK2455" s="4"/>
      <c r="GL2455" s="4"/>
      <c r="GM2455" s="4"/>
      <c r="GN2455" s="4"/>
      <c r="GO2455" s="4"/>
      <c r="GP2455" s="4"/>
      <c r="GQ2455" s="4"/>
      <c r="GR2455" s="4"/>
      <c r="GS2455" s="4"/>
      <c r="GT2455" s="4"/>
      <c r="GU2455" s="4"/>
      <c r="GV2455" s="4"/>
      <c r="GW2455" s="4"/>
      <c r="GX2455" s="4"/>
      <c r="GY2455" s="4"/>
      <c r="GZ2455" s="4"/>
      <c r="HA2455" s="4"/>
      <c r="HB2455" s="4"/>
      <c r="HC2455" s="4"/>
      <c r="HD2455" s="4"/>
      <c r="HE2455" s="4"/>
      <c r="HF2455" s="4"/>
      <c r="HG2455" s="4">
        <v>98</v>
      </c>
      <c r="HH2455" s="4"/>
      <c r="HI2455" s="4"/>
      <c r="HJ2455" s="4"/>
      <c r="HK2455" s="4"/>
      <c r="HL2455" s="4"/>
      <c r="HM2455" s="4"/>
      <c r="HN2455" s="4"/>
      <c r="HO2455" s="4"/>
      <c r="HP2455" s="4"/>
      <c r="HQ2455" s="4"/>
      <c r="HR2455" s="4"/>
    </row>
    <row r="2456">
      <c r="A2456" s="2" t="s">
        <v>10861</v>
      </c>
      <c r="B2456" s="2" t="s">
        <v>1066</v>
      </c>
      <c r="C2456" s="2" t="s">
        <v>901</v>
      </c>
      <c r="D2456" s="2" t="s">
        <v>2285</v>
      </c>
      <c r="E2456" s="2" t="s">
        <v>2286</v>
      </c>
      <c r="F2456" s="2" t="s">
        <v>10862</v>
      </c>
      <c r="G2456" s="2" t="s">
        <v>10862</v>
      </c>
      <c r="H2456" s="2" t="s">
        <v>10862</v>
      </c>
      <c r="I2456" s="2" t="s">
        <v>10863</v>
      </c>
      <c r="J2456" s="2" t="s">
        <v>892</v>
      </c>
      <c r="K2456" s="2" t="s">
        <v>255</v>
      </c>
      <c r="L2456" s="3">
        <v>196.35</v>
      </c>
      <c r="M2456" s="3">
        <v>206.17</v>
      </c>
      <c r="N2456" s="3">
        <v>419</v>
      </c>
      <c r="O2456" s="2" t="s">
        <v>237</v>
      </c>
      <c r="P2456" s="2" t="s">
        <v>311</v>
      </c>
      <c r="Q2456" s="2" t="s">
        <v>239</v>
      </c>
      <c r="R2456" s="2" t="s">
        <v>233</v>
      </c>
      <c r="S2456" s="2" t="s">
        <v>233</v>
      </c>
      <c r="T2456" s="2" t="s">
        <v>233</v>
      </c>
      <c r="U2456" s="2" t="s">
        <v>233</v>
      </c>
      <c r="V2456" s="2" t="s">
        <v>241</v>
      </c>
      <c r="W2456" s="2" t="s">
        <v>2652</v>
      </c>
      <c r="X2456" s="2" t="s">
        <v>233</v>
      </c>
      <c r="Y2456" s="2" t="s">
        <v>7719</v>
      </c>
      <c r="Z2456" s="4">
        <v>109</v>
      </c>
      <c r="AA2456" s="4">
        <f>=ROUNDDOWN(47.3913043478261,0)</f>
      </c>
      <c r="AB2456" s="5">
        <v>2.3</v>
      </c>
      <c r="AC2456" s="2" t="s">
        <v>233</v>
      </c>
      <c r="AD2456" s="4"/>
      <c r="AE2456" s="4"/>
      <c r="AF2456" s="6">
        <v>74</v>
      </c>
      <c r="AG2456" s="6"/>
      <c r="AH2456" s="7">
        <v>1</v>
      </c>
      <c r="AI2456" s="4"/>
      <c r="AJ2456" s="4">
        <f>=ROUNDDOWN({0},0)</f>
      </c>
      <c r="AK2456" s="5"/>
      <c r="AL2456" s="2" t="s">
        <v>233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/>
      <c r="BD2456" s="8"/>
      <c r="BE2456" s="4"/>
      <c r="BF2456" s="8"/>
      <c r="BG2456" s="7"/>
      <c r="BH2456" s="7"/>
      <c r="BI2456" s="7"/>
      <c r="BJ2456" s="4">
        <v>8</v>
      </c>
      <c r="BK2456" s="8">
        <v>1259.24</v>
      </c>
      <c r="BL2456" s="2" t="s">
        <v>2915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10864</v>
      </c>
      <c r="BV2456" s="2" t="s">
        <v>233</v>
      </c>
      <c r="BW2456" s="2" t="s">
        <v>233</v>
      </c>
      <c r="BX2456" s="2" t="s">
        <v>233</v>
      </c>
      <c r="BY2456" s="2" t="s">
        <v>280</v>
      </c>
      <c r="BZ2456" s="2" t="s">
        <v>245</v>
      </c>
      <c r="CA2456" s="2" t="s">
        <v>8890</v>
      </c>
      <c r="CB2456" s="2" t="s">
        <v>8916</v>
      </c>
      <c r="CC2456" s="2" t="s">
        <v>246</v>
      </c>
      <c r="CD2456" s="2" t="s">
        <v>233</v>
      </c>
      <c r="CE2456" s="4"/>
      <c r="CF2456" s="4">
        <v>109</v>
      </c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/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/>
      <c r="HD2456" s="4"/>
      <c r="HE2456" s="4"/>
      <c r="HF2456" s="4"/>
      <c r="HG2456" s="4"/>
      <c r="HH2456" s="4"/>
      <c r="HI2456" s="4"/>
      <c r="HJ2456" s="4"/>
      <c r="HK2456" s="4"/>
      <c r="HL2456" s="4"/>
      <c r="HM2456" s="4"/>
      <c r="HN2456" s="4"/>
      <c r="HO2456" s="4"/>
      <c r="HP2456" s="4"/>
      <c r="HQ2456" s="4"/>
      <c r="HR2456" s="4"/>
    </row>
    <row r="2457">
      <c r="A2457" s="2" t="s">
        <v>10865</v>
      </c>
      <c r="B2457" s="2" t="s">
        <v>928</v>
      </c>
      <c r="C2457" s="2" t="s">
        <v>530</v>
      </c>
      <c r="D2457" s="2" t="s">
        <v>961</v>
      </c>
      <c r="E2457" s="2" t="s">
        <v>939</v>
      </c>
      <c r="F2457" s="2" t="s">
        <v>10866</v>
      </c>
      <c r="G2457" s="2" t="s">
        <v>10866</v>
      </c>
      <c r="H2457" s="2" t="s">
        <v>10866</v>
      </c>
      <c r="I2457" s="2" t="s">
        <v>10867</v>
      </c>
      <c r="J2457" s="2" t="s">
        <v>892</v>
      </c>
      <c r="K2457" s="2" t="s">
        <v>1537</v>
      </c>
      <c r="L2457" s="3">
        <v>44.47</v>
      </c>
      <c r="M2457" s="3">
        <v>46.69</v>
      </c>
      <c r="N2457" s="3">
        <v>96.04</v>
      </c>
      <c r="O2457" s="2" t="s">
        <v>245</v>
      </c>
      <c r="P2457" s="2" t="s">
        <v>393</v>
      </c>
      <c r="Q2457" s="2" t="s">
        <v>239</v>
      </c>
      <c r="R2457" s="2" t="s">
        <v>233</v>
      </c>
      <c r="S2457" s="2" t="s">
        <v>10868</v>
      </c>
      <c r="T2457" s="2" t="s">
        <v>233</v>
      </c>
      <c r="U2457" s="2" t="s">
        <v>396</v>
      </c>
      <c r="V2457" s="2" t="s">
        <v>921</v>
      </c>
      <c r="W2457" s="2" t="s">
        <v>397</v>
      </c>
      <c r="X2457" s="2" t="s">
        <v>233</v>
      </c>
      <c r="Y2457" s="2" t="s">
        <v>1150</v>
      </c>
      <c r="Z2457" s="4">
        <v>159</v>
      </c>
      <c r="AA2457" s="4">
        <f>=ROUNDDOWN(56.7857142857143,0)</f>
      </c>
      <c r="AB2457" s="5">
        <v>2.8</v>
      </c>
      <c r="AC2457" s="2" t="s">
        <v>233</v>
      </c>
      <c r="AD2457" s="4"/>
      <c r="AE2457" s="4"/>
      <c r="AF2457" s="6">
        <v>63</v>
      </c>
      <c r="AG2457" s="6"/>
      <c r="AH2457" s="7">
        <v>1</v>
      </c>
      <c r="AI2457" s="4"/>
      <c r="AJ2457" s="4">
        <f>=ROUNDDOWN({0},0)</f>
      </c>
      <c r="AK2457" s="5"/>
      <c r="AL2457" s="2" t="s">
        <v>233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/>
      <c r="BD2457" s="8"/>
      <c r="BE2457" s="4"/>
      <c r="BF2457" s="8"/>
      <c r="BG2457" s="7"/>
      <c r="BH2457" s="7"/>
      <c r="BI2457" s="7"/>
      <c r="BJ2457" s="4">
        <v>9</v>
      </c>
      <c r="BK2457" s="8">
        <v>501.31</v>
      </c>
      <c r="BL2457" s="2" t="s">
        <v>10869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10870</v>
      </c>
      <c r="BV2457" s="2" t="s">
        <v>233</v>
      </c>
      <c r="BW2457" s="2" t="s">
        <v>233</v>
      </c>
      <c r="BX2457" s="2" t="s">
        <v>233</v>
      </c>
      <c r="BY2457" s="2" t="s">
        <v>280</v>
      </c>
      <c r="BZ2457" s="2" t="s">
        <v>245</v>
      </c>
      <c r="CA2457" s="2" t="s">
        <v>7765</v>
      </c>
      <c r="CB2457" s="2" t="s">
        <v>2888</v>
      </c>
      <c r="CC2457" s="2" t="s">
        <v>246</v>
      </c>
      <c r="CD2457" s="2" t="s">
        <v>233</v>
      </c>
      <c r="CE2457" s="4">
        <v>2</v>
      </c>
      <c r="CF2457" s="4">
        <v>157</v>
      </c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/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/>
      <c r="FB2457" s="4"/>
      <c r="FC2457" s="4"/>
      <c r="FD2457" s="4"/>
      <c r="FE2457" s="4"/>
      <c r="FF2457" s="4"/>
      <c r="FG2457" s="4"/>
      <c r="FH2457" s="4"/>
      <c r="FI2457" s="4"/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/>
      <c r="GL2457" s="4"/>
      <c r="GM2457" s="4"/>
      <c r="GN2457" s="4"/>
      <c r="GO2457" s="4"/>
      <c r="GP2457" s="4"/>
      <c r="GQ2457" s="4"/>
      <c r="GR2457" s="4"/>
      <c r="GS2457" s="4"/>
      <c r="GT2457" s="4"/>
      <c r="GU2457" s="4"/>
      <c r="GV2457" s="4"/>
      <c r="GW2457" s="4"/>
      <c r="GX2457" s="4"/>
      <c r="GY2457" s="4"/>
      <c r="GZ2457" s="4"/>
      <c r="HA2457" s="4"/>
      <c r="HB2457" s="4"/>
      <c r="HC2457" s="4"/>
      <c r="HD2457" s="4"/>
      <c r="HE2457" s="4"/>
      <c r="HF2457" s="4"/>
      <c r="HG2457" s="4"/>
      <c r="HH2457" s="4"/>
      <c r="HI2457" s="4"/>
      <c r="HJ2457" s="4"/>
      <c r="HK2457" s="4"/>
      <c r="HL2457" s="4"/>
      <c r="HM2457" s="4"/>
      <c r="HN2457" s="4"/>
      <c r="HO2457" s="4"/>
      <c r="HP2457" s="4"/>
      <c r="HQ2457" s="4"/>
      <c r="HR2457" s="4"/>
    </row>
    <row r="2458">
      <c r="A2458" s="2" t="s">
        <v>10871</v>
      </c>
      <c r="B2458" s="2" t="s">
        <v>928</v>
      </c>
      <c r="C2458" s="2" t="s">
        <v>1321</v>
      </c>
      <c r="D2458" s="2" t="s">
        <v>1757</v>
      </c>
      <c r="E2458" s="2" t="s">
        <v>6648</v>
      </c>
      <c r="F2458" s="2" t="s">
        <v>10872</v>
      </c>
      <c r="G2458" s="2" t="s">
        <v>10872</v>
      </c>
      <c r="H2458" s="2" t="s">
        <v>10872</v>
      </c>
      <c r="I2458" s="2" t="s">
        <v>10873</v>
      </c>
      <c r="J2458" s="2" t="s">
        <v>10874</v>
      </c>
      <c r="K2458" s="2" t="s">
        <v>1105</v>
      </c>
      <c r="L2458" s="3">
        <v>47.09</v>
      </c>
      <c r="M2458" s="3">
        <v>49.44</v>
      </c>
      <c r="N2458" s="3">
        <v>98.99</v>
      </c>
      <c r="O2458" s="2" t="s">
        <v>245</v>
      </c>
      <c r="P2458" s="2" t="s">
        <v>763</v>
      </c>
      <c r="Q2458" s="2" t="s">
        <v>239</v>
      </c>
      <c r="R2458" s="2" t="s">
        <v>233</v>
      </c>
      <c r="S2458" s="2" t="s">
        <v>10875</v>
      </c>
      <c r="T2458" s="2" t="s">
        <v>233</v>
      </c>
      <c r="U2458" s="2" t="s">
        <v>396</v>
      </c>
      <c r="V2458" s="2" t="s">
        <v>921</v>
      </c>
      <c r="W2458" s="2" t="s">
        <v>705</v>
      </c>
      <c r="X2458" s="2" t="s">
        <v>233</v>
      </c>
      <c r="Y2458" s="2" t="s">
        <v>4173</v>
      </c>
      <c r="Z2458" s="4">
        <v>92</v>
      </c>
      <c r="AA2458" s="4">
        <f>=ROUNDDOWN(10.2222222222222,0)</f>
      </c>
      <c r="AB2458" s="5">
        <v>9</v>
      </c>
      <c r="AC2458" s="2" t="s">
        <v>299</v>
      </c>
      <c r="AD2458" s="4">
        <v>180</v>
      </c>
      <c r="AE2458" s="4">
        <v>350</v>
      </c>
      <c r="AF2458" s="6">
        <v>63</v>
      </c>
      <c r="AG2458" s="6"/>
      <c r="AH2458" s="7">
        <v>1</v>
      </c>
      <c r="AI2458" s="4"/>
      <c r="AJ2458" s="4">
        <f>=ROUNDDOWN({0},0)</f>
      </c>
      <c r="AK2458" s="5"/>
      <c r="AL2458" s="2" t="s">
        <v>233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233</v>
      </c>
      <c r="BD2458" s="8" t="s">
        <v>233</v>
      </c>
      <c r="BE2458" s="4" t="s">
        <v>233</v>
      </c>
      <c r="BF2458" s="8" t="s">
        <v>233</v>
      </c>
      <c r="BG2458" s="7" t="s">
        <v>233</v>
      </c>
      <c r="BH2458" s="7" t="s">
        <v>233</v>
      </c>
      <c r="BI2458" s="7"/>
      <c r="BJ2458" s="4">
        <v>28</v>
      </c>
      <c r="BK2458" s="8">
        <v>1617.44</v>
      </c>
      <c r="BL2458" s="2" t="s">
        <v>10876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10877</v>
      </c>
      <c r="BV2458" s="2" t="s">
        <v>233</v>
      </c>
      <c r="BW2458" s="2" t="s">
        <v>233</v>
      </c>
      <c r="BX2458" s="2" t="s">
        <v>243</v>
      </c>
      <c r="BY2458" s="2" t="s">
        <v>280</v>
      </c>
      <c r="BZ2458" s="2" t="s">
        <v>245</v>
      </c>
      <c r="CA2458" s="2" t="s">
        <v>2623</v>
      </c>
      <c r="CB2458" s="2" t="s">
        <v>10878</v>
      </c>
      <c r="CC2458" s="2" t="s">
        <v>246</v>
      </c>
      <c r="CD2458" s="2" t="s">
        <v>233</v>
      </c>
      <c r="CE2458" s="4"/>
      <c r="CF2458" s="4">
        <v>92</v>
      </c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>
        <v>180</v>
      </c>
      <c r="EB2458" s="4"/>
      <c r="EC2458" s="4"/>
      <c r="ED2458" s="4"/>
      <c r="EE2458" s="4"/>
      <c r="EF2458" s="4"/>
      <c r="EG2458" s="4"/>
      <c r="EH2458" s="4">
        <v>170</v>
      </c>
      <c r="EI2458" s="4"/>
      <c r="EJ2458" s="4"/>
      <c r="EK2458" s="4"/>
      <c r="EL2458" s="4"/>
      <c r="EM2458" s="4"/>
      <c r="EN2458" s="4"/>
      <c r="EO2458" s="4"/>
      <c r="EP2458" s="4"/>
      <c r="EQ2458" s="4"/>
      <c r="ER2458" s="4"/>
      <c r="ES2458" s="4"/>
      <c r="ET2458" s="4"/>
      <c r="EU2458" s="4"/>
      <c r="EV2458" s="4"/>
      <c r="EW2458" s="4"/>
      <c r="EX2458" s="4"/>
      <c r="EY2458" s="4"/>
      <c r="EZ2458" s="4"/>
      <c r="FA2458" s="4"/>
      <c r="FB2458" s="4"/>
      <c r="FC2458" s="4"/>
      <c r="FD2458" s="4"/>
      <c r="FE2458" s="4"/>
      <c r="FF2458" s="4"/>
      <c r="FG2458" s="4"/>
      <c r="FH2458" s="4"/>
      <c r="FI2458" s="4"/>
      <c r="FJ2458" s="4"/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/>
      <c r="GE2458" s="4"/>
      <c r="GF2458" s="4"/>
      <c r="GG2458" s="4"/>
      <c r="GH2458" s="4"/>
      <c r="GI2458" s="4"/>
      <c r="GJ2458" s="4"/>
      <c r="GK2458" s="4"/>
      <c r="GL2458" s="4"/>
      <c r="GM2458" s="4"/>
      <c r="GN2458" s="4"/>
      <c r="GO2458" s="4"/>
      <c r="GP2458" s="4"/>
      <c r="GQ2458" s="4"/>
      <c r="GR2458" s="4"/>
      <c r="GS2458" s="4"/>
      <c r="GT2458" s="4"/>
      <c r="GU2458" s="4"/>
      <c r="GV2458" s="4"/>
      <c r="GW2458" s="4"/>
      <c r="GX2458" s="4"/>
      <c r="GY2458" s="4"/>
      <c r="GZ2458" s="4"/>
      <c r="HA2458" s="4"/>
      <c r="HB2458" s="4"/>
      <c r="HC2458" s="4"/>
      <c r="HD2458" s="4"/>
      <c r="HE2458" s="4"/>
      <c r="HF2458" s="4"/>
      <c r="HG2458" s="4"/>
      <c r="HH2458" s="4"/>
      <c r="HI2458" s="4"/>
      <c r="HJ2458" s="4"/>
      <c r="HK2458" s="4"/>
      <c r="HL2458" s="4"/>
      <c r="HM2458" s="4"/>
      <c r="HN2458" s="4"/>
      <c r="HO2458" s="4"/>
      <c r="HP2458" s="4"/>
      <c r="HQ2458" s="4"/>
      <c r="HR2458" s="4"/>
    </row>
    <row r="2459">
      <c r="A2459" s="2" t="s">
        <v>10879</v>
      </c>
      <c r="B2459" s="2" t="s">
        <v>928</v>
      </c>
      <c r="C2459" s="2" t="s">
        <v>1321</v>
      </c>
      <c r="D2459" s="2" t="s">
        <v>1757</v>
      </c>
      <c r="E2459" s="2" t="s">
        <v>7319</v>
      </c>
      <c r="F2459" s="2" t="s">
        <v>10872</v>
      </c>
      <c r="G2459" s="2" t="s">
        <v>10872</v>
      </c>
      <c r="H2459" s="2" t="s">
        <v>10872</v>
      </c>
      <c r="I2459" s="2" t="s">
        <v>10880</v>
      </c>
      <c r="J2459" s="2" t="s">
        <v>7709</v>
      </c>
      <c r="K2459" s="2" t="s">
        <v>297</v>
      </c>
      <c r="L2459" s="3">
        <v>93.25</v>
      </c>
      <c r="M2459" s="3">
        <v>97.91</v>
      </c>
      <c r="N2459" s="3">
        <v>206.99</v>
      </c>
      <c r="O2459" s="2" t="s">
        <v>245</v>
      </c>
      <c r="P2459" s="2" t="s">
        <v>238</v>
      </c>
      <c r="Q2459" s="2" t="s">
        <v>239</v>
      </c>
      <c r="R2459" s="2" t="s">
        <v>233</v>
      </c>
      <c r="S2459" s="2" t="s">
        <v>233</v>
      </c>
      <c r="T2459" s="2" t="s">
        <v>233</v>
      </c>
      <c r="U2459" s="2" t="s">
        <v>475</v>
      </c>
      <c r="V2459" s="2" t="s">
        <v>893</v>
      </c>
      <c r="W2459" s="2" t="s">
        <v>705</v>
      </c>
      <c r="X2459" s="2" t="s">
        <v>397</v>
      </c>
      <c r="Y2459" s="2" t="s">
        <v>5534</v>
      </c>
      <c r="Z2459" s="4">
        <v>86</v>
      </c>
      <c r="AA2459" s="4">
        <f>=ROUNDDOWN(215,0)</f>
      </c>
      <c r="AB2459" s="5">
        <v>0.4</v>
      </c>
      <c r="AC2459" s="2" t="s">
        <v>233</v>
      </c>
      <c r="AD2459" s="4"/>
      <c r="AE2459" s="4"/>
      <c r="AF2459" s="6">
        <v>63</v>
      </c>
      <c r="AG2459" s="6"/>
      <c r="AH2459" s="7">
        <v>1</v>
      </c>
      <c r="AI2459" s="4"/>
      <c r="AJ2459" s="4">
        <f>=ROUNDDOWN({0},0)</f>
      </c>
      <c r="AK2459" s="5"/>
      <c r="AL2459" s="2" t="s">
        <v>233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233</v>
      </c>
      <c r="BD2459" s="8" t="s">
        <v>233</v>
      </c>
      <c r="BE2459" s="4" t="s">
        <v>233</v>
      </c>
      <c r="BF2459" s="8" t="s">
        <v>233</v>
      </c>
      <c r="BG2459" s="7" t="s">
        <v>233</v>
      </c>
      <c r="BH2459" s="7" t="s">
        <v>233</v>
      </c>
      <c r="BI2459" s="7"/>
      <c r="BJ2459" s="4">
        <v>1</v>
      </c>
      <c r="BK2459" s="8">
        <v>73.73</v>
      </c>
      <c r="BL2459" s="2" t="s">
        <v>1028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10881</v>
      </c>
      <c r="BV2459" s="2" t="s">
        <v>233</v>
      </c>
      <c r="BW2459" s="2" t="s">
        <v>233</v>
      </c>
      <c r="BX2459" s="2" t="s">
        <v>243</v>
      </c>
      <c r="BY2459" s="2" t="s">
        <v>280</v>
      </c>
      <c r="BZ2459" s="2" t="s">
        <v>245</v>
      </c>
      <c r="CA2459" s="2" t="s">
        <v>1582</v>
      </c>
      <c r="CB2459" s="2" t="s">
        <v>2582</v>
      </c>
      <c r="CC2459" s="2" t="s">
        <v>246</v>
      </c>
      <c r="CD2459" s="2" t="s">
        <v>233</v>
      </c>
      <c r="CE2459" s="4"/>
      <c r="CF2459" s="4">
        <v>86</v>
      </c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/>
      <c r="EO2459" s="4"/>
      <c r="EP2459" s="4"/>
      <c r="EQ2459" s="4"/>
      <c r="ER2459" s="4"/>
      <c r="ES2459" s="4"/>
      <c r="ET2459" s="4"/>
      <c r="EU2459" s="4"/>
      <c r="EV2459" s="4"/>
      <c r="EW2459" s="4"/>
      <c r="EX2459" s="4"/>
      <c r="EY2459" s="4"/>
      <c r="EZ2459" s="4"/>
      <c r="FA2459" s="4"/>
      <c r="FB2459" s="4"/>
      <c r="FC2459" s="4"/>
      <c r="FD2459" s="4"/>
      <c r="FE2459" s="4"/>
      <c r="FF2459" s="4"/>
      <c r="FG2459" s="4"/>
      <c r="FH2459" s="4"/>
      <c r="FI2459" s="4"/>
      <c r="FJ2459" s="4"/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/>
      <c r="GE2459" s="4"/>
      <c r="GF2459" s="4"/>
      <c r="GG2459" s="4"/>
      <c r="GH2459" s="4"/>
      <c r="GI2459" s="4"/>
      <c r="GJ2459" s="4"/>
      <c r="GK2459" s="4"/>
      <c r="GL2459" s="4"/>
      <c r="GM2459" s="4"/>
      <c r="GN2459" s="4"/>
      <c r="GO2459" s="4"/>
      <c r="GP2459" s="4"/>
      <c r="GQ2459" s="4"/>
      <c r="GR2459" s="4"/>
      <c r="GS2459" s="4"/>
      <c r="GT2459" s="4"/>
      <c r="GU2459" s="4"/>
      <c r="GV2459" s="4"/>
      <c r="GW2459" s="4"/>
      <c r="GX2459" s="4"/>
      <c r="GY2459" s="4"/>
      <c r="GZ2459" s="4"/>
      <c r="HA2459" s="4"/>
      <c r="HB2459" s="4"/>
      <c r="HC2459" s="4"/>
      <c r="HD2459" s="4"/>
      <c r="HE2459" s="4"/>
      <c r="HF2459" s="4"/>
      <c r="HG2459" s="4"/>
      <c r="HH2459" s="4"/>
      <c r="HI2459" s="4"/>
      <c r="HJ2459" s="4"/>
      <c r="HK2459" s="4"/>
      <c r="HL2459" s="4"/>
      <c r="HM2459" s="4"/>
      <c r="HN2459" s="4"/>
      <c r="HO2459" s="4"/>
      <c r="HP2459" s="4"/>
      <c r="HQ2459" s="4"/>
      <c r="HR2459" s="4"/>
    </row>
    <row r="2460">
      <c r="A2460" s="2" t="s">
        <v>10882</v>
      </c>
      <c r="B2460" s="2" t="s">
        <v>2965</v>
      </c>
      <c r="C2460" s="2" t="s">
        <v>1277</v>
      </c>
      <c r="D2460" s="2" t="s">
        <v>2966</v>
      </c>
      <c r="E2460" s="2" t="s">
        <v>2967</v>
      </c>
      <c r="F2460" s="2" t="s">
        <v>10883</v>
      </c>
      <c r="G2460" s="2" t="s">
        <v>10883</v>
      </c>
      <c r="H2460" s="2" t="s">
        <v>10883</v>
      </c>
      <c r="I2460" s="2" t="s">
        <v>10884</v>
      </c>
      <c r="J2460" s="2" t="s">
        <v>892</v>
      </c>
      <c r="K2460" s="2" t="s">
        <v>255</v>
      </c>
      <c r="L2460" s="3">
        <v>21.46</v>
      </c>
      <c r="M2460" s="3">
        <v>22.53</v>
      </c>
      <c r="N2460" s="3">
        <v>29.99</v>
      </c>
      <c r="O2460" s="2" t="s">
        <v>245</v>
      </c>
      <c r="P2460" s="2" t="s">
        <v>238</v>
      </c>
      <c r="Q2460" s="2" t="s">
        <v>239</v>
      </c>
      <c r="R2460" s="2" t="s">
        <v>233</v>
      </c>
      <c r="S2460" s="2" t="s">
        <v>233</v>
      </c>
      <c r="T2460" s="2" t="s">
        <v>233</v>
      </c>
      <c r="U2460" s="2" t="s">
        <v>396</v>
      </c>
      <c r="V2460" s="2" t="s">
        <v>893</v>
      </c>
      <c r="W2460" s="2" t="s">
        <v>275</v>
      </c>
      <c r="X2460" s="2" t="s">
        <v>233</v>
      </c>
      <c r="Y2460" s="2" t="s">
        <v>5820</v>
      </c>
      <c r="Z2460" s="4">
        <v>559</v>
      </c>
      <c r="AA2460" s="4">
        <f>=ROUNDDOWN(55.9,0)</f>
      </c>
      <c r="AB2460" s="5">
        <v>10</v>
      </c>
      <c r="AC2460" s="2" t="s">
        <v>233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233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/>
      <c r="BD2460" s="8"/>
      <c r="BE2460" s="4"/>
      <c r="BF2460" s="8"/>
      <c r="BG2460" s="7"/>
      <c r="BH2460" s="7"/>
      <c r="BI2460" s="7"/>
      <c r="BJ2460" s="4"/>
      <c r="BK2460" s="8"/>
      <c r="BL2460" s="2" t="s">
        <v>233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243</v>
      </c>
      <c r="BV2460" s="2" t="s">
        <v>233</v>
      </c>
      <c r="BW2460" s="2" t="s">
        <v>233</v>
      </c>
      <c r="BX2460" s="2" t="s">
        <v>243</v>
      </c>
      <c r="BY2460" s="2" t="s">
        <v>346</v>
      </c>
      <c r="BZ2460" s="2" t="s">
        <v>245</v>
      </c>
      <c r="CA2460" s="2" t="s">
        <v>233</v>
      </c>
      <c r="CB2460" s="2" t="s">
        <v>233</v>
      </c>
      <c r="CC2460" s="2" t="s">
        <v>246</v>
      </c>
      <c r="CD2460" s="2" t="s">
        <v>233</v>
      </c>
      <c r="CE2460" s="4"/>
      <c r="CF2460" s="4">
        <v>267</v>
      </c>
      <c r="CG2460" s="4"/>
      <c r="CH2460" s="4"/>
      <c r="CI2460" s="4">
        <v>292</v>
      </c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/>
      <c r="EO2460" s="4"/>
      <c r="EP2460" s="4"/>
      <c r="EQ2460" s="4"/>
      <c r="ER2460" s="4"/>
      <c r="ES2460" s="4"/>
      <c r="ET2460" s="4"/>
      <c r="EU2460" s="4"/>
      <c r="EV2460" s="4"/>
      <c r="EW2460" s="4"/>
      <c r="EX2460" s="4"/>
      <c r="EY2460" s="4"/>
      <c r="EZ2460" s="4"/>
      <c r="FA2460" s="4"/>
      <c r="FB2460" s="4"/>
      <c r="FC2460" s="4"/>
      <c r="FD2460" s="4"/>
      <c r="FE2460" s="4"/>
      <c r="FF2460" s="4"/>
      <c r="FG2460" s="4"/>
      <c r="FH2460" s="4"/>
      <c r="FI2460" s="4"/>
      <c r="FJ2460" s="4"/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/>
      <c r="GE2460" s="4"/>
      <c r="GF2460" s="4"/>
      <c r="GG2460" s="4"/>
      <c r="GH2460" s="4"/>
      <c r="GI2460" s="4"/>
      <c r="GJ2460" s="4"/>
      <c r="GK2460" s="4"/>
      <c r="GL2460" s="4"/>
      <c r="GM2460" s="4"/>
      <c r="GN2460" s="4"/>
      <c r="GO2460" s="4"/>
      <c r="GP2460" s="4"/>
      <c r="GQ2460" s="4"/>
      <c r="GR2460" s="4"/>
      <c r="GS2460" s="4"/>
      <c r="GT2460" s="4"/>
      <c r="GU2460" s="4"/>
      <c r="GV2460" s="4"/>
      <c r="GW2460" s="4"/>
      <c r="GX2460" s="4"/>
      <c r="GY2460" s="4"/>
      <c r="GZ2460" s="4"/>
      <c r="HA2460" s="4"/>
      <c r="HB2460" s="4"/>
      <c r="HC2460" s="4"/>
      <c r="HD2460" s="4"/>
      <c r="HE2460" s="4"/>
      <c r="HF2460" s="4"/>
      <c r="HG2460" s="4"/>
      <c r="HH2460" s="4"/>
      <c r="HI2460" s="4"/>
      <c r="HJ2460" s="4"/>
      <c r="HK2460" s="4"/>
      <c r="HL2460" s="4"/>
      <c r="HM2460" s="4"/>
      <c r="HN2460" s="4"/>
      <c r="HO2460" s="4"/>
      <c r="HP2460" s="4"/>
      <c r="HQ2460" s="4"/>
      <c r="HR2460" s="4"/>
    </row>
    <row r="2461">
      <c r="A2461" s="2" t="s">
        <v>10885</v>
      </c>
      <c r="B2461" s="2" t="s">
        <v>1242</v>
      </c>
      <c r="C2461" s="2" t="s">
        <v>1335</v>
      </c>
      <c r="D2461" s="2" t="s">
        <v>1862</v>
      </c>
      <c r="E2461" s="2" t="s">
        <v>6347</v>
      </c>
      <c r="F2461" s="2" t="s">
        <v>10886</v>
      </c>
      <c r="G2461" s="2" t="s">
        <v>10886</v>
      </c>
      <c r="H2461" s="2" t="s">
        <v>10886</v>
      </c>
      <c r="I2461" s="2" t="s">
        <v>6348</v>
      </c>
      <c r="J2461" s="2" t="s">
        <v>1142</v>
      </c>
      <c r="K2461" s="2" t="s">
        <v>1561</v>
      </c>
      <c r="L2461" s="3">
        <v>54.99</v>
      </c>
      <c r="M2461" s="3">
        <v>57.74</v>
      </c>
      <c r="N2461" s="3">
        <v>119.99</v>
      </c>
      <c r="O2461" s="2" t="s">
        <v>245</v>
      </c>
      <c r="P2461" s="2" t="s">
        <v>763</v>
      </c>
      <c r="Q2461" s="2" t="s">
        <v>239</v>
      </c>
      <c r="R2461" s="2" t="s">
        <v>233</v>
      </c>
      <c r="S2461" s="2" t="s">
        <v>10887</v>
      </c>
      <c r="T2461" s="2" t="s">
        <v>233</v>
      </c>
      <c r="U2461" s="2" t="s">
        <v>233</v>
      </c>
      <c r="V2461" s="2" t="s">
        <v>1340</v>
      </c>
      <c r="W2461" s="2" t="s">
        <v>978</v>
      </c>
      <c r="X2461" s="2" t="s">
        <v>7831</v>
      </c>
      <c r="Y2461" s="2" t="s">
        <v>276</v>
      </c>
      <c r="Z2461" s="4">
        <v>62</v>
      </c>
      <c r="AA2461" s="4">
        <f>=ROUNDDOWN(4.76923076923077,0)</f>
      </c>
      <c r="AB2461" s="5"/>
      <c r="AC2461" s="2" t="s">
        <v>1701</v>
      </c>
      <c r="AD2461" s="4">
        <v>200</v>
      </c>
      <c r="AE2461" s="4">
        <v>770</v>
      </c>
      <c r="AF2461" s="6">
        <v>69</v>
      </c>
      <c r="AG2461" s="6"/>
      <c r="AH2461" s="7">
        <v>1</v>
      </c>
      <c r="AI2461" s="4"/>
      <c r="AJ2461" s="4">
        <f>=ROUNDDOWN({0},0)</f>
      </c>
      <c r="AK2461" s="5"/>
      <c r="AL2461" s="2" t="s">
        <v>233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 t="s">
        <v>233</v>
      </c>
      <c r="AW2461" s="8" t="s">
        <v>233</v>
      </c>
      <c r="AX2461" s="4" t="s">
        <v>233</v>
      </c>
      <c r="AY2461" s="8" t="s">
        <v>233</v>
      </c>
      <c r="AZ2461" s="7" t="s">
        <v>233</v>
      </c>
      <c r="BA2461" s="7" t="s">
        <v>233</v>
      </c>
      <c r="BB2461" s="7"/>
      <c r="BC2461" s="4" t="s">
        <v>233</v>
      </c>
      <c r="BD2461" s="8" t="s">
        <v>233</v>
      </c>
      <c r="BE2461" s="4" t="s">
        <v>233</v>
      </c>
      <c r="BF2461" s="8" t="s">
        <v>233</v>
      </c>
      <c r="BG2461" s="7" t="s">
        <v>233</v>
      </c>
      <c r="BH2461" s="7" t="s">
        <v>233</v>
      </c>
      <c r="BI2461" s="7"/>
      <c r="BJ2461" s="4">
        <v>23</v>
      </c>
      <c r="BK2461" s="8">
        <v>1383.42</v>
      </c>
      <c r="BL2461" s="2" t="s">
        <v>10888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10889</v>
      </c>
      <c r="BV2461" s="2" t="s">
        <v>233</v>
      </c>
      <c r="BW2461" s="2" t="s">
        <v>233</v>
      </c>
      <c r="BX2461" s="2" t="s">
        <v>233</v>
      </c>
      <c r="BY2461" s="2" t="s">
        <v>280</v>
      </c>
      <c r="BZ2461" s="2" t="s">
        <v>245</v>
      </c>
      <c r="CA2461" s="2" t="s">
        <v>1318</v>
      </c>
      <c r="CB2461" s="2" t="s">
        <v>10890</v>
      </c>
      <c r="CC2461" s="2" t="s">
        <v>246</v>
      </c>
      <c r="CD2461" s="2" t="s">
        <v>233</v>
      </c>
      <c r="CE2461" s="4">
        <v>62</v>
      </c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/>
      <c r="DV2461" s="4">
        <v>200</v>
      </c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/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/>
      <c r="FF2461" s="4"/>
      <c r="FG2461" s="4"/>
      <c r="FH2461" s="4"/>
      <c r="FI2461" s="4"/>
      <c r="FJ2461" s="4"/>
      <c r="FK2461" s="4"/>
      <c r="FL2461" s="4"/>
      <c r="FM2461" s="4"/>
      <c r="FN2461" s="4">
        <v>360</v>
      </c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/>
      <c r="GE2461" s="4"/>
      <c r="GF2461" s="4"/>
      <c r="GG2461" s="4"/>
      <c r="GH2461" s="4"/>
      <c r="GI2461" s="4"/>
      <c r="GJ2461" s="4"/>
      <c r="GK2461" s="4"/>
      <c r="GL2461" s="4"/>
      <c r="GM2461" s="4"/>
      <c r="GN2461" s="4"/>
      <c r="GO2461" s="4"/>
      <c r="GP2461" s="4"/>
      <c r="GQ2461" s="4"/>
      <c r="GR2461" s="4"/>
      <c r="GS2461" s="4"/>
      <c r="GT2461" s="4"/>
      <c r="GU2461" s="4"/>
      <c r="GV2461" s="4"/>
      <c r="GW2461" s="4"/>
      <c r="GX2461" s="4"/>
      <c r="GY2461" s="4"/>
      <c r="GZ2461" s="4"/>
      <c r="HA2461" s="4"/>
      <c r="HB2461" s="4">
        <v>210</v>
      </c>
      <c r="HC2461" s="4"/>
      <c r="HD2461" s="4"/>
      <c r="HE2461" s="4"/>
      <c r="HF2461" s="4"/>
      <c r="HG2461" s="4"/>
      <c r="HH2461" s="4"/>
      <c r="HI2461" s="4"/>
      <c r="HJ2461" s="4"/>
      <c r="HK2461" s="4"/>
      <c r="HL2461" s="4"/>
      <c r="HM2461" s="4"/>
      <c r="HN2461" s="4"/>
      <c r="HO2461" s="4"/>
      <c r="HP2461" s="4"/>
      <c r="HQ2461" s="4"/>
      <c r="HR2461" s="4"/>
    </row>
    <row r="2462">
      <c r="A2462" s="2" t="s">
        <v>10891</v>
      </c>
      <c r="B2462" s="2" t="s">
        <v>1017</v>
      </c>
      <c r="C2462" s="2" t="s">
        <v>1335</v>
      </c>
      <c r="D2462" s="2" t="s">
        <v>1565</v>
      </c>
      <c r="E2462" s="2" t="s">
        <v>1566</v>
      </c>
      <c r="F2462" s="2" t="s">
        <v>10886</v>
      </c>
      <c r="G2462" s="2" t="s">
        <v>10886</v>
      </c>
      <c r="H2462" s="2" t="s">
        <v>10886</v>
      </c>
      <c r="I2462" s="2" t="s">
        <v>10892</v>
      </c>
      <c r="J2462" s="2" t="s">
        <v>1568</v>
      </c>
      <c r="K2462" s="2" t="s">
        <v>1561</v>
      </c>
      <c r="L2462" s="3">
        <v>20.5</v>
      </c>
      <c r="M2462" s="3">
        <v>21.52</v>
      </c>
      <c r="N2462" s="3">
        <v>42.99</v>
      </c>
      <c r="O2462" s="2" t="s">
        <v>245</v>
      </c>
      <c r="P2462" s="2" t="s">
        <v>393</v>
      </c>
      <c r="Q2462" s="2" t="s">
        <v>239</v>
      </c>
      <c r="R2462" s="2" t="s">
        <v>233</v>
      </c>
      <c r="S2462" s="2" t="s">
        <v>10887</v>
      </c>
      <c r="T2462" s="2" t="s">
        <v>233</v>
      </c>
      <c r="U2462" s="2" t="s">
        <v>233</v>
      </c>
      <c r="V2462" s="2" t="s">
        <v>1340</v>
      </c>
      <c r="W2462" s="2" t="s">
        <v>978</v>
      </c>
      <c r="X2462" s="2" t="s">
        <v>233</v>
      </c>
      <c r="Y2462" s="2" t="s">
        <v>276</v>
      </c>
      <c r="Z2462" s="4">
        <v>87</v>
      </c>
      <c r="AA2462" s="4">
        <f>=ROUNDDOWN(14.5,0)</f>
      </c>
      <c r="AB2462" s="5">
        <v>6</v>
      </c>
      <c r="AC2462" s="2" t="s">
        <v>1701</v>
      </c>
      <c r="AD2462" s="4">
        <v>132</v>
      </c>
      <c r="AE2462" s="4">
        <v>354</v>
      </c>
      <c r="AF2462" s="6">
        <v>69</v>
      </c>
      <c r="AG2462" s="6"/>
      <c r="AH2462" s="7">
        <v>1</v>
      </c>
      <c r="AI2462" s="4"/>
      <c r="AJ2462" s="4">
        <f>=ROUNDDOWN({0},0)</f>
      </c>
      <c r="AK2462" s="5"/>
      <c r="AL2462" s="2" t="s">
        <v>233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 t="s">
        <v>233</v>
      </c>
      <c r="AW2462" s="8" t="s">
        <v>233</v>
      </c>
      <c r="AX2462" s="4" t="s">
        <v>233</v>
      </c>
      <c r="AY2462" s="8" t="s">
        <v>233</v>
      </c>
      <c r="AZ2462" s="7" t="s">
        <v>233</v>
      </c>
      <c r="BA2462" s="7" t="s">
        <v>233</v>
      </c>
      <c r="BB2462" s="7"/>
      <c r="BC2462" s="4" t="s">
        <v>233</v>
      </c>
      <c r="BD2462" s="8" t="s">
        <v>233</v>
      </c>
      <c r="BE2462" s="4" t="s">
        <v>233</v>
      </c>
      <c r="BF2462" s="8" t="s">
        <v>233</v>
      </c>
      <c r="BG2462" s="7" t="s">
        <v>233</v>
      </c>
      <c r="BH2462" s="7" t="s">
        <v>233</v>
      </c>
      <c r="BI2462" s="7"/>
      <c r="BJ2462" s="4">
        <v>19</v>
      </c>
      <c r="BK2462" s="8">
        <v>413.52</v>
      </c>
      <c r="BL2462" s="2" t="s">
        <v>10893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10894</v>
      </c>
      <c r="BV2462" s="2" t="s">
        <v>233</v>
      </c>
      <c r="BW2462" s="2" t="s">
        <v>233</v>
      </c>
      <c r="BX2462" s="2" t="s">
        <v>233</v>
      </c>
      <c r="BY2462" s="2" t="s">
        <v>280</v>
      </c>
      <c r="BZ2462" s="2" t="s">
        <v>245</v>
      </c>
      <c r="CA2462" s="2" t="s">
        <v>6261</v>
      </c>
      <c r="CB2462" s="2" t="s">
        <v>9232</v>
      </c>
      <c r="CC2462" s="2" t="s">
        <v>246</v>
      </c>
      <c r="CD2462" s="2" t="s">
        <v>233</v>
      </c>
      <c r="CE2462" s="4">
        <v>87</v>
      </c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>
        <v>132</v>
      </c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/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/>
      <c r="FF2462" s="4"/>
      <c r="FG2462" s="4"/>
      <c r="FH2462" s="4"/>
      <c r="FI2462" s="4"/>
      <c r="FJ2462" s="4"/>
      <c r="FK2462" s="4"/>
      <c r="FL2462" s="4"/>
      <c r="FM2462" s="4"/>
      <c r="FN2462" s="4">
        <v>32</v>
      </c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/>
      <c r="GE2462" s="4"/>
      <c r="GF2462" s="4"/>
      <c r="GG2462" s="4"/>
      <c r="GH2462" s="4"/>
      <c r="GI2462" s="4"/>
      <c r="GJ2462" s="4"/>
      <c r="GK2462" s="4"/>
      <c r="GL2462" s="4"/>
      <c r="GM2462" s="4"/>
      <c r="GN2462" s="4"/>
      <c r="GO2462" s="4"/>
      <c r="GP2462" s="4"/>
      <c r="GQ2462" s="4"/>
      <c r="GR2462" s="4"/>
      <c r="GS2462" s="4"/>
      <c r="GT2462" s="4"/>
      <c r="GU2462" s="4"/>
      <c r="GV2462" s="4"/>
      <c r="GW2462" s="4"/>
      <c r="GX2462" s="4"/>
      <c r="GY2462" s="4"/>
      <c r="GZ2462" s="4"/>
      <c r="HA2462" s="4"/>
      <c r="HB2462" s="4">
        <v>190</v>
      </c>
      <c r="HC2462" s="4"/>
      <c r="HD2462" s="4"/>
      <c r="HE2462" s="4"/>
      <c r="HF2462" s="4"/>
      <c r="HG2462" s="4"/>
      <c r="HH2462" s="4"/>
      <c r="HI2462" s="4"/>
      <c r="HJ2462" s="4"/>
      <c r="HK2462" s="4"/>
      <c r="HL2462" s="4"/>
      <c r="HM2462" s="4"/>
      <c r="HN2462" s="4"/>
      <c r="HO2462" s="4"/>
      <c r="HP2462" s="4"/>
      <c r="HQ2462" s="4"/>
      <c r="HR2462" s="4"/>
    </row>
    <row r="2463">
      <c r="A2463" s="2" t="s">
        <v>10895</v>
      </c>
      <c r="B2463" s="2" t="s">
        <v>1066</v>
      </c>
      <c r="C2463" s="2" t="s">
        <v>901</v>
      </c>
      <c r="D2463" s="2" t="s">
        <v>1322</v>
      </c>
      <c r="E2463" s="2" t="s">
        <v>2279</v>
      </c>
      <c r="F2463" s="2" t="s">
        <v>10896</v>
      </c>
      <c r="G2463" s="2" t="s">
        <v>10896</v>
      </c>
      <c r="H2463" s="2" t="s">
        <v>10896</v>
      </c>
      <c r="I2463" s="2" t="s">
        <v>10897</v>
      </c>
      <c r="J2463" s="2" t="s">
        <v>348</v>
      </c>
      <c r="K2463" s="2" t="s">
        <v>984</v>
      </c>
      <c r="L2463" s="3">
        <v>390</v>
      </c>
      <c r="M2463" s="3">
        <v>409.5</v>
      </c>
      <c r="N2463" s="3">
        <v>829</v>
      </c>
      <c r="O2463" s="2" t="s">
        <v>245</v>
      </c>
      <c r="P2463" s="2" t="s">
        <v>393</v>
      </c>
      <c r="Q2463" s="2" t="s">
        <v>239</v>
      </c>
      <c r="R2463" s="2" t="s">
        <v>233</v>
      </c>
      <c r="S2463" s="2" t="s">
        <v>233</v>
      </c>
      <c r="T2463" s="2" t="s">
        <v>233</v>
      </c>
      <c r="U2463" s="2" t="s">
        <v>233</v>
      </c>
      <c r="V2463" s="2" t="s">
        <v>893</v>
      </c>
      <c r="W2463" s="2" t="s">
        <v>397</v>
      </c>
      <c r="X2463" s="2" t="s">
        <v>233</v>
      </c>
      <c r="Y2463" s="2" t="s">
        <v>10898</v>
      </c>
      <c r="Z2463" s="4">
        <v>90</v>
      </c>
      <c r="AA2463" s="4">
        <f>=ROUNDDOWN(900,0)</f>
      </c>
      <c r="AB2463" s="5">
        <v>0.1</v>
      </c>
      <c r="AC2463" s="2" t="s">
        <v>233</v>
      </c>
      <c r="AD2463" s="4"/>
      <c r="AE2463" s="4"/>
      <c r="AF2463" s="6">
        <v>74</v>
      </c>
      <c r="AG2463" s="6"/>
      <c r="AH2463" s="7">
        <v>1</v>
      </c>
      <c r="AI2463" s="4"/>
      <c r="AJ2463" s="4">
        <f>=ROUNDDOWN({0},0)</f>
      </c>
      <c r="AK2463" s="5"/>
      <c r="AL2463" s="2" t="s">
        <v>233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 t="s">
        <v>233</v>
      </c>
      <c r="AW2463" s="8" t="s">
        <v>233</v>
      </c>
      <c r="AX2463" s="4" t="s">
        <v>233</v>
      </c>
      <c r="AY2463" s="8" t="s">
        <v>233</v>
      </c>
      <c r="AZ2463" s="7" t="s">
        <v>233</v>
      </c>
      <c r="BA2463" s="7" t="s">
        <v>233</v>
      </c>
      <c r="BB2463" s="7"/>
      <c r="BC2463" s="4" t="s">
        <v>233</v>
      </c>
      <c r="BD2463" s="8" t="s">
        <v>233</v>
      </c>
      <c r="BE2463" s="4" t="s">
        <v>233</v>
      </c>
      <c r="BF2463" s="8" t="s">
        <v>233</v>
      </c>
      <c r="BG2463" s="7" t="s">
        <v>233</v>
      </c>
      <c r="BH2463" s="7" t="s">
        <v>233</v>
      </c>
      <c r="BI2463" s="7"/>
      <c r="BJ2463" s="4"/>
      <c r="BK2463" s="8"/>
      <c r="BL2463" s="2" t="s">
        <v>233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10899</v>
      </c>
      <c r="BV2463" s="2" t="s">
        <v>233</v>
      </c>
      <c r="BW2463" s="2" t="s">
        <v>233</v>
      </c>
      <c r="BX2463" s="2" t="s">
        <v>243</v>
      </c>
      <c r="BY2463" s="2" t="s">
        <v>280</v>
      </c>
      <c r="BZ2463" s="2" t="s">
        <v>245</v>
      </c>
      <c r="CA2463" s="2" t="s">
        <v>3648</v>
      </c>
      <c r="CB2463" s="2" t="s">
        <v>233</v>
      </c>
      <c r="CC2463" s="2" t="s">
        <v>246</v>
      </c>
      <c r="CD2463" s="2" t="s">
        <v>233</v>
      </c>
      <c r="CE2463" s="4"/>
      <c r="CF2463" s="4">
        <v>90</v>
      </c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/>
      <c r="FW2463" s="4"/>
      <c r="FX2463" s="4"/>
      <c r="FY2463" s="4"/>
      <c r="FZ2463" s="4"/>
      <c r="GA2463" s="4"/>
      <c r="GB2463" s="4"/>
      <c r="GC2463" s="4"/>
      <c r="GD2463" s="4"/>
      <c r="GE2463" s="4"/>
      <c r="GF2463" s="4"/>
      <c r="GG2463" s="4"/>
      <c r="GH2463" s="4"/>
      <c r="GI2463" s="4"/>
      <c r="GJ2463" s="4"/>
      <c r="GK2463" s="4"/>
      <c r="GL2463" s="4"/>
      <c r="GM2463" s="4"/>
      <c r="GN2463" s="4"/>
      <c r="GO2463" s="4"/>
      <c r="GP2463" s="4"/>
      <c r="GQ2463" s="4"/>
      <c r="GR2463" s="4"/>
      <c r="GS2463" s="4"/>
      <c r="GT2463" s="4"/>
      <c r="GU2463" s="4"/>
      <c r="GV2463" s="4"/>
      <c r="GW2463" s="4"/>
      <c r="GX2463" s="4"/>
      <c r="GY2463" s="4"/>
      <c r="GZ2463" s="4"/>
      <c r="HA2463" s="4"/>
      <c r="HB2463" s="4"/>
      <c r="HC2463" s="4"/>
      <c r="HD2463" s="4"/>
      <c r="HE2463" s="4"/>
      <c r="HF2463" s="4"/>
      <c r="HG2463" s="4"/>
      <c r="HH2463" s="4"/>
      <c r="HI2463" s="4"/>
      <c r="HJ2463" s="4"/>
      <c r="HK2463" s="4"/>
      <c r="HL2463" s="4"/>
      <c r="HM2463" s="4"/>
      <c r="HN2463" s="4"/>
      <c r="HO2463" s="4"/>
      <c r="HP2463" s="4"/>
      <c r="HQ2463" s="4"/>
      <c r="HR2463" s="4"/>
    </row>
    <row r="2464">
      <c r="A2464" s="2" t="s">
        <v>10900</v>
      </c>
      <c r="B2464" s="2" t="s">
        <v>1066</v>
      </c>
      <c r="C2464" s="2" t="s">
        <v>901</v>
      </c>
      <c r="D2464" s="2" t="s">
        <v>2285</v>
      </c>
      <c r="E2464" s="2" t="s">
        <v>2286</v>
      </c>
      <c r="F2464" s="2" t="s">
        <v>10896</v>
      </c>
      <c r="G2464" s="2" t="s">
        <v>10896</v>
      </c>
      <c r="H2464" s="2" t="s">
        <v>10896</v>
      </c>
      <c r="I2464" s="2" t="s">
        <v>10901</v>
      </c>
      <c r="J2464" s="2" t="s">
        <v>892</v>
      </c>
      <c r="K2464" s="2" t="s">
        <v>984</v>
      </c>
      <c r="L2464" s="3">
        <v>143</v>
      </c>
      <c r="M2464" s="3">
        <v>150.15</v>
      </c>
      <c r="N2464" s="3">
        <v>299</v>
      </c>
      <c r="O2464" s="2" t="s">
        <v>245</v>
      </c>
      <c r="P2464" s="2" t="s">
        <v>238</v>
      </c>
      <c r="Q2464" s="2" t="s">
        <v>239</v>
      </c>
      <c r="R2464" s="2" t="s">
        <v>233</v>
      </c>
      <c r="S2464" s="2" t="s">
        <v>233</v>
      </c>
      <c r="T2464" s="2" t="s">
        <v>233</v>
      </c>
      <c r="U2464" s="2" t="s">
        <v>233</v>
      </c>
      <c r="V2464" s="2" t="s">
        <v>893</v>
      </c>
      <c r="W2464" s="2" t="s">
        <v>397</v>
      </c>
      <c r="X2464" s="2" t="s">
        <v>233</v>
      </c>
      <c r="Y2464" s="2" t="s">
        <v>2315</v>
      </c>
      <c r="Z2464" s="4">
        <v>41</v>
      </c>
      <c r="AA2464" s="4">
        <f>=ROUNDDOWN(20.5,0)</f>
      </c>
      <c r="AB2464" s="5">
        <v>2</v>
      </c>
      <c r="AC2464" s="2" t="s">
        <v>5751</v>
      </c>
      <c r="AD2464" s="4">
        <v>100</v>
      </c>
      <c r="AE2464" s="4">
        <v>100</v>
      </c>
      <c r="AF2464" s="6">
        <v>74</v>
      </c>
      <c r="AG2464" s="6"/>
      <c r="AH2464" s="7">
        <v>1</v>
      </c>
      <c r="AI2464" s="4"/>
      <c r="AJ2464" s="4">
        <f>=ROUNDDOWN({0},0)</f>
      </c>
      <c r="AK2464" s="5"/>
      <c r="AL2464" s="2" t="s">
        <v>233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 t="s">
        <v>233</v>
      </c>
      <c r="AW2464" s="8" t="s">
        <v>233</v>
      </c>
      <c r="AX2464" s="4" t="s">
        <v>233</v>
      </c>
      <c r="AY2464" s="8" t="s">
        <v>233</v>
      </c>
      <c r="AZ2464" s="7" t="s">
        <v>233</v>
      </c>
      <c r="BA2464" s="7" t="s">
        <v>233</v>
      </c>
      <c r="BB2464" s="7"/>
      <c r="BC2464" s="4" t="s">
        <v>233</v>
      </c>
      <c r="BD2464" s="8" t="s">
        <v>233</v>
      </c>
      <c r="BE2464" s="4" t="s">
        <v>233</v>
      </c>
      <c r="BF2464" s="8" t="s">
        <v>233</v>
      </c>
      <c r="BG2464" s="7" t="s">
        <v>233</v>
      </c>
      <c r="BH2464" s="7" t="s">
        <v>233</v>
      </c>
      <c r="BI2464" s="7"/>
      <c r="BJ2464" s="4">
        <v>4</v>
      </c>
      <c r="BK2464" s="8">
        <v>677.67</v>
      </c>
      <c r="BL2464" s="2" t="s">
        <v>744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10902</v>
      </c>
      <c r="BV2464" s="2" t="s">
        <v>233</v>
      </c>
      <c r="BW2464" s="2" t="s">
        <v>233</v>
      </c>
      <c r="BX2464" s="2" t="s">
        <v>243</v>
      </c>
      <c r="BY2464" s="2" t="s">
        <v>280</v>
      </c>
      <c r="BZ2464" s="2" t="s">
        <v>245</v>
      </c>
      <c r="CA2464" s="2" t="s">
        <v>3648</v>
      </c>
      <c r="CB2464" s="2" t="s">
        <v>233</v>
      </c>
      <c r="CC2464" s="2" t="s">
        <v>246</v>
      </c>
      <c r="CD2464" s="2" t="s">
        <v>233</v>
      </c>
      <c r="CE2464" s="4"/>
      <c r="CF2464" s="4">
        <v>41</v>
      </c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/>
      <c r="FW2464" s="4"/>
      <c r="FX2464" s="4"/>
      <c r="FY2464" s="4">
        <v>100</v>
      </c>
      <c r="FZ2464" s="4"/>
      <c r="GA2464" s="4"/>
      <c r="GB2464" s="4"/>
      <c r="GC2464" s="4"/>
      <c r="GD2464" s="4"/>
      <c r="GE2464" s="4"/>
      <c r="GF2464" s="4"/>
      <c r="GG2464" s="4"/>
      <c r="GH2464" s="4"/>
      <c r="GI2464" s="4"/>
      <c r="GJ2464" s="4"/>
      <c r="GK2464" s="4"/>
      <c r="GL2464" s="4"/>
      <c r="GM2464" s="4"/>
      <c r="GN2464" s="4"/>
      <c r="GO2464" s="4"/>
      <c r="GP2464" s="4"/>
      <c r="GQ2464" s="4"/>
      <c r="GR2464" s="4"/>
      <c r="GS2464" s="4"/>
      <c r="GT2464" s="4"/>
      <c r="GU2464" s="4"/>
      <c r="GV2464" s="4"/>
      <c r="GW2464" s="4"/>
      <c r="GX2464" s="4"/>
      <c r="GY2464" s="4"/>
      <c r="GZ2464" s="4"/>
      <c r="HA2464" s="4"/>
      <c r="HB2464" s="4"/>
      <c r="HC2464" s="4"/>
      <c r="HD2464" s="4"/>
      <c r="HE2464" s="4"/>
      <c r="HF2464" s="4"/>
      <c r="HG2464" s="4"/>
      <c r="HH2464" s="4"/>
      <c r="HI2464" s="4"/>
      <c r="HJ2464" s="4"/>
      <c r="HK2464" s="4"/>
      <c r="HL2464" s="4"/>
      <c r="HM2464" s="4"/>
      <c r="HN2464" s="4"/>
      <c r="HO2464" s="4"/>
      <c r="HP2464" s="4"/>
      <c r="HQ2464" s="4"/>
      <c r="HR2464" s="4"/>
    </row>
    <row r="2465">
      <c r="A2465" s="2" t="s">
        <v>10903</v>
      </c>
      <c r="B2465" s="2" t="s">
        <v>928</v>
      </c>
      <c r="C2465" s="2" t="s">
        <v>530</v>
      </c>
      <c r="D2465" s="2" t="s">
        <v>961</v>
      </c>
      <c r="E2465" s="2" t="s">
        <v>2028</v>
      </c>
      <c r="F2465" s="2" t="s">
        <v>10904</v>
      </c>
      <c r="G2465" s="2" t="s">
        <v>10904</v>
      </c>
      <c r="H2465" s="2" t="s">
        <v>10904</v>
      </c>
      <c r="I2465" s="2" t="s">
        <v>10905</v>
      </c>
      <c r="J2465" s="2" t="s">
        <v>892</v>
      </c>
      <c r="K2465" s="2" t="s">
        <v>10906</v>
      </c>
      <c r="L2465" s="3">
        <v>6.66</v>
      </c>
      <c r="M2465" s="3">
        <v>6.99</v>
      </c>
      <c r="N2465" s="3">
        <v>19.99</v>
      </c>
      <c r="O2465" s="2" t="s">
        <v>245</v>
      </c>
      <c r="P2465" s="2" t="s">
        <v>238</v>
      </c>
      <c r="Q2465" s="2" t="s">
        <v>239</v>
      </c>
      <c r="R2465" s="2" t="s">
        <v>233</v>
      </c>
      <c r="S2465" s="2" t="s">
        <v>233</v>
      </c>
      <c r="T2465" s="2" t="s">
        <v>233</v>
      </c>
      <c r="U2465" s="2" t="s">
        <v>396</v>
      </c>
      <c r="V2465" s="2" t="s">
        <v>2225</v>
      </c>
      <c r="W2465" s="2" t="s">
        <v>2215</v>
      </c>
      <c r="X2465" s="2" t="s">
        <v>1056</v>
      </c>
      <c r="Y2465" s="2" t="s">
        <v>2231</v>
      </c>
      <c r="Z2465" s="4">
        <v>197</v>
      </c>
      <c r="AA2465" s="4">
        <f>=ROUNDDOWN(65.6666666666667,0)</f>
      </c>
      <c r="AB2465" s="5">
        <v>3</v>
      </c>
      <c r="AC2465" s="2" t="s">
        <v>233</v>
      </c>
      <c r="AD2465" s="4"/>
      <c r="AE2465" s="4"/>
      <c r="AF2465" s="6">
        <v>63</v>
      </c>
      <c r="AG2465" s="6"/>
      <c r="AH2465" s="7">
        <v>1</v>
      </c>
      <c r="AI2465" s="4"/>
      <c r="AJ2465" s="4">
        <f>=ROUNDDOWN({0},0)</f>
      </c>
      <c r="AK2465" s="5"/>
      <c r="AL2465" s="2" t="s">
        <v>233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 t="s">
        <v>233</v>
      </c>
      <c r="BD2465" s="8" t="s">
        <v>233</v>
      </c>
      <c r="BE2465" s="4" t="s">
        <v>233</v>
      </c>
      <c r="BF2465" s="8" t="s">
        <v>233</v>
      </c>
      <c r="BG2465" s="7" t="s">
        <v>233</v>
      </c>
      <c r="BH2465" s="7" t="s">
        <v>233</v>
      </c>
      <c r="BI2465" s="7"/>
      <c r="BJ2465" s="4">
        <v>2</v>
      </c>
      <c r="BK2465" s="8">
        <v>16.67</v>
      </c>
      <c r="BL2465" s="2" t="s">
        <v>2246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10907</v>
      </c>
      <c r="BV2465" s="2" t="s">
        <v>233</v>
      </c>
      <c r="BW2465" s="2" t="s">
        <v>233</v>
      </c>
      <c r="BX2465" s="2" t="s">
        <v>243</v>
      </c>
      <c r="BY2465" s="2" t="s">
        <v>280</v>
      </c>
      <c r="BZ2465" s="2" t="s">
        <v>245</v>
      </c>
      <c r="CA2465" s="2" t="s">
        <v>2227</v>
      </c>
      <c r="CB2465" s="2" t="s">
        <v>233</v>
      </c>
      <c r="CC2465" s="2" t="s">
        <v>246</v>
      </c>
      <c r="CD2465" s="2" t="s">
        <v>233</v>
      </c>
      <c r="CE2465" s="4"/>
      <c r="CF2465" s="4">
        <v>197</v>
      </c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/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/>
      <c r="GE2465" s="4"/>
      <c r="GF2465" s="4"/>
      <c r="GG2465" s="4"/>
      <c r="GH2465" s="4"/>
      <c r="GI2465" s="4"/>
      <c r="GJ2465" s="4"/>
      <c r="GK2465" s="4"/>
      <c r="GL2465" s="4"/>
      <c r="GM2465" s="4"/>
      <c r="GN2465" s="4"/>
      <c r="GO2465" s="4"/>
      <c r="GP2465" s="4"/>
      <c r="GQ2465" s="4"/>
      <c r="GR2465" s="4"/>
      <c r="GS2465" s="4"/>
      <c r="GT2465" s="4"/>
      <c r="GU2465" s="4"/>
      <c r="GV2465" s="4"/>
      <c r="GW2465" s="4"/>
      <c r="GX2465" s="4"/>
      <c r="GY2465" s="4"/>
      <c r="GZ2465" s="4"/>
      <c r="HA2465" s="4"/>
      <c r="HB2465" s="4"/>
      <c r="HC2465" s="4"/>
      <c r="HD2465" s="4"/>
      <c r="HE2465" s="4"/>
      <c r="HF2465" s="4"/>
      <c r="HG2465" s="4"/>
      <c r="HH2465" s="4"/>
      <c r="HI2465" s="4"/>
      <c r="HJ2465" s="4"/>
      <c r="HK2465" s="4"/>
      <c r="HL2465" s="4"/>
      <c r="HM2465" s="4"/>
      <c r="HN2465" s="4"/>
      <c r="HO2465" s="4"/>
      <c r="HP2465" s="4"/>
      <c r="HQ2465" s="4"/>
      <c r="HR2465" s="4"/>
    </row>
    <row r="2466">
      <c r="A2466" s="2" t="s">
        <v>10908</v>
      </c>
      <c r="B2466" s="2" t="s">
        <v>928</v>
      </c>
      <c r="C2466" s="2" t="s">
        <v>530</v>
      </c>
      <c r="D2466" s="2" t="s">
        <v>961</v>
      </c>
      <c r="E2466" s="2" t="s">
        <v>2028</v>
      </c>
      <c r="F2466" s="2" t="s">
        <v>10904</v>
      </c>
      <c r="G2466" s="2" t="s">
        <v>10904</v>
      </c>
      <c r="H2466" s="2" t="s">
        <v>10904</v>
      </c>
      <c r="I2466" s="2" t="s">
        <v>10909</v>
      </c>
      <c r="J2466" s="2" t="s">
        <v>892</v>
      </c>
      <c r="K2466" s="2" t="s">
        <v>10910</v>
      </c>
      <c r="L2466" s="3">
        <v>6.66</v>
      </c>
      <c r="M2466" s="3">
        <v>6.99</v>
      </c>
      <c r="N2466" s="3">
        <v>19.99</v>
      </c>
      <c r="O2466" s="2" t="s">
        <v>245</v>
      </c>
      <c r="P2466" s="2" t="s">
        <v>238</v>
      </c>
      <c r="Q2466" s="2" t="s">
        <v>239</v>
      </c>
      <c r="R2466" s="2" t="s">
        <v>233</v>
      </c>
      <c r="S2466" s="2" t="s">
        <v>233</v>
      </c>
      <c r="T2466" s="2" t="s">
        <v>233</v>
      </c>
      <c r="U2466" s="2" t="s">
        <v>396</v>
      </c>
      <c r="V2466" s="2" t="s">
        <v>2225</v>
      </c>
      <c r="W2466" s="2" t="s">
        <v>2215</v>
      </c>
      <c r="X2466" s="2" t="s">
        <v>1056</v>
      </c>
      <c r="Y2466" s="2" t="s">
        <v>2231</v>
      </c>
      <c r="Z2466" s="4">
        <v>157</v>
      </c>
      <c r="AA2466" s="4">
        <f>=ROUNDDOWN(74.7619047619048,0)</f>
      </c>
      <c r="AB2466" s="5">
        <v>2.1</v>
      </c>
      <c r="AC2466" s="2" t="s">
        <v>233</v>
      </c>
      <c r="AD2466" s="4"/>
      <c r="AE2466" s="4"/>
      <c r="AF2466" s="6">
        <v>63</v>
      </c>
      <c r="AG2466" s="6"/>
      <c r="AH2466" s="7">
        <v>1</v>
      </c>
      <c r="AI2466" s="4"/>
      <c r="AJ2466" s="4">
        <f>=ROUNDDOWN({0},0)</f>
      </c>
      <c r="AK2466" s="5"/>
      <c r="AL2466" s="2" t="s">
        <v>233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 t="s">
        <v>233</v>
      </c>
      <c r="BD2466" s="8" t="s">
        <v>233</v>
      </c>
      <c r="BE2466" s="4" t="s">
        <v>233</v>
      </c>
      <c r="BF2466" s="8" t="s">
        <v>233</v>
      </c>
      <c r="BG2466" s="7" t="s">
        <v>233</v>
      </c>
      <c r="BH2466" s="7" t="s">
        <v>233</v>
      </c>
      <c r="BI2466" s="7"/>
      <c r="BJ2466" s="4">
        <v>10</v>
      </c>
      <c r="BK2466" s="8">
        <v>178.58</v>
      </c>
      <c r="BL2466" s="2" t="s">
        <v>9123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10911</v>
      </c>
      <c r="BV2466" s="2" t="s">
        <v>233</v>
      </c>
      <c r="BW2466" s="2" t="s">
        <v>233</v>
      </c>
      <c r="BX2466" s="2" t="s">
        <v>243</v>
      </c>
      <c r="BY2466" s="2" t="s">
        <v>280</v>
      </c>
      <c r="BZ2466" s="2" t="s">
        <v>245</v>
      </c>
      <c r="CA2466" s="2" t="s">
        <v>2227</v>
      </c>
      <c r="CB2466" s="2" t="s">
        <v>233</v>
      </c>
      <c r="CC2466" s="2" t="s">
        <v>246</v>
      </c>
      <c r="CD2466" s="2" t="s">
        <v>233</v>
      </c>
      <c r="CE2466" s="4"/>
      <c r="CF2466" s="4">
        <v>157</v>
      </c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/>
      <c r="GE2466" s="4"/>
      <c r="GF2466" s="4"/>
      <c r="GG2466" s="4"/>
      <c r="GH2466" s="4"/>
      <c r="GI2466" s="4"/>
      <c r="GJ2466" s="4"/>
      <c r="GK2466" s="4"/>
      <c r="GL2466" s="4"/>
      <c r="GM2466" s="4"/>
      <c r="GN2466" s="4"/>
      <c r="GO2466" s="4"/>
      <c r="GP2466" s="4"/>
      <c r="GQ2466" s="4"/>
      <c r="GR2466" s="4"/>
      <c r="GS2466" s="4"/>
      <c r="GT2466" s="4"/>
      <c r="GU2466" s="4"/>
      <c r="GV2466" s="4"/>
      <c r="GW2466" s="4"/>
      <c r="GX2466" s="4"/>
      <c r="GY2466" s="4"/>
      <c r="GZ2466" s="4"/>
      <c r="HA2466" s="4"/>
      <c r="HB2466" s="4"/>
      <c r="HC2466" s="4"/>
      <c r="HD2466" s="4"/>
      <c r="HE2466" s="4"/>
      <c r="HF2466" s="4"/>
      <c r="HG2466" s="4"/>
      <c r="HH2466" s="4"/>
      <c r="HI2466" s="4"/>
      <c r="HJ2466" s="4"/>
      <c r="HK2466" s="4"/>
      <c r="HL2466" s="4"/>
      <c r="HM2466" s="4"/>
      <c r="HN2466" s="4"/>
      <c r="HO2466" s="4"/>
      <c r="HP2466" s="4"/>
      <c r="HQ2466" s="4"/>
      <c r="HR2466" s="4"/>
    </row>
    <row r="2467">
      <c r="A2467" s="2" t="s">
        <v>10912</v>
      </c>
      <c r="B2467" s="2" t="s">
        <v>928</v>
      </c>
      <c r="C2467" s="2" t="s">
        <v>530</v>
      </c>
      <c r="D2467" s="2" t="s">
        <v>961</v>
      </c>
      <c r="E2467" s="2" t="s">
        <v>2028</v>
      </c>
      <c r="F2467" s="2" t="s">
        <v>10904</v>
      </c>
      <c r="G2467" s="2" t="s">
        <v>10904</v>
      </c>
      <c r="H2467" s="2" t="s">
        <v>10904</v>
      </c>
      <c r="I2467" s="2" t="s">
        <v>10913</v>
      </c>
      <c r="J2467" s="2" t="s">
        <v>892</v>
      </c>
      <c r="K2467" s="2" t="s">
        <v>10914</v>
      </c>
      <c r="L2467" s="3">
        <v>6.66</v>
      </c>
      <c r="M2467" s="3">
        <v>6.99</v>
      </c>
      <c r="N2467" s="3">
        <v>19.99</v>
      </c>
      <c r="O2467" s="2" t="s">
        <v>245</v>
      </c>
      <c r="P2467" s="2" t="s">
        <v>238</v>
      </c>
      <c r="Q2467" s="2" t="s">
        <v>239</v>
      </c>
      <c r="R2467" s="2" t="s">
        <v>233</v>
      </c>
      <c r="S2467" s="2" t="s">
        <v>233</v>
      </c>
      <c r="T2467" s="2" t="s">
        <v>233</v>
      </c>
      <c r="U2467" s="2" t="s">
        <v>396</v>
      </c>
      <c r="V2467" s="2" t="s">
        <v>2225</v>
      </c>
      <c r="W2467" s="2" t="s">
        <v>2215</v>
      </c>
      <c r="X2467" s="2" t="s">
        <v>1056</v>
      </c>
      <c r="Y2467" s="2" t="s">
        <v>2231</v>
      </c>
      <c r="Z2467" s="4">
        <v>195</v>
      </c>
      <c r="AA2467" s="4">
        <f>=ROUNDDOWN(97.5,0)</f>
      </c>
      <c r="AB2467" s="5">
        <v>2</v>
      </c>
      <c r="AC2467" s="2" t="s">
        <v>233</v>
      </c>
      <c r="AD2467" s="4"/>
      <c r="AE2467" s="4"/>
      <c r="AF2467" s="6">
        <v>63</v>
      </c>
      <c r="AG2467" s="6"/>
      <c r="AH2467" s="7">
        <v>1</v>
      </c>
      <c r="AI2467" s="4"/>
      <c r="AJ2467" s="4">
        <f>=ROUNDDOWN({0},0)</f>
      </c>
      <c r="AK2467" s="5"/>
      <c r="AL2467" s="2" t="s">
        <v>233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233</v>
      </c>
      <c r="BD2467" s="8" t="s">
        <v>233</v>
      </c>
      <c r="BE2467" s="4" t="s">
        <v>233</v>
      </c>
      <c r="BF2467" s="8" t="s">
        <v>233</v>
      </c>
      <c r="BG2467" s="7" t="s">
        <v>233</v>
      </c>
      <c r="BH2467" s="7" t="s">
        <v>233</v>
      </c>
      <c r="BI2467" s="7"/>
      <c r="BJ2467" s="4">
        <v>3</v>
      </c>
      <c r="BK2467" s="8">
        <v>64.69</v>
      </c>
      <c r="BL2467" s="2" t="s">
        <v>9123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10915</v>
      </c>
      <c r="BV2467" s="2" t="s">
        <v>233</v>
      </c>
      <c r="BW2467" s="2" t="s">
        <v>233</v>
      </c>
      <c r="BX2467" s="2" t="s">
        <v>243</v>
      </c>
      <c r="BY2467" s="2" t="s">
        <v>280</v>
      </c>
      <c r="BZ2467" s="2" t="s">
        <v>245</v>
      </c>
      <c r="CA2467" s="2" t="s">
        <v>2227</v>
      </c>
      <c r="CB2467" s="2" t="s">
        <v>233</v>
      </c>
      <c r="CC2467" s="2" t="s">
        <v>246</v>
      </c>
      <c r="CD2467" s="2" t="s">
        <v>233</v>
      </c>
      <c r="CE2467" s="4"/>
      <c r="CF2467" s="4">
        <v>195</v>
      </c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/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/>
      <c r="GE2467" s="4"/>
      <c r="GF2467" s="4"/>
      <c r="GG2467" s="4"/>
      <c r="GH2467" s="4"/>
      <c r="GI2467" s="4"/>
      <c r="GJ2467" s="4"/>
      <c r="GK2467" s="4"/>
      <c r="GL2467" s="4"/>
      <c r="GM2467" s="4"/>
      <c r="GN2467" s="4"/>
      <c r="GO2467" s="4"/>
      <c r="GP2467" s="4"/>
      <c r="GQ2467" s="4"/>
      <c r="GR2467" s="4"/>
      <c r="GS2467" s="4"/>
      <c r="GT2467" s="4"/>
      <c r="GU2467" s="4"/>
      <c r="GV2467" s="4"/>
      <c r="GW2467" s="4"/>
      <c r="GX2467" s="4"/>
      <c r="GY2467" s="4"/>
      <c r="GZ2467" s="4"/>
      <c r="HA2467" s="4"/>
      <c r="HB2467" s="4"/>
      <c r="HC2467" s="4"/>
      <c r="HD2467" s="4"/>
      <c r="HE2467" s="4"/>
      <c r="HF2467" s="4"/>
      <c r="HG2467" s="4"/>
      <c r="HH2467" s="4"/>
      <c r="HI2467" s="4"/>
      <c r="HJ2467" s="4"/>
      <c r="HK2467" s="4"/>
      <c r="HL2467" s="4"/>
      <c r="HM2467" s="4"/>
      <c r="HN2467" s="4"/>
      <c r="HO2467" s="4"/>
      <c r="HP2467" s="4"/>
      <c r="HQ2467" s="4"/>
      <c r="HR2467" s="4"/>
    </row>
    <row r="2468">
      <c r="A2468" s="2" t="s">
        <v>10916</v>
      </c>
      <c r="B2468" s="2" t="s">
        <v>928</v>
      </c>
      <c r="C2468" s="2" t="s">
        <v>530</v>
      </c>
      <c r="D2468" s="2" t="s">
        <v>961</v>
      </c>
      <c r="E2468" s="2" t="s">
        <v>2028</v>
      </c>
      <c r="F2468" s="2" t="s">
        <v>10904</v>
      </c>
      <c r="G2468" s="2" t="s">
        <v>10904</v>
      </c>
      <c r="H2468" s="2" t="s">
        <v>10904</v>
      </c>
      <c r="I2468" s="2" t="s">
        <v>10917</v>
      </c>
      <c r="J2468" s="2" t="s">
        <v>892</v>
      </c>
      <c r="K2468" s="2" t="s">
        <v>10918</v>
      </c>
      <c r="L2468" s="3">
        <v>6.66</v>
      </c>
      <c r="M2468" s="3">
        <v>6.99</v>
      </c>
      <c r="N2468" s="3">
        <v>19.99</v>
      </c>
      <c r="O2468" s="2" t="s">
        <v>245</v>
      </c>
      <c r="P2468" s="2" t="s">
        <v>272</v>
      </c>
      <c r="Q2468" s="2" t="s">
        <v>239</v>
      </c>
      <c r="R2468" s="2" t="s">
        <v>233</v>
      </c>
      <c r="S2468" s="2" t="s">
        <v>233</v>
      </c>
      <c r="T2468" s="2" t="s">
        <v>233</v>
      </c>
      <c r="U2468" s="2" t="s">
        <v>396</v>
      </c>
      <c r="V2468" s="2" t="s">
        <v>2225</v>
      </c>
      <c r="W2468" s="2" t="s">
        <v>2215</v>
      </c>
      <c r="X2468" s="2" t="s">
        <v>1056</v>
      </c>
      <c r="Y2468" s="2" t="s">
        <v>1718</v>
      </c>
      <c r="Z2468" s="4">
        <v>374</v>
      </c>
      <c r="AA2468" s="4">
        <f>=ROUNDDOWN(79.5744680851064,0)</f>
      </c>
      <c r="AB2468" s="5">
        <v>4.7</v>
      </c>
      <c r="AC2468" s="2" t="s">
        <v>233</v>
      </c>
      <c r="AD2468" s="4"/>
      <c r="AE2468" s="4"/>
      <c r="AF2468" s="6">
        <v>63</v>
      </c>
      <c r="AG2468" s="6"/>
      <c r="AH2468" s="7">
        <v>1</v>
      </c>
      <c r="AI2468" s="4"/>
      <c r="AJ2468" s="4">
        <f>=ROUNDDOWN({0},0)</f>
      </c>
      <c r="AK2468" s="5"/>
      <c r="AL2468" s="2" t="s">
        <v>233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 t="s">
        <v>233</v>
      </c>
      <c r="BD2468" s="8" t="s">
        <v>233</v>
      </c>
      <c r="BE2468" s="4" t="s">
        <v>233</v>
      </c>
      <c r="BF2468" s="8" t="s">
        <v>233</v>
      </c>
      <c r="BG2468" s="7" t="s">
        <v>233</v>
      </c>
      <c r="BH2468" s="7" t="s">
        <v>233</v>
      </c>
      <c r="BI2468" s="7"/>
      <c r="BJ2468" s="4">
        <v>10</v>
      </c>
      <c r="BK2468" s="8">
        <v>120.21</v>
      </c>
      <c r="BL2468" s="2" t="s">
        <v>10919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10920</v>
      </c>
      <c r="BV2468" s="2" t="s">
        <v>233</v>
      </c>
      <c r="BW2468" s="2" t="s">
        <v>233</v>
      </c>
      <c r="BX2468" s="2" t="s">
        <v>243</v>
      </c>
      <c r="BY2468" s="2" t="s">
        <v>280</v>
      </c>
      <c r="BZ2468" s="2" t="s">
        <v>245</v>
      </c>
      <c r="CA2468" s="2" t="s">
        <v>2227</v>
      </c>
      <c r="CB2468" s="2" t="s">
        <v>233</v>
      </c>
      <c r="CC2468" s="2" t="s">
        <v>246</v>
      </c>
      <c r="CD2468" s="2" t="s">
        <v>233</v>
      </c>
      <c r="CE2468" s="4"/>
      <c r="CF2468" s="4">
        <v>374</v>
      </c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/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/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/>
      <c r="GD2468" s="4"/>
      <c r="GE2468" s="4"/>
      <c r="GF2468" s="4"/>
      <c r="GG2468" s="4"/>
      <c r="GH2468" s="4"/>
      <c r="GI2468" s="4"/>
      <c r="GJ2468" s="4"/>
      <c r="GK2468" s="4"/>
      <c r="GL2468" s="4"/>
      <c r="GM2468" s="4"/>
      <c r="GN2468" s="4"/>
      <c r="GO2468" s="4"/>
      <c r="GP2468" s="4"/>
      <c r="GQ2468" s="4"/>
      <c r="GR2468" s="4"/>
      <c r="GS2468" s="4"/>
      <c r="GT2468" s="4"/>
      <c r="GU2468" s="4"/>
      <c r="GV2468" s="4"/>
      <c r="GW2468" s="4"/>
      <c r="GX2468" s="4"/>
      <c r="GY2468" s="4"/>
      <c r="GZ2468" s="4"/>
      <c r="HA2468" s="4"/>
      <c r="HB2468" s="4"/>
      <c r="HC2468" s="4"/>
      <c r="HD2468" s="4"/>
      <c r="HE2468" s="4"/>
      <c r="HF2468" s="4"/>
      <c r="HG2468" s="4"/>
      <c r="HH2468" s="4"/>
      <c r="HI2468" s="4"/>
      <c r="HJ2468" s="4"/>
      <c r="HK2468" s="4"/>
      <c r="HL2468" s="4"/>
      <c r="HM2468" s="4"/>
      <c r="HN2468" s="4"/>
      <c r="HO2468" s="4"/>
      <c r="HP2468" s="4"/>
      <c r="HQ2468" s="4"/>
      <c r="HR2468" s="4"/>
    </row>
    <row r="2469">
      <c r="A2469" s="2" t="s">
        <v>10921</v>
      </c>
      <c r="B2469" s="2" t="s">
        <v>928</v>
      </c>
      <c r="C2469" s="2" t="s">
        <v>530</v>
      </c>
      <c r="D2469" s="2" t="s">
        <v>961</v>
      </c>
      <c r="E2469" s="2" t="s">
        <v>2028</v>
      </c>
      <c r="F2469" s="2" t="s">
        <v>10904</v>
      </c>
      <c r="G2469" s="2" t="s">
        <v>10904</v>
      </c>
      <c r="H2469" s="2" t="s">
        <v>10904</v>
      </c>
      <c r="I2469" s="2" t="s">
        <v>10922</v>
      </c>
      <c r="J2469" s="2" t="s">
        <v>892</v>
      </c>
      <c r="K2469" s="2" t="s">
        <v>10923</v>
      </c>
      <c r="L2469" s="3">
        <v>6.66</v>
      </c>
      <c r="M2469" s="3">
        <v>6.99</v>
      </c>
      <c r="N2469" s="3">
        <v>19.99</v>
      </c>
      <c r="O2469" s="2" t="s">
        <v>245</v>
      </c>
      <c r="P2469" s="2" t="s">
        <v>238</v>
      </c>
      <c r="Q2469" s="2" t="s">
        <v>239</v>
      </c>
      <c r="R2469" s="2" t="s">
        <v>233</v>
      </c>
      <c r="S2469" s="2" t="s">
        <v>233</v>
      </c>
      <c r="T2469" s="2" t="s">
        <v>233</v>
      </c>
      <c r="U2469" s="2" t="s">
        <v>396</v>
      </c>
      <c r="V2469" s="2" t="s">
        <v>2225</v>
      </c>
      <c r="W2469" s="2" t="s">
        <v>2215</v>
      </c>
      <c r="X2469" s="2" t="s">
        <v>1056</v>
      </c>
      <c r="Y2469" s="2" t="s">
        <v>1718</v>
      </c>
      <c r="Z2469" s="4">
        <v>204</v>
      </c>
      <c r="AA2469" s="4">
        <f>=ROUNDDOWN(226.666666666667,0)</f>
      </c>
      <c r="AB2469" s="5">
        <v>0.9</v>
      </c>
      <c r="AC2469" s="2" t="s">
        <v>233</v>
      </c>
      <c r="AD2469" s="4"/>
      <c r="AE2469" s="4"/>
      <c r="AF2469" s="6">
        <v>63</v>
      </c>
      <c r="AG2469" s="6"/>
      <c r="AH2469" s="7">
        <v>1</v>
      </c>
      <c r="AI2469" s="4"/>
      <c r="AJ2469" s="4">
        <f>=ROUNDDOWN({0},0)</f>
      </c>
      <c r="AK2469" s="5"/>
      <c r="AL2469" s="2" t="s">
        <v>233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 t="s">
        <v>233</v>
      </c>
      <c r="BD2469" s="8" t="s">
        <v>233</v>
      </c>
      <c r="BE2469" s="4" t="s">
        <v>233</v>
      </c>
      <c r="BF2469" s="8" t="s">
        <v>233</v>
      </c>
      <c r="BG2469" s="7" t="s">
        <v>233</v>
      </c>
      <c r="BH2469" s="7" t="s">
        <v>233</v>
      </c>
      <c r="BI2469" s="7"/>
      <c r="BJ2469" s="4">
        <v>1</v>
      </c>
      <c r="BK2469" s="8">
        <v>9.33</v>
      </c>
      <c r="BL2469" s="2" t="s">
        <v>744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10924</v>
      </c>
      <c r="BV2469" s="2" t="s">
        <v>233</v>
      </c>
      <c r="BW2469" s="2" t="s">
        <v>233</v>
      </c>
      <c r="BX2469" s="2" t="s">
        <v>243</v>
      </c>
      <c r="BY2469" s="2" t="s">
        <v>280</v>
      </c>
      <c r="BZ2469" s="2" t="s">
        <v>245</v>
      </c>
      <c r="CA2469" s="2" t="s">
        <v>2227</v>
      </c>
      <c r="CB2469" s="2" t="s">
        <v>233</v>
      </c>
      <c r="CC2469" s="2" t="s">
        <v>246</v>
      </c>
      <c r="CD2469" s="2" t="s">
        <v>233</v>
      </c>
      <c r="CE2469" s="4"/>
      <c r="CF2469" s="4">
        <v>204</v>
      </c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/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/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/>
      <c r="GE2469" s="4"/>
      <c r="GF2469" s="4"/>
      <c r="GG2469" s="4"/>
      <c r="GH2469" s="4"/>
      <c r="GI2469" s="4"/>
      <c r="GJ2469" s="4"/>
      <c r="GK2469" s="4"/>
      <c r="GL2469" s="4"/>
      <c r="GM2469" s="4"/>
      <c r="GN2469" s="4"/>
      <c r="GO2469" s="4"/>
      <c r="GP2469" s="4"/>
      <c r="GQ2469" s="4"/>
      <c r="GR2469" s="4"/>
      <c r="GS2469" s="4"/>
      <c r="GT2469" s="4"/>
      <c r="GU2469" s="4"/>
      <c r="GV2469" s="4"/>
      <c r="GW2469" s="4"/>
      <c r="GX2469" s="4"/>
      <c r="GY2469" s="4"/>
      <c r="GZ2469" s="4"/>
      <c r="HA2469" s="4"/>
      <c r="HB2469" s="4"/>
      <c r="HC2469" s="4"/>
      <c r="HD2469" s="4"/>
      <c r="HE2469" s="4"/>
      <c r="HF2469" s="4"/>
      <c r="HG2469" s="4"/>
      <c r="HH2469" s="4"/>
      <c r="HI2469" s="4"/>
      <c r="HJ2469" s="4"/>
      <c r="HK2469" s="4"/>
      <c r="HL2469" s="4"/>
      <c r="HM2469" s="4"/>
      <c r="HN2469" s="4"/>
      <c r="HO2469" s="4"/>
      <c r="HP2469" s="4"/>
      <c r="HQ2469" s="4"/>
      <c r="HR2469" s="4"/>
    </row>
    <row r="2470">
      <c r="A2470" s="2" t="s">
        <v>10925</v>
      </c>
      <c r="B2470" s="2" t="s">
        <v>928</v>
      </c>
      <c r="C2470" s="2" t="s">
        <v>530</v>
      </c>
      <c r="D2470" s="2" t="s">
        <v>961</v>
      </c>
      <c r="E2470" s="2" t="s">
        <v>2028</v>
      </c>
      <c r="F2470" s="2" t="s">
        <v>10904</v>
      </c>
      <c r="G2470" s="2" t="s">
        <v>10904</v>
      </c>
      <c r="H2470" s="2" t="s">
        <v>10904</v>
      </c>
      <c r="I2470" s="2" t="s">
        <v>10926</v>
      </c>
      <c r="J2470" s="2" t="s">
        <v>892</v>
      </c>
      <c r="K2470" s="2" t="s">
        <v>10927</v>
      </c>
      <c r="L2470" s="3">
        <v>6.66</v>
      </c>
      <c r="M2470" s="3">
        <v>6.99</v>
      </c>
      <c r="N2470" s="3">
        <v>19.99</v>
      </c>
      <c r="O2470" s="2" t="s">
        <v>245</v>
      </c>
      <c r="P2470" s="2" t="s">
        <v>238</v>
      </c>
      <c r="Q2470" s="2" t="s">
        <v>239</v>
      </c>
      <c r="R2470" s="2" t="s">
        <v>233</v>
      </c>
      <c r="S2470" s="2" t="s">
        <v>233</v>
      </c>
      <c r="T2470" s="2" t="s">
        <v>233</v>
      </c>
      <c r="U2470" s="2" t="s">
        <v>396</v>
      </c>
      <c r="V2470" s="2" t="s">
        <v>2225</v>
      </c>
      <c r="W2470" s="2" t="s">
        <v>2215</v>
      </c>
      <c r="X2470" s="2" t="s">
        <v>1056</v>
      </c>
      <c r="Y2470" s="2" t="s">
        <v>1718</v>
      </c>
      <c r="Z2470" s="4">
        <v>148</v>
      </c>
      <c r="AA2470" s="4">
        <f>=ROUNDDOWN(211.428571428571,0)</f>
      </c>
      <c r="AB2470" s="5">
        <v>0.7</v>
      </c>
      <c r="AC2470" s="2" t="s">
        <v>233</v>
      </c>
      <c r="AD2470" s="4"/>
      <c r="AE2470" s="4"/>
      <c r="AF2470" s="6">
        <v>63</v>
      </c>
      <c r="AG2470" s="6"/>
      <c r="AH2470" s="7">
        <v>1</v>
      </c>
      <c r="AI2470" s="4"/>
      <c r="AJ2470" s="4">
        <f>=ROUNDDOWN({0},0)</f>
      </c>
      <c r="AK2470" s="5"/>
      <c r="AL2470" s="2" t="s">
        <v>233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233</v>
      </c>
      <c r="BD2470" s="8" t="s">
        <v>233</v>
      </c>
      <c r="BE2470" s="4" t="s">
        <v>233</v>
      </c>
      <c r="BF2470" s="8" t="s">
        <v>233</v>
      </c>
      <c r="BG2470" s="7" t="s">
        <v>233</v>
      </c>
      <c r="BH2470" s="7" t="s">
        <v>233</v>
      </c>
      <c r="BI2470" s="7"/>
      <c r="BJ2470" s="4">
        <v>1</v>
      </c>
      <c r="BK2470" s="8">
        <v>9.33</v>
      </c>
      <c r="BL2470" s="2" t="s">
        <v>744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10928</v>
      </c>
      <c r="BV2470" s="2" t="s">
        <v>233</v>
      </c>
      <c r="BW2470" s="2" t="s">
        <v>233</v>
      </c>
      <c r="BX2470" s="2" t="s">
        <v>243</v>
      </c>
      <c r="BY2470" s="2" t="s">
        <v>280</v>
      </c>
      <c r="BZ2470" s="2" t="s">
        <v>245</v>
      </c>
      <c r="CA2470" s="2" t="s">
        <v>2227</v>
      </c>
      <c r="CB2470" s="2" t="s">
        <v>481</v>
      </c>
      <c r="CC2470" s="2" t="s">
        <v>246</v>
      </c>
      <c r="CD2470" s="2" t="s">
        <v>233</v>
      </c>
      <c r="CE2470" s="4"/>
      <c r="CF2470" s="4">
        <v>148</v>
      </c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/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/>
      <c r="GE2470" s="4"/>
      <c r="GF2470" s="4"/>
      <c r="GG2470" s="4"/>
      <c r="GH2470" s="4"/>
      <c r="GI2470" s="4"/>
      <c r="GJ2470" s="4"/>
      <c r="GK2470" s="4"/>
      <c r="GL2470" s="4"/>
      <c r="GM2470" s="4"/>
      <c r="GN2470" s="4"/>
      <c r="GO2470" s="4"/>
      <c r="GP2470" s="4"/>
      <c r="GQ2470" s="4"/>
      <c r="GR2470" s="4"/>
      <c r="GS2470" s="4"/>
      <c r="GT2470" s="4"/>
      <c r="GU2470" s="4"/>
      <c r="GV2470" s="4"/>
      <c r="GW2470" s="4"/>
      <c r="GX2470" s="4"/>
      <c r="GY2470" s="4"/>
      <c r="GZ2470" s="4"/>
      <c r="HA2470" s="4"/>
      <c r="HB2470" s="4"/>
      <c r="HC2470" s="4"/>
      <c r="HD2470" s="4"/>
      <c r="HE2470" s="4"/>
      <c r="HF2470" s="4"/>
      <c r="HG2470" s="4"/>
      <c r="HH2470" s="4"/>
      <c r="HI2470" s="4"/>
      <c r="HJ2470" s="4"/>
      <c r="HK2470" s="4"/>
      <c r="HL2470" s="4"/>
      <c r="HM2470" s="4"/>
      <c r="HN2470" s="4"/>
      <c r="HO2470" s="4"/>
      <c r="HP2470" s="4"/>
      <c r="HQ2470" s="4"/>
      <c r="HR2470" s="4"/>
    </row>
    <row r="2471">
      <c r="A2471" s="2" t="s">
        <v>10929</v>
      </c>
      <c r="B2471" s="2" t="s">
        <v>1242</v>
      </c>
      <c r="C2471" s="2" t="s">
        <v>1781</v>
      </c>
      <c r="D2471" s="2" t="s">
        <v>912</v>
      </c>
      <c r="E2471" s="2" t="s">
        <v>913</v>
      </c>
      <c r="F2471" s="2" t="s">
        <v>10930</v>
      </c>
      <c r="G2471" s="2" t="s">
        <v>233</v>
      </c>
      <c r="H2471" s="2" t="s">
        <v>233</v>
      </c>
      <c r="I2471" s="2" t="s">
        <v>1139</v>
      </c>
      <c r="J2471" s="2" t="s">
        <v>981</v>
      </c>
      <c r="K2471" s="2" t="s">
        <v>569</v>
      </c>
      <c r="L2471" s="3">
        <v>96.89</v>
      </c>
      <c r="M2471" s="3">
        <v>101.74</v>
      </c>
      <c r="N2471" s="3">
        <v>199.99</v>
      </c>
      <c r="O2471" s="2" t="s">
        <v>245</v>
      </c>
      <c r="P2471" s="2" t="s">
        <v>272</v>
      </c>
      <c r="Q2471" s="2" t="s">
        <v>239</v>
      </c>
      <c r="R2471" s="2" t="s">
        <v>233</v>
      </c>
      <c r="S2471" s="2" t="s">
        <v>10931</v>
      </c>
      <c r="T2471" s="2" t="s">
        <v>233</v>
      </c>
      <c r="U2471" s="2" t="s">
        <v>233</v>
      </c>
      <c r="V2471" s="2" t="s">
        <v>1762</v>
      </c>
      <c r="W2471" s="2" t="s">
        <v>1056</v>
      </c>
      <c r="X2471" s="2" t="s">
        <v>2882</v>
      </c>
      <c r="Y2471" s="2" t="s">
        <v>276</v>
      </c>
      <c r="Z2471" s="4">
        <v>53</v>
      </c>
      <c r="AA2471" s="4">
        <f>=ROUNDDOWN(53,0)</f>
      </c>
      <c r="AB2471" s="5">
        <v>1</v>
      </c>
      <c r="AC2471" s="2" t="s">
        <v>10932</v>
      </c>
      <c r="AD2471" s="4">
        <v>35</v>
      </c>
      <c r="AE2471" s="4">
        <v>35</v>
      </c>
      <c r="AF2471" s="6">
        <v>69</v>
      </c>
      <c r="AG2471" s="6"/>
      <c r="AH2471" s="7">
        <v>1</v>
      </c>
      <c r="AI2471" s="4"/>
      <c r="AJ2471" s="4">
        <f>=ROUNDDOWN({0},0)</f>
      </c>
      <c r="AK2471" s="5"/>
      <c r="AL2471" s="2" t="s">
        <v>233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233</v>
      </c>
      <c r="BD2471" s="8" t="s">
        <v>233</v>
      </c>
      <c r="BE2471" s="4" t="s">
        <v>233</v>
      </c>
      <c r="BF2471" s="8" t="s">
        <v>233</v>
      </c>
      <c r="BG2471" s="7" t="s">
        <v>233</v>
      </c>
      <c r="BH2471" s="7" t="s">
        <v>233</v>
      </c>
      <c r="BI2471" s="7"/>
      <c r="BJ2471" s="4">
        <v>1</v>
      </c>
      <c r="BK2471" s="8">
        <v>101.73</v>
      </c>
      <c r="BL2471" s="2" t="s">
        <v>10933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10934</v>
      </c>
      <c r="BV2471" s="2" t="s">
        <v>233</v>
      </c>
      <c r="BW2471" s="2" t="s">
        <v>233</v>
      </c>
      <c r="BX2471" s="2" t="s">
        <v>233</v>
      </c>
      <c r="BY2471" s="2" t="s">
        <v>280</v>
      </c>
      <c r="BZ2471" s="2" t="s">
        <v>245</v>
      </c>
      <c r="CA2471" s="2" t="s">
        <v>281</v>
      </c>
      <c r="CB2471" s="2" t="s">
        <v>10935</v>
      </c>
      <c r="CC2471" s="2" t="s">
        <v>246</v>
      </c>
      <c r="CD2471" s="2" t="s">
        <v>233</v>
      </c>
      <c r="CE2471" s="4">
        <v>53</v>
      </c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/>
      <c r="GH2471" s="4"/>
      <c r="GI2471" s="4"/>
      <c r="GJ2471" s="4"/>
      <c r="GK2471" s="4"/>
      <c r="GL2471" s="4"/>
      <c r="GM2471" s="4"/>
      <c r="GN2471" s="4"/>
      <c r="GO2471" s="4"/>
      <c r="GP2471" s="4"/>
      <c r="GQ2471" s="4"/>
      <c r="GR2471" s="4">
        <v>35</v>
      </c>
      <c r="GS2471" s="4"/>
      <c r="GT2471" s="4"/>
      <c r="GU2471" s="4"/>
      <c r="GV2471" s="4"/>
      <c r="GW2471" s="4"/>
      <c r="GX2471" s="4"/>
      <c r="GY2471" s="4"/>
      <c r="GZ2471" s="4"/>
      <c r="HA2471" s="4"/>
      <c r="HB2471" s="4"/>
      <c r="HC2471" s="4"/>
      <c r="HD2471" s="4"/>
      <c r="HE2471" s="4"/>
      <c r="HF2471" s="4"/>
      <c r="HG2471" s="4"/>
      <c r="HH2471" s="4"/>
      <c r="HI2471" s="4"/>
      <c r="HJ2471" s="4"/>
      <c r="HK2471" s="4"/>
      <c r="HL2471" s="4"/>
      <c r="HM2471" s="4"/>
      <c r="HN2471" s="4"/>
      <c r="HO2471" s="4"/>
      <c r="HP2471" s="4"/>
      <c r="HQ2471" s="4"/>
      <c r="HR2471" s="4"/>
    </row>
    <row r="2472">
      <c r="A2472" s="2" t="s">
        <v>10936</v>
      </c>
      <c r="B2472" s="2" t="s">
        <v>1242</v>
      </c>
      <c r="C2472" s="2" t="s">
        <v>1781</v>
      </c>
      <c r="D2472" s="2" t="s">
        <v>1194</v>
      </c>
      <c r="E2472" s="2" t="s">
        <v>1195</v>
      </c>
      <c r="F2472" s="2" t="s">
        <v>10930</v>
      </c>
      <c r="G2472" s="2" t="s">
        <v>233</v>
      </c>
      <c r="H2472" s="2" t="s">
        <v>233</v>
      </c>
      <c r="I2472" s="2" t="s">
        <v>10937</v>
      </c>
      <c r="J2472" s="2" t="s">
        <v>2747</v>
      </c>
      <c r="K2472" s="2" t="s">
        <v>297</v>
      </c>
      <c r="L2472" s="3">
        <v>16.8</v>
      </c>
      <c r="M2472" s="3">
        <v>17.63</v>
      </c>
      <c r="N2472" s="3">
        <v>49.99</v>
      </c>
      <c r="O2472" s="2" t="s">
        <v>245</v>
      </c>
      <c r="P2472" s="2" t="s">
        <v>272</v>
      </c>
      <c r="Q2472" s="2" t="s">
        <v>239</v>
      </c>
      <c r="R2472" s="2" t="s">
        <v>233</v>
      </c>
      <c r="S2472" s="2" t="s">
        <v>10938</v>
      </c>
      <c r="T2472" s="2" t="s">
        <v>233</v>
      </c>
      <c r="U2472" s="2" t="s">
        <v>233</v>
      </c>
      <c r="V2472" s="2" t="s">
        <v>1762</v>
      </c>
      <c r="W2472" s="2" t="s">
        <v>1056</v>
      </c>
      <c r="X2472" s="2" t="s">
        <v>2882</v>
      </c>
      <c r="Y2472" s="2" t="s">
        <v>2620</v>
      </c>
      <c r="Z2472" s="4">
        <v>76</v>
      </c>
      <c r="AA2472" s="4">
        <f>=ROUNDDOWN(25.3333333333333,0)</f>
      </c>
      <c r="AB2472" s="5">
        <v>3</v>
      </c>
      <c r="AC2472" s="2" t="s">
        <v>1701</v>
      </c>
      <c r="AD2472" s="4">
        <v>100</v>
      </c>
      <c r="AE2472" s="4">
        <v>200</v>
      </c>
      <c r="AF2472" s="6">
        <v>64</v>
      </c>
      <c r="AG2472" s="6"/>
      <c r="AH2472" s="7">
        <v>1</v>
      </c>
      <c r="AI2472" s="4"/>
      <c r="AJ2472" s="4">
        <f>=ROUNDDOWN({0},0)</f>
      </c>
      <c r="AK2472" s="5"/>
      <c r="AL2472" s="2" t="s">
        <v>233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233</v>
      </c>
      <c r="BD2472" s="8" t="s">
        <v>233</v>
      </c>
      <c r="BE2472" s="4" t="s">
        <v>233</v>
      </c>
      <c r="BF2472" s="8" t="s">
        <v>233</v>
      </c>
      <c r="BG2472" s="7" t="s">
        <v>233</v>
      </c>
      <c r="BH2472" s="7" t="s">
        <v>233</v>
      </c>
      <c r="BI2472" s="7"/>
      <c r="BJ2472" s="4">
        <v>12</v>
      </c>
      <c r="BK2472" s="8">
        <v>240.44</v>
      </c>
      <c r="BL2472" s="2" t="s">
        <v>10939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10940</v>
      </c>
      <c r="BV2472" s="2" t="s">
        <v>233</v>
      </c>
      <c r="BW2472" s="2" t="s">
        <v>233</v>
      </c>
      <c r="BX2472" s="2" t="s">
        <v>243</v>
      </c>
      <c r="BY2472" s="2" t="s">
        <v>280</v>
      </c>
      <c r="BZ2472" s="2" t="s">
        <v>245</v>
      </c>
      <c r="CA2472" s="2" t="s">
        <v>10941</v>
      </c>
      <c r="CB2472" s="2" t="s">
        <v>10942</v>
      </c>
      <c r="CC2472" s="2" t="s">
        <v>246</v>
      </c>
      <c r="CD2472" s="2" t="s">
        <v>233</v>
      </c>
      <c r="CE2472" s="4">
        <v>76</v>
      </c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/>
      <c r="DT2472" s="4"/>
      <c r="DU2472" s="4"/>
      <c r="DV2472" s="4">
        <v>100</v>
      </c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/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/>
      <c r="GE2472" s="4"/>
      <c r="GF2472" s="4"/>
      <c r="GG2472" s="4"/>
      <c r="GH2472" s="4"/>
      <c r="GI2472" s="4"/>
      <c r="GJ2472" s="4"/>
      <c r="GK2472" s="4"/>
      <c r="GL2472" s="4"/>
      <c r="GM2472" s="4"/>
      <c r="GN2472" s="4"/>
      <c r="GO2472" s="4"/>
      <c r="GP2472" s="4"/>
      <c r="GQ2472" s="4"/>
      <c r="GR2472" s="4"/>
      <c r="GS2472" s="4"/>
      <c r="GT2472" s="4"/>
      <c r="GU2472" s="4"/>
      <c r="GV2472" s="4"/>
      <c r="GW2472" s="4"/>
      <c r="GX2472" s="4"/>
      <c r="GY2472" s="4"/>
      <c r="GZ2472" s="4"/>
      <c r="HA2472" s="4"/>
      <c r="HB2472" s="4">
        <v>100</v>
      </c>
      <c r="HC2472" s="4"/>
      <c r="HD2472" s="4"/>
      <c r="HE2472" s="4"/>
      <c r="HF2472" s="4"/>
      <c r="HG2472" s="4"/>
      <c r="HH2472" s="4"/>
      <c r="HI2472" s="4"/>
      <c r="HJ2472" s="4"/>
      <c r="HK2472" s="4"/>
      <c r="HL2472" s="4"/>
      <c r="HM2472" s="4"/>
      <c r="HN2472" s="4"/>
      <c r="HO2472" s="4"/>
      <c r="HP2472" s="4"/>
      <c r="HQ2472" s="4"/>
      <c r="HR2472" s="4"/>
    </row>
    <row r="2473">
      <c r="A2473" s="2" t="s">
        <v>10943</v>
      </c>
      <c r="B2473" s="2" t="s">
        <v>1066</v>
      </c>
      <c r="C2473" s="2" t="s">
        <v>947</v>
      </c>
      <c r="D2473" s="2" t="s">
        <v>1090</v>
      </c>
      <c r="E2473" s="2" t="s">
        <v>1091</v>
      </c>
      <c r="F2473" s="2" t="s">
        <v>10944</v>
      </c>
      <c r="G2473" s="2" t="s">
        <v>10944</v>
      </c>
      <c r="H2473" s="2" t="s">
        <v>10944</v>
      </c>
      <c r="I2473" s="2" t="s">
        <v>10945</v>
      </c>
      <c r="J2473" s="2" t="s">
        <v>892</v>
      </c>
      <c r="K2473" s="2" t="s">
        <v>1537</v>
      </c>
      <c r="L2473" s="3">
        <v>148.5</v>
      </c>
      <c r="M2473" s="3">
        <v>155.92</v>
      </c>
      <c r="N2473" s="3">
        <v>309</v>
      </c>
      <c r="O2473" s="2" t="s">
        <v>245</v>
      </c>
      <c r="P2473" s="2" t="s">
        <v>393</v>
      </c>
      <c r="Q2473" s="2" t="s">
        <v>239</v>
      </c>
      <c r="R2473" s="2" t="s">
        <v>233</v>
      </c>
      <c r="S2473" s="2" t="s">
        <v>233</v>
      </c>
      <c r="T2473" s="2" t="s">
        <v>233</v>
      </c>
      <c r="U2473" s="2" t="s">
        <v>396</v>
      </c>
      <c r="V2473" s="2" t="s">
        <v>893</v>
      </c>
      <c r="W2473" s="2" t="s">
        <v>977</v>
      </c>
      <c r="X2473" s="2" t="s">
        <v>953</v>
      </c>
      <c r="Y2473" s="2" t="s">
        <v>9046</v>
      </c>
      <c r="Z2473" s="4">
        <v>41</v>
      </c>
      <c r="AA2473" s="4">
        <f>=ROUNDDOWN(8.2,0)</f>
      </c>
      <c r="AB2473" s="5">
        <v>5</v>
      </c>
      <c r="AC2473" s="2" t="s">
        <v>10946</v>
      </c>
      <c r="AD2473" s="4">
        <v>100</v>
      </c>
      <c r="AE2473" s="4">
        <v>100</v>
      </c>
      <c r="AF2473" s="6">
        <v>76</v>
      </c>
      <c r="AG2473" s="6"/>
      <c r="AH2473" s="7">
        <v>0.3548</v>
      </c>
      <c r="AI2473" s="4"/>
      <c r="AJ2473" s="4">
        <f>=ROUNDDOWN({0},0)</f>
      </c>
      <c r="AK2473" s="5"/>
      <c r="AL2473" s="2" t="s">
        <v>233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/>
      <c r="BD2473" s="8"/>
      <c r="BE2473" s="4"/>
      <c r="BF2473" s="8"/>
      <c r="BG2473" s="7"/>
      <c r="BH2473" s="7"/>
      <c r="BI2473" s="7"/>
      <c r="BJ2473" s="4">
        <v>4</v>
      </c>
      <c r="BK2473" s="8">
        <v>642.4</v>
      </c>
      <c r="BL2473" s="2" t="s">
        <v>10947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10948</v>
      </c>
      <c r="BV2473" s="2" t="s">
        <v>233</v>
      </c>
      <c r="BW2473" s="2" t="s">
        <v>233</v>
      </c>
      <c r="BX2473" s="2" t="s">
        <v>233</v>
      </c>
      <c r="BY2473" s="2" t="s">
        <v>280</v>
      </c>
      <c r="BZ2473" s="2" t="s">
        <v>245</v>
      </c>
      <c r="CA2473" s="2" t="s">
        <v>7432</v>
      </c>
      <c r="CB2473" s="2" t="s">
        <v>10949</v>
      </c>
      <c r="CC2473" s="2" t="s">
        <v>246</v>
      </c>
      <c r="CD2473" s="2" t="s">
        <v>233</v>
      </c>
      <c r="CE2473" s="4"/>
      <c r="CF2473" s="4">
        <v>41</v>
      </c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/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/>
      <c r="GA2473" s="4"/>
      <c r="GB2473" s="4"/>
      <c r="GC2473" s="4"/>
      <c r="GD2473" s="4"/>
      <c r="GE2473" s="4"/>
      <c r="GF2473" s="4"/>
      <c r="GG2473" s="4"/>
      <c r="GH2473" s="4">
        <v>100</v>
      </c>
      <c r="GI2473" s="4"/>
      <c r="GJ2473" s="4"/>
      <c r="GK2473" s="4"/>
      <c r="GL2473" s="4"/>
      <c r="GM2473" s="4"/>
      <c r="GN2473" s="4"/>
      <c r="GO2473" s="4"/>
      <c r="GP2473" s="4"/>
      <c r="GQ2473" s="4"/>
      <c r="GR2473" s="4"/>
      <c r="GS2473" s="4"/>
      <c r="GT2473" s="4"/>
      <c r="GU2473" s="4"/>
      <c r="GV2473" s="4"/>
      <c r="GW2473" s="4"/>
      <c r="GX2473" s="4"/>
      <c r="GY2473" s="4"/>
      <c r="GZ2473" s="4"/>
      <c r="HA2473" s="4"/>
      <c r="HB2473" s="4"/>
      <c r="HC2473" s="4"/>
      <c r="HD2473" s="4"/>
      <c r="HE2473" s="4"/>
      <c r="HF2473" s="4"/>
      <c r="HG2473" s="4"/>
      <c r="HH2473" s="4"/>
      <c r="HI2473" s="4"/>
      <c r="HJ2473" s="4"/>
      <c r="HK2473" s="4"/>
      <c r="HL2473" s="4"/>
      <c r="HM2473" s="4"/>
      <c r="HN2473" s="4"/>
      <c r="HO2473" s="4"/>
      <c r="HP2473" s="4"/>
      <c r="HQ2473" s="4"/>
      <c r="HR2473" s="4"/>
    </row>
    <row r="2474">
      <c r="A2474" s="2" t="s">
        <v>10950</v>
      </c>
      <c r="B2474" s="2" t="s">
        <v>1066</v>
      </c>
      <c r="C2474" s="2" t="s">
        <v>901</v>
      </c>
      <c r="D2474" s="2" t="s">
        <v>1919</v>
      </c>
      <c r="E2474" s="2" t="s">
        <v>3467</v>
      </c>
      <c r="F2474" s="2" t="s">
        <v>10951</v>
      </c>
      <c r="G2474" s="2" t="s">
        <v>233</v>
      </c>
      <c r="H2474" s="2" t="s">
        <v>233</v>
      </c>
      <c r="I2474" s="2" t="s">
        <v>10952</v>
      </c>
      <c r="J2474" s="2" t="s">
        <v>892</v>
      </c>
      <c r="K2474" s="2" t="s">
        <v>255</v>
      </c>
      <c r="L2474" s="3">
        <v>122</v>
      </c>
      <c r="M2474" s="3">
        <v>128.1</v>
      </c>
      <c r="N2474" s="3">
        <v>259</v>
      </c>
      <c r="O2474" s="2" t="s">
        <v>252</v>
      </c>
      <c r="P2474" s="2" t="s">
        <v>311</v>
      </c>
      <c r="Q2474" s="2" t="s">
        <v>239</v>
      </c>
      <c r="R2474" s="2" t="s">
        <v>233</v>
      </c>
      <c r="S2474" s="2" t="s">
        <v>10953</v>
      </c>
      <c r="T2474" s="2" t="s">
        <v>233</v>
      </c>
      <c r="U2474" s="2" t="s">
        <v>233</v>
      </c>
      <c r="V2474" s="2" t="s">
        <v>241</v>
      </c>
      <c r="W2474" s="2" t="s">
        <v>2652</v>
      </c>
      <c r="X2474" s="2" t="s">
        <v>233</v>
      </c>
      <c r="Y2474" s="2" t="s">
        <v>276</v>
      </c>
      <c r="Z2474" s="4"/>
      <c r="AA2474" s="4">
        <f>=ROUNDDOWN({0},0)</f>
      </c>
      <c r="AB2474" s="5">
        <v>2</v>
      </c>
      <c r="AC2474" s="2" t="s">
        <v>233</v>
      </c>
      <c r="AD2474" s="4"/>
      <c r="AE2474" s="4"/>
      <c r="AF2474" s="6">
        <v>75</v>
      </c>
      <c r="AG2474" s="6"/>
      <c r="AH2474" s="7">
        <v>0</v>
      </c>
      <c r="AI2474" s="4"/>
      <c r="AJ2474" s="4">
        <f>=ROUNDDOWN({0},0)</f>
      </c>
      <c r="AK2474" s="5"/>
      <c r="AL2474" s="2" t="s">
        <v>233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/>
      <c r="BD2474" s="8"/>
      <c r="BE2474" s="4"/>
      <c r="BF2474" s="8"/>
      <c r="BG2474" s="7"/>
      <c r="BH2474" s="7"/>
      <c r="BI2474" s="7"/>
      <c r="BJ2474" s="4"/>
      <c r="BK2474" s="8"/>
      <c r="BL2474" s="2" t="s">
        <v>1028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10954</v>
      </c>
      <c r="BV2474" s="2" t="s">
        <v>233</v>
      </c>
      <c r="BW2474" s="2" t="s">
        <v>233</v>
      </c>
      <c r="BX2474" s="2" t="s">
        <v>233</v>
      </c>
      <c r="BY2474" s="2" t="s">
        <v>280</v>
      </c>
      <c r="BZ2474" s="2" t="s">
        <v>245</v>
      </c>
      <c r="CA2474" s="2" t="s">
        <v>5636</v>
      </c>
      <c r="CB2474" s="2" t="s">
        <v>1743</v>
      </c>
      <c r="CC2474" s="2" t="s">
        <v>246</v>
      </c>
      <c r="CD2474" s="2" t="s">
        <v>233</v>
      </c>
      <c r="CE2474" s="4"/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/>
      <c r="GG2474" s="4"/>
      <c r="GH2474" s="4"/>
      <c r="GI2474" s="4"/>
      <c r="GJ2474" s="4"/>
      <c r="GK2474" s="4"/>
      <c r="GL2474" s="4"/>
      <c r="GM2474" s="4"/>
      <c r="GN2474" s="4"/>
      <c r="GO2474" s="4"/>
      <c r="GP2474" s="4"/>
      <c r="GQ2474" s="4"/>
      <c r="GR2474" s="4"/>
      <c r="GS2474" s="4"/>
      <c r="GT2474" s="4"/>
      <c r="GU2474" s="4"/>
      <c r="GV2474" s="4"/>
      <c r="GW2474" s="4"/>
      <c r="GX2474" s="4"/>
      <c r="GY2474" s="4"/>
      <c r="GZ2474" s="4"/>
      <c r="HA2474" s="4"/>
      <c r="HB2474" s="4"/>
      <c r="HC2474" s="4"/>
      <c r="HD2474" s="4"/>
      <c r="HE2474" s="4"/>
      <c r="HF2474" s="4"/>
      <c r="HG2474" s="4"/>
      <c r="HH2474" s="4"/>
      <c r="HI2474" s="4"/>
      <c r="HJ2474" s="4"/>
      <c r="HK2474" s="4"/>
      <c r="HL2474" s="4"/>
      <c r="HM2474" s="4"/>
      <c r="HN2474" s="4"/>
      <c r="HO2474" s="4"/>
      <c r="HP2474" s="4"/>
      <c r="HQ2474" s="4"/>
      <c r="HR2474" s="4"/>
    </row>
    <row r="2475">
      <c r="A2475" s="2" t="s">
        <v>10955</v>
      </c>
      <c r="B2475" s="2" t="s">
        <v>1066</v>
      </c>
      <c r="C2475" s="2" t="s">
        <v>530</v>
      </c>
      <c r="D2475" s="2" t="s">
        <v>1067</v>
      </c>
      <c r="E2475" s="2" t="s">
        <v>1068</v>
      </c>
      <c r="F2475" s="2" t="s">
        <v>10956</v>
      </c>
      <c r="G2475" s="2" t="s">
        <v>2051</v>
      </c>
      <c r="H2475" s="2" t="s">
        <v>10957</v>
      </c>
      <c r="I2475" s="2" t="s">
        <v>6867</v>
      </c>
      <c r="J2475" s="2" t="s">
        <v>892</v>
      </c>
      <c r="K2475" s="2" t="s">
        <v>569</v>
      </c>
      <c r="L2475" s="3">
        <v>172.8</v>
      </c>
      <c r="M2475" s="3">
        <v>181.44</v>
      </c>
      <c r="N2475" s="3">
        <v>359</v>
      </c>
      <c r="O2475" s="2" t="s">
        <v>245</v>
      </c>
      <c r="P2475" s="2" t="s">
        <v>393</v>
      </c>
      <c r="Q2475" s="2" t="s">
        <v>239</v>
      </c>
      <c r="R2475" s="2" t="s">
        <v>233</v>
      </c>
      <c r="S2475" s="2" t="s">
        <v>233</v>
      </c>
      <c r="T2475" s="2" t="s">
        <v>233</v>
      </c>
      <c r="U2475" s="2" t="s">
        <v>396</v>
      </c>
      <c r="V2475" s="2" t="s">
        <v>893</v>
      </c>
      <c r="W2475" s="2" t="s">
        <v>451</v>
      </c>
      <c r="X2475" s="2" t="s">
        <v>776</v>
      </c>
      <c r="Y2475" s="2" t="s">
        <v>5406</v>
      </c>
      <c r="Z2475" s="4"/>
      <c r="AA2475" s="4">
        <f>=ROUNDDOWN({0},0)</f>
      </c>
      <c r="AB2475" s="5">
        <v>3.2</v>
      </c>
      <c r="AC2475" s="2" t="s">
        <v>2819</v>
      </c>
      <c r="AD2475" s="4">
        <v>60</v>
      </c>
      <c r="AE2475" s="4">
        <v>60</v>
      </c>
      <c r="AF2475" s="6">
        <v>65</v>
      </c>
      <c r="AG2475" s="6"/>
      <c r="AH2475" s="7">
        <v>0.8387</v>
      </c>
      <c r="AI2475" s="4"/>
      <c r="AJ2475" s="4">
        <f>=ROUNDDOWN({0},0)</f>
      </c>
      <c r="AK2475" s="5"/>
      <c r="AL2475" s="2" t="s">
        <v>233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/>
      <c r="AW2475" s="8"/>
      <c r="AX2475" s="4"/>
      <c r="AY2475" s="8"/>
      <c r="AZ2475" s="7"/>
      <c r="BA2475" s="7"/>
      <c r="BB2475" s="7"/>
      <c r="BC2475" s="4"/>
      <c r="BD2475" s="8"/>
      <c r="BE2475" s="4"/>
      <c r="BF2475" s="8"/>
      <c r="BG2475" s="7"/>
      <c r="BH2475" s="7"/>
      <c r="BI2475" s="7"/>
      <c r="BJ2475" s="4">
        <v>13</v>
      </c>
      <c r="BK2475" s="8">
        <v>2369.6</v>
      </c>
      <c r="BL2475" s="2" t="s">
        <v>1023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10958</v>
      </c>
      <c r="BV2475" s="2" t="s">
        <v>233</v>
      </c>
      <c r="BW2475" s="2" t="s">
        <v>233</v>
      </c>
      <c r="BX2475" s="2" t="s">
        <v>243</v>
      </c>
      <c r="BY2475" s="2" t="s">
        <v>280</v>
      </c>
      <c r="BZ2475" s="2" t="s">
        <v>245</v>
      </c>
      <c r="CA2475" s="2" t="s">
        <v>1674</v>
      </c>
      <c r="CB2475" s="2" t="s">
        <v>10959</v>
      </c>
      <c r="CC2475" s="2" t="s">
        <v>246</v>
      </c>
      <c r="CD2475" s="2" t="s">
        <v>233</v>
      </c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>
        <v>60</v>
      </c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/>
      <c r="GG2475" s="4"/>
      <c r="GH2475" s="4"/>
      <c r="GI2475" s="4"/>
      <c r="GJ2475" s="4"/>
      <c r="GK2475" s="4"/>
      <c r="GL2475" s="4"/>
      <c r="GM2475" s="4"/>
      <c r="GN2475" s="4"/>
      <c r="GO2475" s="4"/>
      <c r="GP2475" s="4"/>
      <c r="GQ2475" s="4"/>
      <c r="GR2475" s="4"/>
      <c r="GS2475" s="4"/>
      <c r="GT2475" s="4"/>
      <c r="GU2475" s="4"/>
      <c r="GV2475" s="4"/>
      <c r="GW2475" s="4"/>
      <c r="GX2475" s="4"/>
      <c r="GY2475" s="4"/>
      <c r="GZ2475" s="4"/>
      <c r="HA2475" s="4"/>
      <c r="HB2475" s="4"/>
      <c r="HC2475" s="4"/>
      <c r="HD2475" s="4"/>
      <c r="HE2475" s="4"/>
      <c r="HF2475" s="4"/>
      <c r="HG2475" s="4"/>
      <c r="HH2475" s="4"/>
      <c r="HI2475" s="4"/>
      <c r="HJ2475" s="4"/>
      <c r="HK2475" s="4"/>
      <c r="HL2475" s="4"/>
      <c r="HM2475" s="4"/>
      <c r="HN2475" s="4"/>
      <c r="HO2475" s="4"/>
      <c r="HP2475" s="4"/>
      <c r="HQ2475" s="4"/>
      <c r="HR2475" s="4"/>
    </row>
    <row r="2476">
      <c r="A2476" s="2" t="s">
        <v>10960</v>
      </c>
      <c r="B2476" s="2" t="s">
        <v>1174</v>
      </c>
      <c r="C2476" s="2" t="s">
        <v>1447</v>
      </c>
      <c r="D2476" s="2" t="s">
        <v>1175</v>
      </c>
      <c r="E2476" s="2" t="s">
        <v>1206</v>
      </c>
      <c r="F2476" s="2" t="s">
        <v>10961</v>
      </c>
      <c r="G2476" s="2" t="s">
        <v>10962</v>
      </c>
      <c r="H2476" s="2" t="s">
        <v>10963</v>
      </c>
      <c r="I2476" s="2" t="s">
        <v>10964</v>
      </c>
      <c r="J2476" s="2" t="s">
        <v>1217</v>
      </c>
      <c r="K2476" s="2" t="s">
        <v>2358</v>
      </c>
      <c r="L2476" s="3">
        <v>12.37</v>
      </c>
      <c r="M2476" s="3">
        <v>12.99</v>
      </c>
      <c r="N2476" s="3">
        <v>29.99</v>
      </c>
      <c r="O2476" s="2" t="s">
        <v>245</v>
      </c>
      <c r="P2476" s="2" t="s">
        <v>996</v>
      </c>
      <c r="Q2476" s="2" t="s">
        <v>239</v>
      </c>
      <c r="R2476" s="2" t="s">
        <v>233</v>
      </c>
      <c r="S2476" s="2" t="s">
        <v>10965</v>
      </c>
      <c r="T2476" s="2" t="s">
        <v>395</v>
      </c>
      <c r="U2476" s="2" t="s">
        <v>491</v>
      </c>
      <c r="V2476" s="2" t="s">
        <v>241</v>
      </c>
      <c r="W2476" s="2" t="s">
        <v>397</v>
      </c>
      <c r="X2476" s="2" t="s">
        <v>233</v>
      </c>
      <c r="Y2476" s="2" t="s">
        <v>10966</v>
      </c>
      <c r="Z2476" s="4">
        <v>57</v>
      </c>
      <c r="AA2476" s="4">
        <f>=ROUNDDOWN(2.28,0)</f>
      </c>
      <c r="AB2476" s="5">
        <v>25</v>
      </c>
      <c r="AC2476" s="2" t="s">
        <v>233</v>
      </c>
      <c r="AD2476" s="4"/>
      <c r="AE2476" s="4"/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233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 t="s">
        <v>233</v>
      </c>
      <c r="AW2476" s="8" t="s">
        <v>233</v>
      </c>
      <c r="AX2476" s="4" t="s">
        <v>233</v>
      </c>
      <c r="AY2476" s="8" t="s">
        <v>233</v>
      </c>
      <c r="AZ2476" s="7" t="s">
        <v>233</v>
      </c>
      <c r="BA2476" s="7" t="s">
        <v>233</v>
      </c>
      <c r="BB2476" s="7"/>
      <c r="BC2476" s="4" t="s">
        <v>233</v>
      </c>
      <c r="BD2476" s="8" t="s">
        <v>233</v>
      </c>
      <c r="BE2476" s="4" t="s">
        <v>233</v>
      </c>
      <c r="BF2476" s="8" t="s">
        <v>233</v>
      </c>
      <c r="BG2476" s="7" t="s">
        <v>233</v>
      </c>
      <c r="BH2476" s="7" t="s">
        <v>233</v>
      </c>
      <c r="BI2476" s="7"/>
      <c r="BJ2476" s="4">
        <v>9</v>
      </c>
      <c r="BK2476" s="8">
        <v>113.6</v>
      </c>
      <c r="BL2476" s="2" t="s">
        <v>516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10967</v>
      </c>
      <c r="BV2476" s="2" t="s">
        <v>233</v>
      </c>
      <c r="BW2476" s="2" t="s">
        <v>233</v>
      </c>
      <c r="BX2476" s="2" t="s">
        <v>233</v>
      </c>
      <c r="BY2476" s="2" t="s">
        <v>280</v>
      </c>
      <c r="BZ2476" s="2" t="s">
        <v>245</v>
      </c>
      <c r="CA2476" s="2" t="s">
        <v>10966</v>
      </c>
      <c r="CB2476" s="2" t="s">
        <v>866</v>
      </c>
      <c r="CC2476" s="2" t="s">
        <v>246</v>
      </c>
      <c r="CD2476" s="2" t="s">
        <v>233</v>
      </c>
      <c r="CE2476" s="4">
        <v>54</v>
      </c>
      <c r="CF2476" s="4">
        <v>3</v>
      </c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/>
      <c r="GE2476" s="4"/>
      <c r="GF2476" s="4"/>
      <c r="GG2476" s="4"/>
      <c r="GH2476" s="4"/>
      <c r="GI2476" s="4"/>
      <c r="GJ2476" s="4"/>
      <c r="GK2476" s="4"/>
      <c r="GL2476" s="4"/>
      <c r="GM2476" s="4"/>
      <c r="GN2476" s="4"/>
      <c r="GO2476" s="4"/>
      <c r="GP2476" s="4"/>
      <c r="GQ2476" s="4"/>
      <c r="GR2476" s="4"/>
      <c r="GS2476" s="4"/>
      <c r="GT2476" s="4"/>
      <c r="GU2476" s="4"/>
      <c r="GV2476" s="4"/>
      <c r="GW2476" s="4"/>
      <c r="GX2476" s="4"/>
      <c r="GY2476" s="4"/>
      <c r="GZ2476" s="4"/>
      <c r="HA2476" s="4"/>
      <c r="HB2476" s="4"/>
      <c r="HC2476" s="4"/>
      <c r="HD2476" s="4"/>
      <c r="HE2476" s="4"/>
      <c r="HF2476" s="4"/>
      <c r="HG2476" s="4"/>
      <c r="HH2476" s="4"/>
      <c r="HI2476" s="4"/>
      <c r="HJ2476" s="4"/>
      <c r="HK2476" s="4"/>
      <c r="HL2476" s="4"/>
      <c r="HM2476" s="4"/>
      <c r="HN2476" s="4"/>
      <c r="HO2476" s="4"/>
      <c r="HP2476" s="4"/>
      <c r="HQ2476" s="4"/>
      <c r="HR2476" s="4"/>
    </row>
    <row r="2477">
      <c r="A2477" s="2" t="s">
        <v>10968</v>
      </c>
      <c r="B2477" s="2" t="s">
        <v>1174</v>
      </c>
      <c r="C2477" s="2" t="s">
        <v>1447</v>
      </c>
      <c r="D2477" s="2" t="s">
        <v>1175</v>
      </c>
      <c r="E2477" s="2" t="s">
        <v>1206</v>
      </c>
      <c r="F2477" s="2" t="s">
        <v>10961</v>
      </c>
      <c r="G2477" s="2" t="s">
        <v>10962</v>
      </c>
      <c r="H2477" s="2" t="s">
        <v>10963</v>
      </c>
      <c r="I2477" s="2" t="s">
        <v>10964</v>
      </c>
      <c r="J2477" s="2" t="s">
        <v>1211</v>
      </c>
      <c r="K2477" s="2" t="s">
        <v>2358</v>
      </c>
      <c r="L2477" s="3">
        <v>14.19</v>
      </c>
      <c r="M2477" s="3">
        <v>14.9</v>
      </c>
      <c r="N2477" s="3">
        <v>34.99</v>
      </c>
      <c r="O2477" s="2" t="s">
        <v>245</v>
      </c>
      <c r="P2477" s="2" t="s">
        <v>996</v>
      </c>
      <c r="Q2477" s="2" t="s">
        <v>239</v>
      </c>
      <c r="R2477" s="2" t="s">
        <v>233</v>
      </c>
      <c r="S2477" s="2" t="s">
        <v>10965</v>
      </c>
      <c r="T2477" s="2" t="s">
        <v>395</v>
      </c>
      <c r="U2477" s="2" t="s">
        <v>491</v>
      </c>
      <c r="V2477" s="2" t="s">
        <v>241</v>
      </c>
      <c r="W2477" s="2" t="s">
        <v>397</v>
      </c>
      <c r="X2477" s="2" t="s">
        <v>233</v>
      </c>
      <c r="Y2477" s="2" t="s">
        <v>10966</v>
      </c>
      <c r="Z2477" s="4">
        <v>9</v>
      </c>
      <c r="AA2477" s="4">
        <f>=ROUNDDOWN(0.391304347826087,0)</f>
      </c>
      <c r="AB2477" s="5">
        <v>23</v>
      </c>
      <c r="AC2477" s="2" t="s">
        <v>233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233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 t="s">
        <v>233</v>
      </c>
      <c r="AW2477" s="8" t="s">
        <v>233</v>
      </c>
      <c r="AX2477" s="4" t="s">
        <v>233</v>
      </c>
      <c r="AY2477" s="8" t="s">
        <v>233</v>
      </c>
      <c r="AZ2477" s="7" t="s">
        <v>233</v>
      </c>
      <c r="BA2477" s="7" t="s">
        <v>233</v>
      </c>
      <c r="BB2477" s="7"/>
      <c r="BC2477" s="4" t="s">
        <v>233</v>
      </c>
      <c r="BD2477" s="8" t="s">
        <v>233</v>
      </c>
      <c r="BE2477" s="4" t="s">
        <v>233</v>
      </c>
      <c r="BF2477" s="8" t="s">
        <v>233</v>
      </c>
      <c r="BG2477" s="7" t="s">
        <v>233</v>
      </c>
      <c r="BH2477" s="7" t="s">
        <v>233</v>
      </c>
      <c r="BI2477" s="7"/>
      <c r="BJ2477" s="4"/>
      <c r="BK2477" s="8"/>
      <c r="BL2477" s="2" t="s">
        <v>6090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10969</v>
      </c>
      <c r="BV2477" s="2" t="s">
        <v>233</v>
      </c>
      <c r="BW2477" s="2" t="s">
        <v>233</v>
      </c>
      <c r="BX2477" s="2" t="s">
        <v>233</v>
      </c>
      <c r="BY2477" s="2" t="s">
        <v>280</v>
      </c>
      <c r="BZ2477" s="2" t="s">
        <v>245</v>
      </c>
      <c r="CA2477" s="2" t="s">
        <v>10966</v>
      </c>
      <c r="CB2477" s="2" t="s">
        <v>1386</v>
      </c>
      <c r="CC2477" s="2" t="s">
        <v>246</v>
      </c>
      <c r="CD2477" s="2" t="s">
        <v>233</v>
      </c>
      <c r="CE2477" s="4">
        <v>3</v>
      </c>
      <c r="CF2477" s="4">
        <v>6</v>
      </c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/>
      <c r="GG2477" s="4"/>
      <c r="GH2477" s="4"/>
      <c r="GI2477" s="4"/>
      <c r="GJ2477" s="4"/>
      <c r="GK2477" s="4"/>
      <c r="GL2477" s="4"/>
      <c r="GM2477" s="4"/>
      <c r="GN2477" s="4"/>
      <c r="GO2477" s="4"/>
      <c r="GP2477" s="4"/>
      <c r="GQ2477" s="4"/>
      <c r="GR2477" s="4"/>
      <c r="GS2477" s="4"/>
      <c r="GT2477" s="4"/>
      <c r="GU2477" s="4"/>
      <c r="GV2477" s="4"/>
      <c r="GW2477" s="4"/>
      <c r="GX2477" s="4"/>
      <c r="GY2477" s="4"/>
      <c r="GZ2477" s="4"/>
      <c r="HA2477" s="4"/>
      <c r="HB2477" s="4"/>
      <c r="HC2477" s="4"/>
      <c r="HD2477" s="4"/>
      <c r="HE2477" s="4"/>
      <c r="HF2477" s="4"/>
      <c r="HG2477" s="4"/>
      <c r="HH2477" s="4"/>
      <c r="HI2477" s="4"/>
      <c r="HJ2477" s="4"/>
      <c r="HK2477" s="4"/>
      <c r="HL2477" s="4"/>
      <c r="HM2477" s="4"/>
      <c r="HN2477" s="4"/>
      <c r="HO2477" s="4"/>
      <c r="HP2477" s="4"/>
      <c r="HQ2477" s="4"/>
      <c r="HR2477" s="4"/>
    </row>
    <row r="2478">
      <c r="A2478" s="2" t="s">
        <v>10970</v>
      </c>
      <c r="B2478" s="2" t="s">
        <v>1174</v>
      </c>
      <c r="C2478" s="2" t="s">
        <v>1447</v>
      </c>
      <c r="D2478" s="2" t="s">
        <v>1175</v>
      </c>
      <c r="E2478" s="2" t="s">
        <v>1206</v>
      </c>
      <c r="F2478" s="2" t="s">
        <v>10961</v>
      </c>
      <c r="G2478" s="2" t="s">
        <v>10962</v>
      </c>
      <c r="H2478" s="2" t="s">
        <v>10963</v>
      </c>
      <c r="I2478" s="2" t="s">
        <v>10964</v>
      </c>
      <c r="J2478" s="2" t="s">
        <v>1217</v>
      </c>
      <c r="K2478" s="2" t="s">
        <v>236</v>
      </c>
      <c r="L2478" s="3">
        <v>12.37</v>
      </c>
      <c r="M2478" s="3">
        <v>12.99</v>
      </c>
      <c r="N2478" s="3">
        <v>29.99</v>
      </c>
      <c r="O2478" s="2" t="s">
        <v>245</v>
      </c>
      <c r="P2478" s="2" t="s">
        <v>996</v>
      </c>
      <c r="Q2478" s="2" t="s">
        <v>239</v>
      </c>
      <c r="R2478" s="2" t="s">
        <v>233</v>
      </c>
      <c r="S2478" s="2" t="s">
        <v>10971</v>
      </c>
      <c r="T2478" s="2" t="s">
        <v>395</v>
      </c>
      <c r="U2478" s="2" t="s">
        <v>491</v>
      </c>
      <c r="V2478" s="2" t="s">
        <v>241</v>
      </c>
      <c r="W2478" s="2" t="s">
        <v>397</v>
      </c>
      <c r="X2478" s="2" t="s">
        <v>233</v>
      </c>
      <c r="Y2478" s="2" t="s">
        <v>10966</v>
      </c>
      <c r="Z2478" s="4">
        <v>134</v>
      </c>
      <c r="AA2478" s="4">
        <f>=ROUNDDOWN(4.46666666666667,0)</f>
      </c>
      <c r="AB2478" s="5">
        <v>30</v>
      </c>
      <c r="AC2478" s="2" t="s">
        <v>233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233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 t="s">
        <v>233</v>
      </c>
      <c r="BD2478" s="8" t="s">
        <v>233</v>
      </c>
      <c r="BE2478" s="4" t="s">
        <v>233</v>
      </c>
      <c r="BF2478" s="8" t="s">
        <v>233</v>
      </c>
      <c r="BG2478" s="7" t="s">
        <v>233</v>
      </c>
      <c r="BH2478" s="7" t="s">
        <v>233</v>
      </c>
      <c r="BI2478" s="7"/>
      <c r="BJ2478" s="4">
        <v>17</v>
      </c>
      <c r="BK2478" s="8">
        <v>188.83</v>
      </c>
      <c r="BL2478" s="2" t="s">
        <v>10972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10973</v>
      </c>
      <c r="BV2478" s="2" t="s">
        <v>233</v>
      </c>
      <c r="BW2478" s="2" t="s">
        <v>233</v>
      </c>
      <c r="BX2478" s="2" t="s">
        <v>233</v>
      </c>
      <c r="BY2478" s="2" t="s">
        <v>280</v>
      </c>
      <c r="BZ2478" s="2" t="s">
        <v>245</v>
      </c>
      <c r="CA2478" s="2" t="s">
        <v>10966</v>
      </c>
      <c r="CB2478" s="2" t="s">
        <v>9105</v>
      </c>
      <c r="CC2478" s="2" t="s">
        <v>246</v>
      </c>
      <c r="CD2478" s="2" t="s">
        <v>233</v>
      </c>
      <c r="CE2478" s="4">
        <v>132</v>
      </c>
      <c r="CF2478" s="4">
        <v>2</v>
      </c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/>
      <c r="HB2478" s="4"/>
      <c r="HC2478" s="4"/>
      <c r="HD2478" s="4"/>
      <c r="HE2478" s="4"/>
      <c r="HF2478" s="4"/>
      <c r="HG2478" s="4"/>
      <c r="HH2478" s="4"/>
      <c r="HI2478" s="4"/>
      <c r="HJ2478" s="4"/>
      <c r="HK2478" s="4"/>
      <c r="HL2478" s="4"/>
      <c r="HM2478" s="4"/>
      <c r="HN2478" s="4"/>
      <c r="HO2478" s="4"/>
      <c r="HP2478" s="4"/>
      <c r="HQ2478" s="4"/>
      <c r="HR2478" s="4"/>
    </row>
    <row r="2479">
      <c r="A2479" s="2" t="s">
        <v>10974</v>
      </c>
      <c r="B2479" s="2" t="s">
        <v>1174</v>
      </c>
      <c r="C2479" s="2" t="s">
        <v>1447</v>
      </c>
      <c r="D2479" s="2" t="s">
        <v>1175</v>
      </c>
      <c r="E2479" s="2" t="s">
        <v>1206</v>
      </c>
      <c r="F2479" s="2" t="s">
        <v>10961</v>
      </c>
      <c r="G2479" s="2" t="s">
        <v>10962</v>
      </c>
      <c r="H2479" s="2" t="s">
        <v>10963</v>
      </c>
      <c r="I2479" s="2" t="s">
        <v>10964</v>
      </c>
      <c r="J2479" s="2" t="s">
        <v>1217</v>
      </c>
      <c r="K2479" s="2" t="s">
        <v>257</v>
      </c>
      <c r="L2479" s="3">
        <v>12.37</v>
      </c>
      <c r="M2479" s="3">
        <v>12.99</v>
      </c>
      <c r="N2479" s="3">
        <v>29.99</v>
      </c>
      <c r="O2479" s="2" t="s">
        <v>245</v>
      </c>
      <c r="P2479" s="2" t="s">
        <v>996</v>
      </c>
      <c r="Q2479" s="2" t="s">
        <v>239</v>
      </c>
      <c r="R2479" s="2" t="s">
        <v>233</v>
      </c>
      <c r="S2479" s="2" t="s">
        <v>10975</v>
      </c>
      <c r="T2479" s="2" t="s">
        <v>395</v>
      </c>
      <c r="U2479" s="2" t="s">
        <v>491</v>
      </c>
      <c r="V2479" s="2" t="s">
        <v>241</v>
      </c>
      <c r="W2479" s="2" t="s">
        <v>397</v>
      </c>
      <c r="X2479" s="2" t="s">
        <v>233</v>
      </c>
      <c r="Y2479" s="2" t="s">
        <v>10966</v>
      </c>
      <c r="Z2479" s="4">
        <v>238</v>
      </c>
      <c r="AA2479" s="4">
        <f>=ROUNDDOWN(7.93333333333333,0)</f>
      </c>
      <c r="AB2479" s="5">
        <v>30</v>
      </c>
      <c r="AC2479" s="2" t="s">
        <v>233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233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 t="s">
        <v>233</v>
      </c>
      <c r="AW2479" s="8" t="s">
        <v>233</v>
      </c>
      <c r="AX2479" s="4" t="s">
        <v>233</v>
      </c>
      <c r="AY2479" s="8" t="s">
        <v>233</v>
      </c>
      <c r="AZ2479" s="7" t="s">
        <v>233</v>
      </c>
      <c r="BA2479" s="7" t="s">
        <v>233</v>
      </c>
      <c r="BB2479" s="7"/>
      <c r="BC2479" s="4" t="s">
        <v>233</v>
      </c>
      <c r="BD2479" s="8" t="s">
        <v>233</v>
      </c>
      <c r="BE2479" s="4" t="s">
        <v>233</v>
      </c>
      <c r="BF2479" s="8" t="s">
        <v>233</v>
      </c>
      <c r="BG2479" s="7" t="s">
        <v>233</v>
      </c>
      <c r="BH2479" s="7" t="s">
        <v>233</v>
      </c>
      <c r="BI2479" s="7"/>
      <c r="BJ2479" s="4">
        <v>17</v>
      </c>
      <c r="BK2479" s="8">
        <v>215.6</v>
      </c>
      <c r="BL2479" s="2" t="s">
        <v>3868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10976</v>
      </c>
      <c r="BV2479" s="2" t="s">
        <v>233</v>
      </c>
      <c r="BW2479" s="2" t="s">
        <v>233</v>
      </c>
      <c r="BX2479" s="2" t="s">
        <v>233</v>
      </c>
      <c r="BY2479" s="2" t="s">
        <v>280</v>
      </c>
      <c r="BZ2479" s="2" t="s">
        <v>245</v>
      </c>
      <c r="CA2479" s="2" t="s">
        <v>10966</v>
      </c>
      <c r="CB2479" s="2" t="s">
        <v>10977</v>
      </c>
      <c r="CC2479" s="2" t="s">
        <v>246</v>
      </c>
      <c r="CD2479" s="2" t="s">
        <v>233</v>
      </c>
      <c r="CE2479" s="4">
        <v>229</v>
      </c>
      <c r="CF2479" s="4">
        <v>9</v>
      </c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/>
      <c r="GE2479" s="4"/>
      <c r="GF2479" s="4"/>
      <c r="GG2479" s="4"/>
      <c r="GH2479" s="4"/>
      <c r="GI2479" s="4"/>
      <c r="GJ2479" s="4"/>
      <c r="GK2479" s="4"/>
      <c r="GL2479" s="4"/>
      <c r="GM2479" s="4"/>
      <c r="GN2479" s="4"/>
      <c r="GO2479" s="4"/>
      <c r="GP2479" s="4"/>
      <c r="GQ2479" s="4"/>
      <c r="GR2479" s="4"/>
      <c r="GS2479" s="4"/>
      <c r="GT2479" s="4"/>
      <c r="GU2479" s="4"/>
      <c r="GV2479" s="4"/>
      <c r="GW2479" s="4"/>
      <c r="GX2479" s="4"/>
      <c r="GY2479" s="4"/>
      <c r="GZ2479" s="4"/>
      <c r="HA2479" s="4"/>
      <c r="HB2479" s="4"/>
      <c r="HC2479" s="4"/>
      <c r="HD2479" s="4"/>
      <c r="HE2479" s="4"/>
      <c r="HF2479" s="4"/>
      <c r="HG2479" s="4"/>
      <c r="HH2479" s="4"/>
      <c r="HI2479" s="4"/>
      <c r="HJ2479" s="4"/>
      <c r="HK2479" s="4"/>
      <c r="HL2479" s="4"/>
      <c r="HM2479" s="4"/>
      <c r="HN2479" s="4"/>
      <c r="HO2479" s="4"/>
      <c r="HP2479" s="4"/>
      <c r="HQ2479" s="4"/>
      <c r="HR2479" s="4"/>
    </row>
    <row r="2480">
      <c r="A2480" s="2" t="s">
        <v>10978</v>
      </c>
      <c r="B2480" s="2" t="s">
        <v>1174</v>
      </c>
      <c r="C2480" s="2" t="s">
        <v>1447</v>
      </c>
      <c r="D2480" s="2" t="s">
        <v>1175</v>
      </c>
      <c r="E2480" s="2" t="s">
        <v>1206</v>
      </c>
      <c r="F2480" s="2" t="s">
        <v>10961</v>
      </c>
      <c r="G2480" s="2" t="s">
        <v>10962</v>
      </c>
      <c r="H2480" s="2" t="s">
        <v>10963</v>
      </c>
      <c r="I2480" s="2" t="s">
        <v>10964</v>
      </c>
      <c r="J2480" s="2" t="s">
        <v>1211</v>
      </c>
      <c r="K2480" s="2" t="s">
        <v>257</v>
      </c>
      <c r="L2480" s="3">
        <v>14.19</v>
      </c>
      <c r="M2480" s="3">
        <v>14.9</v>
      </c>
      <c r="N2480" s="3">
        <v>34.99</v>
      </c>
      <c r="O2480" s="2" t="s">
        <v>245</v>
      </c>
      <c r="P2480" s="2" t="s">
        <v>996</v>
      </c>
      <c r="Q2480" s="2" t="s">
        <v>239</v>
      </c>
      <c r="R2480" s="2" t="s">
        <v>233</v>
      </c>
      <c r="S2480" s="2" t="s">
        <v>10975</v>
      </c>
      <c r="T2480" s="2" t="s">
        <v>395</v>
      </c>
      <c r="U2480" s="2" t="s">
        <v>491</v>
      </c>
      <c r="V2480" s="2" t="s">
        <v>241</v>
      </c>
      <c r="W2480" s="2" t="s">
        <v>397</v>
      </c>
      <c r="X2480" s="2" t="s">
        <v>233</v>
      </c>
      <c r="Y2480" s="2" t="s">
        <v>10966</v>
      </c>
      <c r="Z2480" s="4">
        <v>48</v>
      </c>
      <c r="AA2480" s="4">
        <f>=ROUNDDOWN(2,0)</f>
      </c>
      <c r="AB2480" s="5">
        <v>24</v>
      </c>
      <c r="AC2480" s="2" t="s">
        <v>233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233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 t="s">
        <v>233</v>
      </c>
      <c r="AW2480" s="8" t="s">
        <v>233</v>
      </c>
      <c r="AX2480" s="4" t="s">
        <v>233</v>
      </c>
      <c r="AY2480" s="8" t="s">
        <v>233</v>
      </c>
      <c r="AZ2480" s="7" t="s">
        <v>233</v>
      </c>
      <c r="BA2480" s="7" t="s">
        <v>233</v>
      </c>
      <c r="BB2480" s="7"/>
      <c r="BC2480" s="4" t="s">
        <v>233</v>
      </c>
      <c r="BD2480" s="8" t="s">
        <v>233</v>
      </c>
      <c r="BE2480" s="4" t="s">
        <v>233</v>
      </c>
      <c r="BF2480" s="8" t="s">
        <v>233</v>
      </c>
      <c r="BG2480" s="7" t="s">
        <v>233</v>
      </c>
      <c r="BH2480" s="7" t="s">
        <v>233</v>
      </c>
      <c r="BI2480" s="7"/>
      <c r="BJ2480" s="4">
        <v>12</v>
      </c>
      <c r="BK2480" s="8">
        <v>150.64</v>
      </c>
      <c r="BL2480" s="2" t="s">
        <v>10979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10980</v>
      </c>
      <c r="BV2480" s="2" t="s">
        <v>233</v>
      </c>
      <c r="BW2480" s="2" t="s">
        <v>233</v>
      </c>
      <c r="BX2480" s="2" t="s">
        <v>233</v>
      </c>
      <c r="BY2480" s="2" t="s">
        <v>280</v>
      </c>
      <c r="BZ2480" s="2" t="s">
        <v>245</v>
      </c>
      <c r="CA2480" s="2" t="s">
        <v>10966</v>
      </c>
      <c r="CB2480" s="2" t="s">
        <v>10981</v>
      </c>
      <c r="CC2480" s="2" t="s">
        <v>246</v>
      </c>
      <c r="CD2480" s="2" t="s">
        <v>233</v>
      </c>
      <c r="CE2480" s="4">
        <v>39</v>
      </c>
      <c r="CF2480" s="4">
        <v>9</v>
      </c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/>
      <c r="GA2480" s="4"/>
      <c r="GB2480" s="4"/>
      <c r="GC2480" s="4"/>
      <c r="GD2480" s="4"/>
      <c r="GE2480" s="4"/>
      <c r="GF2480" s="4"/>
      <c r="GG2480" s="4"/>
      <c r="GH2480" s="4"/>
      <c r="GI2480" s="4"/>
      <c r="GJ2480" s="4"/>
      <c r="GK2480" s="4"/>
      <c r="GL2480" s="4"/>
      <c r="GM2480" s="4"/>
      <c r="GN2480" s="4"/>
      <c r="GO2480" s="4"/>
      <c r="GP2480" s="4"/>
      <c r="GQ2480" s="4"/>
      <c r="GR2480" s="4"/>
      <c r="GS2480" s="4"/>
      <c r="GT2480" s="4"/>
      <c r="GU2480" s="4"/>
      <c r="GV2480" s="4"/>
      <c r="GW2480" s="4"/>
      <c r="GX2480" s="4"/>
      <c r="GY2480" s="4"/>
      <c r="GZ2480" s="4"/>
      <c r="HA2480" s="4"/>
      <c r="HB2480" s="4"/>
      <c r="HC2480" s="4"/>
      <c r="HD2480" s="4"/>
      <c r="HE2480" s="4"/>
      <c r="HF2480" s="4"/>
      <c r="HG2480" s="4"/>
      <c r="HH2480" s="4"/>
      <c r="HI2480" s="4"/>
      <c r="HJ2480" s="4"/>
      <c r="HK2480" s="4"/>
      <c r="HL2480" s="4"/>
      <c r="HM2480" s="4"/>
      <c r="HN2480" s="4"/>
      <c r="HO2480" s="4"/>
      <c r="HP2480" s="4"/>
      <c r="HQ2480" s="4"/>
      <c r="HR2480" s="4"/>
    </row>
    <row r="2481">
      <c r="A2481" s="2" t="s">
        <v>10982</v>
      </c>
      <c r="B2481" s="2" t="s">
        <v>1242</v>
      </c>
      <c r="C2481" s="2" t="s">
        <v>1335</v>
      </c>
      <c r="D2481" s="2" t="s">
        <v>1616</v>
      </c>
      <c r="E2481" s="2" t="s">
        <v>1617</v>
      </c>
      <c r="F2481" s="2" t="s">
        <v>10983</v>
      </c>
      <c r="G2481" s="2" t="s">
        <v>10983</v>
      </c>
      <c r="H2481" s="2" t="s">
        <v>10983</v>
      </c>
      <c r="I2481" s="2" t="s">
        <v>6371</v>
      </c>
      <c r="J2481" s="2" t="s">
        <v>1620</v>
      </c>
      <c r="K2481" s="2" t="s">
        <v>1561</v>
      </c>
      <c r="L2481" s="3">
        <v>22.05</v>
      </c>
      <c r="M2481" s="3">
        <v>23.15</v>
      </c>
      <c r="N2481" s="3">
        <v>44.99</v>
      </c>
      <c r="O2481" s="2" t="s">
        <v>245</v>
      </c>
      <c r="P2481" s="2" t="s">
        <v>272</v>
      </c>
      <c r="Q2481" s="2" t="s">
        <v>239</v>
      </c>
      <c r="R2481" s="2" t="s">
        <v>233</v>
      </c>
      <c r="S2481" s="2" t="s">
        <v>6372</v>
      </c>
      <c r="T2481" s="2" t="s">
        <v>233</v>
      </c>
      <c r="U2481" s="2" t="s">
        <v>233</v>
      </c>
      <c r="V2481" s="2" t="s">
        <v>1340</v>
      </c>
      <c r="W2481" s="2" t="s">
        <v>978</v>
      </c>
      <c r="X2481" s="2" t="s">
        <v>7831</v>
      </c>
      <c r="Y2481" s="2" t="s">
        <v>276</v>
      </c>
      <c r="Z2481" s="4">
        <v>478</v>
      </c>
      <c r="AA2481" s="4">
        <f>=ROUNDDOWN(79.6666666666667,0)</f>
      </c>
      <c r="AB2481" s="5">
        <v>6</v>
      </c>
      <c r="AC2481" s="2" t="s">
        <v>233</v>
      </c>
      <c r="AD2481" s="4"/>
      <c r="AE2481" s="4"/>
      <c r="AF2481" s="6">
        <v>69</v>
      </c>
      <c r="AG2481" s="6"/>
      <c r="AH2481" s="7">
        <v>1</v>
      </c>
      <c r="AI2481" s="4"/>
      <c r="AJ2481" s="4">
        <f>=ROUNDDOWN({0},0)</f>
      </c>
      <c r="AK2481" s="5"/>
      <c r="AL2481" s="2" t="s">
        <v>233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 t="s">
        <v>233</v>
      </c>
      <c r="BD2481" s="8" t="s">
        <v>233</v>
      </c>
      <c r="BE2481" s="4" t="s">
        <v>233</v>
      </c>
      <c r="BF2481" s="8" t="s">
        <v>233</v>
      </c>
      <c r="BG2481" s="7" t="s">
        <v>233</v>
      </c>
      <c r="BH2481" s="7" t="s">
        <v>233</v>
      </c>
      <c r="BI2481" s="7"/>
      <c r="BJ2481" s="4">
        <v>1</v>
      </c>
      <c r="BK2481" s="8">
        <v>23.04</v>
      </c>
      <c r="BL2481" s="2" t="s">
        <v>3331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10984</v>
      </c>
      <c r="BV2481" s="2" t="s">
        <v>233</v>
      </c>
      <c r="BW2481" s="2" t="s">
        <v>233</v>
      </c>
      <c r="BX2481" s="2" t="s">
        <v>233</v>
      </c>
      <c r="BY2481" s="2" t="s">
        <v>280</v>
      </c>
      <c r="BZ2481" s="2" t="s">
        <v>245</v>
      </c>
      <c r="CA2481" s="2" t="s">
        <v>1318</v>
      </c>
      <c r="CB2481" s="2" t="s">
        <v>6375</v>
      </c>
      <c r="CC2481" s="2" t="s">
        <v>246</v>
      </c>
      <c r="CD2481" s="2" t="s">
        <v>233</v>
      </c>
      <c r="CE2481" s="4">
        <v>478</v>
      </c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/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/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/>
      <c r="GE2481" s="4"/>
      <c r="GF2481" s="4"/>
      <c r="GG2481" s="4"/>
      <c r="GH2481" s="4"/>
      <c r="GI2481" s="4"/>
      <c r="GJ2481" s="4"/>
      <c r="GK2481" s="4"/>
      <c r="GL2481" s="4"/>
      <c r="GM2481" s="4"/>
      <c r="GN2481" s="4"/>
      <c r="GO2481" s="4"/>
      <c r="GP2481" s="4"/>
      <c r="GQ2481" s="4"/>
      <c r="GR2481" s="4"/>
      <c r="GS2481" s="4"/>
      <c r="GT2481" s="4"/>
      <c r="GU2481" s="4"/>
      <c r="GV2481" s="4"/>
      <c r="GW2481" s="4"/>
      <c r="GX2481" s="4"/>
      <c r="GY2481" s="4"/>
      <c r="GZ2481" s="4"/>
      <c r="HA2481" s="4"/>
      <c r="HB2481" s="4"/>
      <c r="HC2481" s="4"/>
      <c r="HD2481" s="4"/>
      <c r="HE2481" s="4"/>
      <c r="HF2481" s="4"/>
      <c r="HG2481" s="4"/>
      <c r="HH2481" s="4"/>
      <c r="HI2481" s="4"/>
      <c r="HJ2481" s="4"/>
      <c r="HK2481" s="4"/>
      <c r="HL2481" s="4"/>
      <c r="HM2481" s="4"/>
      <c r="HN2481" s="4"/>
      <c r="HO2481" s="4"/>
      <c r="HP2481" s="4"/>
      <c r="HQ2481" s="4"/>
      <c r="HR2481" s="4"/>
    </row>
    <row r="2482">
      <c r="A2482" s="2" t="s">
        <v>10985</v>
      </c>
      <c r="B2482" s="2" t="s">
        <v>1242</v>
      </c>
      <c r="C2482" s="2" t="s">
        <v>1335</v>
      </c>
      <c r="D2482" s="2" t="s">
        <v>1616</v>
      </c>
      <c r="E2482" s="2" t="s">
        <v>1617</v>
      </c>
      <c r="F2482" s="2" t="s">
        <v>10983</v>
      </c>
      <c r="G2482" s="2" t="s">
        <v>10983</v>
      </c>
      <c r="H2482" s="2" t="s">
        <v>10983</v>
      </c>
      <c r="I2482" s="2" t="s">
        <v>6371</v>
      </c>
      <c r="J2482" s="2" t="s">
        <v>1620</v>
      </c>
      <c r="K2482" s="2" t="s">
        <v>2197</v>
      </c>
      <c r="L2482" s="3">
        <v>22.05</v>
      </c>
      <c r="M2482" s="3">
        <v>23.15</v>
      </c>
      <c r="N2482" s="3">
        <v>44.99</v>
      </c>
      <c r="O2482" s="2" t="s">
        <v>245</v>
      </c>
      <c r="P2482" s="2" t="s">
        <v>272</v>
      </c>
      <c r="Q2482" s="2" t="s">
        <v>239</v>
      </c>
      <c r="R2482" s="2" t="s">
        <v>233</v>
      </c>
      <c r="S2482" s="2" t="s">
        <v>6372</v>
      </c>
      <c r="T2482" s="2" t="s">
        <v>233</v>
      </c>
      <c r="U2482" s="2" t="s">
        <v>233</v>
      </c>
      <c r="V2482" s="2" t="s">
        <v>1340</v>
      </c>
      <c r="W2482" s="2" t="s">
        <v>978</v>
      </c>
      <c r="X2482" s="2" t="s">
        <v>7831</v>
      </c>
      <c r="Y2482" s="2" t="s">
        <v>276</v>
      </c>
      <c r="Z2482" s="4">
        <v>331</v>
      </c>
      <c r="AA2482" s="4">
        <f>=ROUNDDOWN(14.3913043478261,0)</f>
      </c>
      <c r="AB2482" s="5">
        <v>23</v>
      </c>
      <c r="AC2482" s="2" t="s">
        <v>3626</v>
      </c>
      <c r="AD2482" s="4">
        <v>260</v>
      </c>
      <c r="AE2482" s="4">
        <v>960</v>
      </c>
      <c r="AF2482" s="6">
        <v>69</v>
      </c>
      <c r="AG2482" s="6"/>
      <c r="AH2482" s="7">
        <v>1</v>
      </c>
      <c r="AI2482" s="4"/>
      <c r="AJ2482" s="4">
        <f>=ROUNDDOWN({0},0)</f>
      </c>
      <c r="AK2482" s="5"/>
      <c r="AL2482" s="2" t="s">
        <v>233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233</v>
      </c>
      <c r="BD2482" s="8" t="s">
        <v>233</v>
      </c>
      <c r="BE2482" s="4" t="s">
        <v>233</v>
      </c>
      <c r="BF2482" s="8" t="s">
        <v>233</v>
      </c>
      <c r="BG2482" s="7" t="s">
        <v>233</v>
      </c>
      <c r="BH2482" s="7" t="s">
        <v>233</v>
      </c>
      <c r="BI2482" s="7"/>
      <c r="BJ2482" s="4">
        <v>99</v>
      </c>
      <c r="BK2482" s="8">
        <v>2300.1</v>
      </c>
      <c r="BL2482" s="2" t="s">
        <v>10986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10987</v>
      </c>
      <c r="BV2482" s="2" t="s">
        <v>233</v>
      </c>
      <c r="BW2482" s="2" t="s">
        <v>233</v>
      </c>
      <c r="BX2482" s="2" t="s">
        <v>233</v>
      </c>
      <c r="BY2482" s="2" t="s">
        <v>280</v>
      </c>
      <c r="BZ2482" s="2" t="s">
        <v>245</v>
      </c>
      <c r="CA2482" s="2" t="s">
        <v>1318</v>
      </c>
      <c r="CB2482" s="2" t="s">
        <v>4011</v>
      </c>
      <c r="CC2482" s="2" t="s">
        <v>246</v>
      </c>
      <c r="CD2482" s="2" t="s">
        <v>233</v>
      </c>
      <c r="CE2482" s="4">
        <v>331</v>
      </c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/>
      <c r="FD2482" s="4"/>
      <c r="FE2482" s="4"/>
      <c r="FF2482" s="4"/>
      <c r="FG2482" s="4"/>
      <c r="FH2482" s="4"/>
      <c r="FI2482" s="4">
        <v>260</v>
      </c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/>
      <c r="GG2482" s="4"/>
      <c r="GH2482" s="4"/>
      <c r="GI2482" s="4"/>
      <c r="GJ2482" s="4"/>
      <c r="GK2482" s="4"/>
      <c r="GL2482" s="4"/>
      <c r="GM2482" s="4"/>
      <c r="GN2482" s="4"/>
      <c r="GO2482" s="4"/>
      <c r="GP2482" s="4"/>
      <c r="GQ2482" s="4"/>
      <c r="GR2482" s="4"/>
      <c r="GS2482" s="4"/>
      <c r="GT2482" s="4"/>
      <c r="GU2482" s="4"/>
      <c r="GV2482" s="4"/>
      <c r="GW2482" s="4"/>
      <c r="GX2482" s="4"/>
      <c r="GY2482" s="4"/>
      <c r="GZ2482" s="4"/>
      <c r="HA2482" s="4"/>
      <c r="HB2482" s="4"/>
      <c r="HC2482" s="4"/>
      <c r="HD2482" s="4"/>
      <c r="HE2482" s="4"/>
      <c r="HF2482" s="4"/>
      <c r="HG2482" s="4">
        <v>700</v>
      </c>
      <c r="HH2482" s="4"/>
      <c r="HI2482" s="4"/>
      <c r="HJ2482" s="4"/>
      <c r="HK2482" s="4"/>
      <c r="HL2482" s="4"/>
      <c r="HM2482" s="4"/>
      <c r="HN2482" s="4"/>
      <c r="HO2482" s="4"/>
      <c r="HP2482" s="4"/>
      <c r="HQ2482" s="4"/>
      <c r="HR2482" s="4"/>
    </row>
    <row r="2483">
      <c r="A2483" s="2" t="s">
        <v>10988</v>
      </c>
      <c r="B2483" s="2" t="s">
        <v>1174</v>
      </c>
      <c r="C2483" s="2" t="s">
        <v>1447</v>
      </c>
      <c r="D2483" s="2" t="s">
        <v>1175</v>
      </c>
      <c r="E2483" s="2" t="s">
        <v>1448</v>
      </c>
      <c r="F2483" s="2" t="s">
        <v>2574</v>
      </c>
      <c r="G2483" s="2" t="s">
        <v>9164</v>
      </c>
      <c r="H2483" s="2" t="s">
        <v>2526</v>
      </c>
      <c r="I2483" s="2" t="s">
        <v>10989</v>
      </c>
      <c r="J2483" s="2" t="s">
        <v>1524</v>
      </c>
      <c r="K2483" s="2" t="s">
        <v>773</v>
      </c>
      <c r="L2483" s="3">
        <v>19.8</v>
      </c>
      <c r="M2483" s="3">
        <v>20.79</v>
      </c>
      <c r="N2483" s="3">
        <v>44.99</v>
      </c>
      <c r="O2483" s="2" t="s">
        <v>252</v>
      </c>
      <c r="P2483" s="2" t="s">
        <v>311</v>
      </c>
      <c r="Q2483" s="2" t="s">
        <v>239</v>
      </c>
      <c r="R2483" s="2" t="s">
        <v>233</v>
      </c>
      <c r="S2483" s="2" t="s">
        <v>10990</v>
      </c>
      <c r="T2483" s="2" t="s">
        <v>233</v>
      </c>
      <c r="U2483" s="2" t="s">
        <v>396</v>
      </c>
      <c r="V2483" s="2" t="s">
        <v>1085</v>
      </c>
      <c r="W2483" s="2" t="s">
        <v>397</v>
      </c>
      <c r="X2483" s="2" t="s">
        <v>233</v>
      </c>
      <c r="Y2483" s="2" t="s">
        <v>10991</v>
      </c>
      <c r="Z2483" s="4">
        <v>28</v>
      </c>
      <c r="AA2483" s="4">
        <f>=ROUNDDOWN(56,0)</f>
      </c>
      <c r="AB2483" s="5">
        <v>0.5</v>
      </c>
      <c r="AC2483" s="2" t="s">
        <v>233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233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233</v>
      </c>
      <c r="BD2483" s="8" t="s">
        <v>233</v>
      </c>
      <c r="BE2483" s="4" t="s">
        <v>233</v>
      </c>
      <c r="BF2483" s="8" t="s">
        <v>233</v>
      </c>
      <c r="BG2483" s="7" t="s">
        <v>233</v>
      </c>
      <c r="BH2483" s="7" t="s">
        <v>233</v>
      </c>
      <c r="BI2483" s="7"/>
      <c r="BJ2483" s="4"/>
      <c r="BK2483" s="8"/>
      <c r="BL2483" s="2" t="s">
        <v>2741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10992</v>
      </c>
      <c r="BV2483" s="2" t="s">
        <v>233</v>
      </c>
      <c r="BW2483" s="2" t="s">
        <v>233</v>
      </c>
      <c r="BX2483" s="2" t="s">
        <v>243</v>
      </c>
      <c r="BY2483" s="2" t="s">
        <v>280</v>
      </c>
      <c r="BZ2483" s="2" t="s">
        <v>245</v>
      </c>
      <c r="CA2483" s="2" t="s">
        <v>5542</v>
      </c>
      <c r="CB2483" s="2" t="s">
        <v>10993</v>
      </c>
      <c r="CC2483" s="2" t="s">
        <v>246</v>
      </c>
      <c r="CD2483" s="2" t="s">
        <v>233</v>
      </c>
      <c r="CE2483" s="4">
        <v>28</v>
      </c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/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/>
      <c r="GC2483" s="4"/>
      <c r="GD2483" s="4"/>
      <c r="GE2483" s="4"/>
      <c r="GF2483" s="4"/>
      <c r="GG2483" s="4"/>
      <c r="GH2483" s="4"/>
      <c r="GI2483" s="4"/>
      <c r="GJ2483" s="4"/>
      <c r="GK2483" s="4"/>
      <c r="GL2483" s="4"/>
      <c r="GM2483" s="4"/>
      <c r="GN2483" s="4"/>
      <c r="GO2483" s="4"/>
      <c r="GP2483" s="4"/>
      <c r="GQ2483" s="4"/>
      <c r="GR2483" s="4"/>
      <c r="GS2483" s="4"/>
      <c r="GT2483" s="4"/>
      <c r="GU2483" s="4"/>
      <c r="GV2483" s="4"/>
      <c r="GW2483" s="4"/>
      <c r="GX2483" s="4"/>
      <c r="GY2483" s="4"/>
      <c r="GZ2483" s="4"/>
      <c r="HA2483" s="4"/>
      <c r="HB2483" s="4"/>
      <c r="HC2483" s="4"/>
      <c r="HD2483" s="4"/>
      <c r="HE2483" s="4"/>
      <c r="HF2483" s="4"/>
      <c r="HG2483" s="4"/>
      <c r="HH2483" s="4"/>
      <c r="HI2483" s="4"/>
      <c r="HJ2483" s="4"/>
      <c r="HK2483" s="4"/>
      <c r="HL2483" s="4"/>
      <c r="HM2483" s="4"/>
      <c r="HN2483" s="4"/>
      <c r="HO2483" s="4"/>
      <c r="HP2483" s="4"/>
      <c r="HQ2483" s="4"/>
      <c r="HR2483" s="4"/>
    </row>
    <row r="2484">
      <c r="A2484" s="2" t="s">
        <v>10994</v>
      </c>
      <c r="B2484" s="2" t="s">
        <v>1174</v>
      </c>
      <c r="C2484" s="2" t="s">
        <v>530</v>
      </c>
      <c r="D2484" s="2" t="s">
        <v>1175</v>
      </c>
      <c r="E2484" s="2" t="s">
        <v>1448</v>
      </c>
      <c r="F2484" s="2" t="s">
        <v>2574</v>
      </c>
      <c r="G2484" s="2" t="s">
        <v>10995</v>
      </c>
      <c r="H2484" s="2" t="s">
        <v>10996</v>
      </c>
      <c r="I2484" s="2" t="s">
        <v>10997</v>
      </c>
      <c r="J2484" s="2" t="s">
        <v>10998</v>
      </c>
      <c r="K2484" s="2" t="s">
        <v>1537</v>
      </c>
      <c r="L2484" s="3">
        <v>12</v>
      </c>
      <c r="M2484" s="3">
        <v>12.6</v>
      </c>
      <c r="N2484" s="3">
        <v>29.99</v>
      </c>
      <c r="O2484" s="2" t="s">
        <v>245</v>
      </c>
      <c r="P2484" s="2" t="s">
        <v>238</v>
      </c>
      <c r="Q2484" s="2" t="s">
        <v>239</v>
      </c>
      <c r="R2484" s="2" t="s">
        <v>233</v>
      </c>
      <c r="S2484" s="2" t="s">
        <v>10999</v>
      </c>
      <c r="T2484" s="2" t="s">
        <v>1481</v>
      </c>
      <c r="U2484" s="2" t="s">
        <v>396</v>
      </c>
      <c r="V2484" s="2" t="s">
        <v>359</v>
      </c>
      <c r="W2484" s="2" t="s">
        <v>1700</v>
      </c>
      <c r="X2484" s="2" t="s">
        <v>1526</v>
      </c>
      <c r="Y2484" s="2" t="s">
        <v>233</v>
      </c>
      <c r="Z2484" s="4"/>
      <c r="AA2484" s="4">
        <f>=ROUNDDOWN({0},0)</f>
      </c>
      <c r="AB2484" s="5">
        <v>12</v>
      </c>
      <c r="AC2484" s="2" t="s">
        <v>1514</v>
      </c>
      <c r="AD2484" s="4">
        <v>172</v>
      </c>
      <c r="AE2484" s="4">
        <v>344</v>
      </c>
      <c r="AF2484" s="6">
        <v>66</v>
      </c>
      <c r="AG2484" s="6"/>
      <c r="AH2484" s="7">
        <v>0</v>
      </c>
      <c r="AI2484" s="4"/>
      <c r="AJ2484" s="4">
        <f>=ROUNDDOWN({0},0)</f>
      </c>
      <c r="AK2484" s="5"/>
      <c r="AL2484" s="2" t="s">
        <v>233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 t="s">
        <v>233</v>
      </c>
      <c r="BD2484" s="8" t="s">
        <v>233</v>
      </c>
      <c r="BE2484" s="4" t="s">
        <v>233</v>
      </c>
      <c r="BF2484" s="8" t="s">
        <v>233</v>
      </c>
      <c r="BG2484" s="7" t="s">
        <v>233</v>
      </c>
      <c r="BH2484" s="7" t="s">
        <v>233</v>
      </c>
      <c r="BI2484" s="7"/>
      <c r="BJ2484" s="4"/>
      <c r="BK2484" s="8"/>
      <c r="BL2484" s="2" t="s">
        <v>233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243</v>
      </c>
      <c r="BV2484" s="2" t="s">
        <v>233</v>
      </c>
      <c r="BW2484" s="2" t="s">
        <v>233</v>
      </c>
      <c r="BX2484" s="2" t="s">
        <v>243</v>
      </c>
      <c r="BY2484" s="2" t="s">
        <v>244</v>
      </c>
      <c r="BZ2484" s="2" t="s">
        <v>245</v>
      </c>
      <c r="CA2484" s="2" t="s">
        <v>233</v>
      </c>
      <c r="CB2484" s="2" t="s">
        <v>233</v>
      </c>
      <c r="CC2484" s="2" t="s">
        <v>246</v>
      </c>
      <c r="CD2484" s="2" t="s">
        <v>233</v>
      </c>
      <c r="CE2484" s="4"/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>
        <v>172</v>
      </c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/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>
        <v>172</v>
      </c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/>
      <c r="GC2484" s="4"/>
      <c r="GD2484" s="4"/>
      <c r="GE2484" s="4"/>
      <c r="GF2484" s="4"/>
      <c r="GG2484" s="4"/>
      <c r="GH2484" s="4"/>
      <c r="GI2484" s="4"/>
      <c r="GJ2484" s="4"/>
      <c r="GK2484" s="4"/>
      <c r="GL2484" s="4"/>
      <c r="GM2484" s="4"/>
      <c r="GN2484" s="4"/>
      <c r="GO2484" s="4"/>
      <c r="GP2484" s="4"/>
      <c r="GQ2484" s="4"/>
      <c r="GR2484" s="4"/>
      <c r="GS2484" s="4"/>
      <c r="GT2484" s="4"/>
      <c r="GU2484" s="4"/>
      <c r="GV2484" s="4"/>
      <c r="GW2484" s="4"/>
      <c r="GX2484" s="4"/>
      <c r="GY2484" s="4"/>
      <c r="GZ2484" s="4"/>
      <c r="HA2484" s="4"/>
      <c r="HB2484" s="4"/>
      <c r="HC2484" s="4"/>
      <c r="HD2484" s="4"/>
      <c r="HE2484" s="4"/>
      <c r="HF2484" s="4"/>
      <c r="HG2484" s="4"/>
      <c r="HH2484" s="4"/>
      <c r="HI2484" s="4"/>
      <c r="HJ2484" s="4"/>
      <c r="HK2484" s="4"/>
      <c r="HL2484" s="4"/>
      <c r="HM2484" s="4"/>
      <c r="HN2484" s="4"/>
      <c r="HO2484" s="4"/>
      <c r="HP2484" s="4"/>
      <c r="HQ2484" s="4"/>
      <c r="HR2484" s="4"/>
    </row>
    <row r="2485">
      <c r="A2485" s="2" t="s">
        <v>11000</v>
      </c>
      <c r="B2485" s="2" t="s">
        <v>928</v>
      </c>
      <c r="C2485" s="2" t="s">
        <v>530</v>
      </c>
      <c r="D2485" s="2" t="s">
        <v>961</v>
      </c>
      <c r="E2485" s="2" t="s">
        <v>2028</v>
      </c>
      <c r="F2485" s="2" t="s">
        <v>11001</v>
      </c>
      <c r="G2485" s="2" t="s">
        <v>233</v>
      </c>
      <c r="H2485" s="2" t="s">
        <v>233</v>
      </c>
      <c r="I2485" s="2" t="s">
        <v>11002</v>
      </c>
      <c r="J2485" s="2" t="s">
        <v>892</v>
      </c>
      <c r="K2485" s="2" t="s">
        <v>271</v>
      </c>
      <c r="L2485" s="3">
        <v>58.7</v>
      </c>
      <c r="M2485" s="3">
        <v>61.64</v>
      </c>
      <c r="N2485" s="3">
        <v>118.99</v>
      </c>
      <c r="O2485" s="2" t="s">
        <v>245</v>
      </c>
      <c r="P2485" s="2" t="s">
        <v>311</v>
      </c>
      <c r="Q2485" s="2" t="s">
        <v>239</v>
      </c>
      <c r="R2485" s="2" t="s">
        <v>233</v>
      </c>
      <c r="S2485" s="2" t="s">
        <v>11003</v>
      </c>
      <c r="T2485" s="2" t="s">
        <v>233</v>
      </c>
      <c r="U2485" s="2" t="s">
        <v>475</v>
      </c>
      <c r="V2485" s="2" t="s">
        <v>343</v>
      </c>
      <c r="W2485" s="2" t="s">
        <v>343</v>
      </c>
      <c r="X2485" s="2" t="s">
        <v>233</v>
      </c>
      <c r="Y2485" s="2" t="s">
        <v>1370</v>
      </c>
      <c r="Z2485" s="4">
        <v>24</v>
      </c>
      <c r="AA2485" s="4">
        <f>=ROUNDDOWN(11.4285714285714,0)</f>
      </c>
      <c r="AB2485" s="5">
        <v>2.1</v>
      </c>
      <c r="AC2485" s="2" t="s">
        <v>233</v>
      </c>
      <c r="AD2485" s="4"/>
      <c r="AE2485" s="4"/>
      <c r="AF2485" s="6">
        <v>63</v>
      </c>
      <c r="AG2485" s="6"/>
      <c r="AH2485" s="7">
        <v>1</v>
      </c>
      <c r="AI2485" s="4"/>
      <c r="AJ2485" s="4">
        <f>=ROUNDDOWN({0},0)</f>
      </c>
      <c r="AK2485" s="5"/>
      <c r="AL2485" s="2" t="s">
        <v>233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/>
      <c r="BD2485" s="8"/>
      <c r="BE2485" s="4"/>
      <c r="BF2485" s="8"/>
      <c r="BG2485" s="7"/>
      <c r="BH2485" s="7"/>
      <c r="BI2485" s="7"/>
      <c r="BJ2485" s="4">
        <v>1</v>
      </c>
      <c r="BK2485" s="8">
        <v>66.23</v>
      </c>
      <c r="BL2485" s="2" t="s">
        <v>11004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11005</v>
      </c>
      <c r="BV2485" s="2" t="s">
        <v>233</v>
      </c>
      <c r="BW2485" s="2" t="s">
        <v>233</v>
      </c>
      <c r="BX2485" s="2" t="s">
        <v>233</v>
      </c>
      <c r="BY2485" s="2" t="s">
        <v>280</v>
      </c>
      <c r="BZ2485" s="2" t="s">
        <v>245</v>
      </c>
      <c r="CA2485" s="2" t="s">
        <v>4946</v>
      </c>
      <c r="CB2485" s="2" t="s">
        <v>306</v>
      </c>
      <c r="CC2485" s="2" t="s">
        <v>246</v>
      </c>
      <c r="CD2485" s="2" t="s">
        <v>233</v>
      </c>
      <c r="CE2485" s="4"/>
      <c r="CF2485" s="4">
        <v>24</v>
      </c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/>
      <c r="FD2485" s="4"/>
      <c r="FE2485" s="4"/>
      <c r="FF2485" s="4"/>
      <c r="FG2485" s="4"/>
      <c r="FH2485" s="4"/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/>
      <c r="GC2485" s="4"/>
      <c r="GD2485" s="4"/>
      <c r="GE2485" s="4"/>
      <c r="GF2485" s="4"/>
      <c r="GG2485" s="4"/>
      <c r="GH2485" s="4"/>
      <c r="GI2485" s="4"/>
      <c r="GJ2485" s="4"/>
      <c r="GK2485" s="4"/>
      <c r="GL2485" s="4"/>
      <c r="GM2485" s="4"/>
      <c r="GN2485" s="4"/>
      <c r="GO2485" s="4"/>
      <c r="GP2485" s="4"/>
      <c r="GQ2485" s="4"/>
      <c r="GR2485" s="4"/>
      <c r="GS2485" s="4"/>
      <c r="GT2485" s="4"/>
      <c r="GU2485" s="4"/>
      <c r="GV2485" s="4"/>
      <c r="GW2485" s="4"/>
      <c r="GX2485" s="4"/>
      <c r="GY2485" s="4"/>
      <c r="GZ2485" s="4"/>
      <c r="HA2485" s="4"/>
      <c r="HB2485" s="4"/>
      <c r="HC2485" s="4"/>
      <c r="HD2485" s="4"/>
      <c r="HE2485" s="4"/>
      <c r="HF2485" s="4"/>
      <c r="HG2485" s="4"/>
      <c r="HH2485" s="4"/>
      <c r="HI2485" s="4"/>
      <c r="HJ2485" s="4"/>
      <c r="HK2485" s="4"/>
      <c r="HL2485" s="4"/>
      <c r="HM2485" s="4"/>
      <c r="HN2485" s="4"/>
      <c r="HO2485" s="4"/>
      <c r="HP2485" s="4"/>
      <c r="HQ2485" s="4"/>
      <c r="HR2485" s="4"/>
    </row>
    <row r="2486">
      <c r="A2486" s="2" t="s">
        <v>11006</v>
      </c>
      <c r="B2486" s="2" t="s">
        <v>333</v>
      </c>
      <c r="C2486" s="2" t="s">
        <v>701</v>
      </c>
      <c r="D2486" s="2" t="s">
        <v>335</v>
      </c>
      <c r="E2486" s="2" t="s">
        <v>336</v>
      </c>
      <c r="F2486" s="2" t="s">
        <v>11007</v>
      </c>
      <c r="G2486" s="2" t="s">
        <v>11007</v>
      </c>
      <c r="H2486" s="2" t="s">
        <v>11007</v>
      </c>
      <c r="I2486" s="2" t="s">
        <v>338</v>
      </c>
      <c r="J2486" s="2" t="s">
        <v>270</v>
      </c>
      <c r="K2486" s="2" t="s">
        <v>271</v>
      </c>
      <c r="L2486" s="3">
        <v>22.15</v>
      </c>
      <c r="M2486" s="3">
        <v>23.26</v>
      </c>
      <c r="N2486" s="3">
        <v>49.99</v>
      </c>
      <c r="O2486" s="2" t="s">
        <v>245</v>
      </c>
      <c r="P2486" s="2" t="s">
        <v>311</v>
      </c>
      <c r="Q2486" s="2" t="s">
        <v>239</v>
      </c>
      <c r="R2486" s="2" t="s">
        <v>233</v>
      </c>
      <c r="S2486" s="2" t="s">
        <v>11008</v>
      </c>
      <c r="T2486" s="2" t="s">
        <v>11009</v>
      </c>
      <c r="U2486" s="2" t="s">
        <v>475</v>
      </c>
      <c r="V2486" s="2" t="s">
        <v>241</v>
      </c>
      <c r="W2486" s="2" t="s">
        <v>275</v>
      </c>
      <c r="X2486" s="2" t="s">
        <v>233</v>
      </c>
      <c r="Y2486" s="2" t="s">
        <v>6676</v>
      </c>
      <c r="Z2486" s="4">
        <v>45</v>
      </c>
      <c r="AA2486" s="4">
        <f>=ROUNDDOWN(22.5,0)</f>
      </c>
      <c r="AB2486" s="5">
        <v>2</v>
      </c>
      <c r="AC2486" s="2" t="s">
        <v>233</v>
      </c>
      <c r="AD2486" s="4"/>
      <c r="AE2486" s="4"/>
      <c r="AF2486" s="6">
        <v>67</v>
      </c>
      <c r="AG2486" s="6"/>
      <c r="AH2486" s="7">
        <v>1</v>
      </c>
      <c r="AI2486" s="4"/>
      <c r="AJ2486" s="4">
        <f>=ROUNDDOWN({0},0)</f>
      </c>
      <c r="AK2486" s="5"/>
      <c r="AL2486" s="2" t="s">
        <v>233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 t="s">
        <v>233</v>
      </c>
      <c r="AW2486" s="8" t="s">
        <v>233</v>
      </c>
      <c r="AX2486" s="4" t="s">
        <v>233</v>
      </c>
      <c r="AY2486" s="8" t="s">
        <v>233</v>
      </c>
      <c r="AZ2486" s="7" t="s">
        <v>233</v>
      </c>
      <c r="BA2486" s="7" t="s">
        <v>233</v>
      </c>
      <c r="BB2486" s="7"/>
      <c r="BC2486" s="4" t="s">
        <v>233</v>
      </c>
      <c r="BD2486" s="8" t="s">
        <v>233</v>
      </c>
      <c r="BE2486" s="4" t="s">
        <v>233</v>
      </c>
      <c r="BF2486" s="8" t="s">
        <v>233</v>
      </c>
      <c r="BG2486" s="7" t="s">
        <v>233</v>
      </c>
      <c r="BH2486" s="7" t="s">
        <v>233</v>
      </c>
      <c r="BI2486" s="7"/>
      <c r="BJ2486" s="4">
        <v>1</v>
      </c>
      <c r="BK2486" s="8">
        <v>24.42</v>
      </c>
      <c r="BL2486" s="2" t="s">
        <v>1592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11010</v>
      </c>
      <c r="BV2486" s="2" t="s">
        <v>233</v>
      </c>
      <c r="BW2486" s="2" t="s">
        <v>233</v>
      </c>
      <c r="BX2486" s="2" t="s">
        <v>233</v>
      </c>
      <c r="BY2486" s="2" t="s">
        <v>280</v>
      </c>
      <c r="BZ2486" s="2" t="s">
        <v>245</v>
      </c>
      <c r="CA2486" s="2" t="s">
        <v>5899</v>
      </c>
      <c r="CB2486" s="2" t="s">
        <v>1187</v>
      </c>
      <c r="CC2486" s="2" t="s">
        <v>246</v>
      </c>
      <c r="CD2486" s="2" t="s">
        <v>233</v>
      </c>
      <c r="CE2486" s="4">
        <v>45</v>
      </c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/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/>
      <c r="GC2486" s="4"/>
      <c r="GD2486" s="4"/>
      <c r="GE2486" s="4"/>
      <c r="GF2486" s="4"/>
      <c r="GG2486" s="4"/>
      <c r="GH2486" s="4"/>
      <c r="GI2486" s="4"/>
      <c r="GJ2486" s="4"/>
      <c r="GK2486" s="4"/>
      <c r="GL2486" s="4"/>
      <c r="GM2486" s="4"/>
      <c r="GN2486" s="4"/>
      <c r="GO2486" s="4"/>
      <c r="GP2486" s="4"/>
      <c r="GQ2486" s="4"/>
      <c r="GR2486" s="4"/>
      <c r="GS2486" s="4"/>
      <c r="GT2486" s="4"/>
      <c r="GU2486" s="4"/>
      <c r="GV2486" s="4"/>
      <c r="GW2486" s="4"/>
      <c r="GX2486" s="4"/>
      <c r="GY2486" s="4"/>
      <c r="GZ2486" s="4"/>
      <c r="HA2486" s="4"/>
      <c r="HB2486" s="4"/>
      <c r="HC2486" s="4"/>
      <c r="HD2486" s="4"/>
      <c r="HE2486" s="4"/>
      <c r="HF2486" s="4"/>
      <c r="HG2486" s="4"/>
      <c r="HH2486" s="4"/>
      <c r="HI2486" s="4"/>
      <c r="HJ2486" s="4"/>
      <c r="HK2486" s="4"/>
      <c r="HL2486" s="4"/>
      <c r="HM2486" s="4"/>
      <c r="HN2486" s="4"/>
      <c r="HO2486" s="4"/>
      <c r="HP2486" s="4"/>
      <c r="HQ2486" s="4"/>
      <c r="HR2486" s="4"/>
    </row>
    <row r="2487">
      <c r="A2487" s="2" t="s">
        <v>11011</v>
      </c>
      <c r="B2487" s="2" t="s">
        <v>333</v>
      </c>
      <c r="C2487" s="2" t="s">
        <v>701</v>
      </c>
      <c r="D2487" s="2" t="s">
        <v>335</v>
      </c>
      <c r="E2487" s="2" t="s">
        <v>336</v>
      </c>
      <c r="F2487" s="2" t="s">
        <v>11007</v>
      </c>
      <c r="G2487" s="2" t="s">
        <v>11007</v>
      </c>
      <c r="H2487" s="2" t="s">
        <v>11007</v>
      </c>
      <c r="I2487" s="2" t="s">
        <v>338</v>
      </c>
      <c r="J2487" s="2" t="s">
        <v>328</v>
      </c>
      <c r="K2487" s="2" t="s">
        <v>271</v>
      </c>
      <c r="L2487" s="3">
        <v>33.22</v>
      </c>
      <c r="M2487" s="3">
        <v>34.88</v>
      </c>
      <c r="N2487" s="3">
        <v>74.99</v>
      </c>
      <c r="O2487" s="2" t="s">
        <v>245</v>
      </c>
      <c r="P2487" s="2" t="s">
        <v>311</v>
      </c>
      <c r="Q2487" s="2" t="s">
        <v>239</v>
      </c>
      <c r="R2487" s="2" t="s">
        <v>233</v>
      </c>
      <c r="S2487" s="2" t="s">
        <v>11008</v>
      </c>
      <c r="T2487" s="2" t="s">
        <v>11009</v>
      </c>
      <c r="U2487" s="2" t="s">
        <v>342</v>
      </c>
      <c r="V2487" s="2" t="s">
        <v>241</v>
      </c>
      <c r="W2487" s="2" t="s">
        <v>275</v>
      </c>
      <c r="X2487" s="2" t="s">
        <v>233</v>
      </c>
      <c r="Y2487" s="2" t="s">
        <v>6676</v>
      </c>
      <c r="Z2487" s="4">
        <v>70</v>
      </c>
      <c r="AA2487" s="4">
        <f>=ROUNDDOWN(23.3333333333333,0)</f>
      </c>
      <c r="AB2487" s="5">
        <v>3</v>
      </c>
      <c r="AC2487" s="2" t="s">
        <v>233</v>
      </c>
      <c r="AD2487" s="4"/>
      <c r="AE2487" s="4"/>
      <c r="AF2487" s="6">
        <v>67</v>
      </c>
      <c r="AG2487" s="6"/>
      <c r="AH2487" s="7">
        <v>1</v>
      </c>
      <c r="AI2487" s="4"/>
      <c r="AJ2487" s="4">
        <f>=ROUNDDOWN({0},0)</f>
      </c>
      <c r="AK2487" s="5"/>
      <c r="AL2487" s="2" t="s">
        <v>233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 t="s">
        <v>233</v>
      </c>
      <c r="AW2487" s="8" t="s">
        <v>233</v>
      </c>
      <c r="AX2487" s="4" t="s">
        <v>233</v>
      </c>
      <c r="AY2487" s="8" t="s">
        <v>233</v>
      </c>
      <c r="AZ2487" s="7" t="s">
        <v>233</v>
      </c>
      <c r="BA2487" s="7" t="s">
        <v>233</v>
      </c>
      <c r="BB2487" s="7"/>
      <c r="BC2487" s="4" t="s">
        <v>233</v>
      </c>
      <c r="BD2487" s="8" t="s">
        <v>233</v>
      </c>
      <c r="BE2487" s="4" t="s">
        <v>233</v>
      </c>
      <c r="BF2487" s="8" t="s">
        <v>233</v>
      </c>
      <c r="BG2487" s="7" t="s">
        <v>233</v>
      </c>
      <c r="BH2487" s="7" t="s">
        <v>233</v>
      </c>
      <c r="BI2487" s="7"/>
      <c r="BJ2487" s="4">
        <v>1</v>
      </c>
      <c r="BK2487" s="8">
        <v>36.63</v>
      </c>
      <c r="BL2487" s="2" t="s">
        <v>4744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11012</v>
      </c>
      <c r="BV2487" s="2" t="s">
        <v>233</v>
      </c>
      <c r="BW2487" s="2" t="s">
        <v>233</v>
      </c>
      <c r="BX2487" s="2" t="s">
        <v>233</v>
      </c>
      <c r="BY2487" s="2" t="s">
        <v>280</v>
      </c>
      <c r="BZ2487" s="2" t="s">
        <v>245</v>
      </c>
      <c r="CA2487" s="2" t="s">
        <v>5899</v>
      </c>
      <c r="CB2487" s="2" t="s">
        <v>7008</v>
      </c>
      <c r="CC2487" s="2" t="s">
        <v>246</v>
      </c>
      <c r="CD2487" s="2" t="s">
        <v>233</v>
      </c>
      <c r="CE2487" s="4">
        <v>70</v>
      </c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/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/>
      <c r="GC2487" s="4"/>
      <c r="GD2487" s="4"/>
      <c r="GE2487" s="4"/>
      <c r="GF2487" s="4"/>
      <c r="GG2487" s="4"/>
      <c r="GH2487" s="4"/>
      <c r="GI2487" s="4"/>
      <c r="GJ2487" s="4"/>
      <c r="GK2487" s="4"/>
      <c r="GL2487" s="4"/>
      <c r="GM2487" s="4"/>
      <c r="GN2487" s="4"/>
      <c r="GO2487" s="4"/>
      <c r="GP2487" s="4"/>
      <c r="GQ2487" s="4"/>
      <c r="GR2487" s="4"/>
      <c r="GS2487" s="4"/>
      <c r="GT2487" s="4"/>
      <c r="GU2487" s="4"/>
      <c r="GV2487" s="4"/>
      <c r="GW2487" s="4"/>
      <c r="GX2487" s="4"/>
      <c r="GY2487" s="4"/>
      <c r="GZ2487" s="4"/>
      <c r="HA2487" s="4"/>
      <c r="HB2487" s="4"/>
      <c r="HC2487" s="4"/>
      <c r="HD2487" s="4"/>
      <c r="HE2487" s="4"/>
      <c r="HF2487" s="4"/>
      <c r="HG2487" s="4"/>
      <c r="HH2487" s="4"/>
      <c r="HI2487" s="4"/>
      <c r="HJ2487" s="4"/>
      <c r="HK2487" s="4"/>
      <c r="HL2487" s="4"/>
      <c r="HM2487" s="4"/>
      <c r="HN2487" s="4"/>
      <c r="HO2487" s="4"/>
      <c r="HP2487" s="4"/>
      <c r="HQ2487" s="4"/>
      <c r="HR2487" s="4"/>
    </row>
    <row r="2488">
      <c r="A2488" s="2" t="s">
        <v>11013</v>
      </c>
      <c r="B2488" s="2" t="s">
        <v>333</v>
      </c>
      <c r="C2488" s="2" t="s">
        <v>701</v>
      </c>
      <c r="D2488" s="2" t="s">
        <v>335</v>
      </c>
      <c r="E2488" s="2" t="s">
        <v>336</v>
      </c>
      <c r="F2488" s="2" t="s">
        <v>11007</v>
      </c>
      <c r="G2488" s="2" t="s">
        <v>11007</v>
      </c>
      <c r="H2488" s="2" t="s">
        <v>11007</v>
      </c>
      <c r="I2488" s="2" t="s">
        <v>338</v>
      </c>
      <c r="J2488" s="2" t="s">
        <v>290</v>
      </c>
      <c r="K2488" s="2" t="s">
        <v>255</v>
      </c>
      <c r="L2488" s="3">
        <v>26.78</v>
      </c>
      <c r="M2488" s="3">
        <v>28.12</v>
      </c>
      <c r="N2488" s="3">
        <v>59.99</v>
      </c>
      <c r="O2488" s="2" t="s">
        <v>245</v>
      </c>
      <c r="P2488" s="2" t="s">
        <v>311</v>
      </c>
      <c r="Q2488" s="2" t="s">
        <v>239</v>
      </c>
      <c r="R2488" s="2" t="s">
        <v>233</v>
      </c>
      <c r="S2488" s="2" t="s">
        <v>11014</v>
      </c>
      <c r="T2488" s="2" t="s">
        <v>11009</v>
      </c>
      <c r="U2488" s="2" t="s">
        <v>342</v>
      </c>
      <c r="V2488" s="2" t="s">
        <v>241</v>
      </c>
      <c r="W2488" s="2" t="s">
        <v>275</v>
      </c>
      <c r="X2488" s="2" t="s">
        <v>233</v>
      </c>
      <c r="Y2488" s="2" t="s">
        <v>6676</v>
      </c>
      <c r="Z2488" s="4">
        <v>57</v>
      </c>
      <c r="AA2488" s="4">
        <f>=ROUNDDOWN(19,0)</f>
      </c>
      <c r="AB2488" s="5">
        <v>3</v>
      </c>
      <c r="AC2488" s="2" t="s">
        <v>233</v>
      </c>
      <c r="AD2488" s="4"/>
      <c r="AE2488" s="4"/>
      <c r="AF2488" s="6">
        <v>67</v>
      </c>
      <c r="AG2488" s="6"/>
      <c r="AH2488" s="7">
        <v>1</v>
      </c>
      <c r="AI2488" s="4"/>
      <c r="AJ2488" s="4">
        <f>=ROUNDDOWN({0},0)</f>
      </c>
      <c r="AK2488" s="5"/>
      <c r="AL2488" s="2" t="s">
        <v>233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 t="s">
        <v>233</v>
      </c>
      <c r="AW2488" s="8" t="s">
        <v>233</v>
      </c>
      <c r="AX2488" s="4" t="s">
        <v>233</v>
      </c>
      <c r="AY2488" s="8" t="s">
        <v>233</v>
      </c>
      <c r="AZ2488" s="7" t="s">
        <v>233</v>
      </c>
      <c r="BA2488" s="7" t="s">
        <v>233</v>
      </c>
      <c r="BB2488" s="7"/>
      <c r="BC2488" s="4" t="s">
        <v>233</v>
      </c>
      <c r="BD2488" s="8" t="s">
        <v>233</v>
      </c>
      <c r="BE2488" s="4" t="s">
        <v>233</v>
      </c>
      <c r="BF2488" s="8" t="s">
        <v>233</v>
      </c>
      <c r="BG2488" s="7" t="s">
        <v>233</v>
      </c>
      <c r="BH2488" s="7" t="s">
        <v>233</v>
      </c>
      <c r="BI2488" s="7"/>
      <c r="BJ2488" s="4">
        <v>2</v>
      </c>
      <c r="BK2488" s="8">
        <v>49.2</v>
      </c>
      <c r="BL2488" s="2" t="s">
        <v>11015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11016</v>
      </c>
      <c r="BV2488" s="2" t="s">
        <v>233</v>
      </c>
      <c r="BW2488" s="2" t="s">
        <v>233</v>
      </c>
      <c r="BX2488" s="2" t="s">
        <v>233</v>
      </c>
      <c r="BY2488" s="2" t="s">
        <v>280</v>
      </c>
      <c r="BZ2488" s="2" t="s">
        <v>245</v>
      </c>
      <c r="CA2488" s="2" t="s">
        <v>5899</v>
      </c>
      <c r="CB2488" s="2" t="s">
        <v>2799</v>
      </c>
      <c r="CC2488" s="2" t="s">
        <v>246</v>
      </c>
      <c r="CD2488" s="2" t="s">
        <v>233</v>
      </c>
      <c r="CE2488" s="4">
        <v>57</v>
      </c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/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/>
      <c r="GC2488" s="4"/>
      <c r="GD2488" s="4"/>
      <c r="GE2488" s="4"/>
      <c r="GF2488" s="4"/>
      <c r="GG2488" s="4"/>
      <c r="GH2488" s="4"/>
      <c r="GI2488" s="4"/>
      <c r="GJ2488" s="4"/>
      <c r="GK2488" s="4"/>
      <c r="GL2488" s="4"/>
      <c r="GM2488" s="4"/>
      <c r="GN2488" s="4"/>
      <c r="GO2488" s="4"/>
      <c r="GP2488" s="4"/>
      <c r="GQ2488" s="4"/>
      <c r="GR2488" s="4"/>
      <c r="GS2488" s="4"/>
      <c r="GT2488" s="4"/>
      <c r="GU2488" s="4"/>
      <c r="GV2488" s="4"/>
      <c r="GW2488" s="4"/>
      <c r="GX2488" s="4"/>
      <c r="GY2488" s="4"/>
      <c r="GZ2488" s="4"/>
      <c r="HA2488" s="4"/>
      <c r="HB2488" s="4"/>
      <c r="HC2488" s="4"/>
      <c r="HD2488" s="4"/>
      <c r="HE2488" s="4"/>
      <c r="HF2488" s="4"/>
      <c r="HG2488" s="4"/>
      <c r="HH2488" s="4"/>
      <c r="HI2488" s="4"/>
      <c r="HJ2488" s="4"/>
      <c r="HK2488" s="4"/>
      <c r="HL2488" s="4"/>
      <c r="HM2488" s="4"/>
      <c r="HN2488" s="4"/>
      <c r="HO2488" s="4"/>
      <c r="HP2488" s="4"/>
      <c r="HQ2488" s="4"/>
      <c r="HR2488" s="4"/>
    </row>
    <row r="2489">
      <c r="A2489" s="2" t="s">
        <v>11017</v>
      </c>
      <c r="B2489" s="2" t="s">
        <v>333</v>
      </c>
      <c r="C2489" s="2" t="s">
        <v>701</v>
      </c>
      <c r="D2489" s="2" t="s">
        <v>335</v>
      </c>
      <c r="E2489" s="2" t="s">
        <v>336</v>
      </c>
      <c r="F2489" s="2" t="s">
        <v>11007</v>
      </c>
      <c r="G2489" s="2" t="s">
        <v>11007</v>
      </c>
      <c r="H2489" s="2" t="s">
        <v>11007</v>
      </c>
      <c r="I2489" s="2" t="s">
        <v>338</v>
      </c>
      <c r="J2489" s="2" t="s">
        <v>348</v>
      </c>
      <c r="K2489" s="2" t="s">
        <v>255</v>
      </c>
      <c r="L2489" s="3">
        <v>28.84</v>
      </c>
      <c r="M2489" s="3">
        <v>30.28</v>
      </c>
      <c r="N2489" s="3">
        <v>69.99</v>
      </c>
      <c r="O2489" s="2" t="s">
        <v>245</v>
      </c>
      <c r="P2489" s="2" t="s">
        <v>311</v>
      </c>
      <c r="Q2489" s="2" t="s">
        <v>239</v>
      </c>
      <c r="R2489" s="2" t="s">
        <v>233</v>
      </c>
      <c r="S2489" s="2" t="s">
        <v>11014</v>
      </c>
      <c r="T2489" s="2" t="s">
        <v>11009</v>
      </c>
      <c r="U2489" s="2" t="s">
        <v>342</v>
      </c>
      <c r="V2489" s="2" t="s">
        <v>241</v>
      </c>
      <c r="W2489" s="2" t="s">
        <v>275</v>
      </c>
      <c r="X2489" s="2" t="s">
        <v>233</v>
      </c>
      <c r="Y2489" s="2" t="s">
        <v>6676</v>
      </c>
      <c r="Z2489" s="4">
        <v>74</v>
      </c>
      <c r="AA2489" s="4">
        <f>=ROUNDDOWN(18.5,0)</f>
      </c>
      <c r="AB2489" s="5">
        <v>4</v>
      </c>
      <c r="AC2489" s="2" t="s">
        <v>233</v>
      </c>
      <c r="AD2489" s="4"/>
      <c r="AE2489" s="4"/>
      <c r="AF2489" s="6">
        <v>67</v>
      </c>
      <c r="AG2489" s="6"/>
      <c r="AH2489" s="7">
        <v>1</v>
      </c>
      <c r="AI2489" s="4"/>
      <c r="AJ2489" s="4">
        <f>=ROUNDDOWN({0},0)</f>
      </c>
      <c r="AK2489" s="5"/>
      <c r="AL2489" s="2" t="s">
        <v>233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233</v>
      </c>
      <c r="AW2489" s="8" t="s">
        <v>233</v>
      </c>
      <c r="AX2489" s="4" t="s">
        <v>233</v>
      </c>
      <c r="AY2489" s="8" t="s">
        <v>233</v>
      </c>
      <c r="AZ2489" s="7" t="s">
        <v>233</v>
      </c>
      <c r="BA2489" s="7" t="s">
        <v>233</v>
      </c>
      <c r="BB2489" s="7"/>
      <c r="BC2489" s="4" t="s">
        <v>233</v>
      </c>
      <c r="BD2489" s="8" t="s">
        <v>233</v>
      </c>
      <c r="BE2489" s="4" t="s">
        <v>233</v>
      </c>
      <c r="BF2489" s="8" t="s">
        <v>233</v>
      </c>
      <c r="BG2489" s="7" t="s">
        <v>233</v>
      </c>
      <c r="BH2489" s="7" t="s">
        <v>233</v>
      </c>
      <c r="BI2489" s="7"/>
      <c r="BJ2489" s="4">
        <v>2</v>
      </c>
      <c r="BK2489" s="8">
        <v>53</v>
      </c>
      <c r="BL2489" s="2" t="s">
        <v>5176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11018</v>
      </c>
      <c r="BV2489" s="2" t="s">
        <v>233</v>
      </c>
      <c r="BW2489" s="2" t="s">
        <v>233</v>
      </c>
      <c r="BX2489" s="2" t="s">
        <v>233</v>
      </c>
      <c r="BY2489" s="2" t="s">
        <v>280</v>
      </c>
      <c r="BZ2489" s="2" t="s">
        <v>245</v>
      </c>
      <c r="CA2489" s="2" t="s">
        <v>5899</v>
      </c>
      <c r="CB2489" s="2" t="s">
        <v>5390</v>
      </c>
      <c r="CC2489" s="2" t="s">
        <v>246</v>
      </c>
      <c r="CD2489" s="2" t="s">
        <v>233</v>
      </c>
      <c r="CE2489" s="4">
        <v>74</v>
      </c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/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/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/>
      <c r="GT2489" s="4"/>
      <c r="GU2489" s="4"/>
      <c r="GV2489" s="4"/>
      <c r="GW2489" s="4"/>
      <c r="GX2489" s="4"/>
      <c r="GY2489" s="4"/>
      <c r="GZ2489" s="4"/>
      <c r="HA2489" s="4"/>
      <c r="HB2489" s="4"/>
      <c r="HC2489" s="4"/>
      <c r="HD2489" s="4"/>
      <c r="HE2489" s="4"/>
      <c r="HF2489" s="4"/>
      <c r="HG2489" s="4"/>
      <c r="HH2489" s="4"/>
      <c r="HI2489" s="4"/>
      <c r="HJ2489" s="4"/>
      <c r="HK2489" s="4"/>
      <c r="HL2489" s="4"/>
      <c r="HM2489" s="4"/>
      <c r="HN2489" s="4"/>
      <c r="HO2489" s="4"/>
      <c r="HP2489" s="4"/>
      <c r="HQ2489" s="4"/>
      <c r="HR2489" s="4"/>
    </row>
    <row r="2490">
      <c r="A2490" s="2" t="s">
        <v>11019</v>
      </c>
      <c r="B2490" s="2" t="s">
        <v>333</v>
      </c>
      <c r="C2490" s="2" t="s">
        <v>701</v>
      </c>
      <c r="D2490" s="2" t="s">
        <v>335</v>
      </c>
      <c r="E2490" s="2" t="s">
        <v>336</v>
      </c>
      <c r="F2490" s="2" t="s">
        <v>11007</v>
      </c>
      <c r="G2490" s="2" t="s">
        <v>11007</v>
      </c>
      <c r="H2490" s="2" t="s">
        <v>11007</v>
      </c>
      <c r="I2490" s="2" t="s">
        <v>338</v>
      </c>
      <c r="J2490" s="2" t="s">
        <v>290</v>
      </c>
      <c r="K2490" s="2" t="s">
        <v>2158</v>
      </c>
      <c r="L2490" s="3">
        <v>26.78</v>
      </c>
      <c r="M2490" s="3">
        <v>28.12</v>
      </c>
      <c r="N2490" s="3">
        <v>59.99</v>
      </c>
      <c r="O2490" s="2" t="s">
        <v>245</v>
      </c>
      <c r="P2490" s="2" t="s">
        <v>311</v>
      </c>
      <c r="Q2490" s="2" t="s">
        <v>239</v>
      </c>
      <c r="R2490" s="2" t="s">
        <v>233</v>
      </c>
      <c r="S2490" s="2" t="s">
        <v>11020</v>
      </c>
      <c r="T2490" s="2" t="s">
        <v>11009</v>
      </c>
      <c r="U2490" s="2" t="s">
        <v>342</v>
      </c>
      <c r="V2490" s="2" t="s">
        <v>241</v>
      </c>
      <c r="W2490" s="2" t="s">
        <v>275</v>
      </c>
      <c r="X2490" s="2" t="s">
        <v>233</v>
      </c>
      <c r="Y2490" s="2" t="s">
        <v>6676</v>
      </c>
      <c r="Z2490" s="4">
        <v>49</v>
      </c>
      <c r="AA2490" s="4">
        <f>=ROUNDDOWN(49,0)</f>
      </c>
      <c r="AB2490" s="5">
        <v>1</v>
      </c>
      <c r="AC2490" s="2" t="s">
        <v>233</v>
      </c>
      <c r="AD2490" s="4"/>
      <c r="AE2490" s="4"/>
      <c r="AF2490" s="6">
        <v>67</v>
      </c>
      <c r="AG2490" s="6"/>
      <c r="AH2490" s="7">
        <v>1</v>
      </c>
      <c r="AI2490" s="4"/>
      <c r="AJ2490" s="4">
        <f>=ROUNDDOWN({0},0)</f>
      </c>
      <c r="AK2490" s="5"/>
      <c r="AL2490" s="2" t="s">
        <v>233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 t="s">
        <v>233</v>
      </c>
      <c r="BD2490" s="8" t="s">
        <v>233</v>
      </c>
      <c r="BE2490" s="4" t="s">
        <v>233</v>
      </c>
      <c r="BF2490" s="8" t="s">
        <v>233</v>
      </c>
      <c r="BG2490" s="7" t="s">
        <v>233</v>
      </c>
      <c r="BH2490" s="7" t="s">
        <v>233</v>
      </c>
      <c r="BI2490" s="7"/>
      <c r="BJ2490" s="4"/>
      <c r="BK2490" s="8"/>
      <c r="BL2490" s="2" t="s">
        <v>2404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11021</v>
      </c>
      <c r="BV2490" s="2" t="s">
        <v>233</v>
      </c>
      <c r="BW2490" s="2" t="s">
        <v>233</v>
      </c>
      <c r="BX2490" s="2" t="s">
        <v>233</v>
      </c>
      <c r="BY2490" s="2" t="s">
        <v>280</v>
      </c>
      <c r="BZ2490" s="2" t="s">
        <v>245</v>
      </c>
      <c r="CA2490" s="2" t="s">
        <v>5899</v>
      </c>
      <c r="CB2490" s="2" t="s">
        <v>5570</v>
      </c>
      <c r="CC2490" s="2" t="s">
        <v>246</v>
      </c>
      <c r="CD2490" s="2" t="s">
        <v>233</v>
      </c>
      <c r="CE2490" s="4">
        <v>49</v>
      </c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/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/>
      <c r="FI2490" s="4"/>
      <c r="FJ2490" s="4"/>
      <c r="FK2490" s="4"/>
      <c r="FL2490" s="4"/>
      <c r="FM2490" s="4"/>
      <c r="FN2490" s="4"/>
      <c r="FO2490" s="4"/>
      <c r="FP2490" s="4"/>
      <c r="FQ2490" s="4"/>
      <c r="FR2490" s="4"/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/>
      <c r="GT2490" s="4"/>
      <c r="GU2490" s="4"/>
      <c r="GV2490" s="4"/>
      <c r="GW2490" s="4"/>
      <c r="GX2490" s="4"/>
      <c r="GY2490" s="4"/>
      <c r="GZ2490" s="4"/>
      <c r="HA2490" s="4"/>
      <c r="HB2490" s="4"/>
      <c r="HC2490" s="4"/>
      <c r="HD2490" s="4"/>
      <c r="HE2490" s="4"/>
      <c r="HF2490" s="4"/>
      <c r="HG2490" s="4"/>
      <c r="HH2490" s="4"/>
      <c r="HI2490" s="4"/>
      <c r="HJ2490" s="4"/>
      <c r="HK2490" s="4"/>
      <c r="HL2490" s="4"/>
      <c r="HM2490" s="4"/>
      <c r="HN2490" s="4"/>
      <c r="HO2490" s="4"/>
      <c r="HP2490" s="4"/>
      <c r="HQ2490" s="4"/>
      <c r="HR2490" s="4"/>
    </row>
    <row r="2491">
      <c r="A2491" s="2" t="s">
        <v>11022</v>
      </c>
      <c r="B2491" s="2" t="s">
        <v>910</v>
      </c>
      <c r="C2491" s="2" t="s">
        <v>911</v>
      </c>
      <c r="D2491" s="2" t="s">
        <v>969</v>
      </c>
      <c r="E2491" s="2" t="s">
        <v>970</v>
      </c>
      <c r="F2491" s="2" t="s">
        <v>11023</v>
      </c>
      <c r="G2491" s="2" t="s">
        <v>11024</v>
      </c>
      <c r="H2491" s="2" t="s">
        <v>5952</v>
      </c>
      <c r="I2491" s="2" t="s">
        <v>11025</v>
      </c>
      <c r="J2491" s="2" t="s">
        <v>918</v>
      </c>
      <c r="K2491" s="2" t="s">
        <v>3743</v>
      </c>
      <c r="L2491" s="3">
        <v>23.8</v>
      </c>
      <c r="M2491" s="3">
        <v>24.99</v>
      </c>
      <c r="N2491" s="3">
        <v>49.99</v>
      </c>
      <c r="O2491" s="2" t="s">
        <v>245</v>
      </c>
      <c r="P2491" s="2" t="s">
        <v>311</v>
      </c>
      <c r="Q2491" s="2" t="s">
        <v>239</v>
      </c>
      <c r="R2491" s="2" t="s">
        <v>233</v>
      </c>
      <c r="S2491" s="2" t="s">
        <v>11026</v>
      </c>
      <c r="T2491" s="2" t="s">
        <v>395</v>
      </c>
      <c r="U2491" s="2" t="s">
        <v>491</v>
      </c>
      <c r="V2491" s="2" t="s">
        <v>921</v>
      </c>
      <c r="W2491" s="2" t="s">
        <v>397</v>
      </c>
      <c r="X2491" s="2" t="s">
        <v>233</v>
      </c>
      <c r="Y2491" s="2" t="s">
        <v>11027</v>
      </c>
      <c r="Z2491" s="4">
        <v>184</v>
      </c>
      <c r="AA2491" s="4">
        <f>=ROUNDDOWN(38.3333333333333,0)</f>
      </c>
      <c r="AB2491" s="5">
        <v>4.8</v>
      </c>
      <c r="AC2491" s="2" t="s">
        <v>233</v>
      </c>
      <c r="AD2491" s="4"/>
      <c r="AE2491" s="4"/>
      <c r="AF2491" s="6">
        <v>64</v>
      </c>
      <c r="AG2491" s="6"/>
      <c r="AH2491" s="7">
        <v>1</v>
      </c>
      <c r="AI2491" s="4"/>
      <c r="AJ2491" s="4">
        <f>=ROUNDDOWN({0},0)</f>
      </c>
      <c r="AK2491" s="5"/>
      <c r="AL2491" s="2" t="s">
        <v>233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/>
      <c r="BD2491" s="8"/>
      <c r="BE2491" s="4"/>
      <c r="BF2491" s="8"/>
      <c r="BG2491" s="7"/>
      <c r="BH2491" s="7"/>
      <c r="BI2491" s="7"/>
      <c r="BJ2491" s="4">
        <v>13</v>
      </c>
      <c r="BK2491" s="8">
        <v>341.85</v>
      </c>
      <c r="BL2491" s="2" t="s">
        <v>11028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11029</v>
      </c>
      <c r="BV2491" s="2" t="s">
        <v>233</v>
      </c>
      <c r="BW2491" s="2" t="s">
        <v>233</v>
      </c>
      <c r="BX2491" s="2" t="s">
        <v>233</v>
      </c>
      <c r="BY2491" s="2" t="s">
        <v>280</v>
      </c>
      <c r="BZ2491" s="2" t="s">
        <v>245</v>
      </c>
      <c r="CA2491" s="2" t="s">
        <v>11030</v>
      </c>
      <c r="CB2491" s="2" t="s">
        <v>8929</v>
      </c>
      <c r="CC2491" s="2" t="s">
        <v>246</v>
      </c>
      <c r="CD2491" s="2" t="s">
        <v>233</v>
      </c>
      <c r="CE2491" s="4">
        <v>184</v>
      </c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  <c r="EM2491" s="4"/>
      <c r="EN2491" s="4"/>
      <c r="EO2491" s="4"/>
      <c r="EP2491" s="4"/>
      <c r="EQ2491" s="4"/>
      <c r="ER2491" s="4"/>
      <c r="ES2491" s="4"/>
      <c r="ET2491" s="4"/>
      <c r="EU2491" s="4"/>
      <c r="EV2491" s="4"/>
      <c r="EW2491" s="4"/>
      <c r="EX2491" s="4"/>
      <c r="EY2491" s="4"/>
      <c r="EZ2491" s="4"/>
      <c r="FA2491" s="4"/>
      <c r="FB2491" s="4"/>
      <c r="FC2491" s="4"/>
      <c r="FD2491" s="4"/>
      <c r="FE2491" s="4"/>
      <c r="FF2491" s="4"/>
      <c r="FG2491" s="4"/>
      <c r="FH2491" s="4"/>
      <c r="FI2491" s="4"/>
      <c r="FJ2491" s="4"/>
      <c r="FK2491" s="4"/>
      <c r="FL2491" s="4"/>
      <c r="FM2491" s="4"/>
      <c r="FN2491" s="4"/>
      <c r="FO2491" s="4"/>
      <c r="FP2491" s="4"/>
      <c r="FQ2491" s="4"/>
      <c r="FR2491" s="4"/>
      <c r="FS2491" s="4"/>
      <c r="FT2491" s="4"/>
      <c r="FU2491" s="4"/>
      <c r="FV2491" s="4"/>
      <c r="FW2491" s="4"/>
      <c r="FX2491" s="4"/>
      <c r="FY2491" s="4"/>
      <c r="FZ2491" s="4"/>
      <c r="GA2491" s="4"/>
      <c r="GB2491" s="4"/>
      <c r="GC2491" s="4"/>
      <c r="GD2491" s="4"/>
      <c r="GE2491" s="4"/>
      <c r="GF2491" s="4"/>
      <c r="GG2491" s="4"/>
      <c r="GH2491" s="4"/>
      <c r="GI2491" s="4"/>
      <c r="GJ2491" s="4"/>
      <c r="GK2491" s="4"/>
      <c r="GL2491" s="4"/>
      <c r="GM2491" s="4"/>
      <c r="GN2491" s="4"/>
      <c r="GO2491" s="4"/>
      <c r="GP2491" s="4"/>
      <c r="GQ2491" s="4"/>
      <c r="GR2491" s="4"/>
      <c r="GS2491" s="4"/>
      <c r="GT2491" s="4"/>
      <c r="GU2491" s="4"/>
      <c r="GV2491" s="4"/>
      <c r="GW2491" s="4"/>
      <c r="GX2491" s="4"/>
      <c r="GY2491" s="4"/>
      <c r="GZ2491" s="4"/>
      <c r="HA2491" s="4"/>
      <c r="HB2491" s="4"/>
      <c r="HC2491" s="4"/>
      <c r="HD2491" s="4"/>
      <c r="HE2491" s="4"/>
      <c r="HF2491" s="4"/>
      <c r="HG2491" s="4"/>
      <c r="HH2491" s="4"/>
      <c r="HI2491" s="4"/>
      <c r="HJ2491" s="4"/>
      <c r="HK2491" s="4"/>
      <c r="HL2491" s="4"/>
      <c r="HM2491" s="4"/>
      <c r="HN2491" s="4"/>
      <c r="HO2491" s="4"/>
      <c r="HP2491" s="4"/>
      <c r="HQ2491" s="4"/>
      <c r="HR2491" s="4"/>
    </row>
    <row r="2492">
      <c r="A2492" s="2" t="s">
        <v>11031</v>
      </c>
      <c r="B2492" s="2" t="s">
        <v>910</v>
      </c>
      <c r="C2492" s="2" t="s">
        <v>3320</v>
      </c>
      <c r="D2492" s="2" t="s">
        <v>969</v>
      </c>
      <c r="E2492" s="2" t="s">
        <v>1078</v>
      </c>
      <c r="F2492" s="2" t="s">
        <v>10361</v>
      </c>
      <c r="G2492" s="2" t="s">
        <v>11032</v>
      </c>
      <c r="H2492" s="2" t="s">
        <v>11033</v>
      </c>
      <c r="I2492" s="2" t="s">
        <v>11034</v>
      </c>
      <c r="J2492" s="2" t="s">
        <v>270</v>
      </c>
      <c r="K2492" s="2" t="s">
        <v>3284</v>
      </c>
      <c r="L2492" s="3">
        <v>30.95</v>
      </c>
      <c r="M2492" s="3">
        <v>32.5</v>
      </c>
      <c r="N2492" s="3">
        <v>64.99</v>
      </c>
      <c r="O2492" s="2" t="s">
        <v>245</v>
      </c>
      <c r="P2492" s="2" t="s">
        <v>272</v>
      </c>
      <c r="Q2492" s="2" t="s">
        <v>239</v>
      </c>
      <c r="R2492" s="2" t="s">
        <v>233</v>
      </c>
      <c r="S2492" s="2" t="s">
        <v>11035</v>
      </c>
      <c r="T2492" s="2" t="s">
        <v>395</v>
      </c>
      <c r="U2492" s="2" t="s">
        <v>475</v>
      </c>
      <c r="V2492" s="2" t="s">
        <v>241</v>
      </c>
      <c r="W2492" s="2" t="s">
        <v>275</v>
      </c>
      <c r="X2492" s="2" t="s">
        <v>233</v>
      </c>
      <c r="Y2492" s="2" t="s">
        <v>233</v>
      </c>
      <c r="Z2492" s="4"/>
      <c r="AA2492" s="4">
        <f>=ROUNDDOWN({0},0)</f>
      </c>
      <c r="AB2492" s="5">
        <v>11</v>
      </c>
      <c r="AC2492" s="2" t="s">
        <v>825</v>
      </c>
      <c r="AD2492" s="4">
        <v>180</v>
      </c>
      <c r="AE2492" s="4">
        <v>180</v>
      </c>
      <c r="AF2492" s="6">
        <v>65</v>
      </c>
      <c r="AG2492" s="6"/>
      <c r="AH2492" s="7">
        <v>0</v>
      </c>
      <c r="AI2492" s="4"/>
      <c r="AJ2492" s="4">
        <f>=ROUNDDOWN({0},0)</f>
      </c>
      <c r="AK2492" s="5"/>
      <c r="AL2492" s="2" t="s">
        <v>233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 t="s">
        <v>233</v>
      </c>
      <c r="AW2492" s="8" t="s">
        <v>233</v>
      </c>
      <c r="AX2492" s="4" t="s">
        <v>233</v>
      </c>
      <c r="AY2492" s="8" t="s">
        <v>233</v>
      </c>
      <c r="AZ2492" s="7" t="s">
        <v>233</v>
      </c>
      <c r="BA2492" s="7" t="s">
        <v>233</v>
      </c>
      <c r="BB2492" s="7"/>
      <c r="BC2492" s="4" t="s">
        <v>233</v>
      </c>
      <c r="BD2492" s="8" t="s">
        <v>233</v>
      </c>
      <c r="BE2492" s="4" t="s">
        <v>233</v>
      </c>
      <c r="BF2492" s="8" t="s">
        <v>233</v>
      </c>
      <c r="BG2492" s="7" t="s">
        <v>233</v>
      </c>
      <c r="BH2492" s="7" t="s">
        <v>233</v>
      </c>
      <c r="BI2492" s="7"/>
      <c r="BJ2492" s="4"/>
      <c r="BK2492" s="8"/>
      <c r="BL2492" s="2" t="s">
        <v>233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243</v>
      </c>
      <c r="BV2492" s="2" t="s">
        <v>233</v>
      </c>
      <c r="BW2492" s="2" t="s">
        <v>233</v>
      </c>
      <c r="BX2492" s="2" t="s">
        <v>798</v>
      </c>
      <c r="BY2492" s="2" t="s">
        <v>244</v>
      </c>
      <c r="BZ2492" s="2" t="s">
        <v>245</v>
      </c>
      <c r="CA2492" s="2" t="s">
        <v>233</v>
      </c>
      <c r="CB2492" s="2" t="s">
        <v>233</v>
      </c>
      <c r="CC2492" s="2" t="s">
        <v>246</v>
      </c>
      <c r="CD2492" s="2" t="s">
        <v>233</v>
      </c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  <c r="EM2492" s="4"/>
      <c r="EN2492" s="4"/>
      <c r="EO2492" s="4"/>
      <c r="EP2492" s="4"/>
      <c r="EQ2492" s="4"/>
      <c r="ER2492" s="4"/>
      <c r="ES2492" s="4"/>
      <c r="ET2492" s="4"/>
      <c r="EU2492" s="4"/>
      <c r="EV2492" s="4"/>
      <c r="EW2492" s="4"/>
      <c r="EX2492" s="4"/>
      <c r="EY2492" s="4"/>
      <c r="EZ2492" s="4"/>
      <c r="FA2492" s="4"/>
      <c r="FB2492" s="4"/>
      <c r="FC2492" s="4"/>
      <c r="FD2492" s="4"/>
      <c r="FE2492" s="4"/>
      <c r="FF2492" s="4"/>
      <c r="FG2492" s="4"/>
      <c r="FH2492" s="4"/>
      <c r="FI2492" s="4"/>
      <c r="FJ2492" s="4"/>
      <c r="FK2492" s="4"/>
      <c r="FL2492" s="4"/>
      <c r="FM2492" s="4"/>
      <c r="FN2492" s="4"/>
      <c r="FO2492" s="4"/>
      <c r="FP2492" s="4"/>
      <c r="FQ2492" s="4"/>
      <c r="FR2492" s="4"/>
      <c r="FS2492" s="4"/>
      <c r="FT2492" s="4"/>
      <c r="FU2492" s="4"/>
      <c r="FV2492" s="4"/>
      <c r="FW2492" s="4"/>
      <c r="FX2492" s="4"/>
      <c r="FY2492" s="4"/>
      <c r="FZ2492" s="4"/>
      <c r="GA2492" s="4"/>
      <c r="GB2492" s="4"/>
      <c r="GC2492" s="4"/>
      <c r="GD2492" s="4"/>
      <c r="GE2492" s="4">
        <v>180</v>
      </c>
      <c r="GF2492" s="4"/>
      <c r="GG2492" s="4"/>
      <c r="GH2492" s="4"/>
      <c r="GI2492" s="4"/>
      <c r="GJ2492" s="4"/>
      <c r="GK2492" s="4"/>
      <c r="GL2492" s="4"/>
      <c r="GM2492" s="4"/>
      <c r="GN2492" s="4"/>
      <c r="GO2492" s="4"/>
      <c r="GP2492" s="4"/>
      <c r="GQ2492" s="4"/>
      <c r="GR2492" s="4"/>
      <c r="GS2492" s="4"/>
      <c r="GT2492" s="4"/>
      <c r="GU2492" s="4"/>
      <c r="GV2492" s="4"/>
      <c r="GW2492" s="4"/>
      <c r="GX2492" s="4"/>
      <c r="GY2492" s="4"/>
      <c r="GZ2492" s="4"/>
      <c r="HA2492" s="4"/>
      <c r="HB2492" s="4"/>
      <c r="HC2492" s="4"/>
      <c r="HD2492" s="4"/>
      <c r="HE2492" s="4"/>
      <c r="HF2492" s="4"/>
      <c r="HG2492" s="4"/>
      <c r="HH2492" s="4"/>
      <c r="HI2492" s="4"/>
      <c r="HJ2492" s="4"/>
      <c r="HK2492" s="4"/>
      <c r="HL2492" s="4"/>
      <c r="HM2492" s="4"/>
      <c r="HN2492" s="4"/>
      <c r="HO2492" s="4"/>
      <c r="HP2492" s="4"/>
      <c r="HQ2492" s="4"/>
      <c r="HR2492" s="4"/>
    </row>
    <row r="2493">
      <c r="A2493" s="2" t="s">
        <v>11036</v>
      </c>
      <c r="B2493" s="2" t="s">
        <v>910</v>
      </c>
      <c r="C2493" s="2" t="s">
        <v>3320</v>
      </c>
      <c r="D2493" s="2" t="s">
        <v>969</v>
      </c>
      <c r="E2493" s="2" t="s">
        <v>1078</v>
      </c>
      <c r="F2493" s="2" t="s">
        <v>10361</v>
      </c>
      <c r="G2493" s="2" t="s">
        <v>11032</v>
      </c>
      <c r="H2493" s="2" t="s">
        <v>11033</v>
      </c>
      <c r="I2493" s="2" t="s">
        <v>11034</v>
      </c>
      <c r="J2493" s="2" t="s">
        <v>981</v>
      </c>
      <c r="K2493" s="2" t="s">
        <v>3284</v>
      </c>
      <c r="L2493" s="3">
        <v>38.09</v>
      </c>
      <c r="M2493" s="3">
        <v>39.99</v>
      </c>
      <c r="N2493" s="3">
        <v>79.99</v>
      </c>
      <c r="O2493" s="2" t="s">
        <v>245</v>
      </c>
      <c r="P2493" s="2" t="s">
        <v>272</v>
      </c>
      <c r="Q2493" s="2" t="s">
        <v>239</v>
      </c>
      <c r="R2493" s="2" t="s">
        <v>233</v>
      </c>
      <c r="S2493" s="2" t="s">
        <v>11035</v>
      </c>
      <c r="T2493" s="2" t="s">
        <v>395</v>
      </c>
      <c r="U2493" s="2" t="s">
        <v>342</v>
      </c>
      <c r="V2493" s="2" t="s">
        <v>241</v>
      </c>
      <c r="W2493" s="2" t="s">
        <v>275</v>
      </c>
      <c r="X2493" s="2" t="s">
        <v>233</v>
      </c>
      <c r="Y2493" s="2" t="s">
        <v>233</v>
      </c>
      <c r="Z2493" s="4"/>
      <c r="AA2493" s="4">
        <f>=ROUNDDOWN({0},0)</f>
      </c>
      <c r="AB2493" s="5">
        <v>9</v>
      </c>
      <c r="AC2493" s="2" t="s">
        <v>825</v>
      </c>
      <c r="AD2493" s="4">
        <v>140</v>
      </c>
      <c r="AE2493" s="4">
        <v>140</v>
      </c>
      <c r="AF2493" s="6">
        <v>65</v>
      </c>
      <c r="AG2493" s="6"/>
      <c r="AH2493" s="7">
        <v>0</v>
      </c>
      <c r="AI2493" s="4"/>
      <c r="AJ2493" s="4">
        <f>=ROUNDDOWN({0},0)</f>
      </c>
      <c r="AK2493" s="5"/>
      <c r="AL2493" s="2" t="s">
        <v>233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 t="s">
        <v>233</v>
      </c>
      <c r="AW2493" s="8" t="s">
        <v>233</v>
      </c>
      <c r="AX2493" s="4" t="s">
        <v>233</v>
      </c>
      <c r="AY2493" s="8" t="s">
        <v>233</v>
      </c>
      <c r="AZ2493" s="7" t="s">
        <v>233</v>
      </c>
      <c r="BA2493" s="7" t="s">
        <v>233</v>
      </c>
      <c r="BB2493" s="7"/>
      <c r="BC2493" s="4" t="s">
        <v>233</v>
      </c>
      <c r="BD2493" s="8" t="s">
        <v>233</v>
      </c>
      <c r="BE2493" s="4" t="s">
        <v>233</v>
      </c>
      <c r="BF2493" s="8" t="s">
        <v>233</v>
      </c>
      <c r="BG2493" s="7" t="s">
        <v>233</v>
      </c>
      <c r="BH2493" s="7" t="s">
        <v>233</v>
      </c>
      <c r="BI2493" s="7"/>
      <c r="BJ2493" s="4"/>
      <c r="BK2493" s="8"/>
      <c r="BL2493" s="2" t="s">
        <v>233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243</v>
      </c>
      <c r="BV2493" s="2" t="s">
        <v>233</v>
      </c>
      <c r="BW2493" s="2" t="s">
        <v>233</v>
      </c>
      <c r="BX2493" s="2" t="s">
        <v>798</v>
      </c>
      <c r="BY2493" s="2" t="s">
        <v>244</v>
      </c>
      <c r="BZ2493" s="2" t="s">
        <v>245</v>
      </c>
      <c r="CA2493" s="2" t="s">
        <v>233</v>
      </c>
      <c r="CB2493" s="2" t="s">
        <v>233</v>
      </c>
      <c r="CC2493" s="2" t="s">
        <v>246</v>
      </c>
      <c r="CD2493" s="2" t="s">
        <v>233</v>
      </c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/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  <c r="EM2493" s="4"/>
      <c r="EN2493" s="4"/>
      <c r="EO2493" s="4"/>
      <c r="EP2493" s="4"/>
      <c r="EQ2493" s="4"/>
      <c r="ER2493" s="4"/>
      <c r="ES2493" s="4"/>
      <c r="ET2493" s="4"/>
      <c r="EU2493" s="4"/>
      <c r="EV2493" s="4"/>
      <c r="EW2493" s="4"/>
      <c r="EX2493" s="4"/>
      <c r="EY2493" s="4"/>
      <c r="EZ2493" s="4"/>
      <c r="FA2493" s="4"/>
      <c r="FB2493" s="4"/>
      <c r="FC2493" s="4"/>
      <c r="FD2493" s="4"/>
      <c r="FE2493" s="4"/>
      <c r="FF2493" s="4"/>
      <c r="FG2493" s="4"/>
      <c r="FH2493" s="4"/>
      <c r="FI2493" s="4"/>
      <c r="FJ2493" s="4"/>
      <c r="FK2493" s="4"/>
      <c r="FL2493" s="4"/>
      <c r="FM2493" s="4"/>
      <c r="FN2493" s="4"/>
      <c r="FO2493" s="4"/>
      <c r="FP2493" s="4"/>
      <c r="FQ2493" s="4"/>
      <c r="FR2493" s="4"/>
      <c r="FS2493" s="4"/>
      <c r="FT2493" s="4"/>
      <c r="FU2493" s="4"/>
      <c r="FV2493" s="4"/>
      <c r="FW2493" s="4"/>
      <c r="FX2493" s="4"/>
      <c r="FY2493" s="4"/>
      <c r="FZ2493" s="4"/>
      <c r="GA2493" s="4"/>
      <c r="GB2493" s="4"/>
      <c r="GC2493" s="4"/>
      <c r="GD2493" s="4"/>
      <c r="GE2493" s="4">
        <v>140</v>
      </c>
      <c r="GF2493" s="4"/>
      <c r="GG2493" s="4"/>
      <c r="GH2493" s="4"/>
      <c r="GI2493" s="4"/>
      <c r="GJ2493" s="4"/>
      <c r="GK2493" s="4"/>
      <c r="GL2493" s="4"/>
      <c r="GM2493" s="4"/>
      <c r="GN2493" s="4"/>
      <c r="GO2493" s="4"/>
      <c r="GP2493" s="4"/>
      <c r="GQ2493" s="4"/>
      <c r="GR2493" s="4"/>
      <c r="GS2493" s="4"/>
      <c r="GT2493" s="4"/>
      <c r="GU2493" s="4"/>
      <c r="GV2493" s="4"/>
      <c r="GW2493" s="4"/>
      <c r="GX2493" s="4"/>
      <c r="GY2493" s="4"/>
      <c r="GZ2493" s="4"/>
      <c r="HA2493" s="4"/>
      <c r="HB2493" s="4"/>
      <c r="HC2493" s="4"/>
      <c r="HD2493" s="4"/>
      <c r="HE2493" s="4"/>
      <c r="HF2493" s="4"/>
      <c r="HG2493" s="4"/>
      <c r="HH2493" s="4"/>
      <c r="HI2493" s="4"/>
      <c r="HJ2493" s="4"/>
      <c r="HK2493" s="4"/>
      <c r="HL2493" s="4"/>
      <c r="HM2493" s="4"/>
      <c r="HN2493" s="4"/>
      <c r="HO2493" s="4"/>
      <c r="HP2493" s="4"/>
      <c r="HQ2493" s="4"/>
      <c r="HR2493" s="4"/>
    </row>
    <row r="2494">
      <c r="A2494" s="2" t="s">
        <v>11037</v>
      </c>
      <c r="B2494" s="2" t="s">
        <v>928</v>
      </c>
      <c r="C2494" s="2" t="s">
        <v>947</v>
      </c>
      <c r="D2494" s="2" t="s">
        <v>929</v>
      </c>
      <c r="E2494" s="2" t="s">
        <v>930</v>
      </c>
      <c r="F2494" s="2" t="s">
        <v>11038</v>
      </c>
      <c r="G2494" s="2" t="s">
        <v>11038</v>
      </c>
      <c r="H2494" s="2" t="s">
        <v>11038</v>
      </c>
      <c r="I2494" s="2" t="s">
        <v>11039</v>
      </c>
      <c r="J2494" s="2" t="s">
        <v>892</v>
      </c>
      <c r="K2494" s="2" t="s">
        <v>950</v>
      </c>
      <c r="L2494" s="3">
        <v>38.09</v>
      </c>
      <c r="M2494" s="3">
        <v>39.99</v>
      </c>
      <c r="N2494" s="3">
        <v>79.99</v>
      </c>
      <c r="O2494" s="2" t="s">
        <v>245</v>
      </c>
      <c r="P2494" s="2" t="s">
        <v>238</v>
      </c>
      <c r="Q2494" s="2" t="s">
        <v>239</v>
      </c>
      <c r="R2494" s="2" t="s">
        <v>233</v>
      </c>
      <c r="S2494" s="2" t="s">
        <v>233</v>
      </c>
      <c r="T2494" s="2" t="s">
        <v>233</v>
      </c>
      <c r="U2494" s="2" t="s">
        <v>491</v>
      </c>
      <c r="V2494" s="2" t="s">
        <v>2225</v>
      </c>
      <c r="W2494" s="2" t="s">
        <v>343</v>
      </c>
      <c r="X2494" s="2" t="s">
        <v>5825</v>
      </c>
      <c r="Y2494" s="2" t="s">
        <v>5826</v>
      </c>
      <c r="Z2494" s="4">
        <v>94</v>
      </c>
      <c r="AA2494" s="4">
        <f>=ROUNDDOWN(47,0)</f>
      </c>
      <c r="AB2494" s="5">
        <v>2</v>
      </c>
      <c r="AC2494" s="2" t="s">
        <v>233</v>
      </c>
      <c r="AD2494" s="4"/>
      <c r="AE2494" s="4"/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233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/>
      <c r="BD2494" s="8"/>
      <c r="BE2494" s="4"/>
      <c r="BF2494" s="8"/>
      <c r="BG2494" s="7"/>
      <c r="BH2494" s="7"/>
      <c r="BI2494" s="7"/>
      <c r="BJ2494" s="4">
        <v>3</v>
      </c>
      <c r="BK2494" s="8">
        <v>123.97</v>
      </c>
      <c r="BL2494" s="2" t="s">
        <v>1809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11040</v>
      </c>
      <c r="BV2494" s="2" t="s">
        <v>233</v>
      </c>
      <c r="BW2494" s="2" t="s">
        <v>233</v>
      </c>
      <c r="BX2494" s="2" t="s">
        <v>243</v>
      </c>
      <c r="BY2494" s="2" t="s">
        <v>280</v>
      </c>
      <c r="BZ2494" s="2" t="s">
        <v>245</v>
      </c>
      <c r="CA2494" s="2" t="s">
        <v>2845</v>
      </c>
      <c r="CB2494" s="2" t="s">
        <v>233</v>
      </c>
      <c r="CC2494" s="2" t="s">
        <v>246</v>
      </c>
      <c r="CD2494" s="2" t="s">
        <v>233</v>
      </c>
      <c r="CE2494" s="4"/>
      <c r="CF2494" s="4">
        <v>94</v>
      </c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/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  <c r="EM2494" s="4"/>
      <c r="EN2494" s="4"/>
      <c r="EO2494" s="4"/>
      <c r="EP2494" s="4"/>
      <c r="EQ2494" s="4"/>
      <c r="ER2494" s="4"/>
      <c r="ES2494" s="4"/>
      <c r="ET2494" s="4"/>
      <c r="EU2494" s="4"/>
      <c r="EV2494" s="4"/>
      <c r="EW2494" s="4"/>
      <c r="EX2494" s="4"/>
      <c r="EY2494" s="4"/>
      <c r="EZ2494" s="4"/>
      <c r="FA2494" s="4"/>
      <c r="FB2494" s="4"/>
      <c r="FC2494" s="4"/>
      <c r="FD2494" s="4"/>
      <c r="FE2494" s="4"/>
      <c r="FF2494" s="4"/>
      <c r="FG2494" s="4"/>
      <c r="FH2494" s="4"/>
      <c r="FI2494" s="4"/>
      <c r="FJ2494" s="4"/>
      <c r="FK2494" s="4"/>
      <c r="FL2494" s="4"/>
      <c r="FM2494" s="4"/>
      <c r="FN2494" s="4"/>
      <c r="FO2494" s="4"/>
      <c r="FP2494" s="4"/>
      <c r="FQ2494" s="4"/>
      <c r="FR2494" s="4"/>
      <c r="FS2494" s="4"/>
      <c r="FT2494" s="4"/>
      <c r="FU2494" s="4"/>
      <c r="FV2494" s="4"/>
      <c r="FW2494" s="4"/>
      <c r="FX2494" s="4"/>
      <c r="FY2494" s="4"/>
      <c r="FZ2494" s="4"/>
      <c r="GA2494" s="4"/>
      <c r="GB2494" s="4"/>
      <c r="GC2494" s="4"/>
      <c r="GD2494" s="4"/>
      <c r="GE2494" s="4"/>
      <c r="GF2494" s="4"/>
      <c r="GG2494" s="4"/>
      <c r="GH2494" s="4"/>
      <c r="GI2494" s="4"/>
      <c r="GJ2494" s="4"/>
      <c r="GK2494" s="4"/>
      <c r="GL2494" s="4"/>
      <c r="GM2494" s="4"/>
      <c r="GN2494" s="4"/>
      <c r="GO2494" s="4"/>
      <c r="GP2494" s="4"/>
      <c r="GQ2494" s="4"/>
      <c r="GR2494" s="4"/>
      <c r="GS2494" s="4"/>
      <c r="GT2494" s="4"/>
      <c r="GU2494" s="4"/>
      <c r="GV2494" s="4"/>
      <c r="GW2494" s="4"/>
      <c r="GX2494" s="4"/>
      <c r="GY2494" s="4"/>
      <c r="GZ2494" s="4"/>
      <c r="HA2494" s="4"/>
      <c r="HB2494" s="4"/>
      <c r="HC2494" s="4"/>
      <c r="HD2494" s="4"/>
      <c r="HE2494" s="4"/>
      <c r="HF2494" s="4"/>
      <c r="HG2494" s="4"/>
      <c r="HH2494" s="4"/>
      <c r="HI2494" s="4"/>
      <c r="HJ2494" s="4"/>
      <c r="HK2494" s="4"/>
      <c r="HL2494" s="4"/>
      <c r="HM2494" s="4"/>
      <c r="HN2494" s="4"/>
      <c r="HO2494" s="4"/>
      <c r="HP2494" s="4"/>
      <c r="HQ2494" s="4"/>
      <c r="HR2494" s="4"/>
    </row>
    <row r="2495">
      <c r="A2495" s="2" t="s">
        <v>11041</v>
      </c>
      <c r="B2495" s="2" t="s">
        <v>1066</v>
      </c>
      <c r="C2495" s="2" t="s">
        <v>530</v>
      </c>
      <c r="D2495" s="2" t="s">
        <v>1111</v>
      </c>
      <c r="E2495" s="2" t="s">
        <v>1974</v>
      </c>
      <c r="F2495" s="2" t="s">
        <v>11042</v>
      </c>
      <c r="G2495" s="2" t="s">
        <v>11043</v>
      </c>
      <c r="H2495" s="2" t="s">
        <v>11044</v>
      </c>
      <c r="I2495" s="2" t="s">
        <v>1978</v>
      </c>
      <c r="J2495" s="2" t="s">
        <v>892</v>
      </c>
      <c r="K2495" s="2" t="s">
        <v>11045</v>
      </c>
      <c r="L2495" s="3">
        <v>261.25</v>
      </c>
      <c r="M2495" s="3">
        <v>274.31</v>
      </c>
      <c r="N2495" s="3">
        <v>549</v>
      </c>
      <c r="O2495" s="2" t="s">
        <v>245</v>
      </c>
      <c r="P2495" s="2" t="s">
        <v>272</v>
      </c>
      <c r="Q2495" s="2" t="s">
        <v>239</v>
      </c>
      <c r="R2495" s="2" t="s">
        <v>233</v>
      </c>
      <c r="S2495" s="2" t="s">
        <v>11046</v>
      </c>
      <c r="T2495" s="2" t="s">
        <v>233</v>
      </c>
      <c r="U2495" s="2" t="s">
        <v>233</v>
      </c>
      <c r="V2495" s="2" t="s">
        <v>893</v>
      </c>
      <c r="W2495" s="2" t="s">
        <v>977</v>
      </c>
      <c r="X2495" s="2" t="s">
        <v>451</v>
      </c>
      <c r="Y2495" s="2" t="s">
        <v>5194</v>
      </c>
      <c r="Z2495" s="4">
        <v>116</v>
      </c>
      <c r="AA2495" s="4">
        <f>=ROUNDDOWN(29,0)</f>
      </c>
      <c r="AB2495" s="5">
        <v>4</v>
      </c>
      <c r="AC2495" s="2" t="s">
        <v>233</v>
      </c>
      <c r="AD2495" s="4"/>
      <c r="AE2495" s="4"/>
      <c r="AF2495" s="6">
        <v>66</v>
      </c>
      <c r="AG2495" s="6">
        <v>49</v>
      </c>
      <c r="AH2495" s="7">
        <v>1</v>
      </c>
      <c r="AI2495" s="4"/>
      <c r="AJ2495" s="4">
        <f>=ROUNDDOWN({0},0)</f>
      </c>
      <c r="AK2495" s="5"/>
      <c r="AL2495" s="2" t="s">
        <v>233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/>
      <c r="BD2495" s="8"/>
      <c r="BE2495" s="4"/>
      <c r="BF2495" s="8"/>
      <c r="BG2495" s="7"/>
      <c r="BH2495" s="7"/>
      <c r="BI2495" s="7"/>
      <c r="BJ2495" s="4">
        <v>12</v>
      </c>
      <c r="BK2495" s="8">
        <v>3353.78</v>
      </c>
      <c r="BL2495" s="2" t="s">
        <v>11047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11048</v>
      </c>
      <c r="BV2495" s="2" t="s">
        <v>233</v>
      </c>
      <c r="BW2495" s="2" t="s">
        <v>233</v>
      </c>
      <c r="BX2495" s="2" t="s">
        <v>233</v>
      </c>
      <c r="BY2495" s="2" t="s">
        <v>280</v>
      </c>
      <c r="BZ2495" s="2" t="s">
        <v>245</v>
      </c>
      <c r="CA2495" s="2" t="s">
        <v>731</v>
      </c>
      <c r="CB2495" s="2" t="s">
        <v>2899</v>
      </c>
      <c r="CC2495" s="2" t="s">
        <v>246</v>
      </c>
      <c r="CD2495" s="2" t="s">
        <v>233</v>
      </c>
      <c r="CE2495" s="4"/>
      <c r="CF2495" s="4">
        <v>74</v>
      </c>
      <c r="CG2495" s="4"/>
      <c r="CH2495" s="4"/>
      <c r="CI2495" s="4">
        <v>42</v>
      </c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  <c r="EM2495" s="4"/>
      <c r="EN2495" s="4"/>
      <c r="EO2495" s="4"/>
      <c r="EP2495" s="4"/>
      <c r="EQ2495" s="4"/>
      <c r="ER2495" s="4"/>
      <c r="ES2495" s="4"/>
      <c r="ET2495" s="4"/>
      <c r="EU2495" s="4"/>
      <c r="EV2495" s="4"/>
      <c r="EW2495" s="4"/>
      <c r="EX2495" s="4"/>
      <c r="EY2495" s="4"/>
      <c r="EZ2495" s="4"/>
      <c r="FA2495" s="4"/>
      <c r="FB2495" s="4"/>
      <c r="FC2495" s="4"/>
      <c r="FD2495" s="4"/>
      <c r="FE2495" s="4"/>
      <c r="FF2495" s="4"/>
      <c r="FG2495" s="4"/>
      <c r="FH2495" s="4"/>
      <c r="FI2495" s="4"/>
      <c r="FJ2495" s="4"/>
      <c r="FK2495" s="4"/>
      <c r="FL2495" s="4"/>
      <c r="FM2495" s="4"/>
      <c r="FN2495" s="4"/>
      <c r="FO2495" s="4"/>
      <c r="FP2495" s="4"/>
      <c r="FQ2495" s="4"/>
      <c r="FR2495" s="4"/>
      <c r="FS2495" s="4"/>
      <c r="FT2495" s="4"/>
      <c r="FU2495" s="4"/>
      <c r="FV2495" s="4"/>
      <c r="FW2495" s="4"/>
      <c r="FX2495" s="4"/>
      <c r="FY2495" s="4"/>
      <c r="FZ2495" s="4"/>
      <c r="GA2495" s="4"/>
      <c r="GB2495" s="4"/>
      <c r="GC2495" s="4"/>
      <c r="GD2495" s="4"/>
      <c r="GE2495" s="4"/>
      <c r="GF2495" s="4"/>
      <c r="GG2495" s="4"/>
      <c r="GH2495" s="4"/>
      <c r="GI2495" s="4"/>
      <c r="GJ2495" s="4"/>
      <c r="GK2495" s="4"/>
      <c r="GL2495" s="4"/>
      <c r="GM2495" s="4"/>
      <c r="GN2495" s="4"/>
      <c r="GO2495" s="4"/>
      <c r="GP2495" s="4"/>
      <c r="GQ2495" s="4"/>
      <c r="GR2495" s="4"/>
      <c r="GS2495" s="4"/>
      <c r="GT2495" s="4"/>
      <c r="GU2495" s="4"/>
      <c r="GV2495" s="4"/>
      <c r="GW2495" s="4"/>
      <c r="GX2495" s="4"/>
      <c r="GY2495" s="4"/>
      <c r="GZ2495" s="4"/>
      <c r="HA2495" s="4"/>
      <c r="HB2495" s="4"/>
      <c r="HC2495" s="4"/>
      <c r="HD2495" s="4"/>
      <c r="HE2495" s="4"/>
      <c r="HF2495" s="4"/>
      <c r="HG2495" s="4"/>
      <c r="HH2495" s="4"/>
      <c r="HI2495" s="4"/>
      <c r="HJ2495" s="4"/>
      <c r="HK2495" s="4"/>
      <c r="HL2495" s="4"/>
      <c r="HM2495" s="4"/>
      <c r="HN2495" s="4"/>
      <c r="HO2495" s="4"/>
      <c r="HP2495" s="4"/>
      <c r="HQ2495" s="4"/>
      <c r="HR2495" s="4"/>
    </row>
    <row r="2496">
      <c r="A2496" s="2" t="s">
        <v>11049</v>
      </c>
      <c r="B2496" s="2" t="s">
        <v>928</v>
      </c>
      <c r="C2496" s="2" t="s">
        <v>1130</v>
      </c>
      <c r="D2496" s="2" t="s">
        <v>961</v>
      </c>
      <c r="E2496" s="2" t="s">
        <v>939</v>
      </c>
      <c r="F2496" s="2" t="s">
        <v>11050</v>
      </c>
      <c r="G2496" s="2" t="s">
        <v>11050</v>
      </c>
      <c r="H2496" s="2" t="s">
        <v>11050</v>
      </c>
      <c r="I2496" s="2" t="s">
        <v>2618</v>
      </c>
      <c r="J2496" s="2" t="s">
        <v>892</v>
      </c>
      <c r="K2496" s="2" t="s">
        <v>6826</v>
      </c>
      <c r="L2496" s="3">
        <v>29.35</v>
      </c>
      <c r="M2496" s="3">
        <v>30.82</v>
      </c>
      <c r="N2496" s="3">
        <v>59.49</v>
      </c>
      <c r="O2496" s="2" t="s">
        <v>245</v>
      </c>
      <c r="P2496" s="2" t="s">
        <v>311</v>
      </c>
      <c r="Q2496" s="2" t="s">
        <v>239</v>
      </c>
      <c r="R2496" s="2" t="s">
        <v>233</v>
      </c>
      <c r="S2496" s="2" t="s">
        <v>11051</v>
      </c>
      <c r="T2496" s="2" t="s">
        <v>233</v>
      </c>
      <c r="U2496" s="2" t="s">
        <v>491</v>
      </c>
      <c r="V2496" s="2" t="s">
        <v>1085</v>
      </c>
      <c r="W2496" s="2" t="s">
        <v>397</v>
      </c>
      <c r="X2496" s="2" t="s">
        <v>233</v>
      </c>
      <c r="Y2496" s="2" t="s">
        <v>11052</v>
      </c>
      <c r="Z2496" s="4">
        <v>54</v>
      </c>
      <c r="AA2496" s="4">
        <f>=ROUNDDOWN(18,0)</f>
      </c>
      <c r="AB2496" s="5">
        <v>3</v>
      </c>
      <c r="AC2496" s="2" t="s">
        <v>233</v>
      </c>
      <c r="AD2496" s="4"/>
      <c r="AE2496" s="4"/>
      <c r="AF2496" s="6">
        <v>63</v>
      </c>
      <c r="AG2496" s="6"/>
      <c r="AH2496" s="7">
        <v>1</v>
      </c>
      <c r="AI2496" s="4"/>
      <c r="AJ2496" s="4">
        <f>=ROUNDDOWN({0},0)</f>
      </c>
      <c r="AK2496" s="5"/>
      <c r="AL2496" s="2" t="s">
        <v>233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/>
      <c r="BD2496" s="8"/>
      <c r="BE2496" s="4"/>
      <c r="BF2496" s="8"/>
      <c r="BG2496" s="7"/>
      <c r="BH2496" s="7"/>
      <c r="BI2496" s="7"/>
      <c r="BJ2496" s="4">
        <v>9</v>
      </c>
      <c r="BK2496" s="8">
        <v>342.46</v>
      </c>
      <c r="BL2496" s="2" t="s">
        <v>11053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11054</v>
      </c>
      <c r="BV2496" s="2" t="s">
        <v>233</v>
      </c>
      <c r="BW2496" s="2" t="s">
        <v>233</v>
      </c>
      <c r="BX2496" s="2" t="s">
        <v>233</v>
      </c>
      <c r="BY2496" s="2" t="s">
        <v>280</v>
      </c>
      <c r="BZ2496" s="2" t="s">
        <v>245</v>
      </c>
      <c r="CA2496" s="2" t="s">
        <v>3130</v>
      </c>
      <c r="CB2496" s="2" t="s">
        <v>11055</v>
      </c>
      <c r="CC2496" s="2" t="s">
        <v>246</v>
      </c>
      <c r="CD2496" s="2" t="s">
        <v>233</v>
      </c>
      <c r="CE2496" s="4"/>
      <c r="CF2496" s="4">
        <v>54</v>
      </c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/>
      <c r="EA2496" s="4"/>
      <c r="EB2496" s="4"/>
      <c r="EC2496" s="4"/>
      <c r="ED2496" s="4"/>
      <c r="EE2496" s="4"/>
      <c r="EF2496" s="4"/>
      <c r="EG2496" s="4"/>
      <c r="EH2496" s="4"/>
      <c r="EI2496" s="4"/>
      <c r="EJ2496" s="4"/>
      <c r="EK2496" s="4"/>
      <c r="EL2496" s="4"/>
      <c r="EM2496" s="4"/>
      <c r="EN2496" s="4"/>
      <c r="EO2496" s="4"/>
      <c r="EP2496" s="4"/>
      <c r="EQ2496" s="4"/>
      <c r="ER2496" s="4"/>
      <c r="ES2496" s="4"/>
      <c r="ET2496" s="4"/>
      <c r="EU2496" s="4"/>
      <c r="EV2496" s="4"/>
      <c r="EW2496" s="4"/>
      <c r="EX2496" s="4"/>
      <c r="EY2496" s="4"/>
      <c r="EZ2496" s="4"/>
      <c r="FA2496" s="4"/>
      <c r="FB2496" s="4"/>
      <c r="FC2496" s="4"/>
      <c r="FD2496" s="4"/>
      <c r="FE2496" s="4"/>
      <c r="FF2496" s="4"/>
      <c r="FG2496" s="4"/>
      <c r="FH2496" s="4"/>
      <c r="FI2496" s="4"/>
      <c r="FJ2496" s="4"/>
      <c r="FK2496" s="4"/>
      <c r="FL2496" s="4"/>
      <c r="FM2496" s="4"/>
      <c r="FN2496" s="4"/>
      <c r="FO2496" s="4"/>
      <c r="FP2496" s="4"/>
      <c r="FQ2496" s="4"/>
      <c r="FR2496" s="4"/>
      <c r="FS2496" s="4"/>
      <c r="FT2496" s="4"/>
      <c r="FU2496" s="4"/>
      <c r="FV2496" s="4"/>
      <c r="FW2496" s="4"/>
      <c r="FX2496" s="4"/>
      <c r="FY2496" s="4"/>
      <c r="FZ2496" s="4"/>
      <c r="GA2496" s="4"/>
      <c r="GB2496" s="4"/>
      <c r="GC2496" s="4"/>
      <c r="GD2496" s="4"/>
      <c r="GE2496" s="4"/>
      <c r="GF2496" s="4"/>
      <c r="GG2496" s="4"/>
      <c r="GH2496" s="4"/>
      <c r="GI2496" s="4"/>
      <c r="GJ2496" s="4"/>
      <c r="GK2496" s="4"/>
      <c r="GL2496" s="4"/>
      <c r="GM2496" s="4"/>
      <c r="GN2496" s="4"/>
      <c r="GO2496" s="4"/>
      <c r="GP2496" s="4"/>
      <c r="GQ2496" s="4"/>
      <c r="GR2496" s="4"/>
      <c r="GS2496" s="4"/>
      <c r="GT2496" s="4"/>
      <c r="GU2496" s="4"/>
      <c r="GV2496" s="4"/>
      <c r="GW2496" s="4"/>
      <c r="GX2496" s="4"/>
      <c r="GY2496" s="4"/>
      <c r="GZ2496" s="4"/>
      <c r="HA2496" s="4"/>
      <c r="HB2496" s="4"/>
      <c r="HC2496" s="4"/>
      <c r="HD2496" s="4"/>
      <c r="HE2496" s="4"/>
      <c r="HF2496" s="4"/>
      <c r="HG2496" s="4"/>
      <c r="HH2496" s="4"/>
      <c r="HI2496" s="4"/>
      <c r="HJ2496" s="4"/>
      <c r="HK2496" s="4"/>
      <c r="HL2496" s="4"/>
      <c r="HM2496" s="4"/>
      <c r="HN2496" s="4"/>
      <c r="HO2496" s="4"/>
      <c r="HP2496" s="4"/>
      <c r="HQ2496" s="4"/>
      <c r="HR2496" s="4"/>
    </row>
    <row r="2497">
      <c r="A2497" s="2" t="s">
        <v>11056</v>
      </c>
      <c r="B2497" s="2" t="s">
        <v>886</v>
      </c>
      <c r="C2497" s="2" t="s">
        <v>901</v>
      </c>
      <c r="D2497" s="2" t="s">
        <v>888</v>
      </c>
      <c r="E2497" s="2" t="s">
        <v>889</v>
      </c>
      <c r="F2497" s="2" t="s">
        <v>11057</v>
      </c>
      <c r="G2497" s="2" t="s">
        <v>11057</v>
      </c>
      <c r="H2497" s="2" t="s">
        <v>11057</v>
      </c>
      <c r="I2497" s="2" t="s">
        <v>11058</v>
      </c>
      <c r="J2497" s="2" t="s">
        <v>892</v>
      </c>
      <c r="K2497" s="2" t="s">
        <v>1171</v>
      </c>
      <c r="L2497" s="3">
        <v>106.92</v>
      </c>
      <c r="M2497" s="3">
        <v>112.27</v>
      </c>
      <c r="N2497" s="3">
        <v>249.99</v>
      </c>
      <c r="O2497" s="2" t="s">
        <v>245</v>
      </c>
      <c r="P2497" s="2" t="s">
        <v>311</v>
      </c>
      <c r="Q2497" s="2" t="s">
        <v>239</v>
      </c>
      <c r="R2497" s="2" t="s">
        <v>233</v>
      </c>
      <c r="S2497" s="2" t="s">
        <v>233</v>
      </c>
      <c r="T2497" s="2" t="s">
        <v>233</v>
      </c>
      <c r="U2497" s="2" t="s">
        <v>396</v>
      </c>
      <c r="V2497" s="2" t="s">
        <v>893</v>
      </c>
      <c r="W2497" s="2" t="s">
        <v>397</v>
      </c>
      <c r="X2497" s="2" t="s">
        <v>233</v>
      </c>
      <c r="Y2497" s="2" t="s">
        <v>1227</v>
      </c>
      <c r="Z2497" s="4">
        <v>11</v>
      </c>
      <c r="AA2497" s="4">
        <f>=ROUNDDOWN(22,0)</f>
      </c>
      <c r="AB2497" s="5">
        <v>0.5</v>
      </c>
      <c r="AC2497" s="2" t="s">
        <v>233</v>
      </c>
      <c r="AD2497" s="4"/>
      <c r="AE2497" s="4"/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233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/>
      <c r="BD2497" s="8"/>
      <c r="BE2497" s="4"/>
      <c r="BF2497" s="8"/>
      <c r="BG2497" s="7"/>
      <c r="BH2497" s="7"/>
      <c r="BI2497" s="7"/>
      <c r="BJ2497" s="4">
        <v>2</v>
      </c>
      <c r="BK2497" s="8">
        <v>188.61</v>
      </c>
      <c r="BL2497" s="2" t="s">
        <v>6874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11059</v>
      </c>
      <c r="BV2497" s="2" t="s">
        <v>233</v>
      </c>
      <c r="BW2497" s="2" t="s">
        <v>233</v>
      </c>
      <c r="BX2497" s="2" t="s">
        <v>233</v>
      </c>
      <c r="BY2497" s="2" t="s">
        <v>280</v>
      </c>
      <c r="BZ2497" s="2" t="s">
        <v>245</v>
      </c>
      <c r="CA2497" s="2" t="s">
        <v>1229</v>
      </c>
      <c r="CB2497" s="2" t="s">
        <v>1665</v>
      </c>
      <c r="CC2497" s="2" t="s">
        <v>246</v>
      </c>
      <c r="CD2497" s="2" t="s">
        <v>233</v>
      </c>
      <c r="CE2497" s="4"/>
      <c r="CF2497" s="4">
        <v>11</v>
      </c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  <c r="EM2497" s="4"/>
      <c r="EN2497" s="4"/>
      <c r="EO2497" s="4"/>
      <c r="EP2497" s="4"/>
      <c r="EQ2497" s="4"/>
      <c r="ER2497" s="4"/>
      <c r="ES2497" s="4"/>
      <c r="ET2497" s="4"/>
      <c r="EU2497" s="4"/>
      <c r="EV2497" s="4"/>
      <c r="EW2497" s="4"/>
      <c r="EX2497" s="4"/>
      <c r="EY2497" s="4"/>
      <c r="EZ2497" s="4"/>
      <c r="FA2497" s="4"/>
      <c r="FB2497" s="4"/>
      <c r="FC2497" s="4"/>
      <c r="FD2497" s="4"/>
      <c r="FE2497" s="4"/>
      <c r="FF2497" s="4"/>
      <c r="FG2497" s="4"/>
      <c r="FH2497" s="4"/>
      <c r="FI2497" s="4"/>
      <c r="FJ2497" s="4"/>
      <c r="FK2497" s="4"/>
      <c r="FL2497" s="4"/>
      <c r="FM2497" s="4"/>
      <c r="FN2497" s="4"/>
      <c r="FO2497" s="4"/>
      <c r="FP2497" s="4"/>
      <c r="FQ2497" s="4"/>
      <c r="FR2497" s="4"/>
      <c r="FS2497" s="4"/>
      <c r="FT2497" s="4"/>
      <c r="FU2497" s="4"/>
      <c r="FV2497" s="4"/>
      <c r="FW2497" s="4"/>
      <c r="FX2497" s="4"/>
      <c r="FY2497" s="4"/>
      <c r="FZ2497" s="4"/>
      <c r="GA2497" s="4"/>
      <c r="GB2497" s="4"/>
      <c r="GC2497" s="4"/>
      <c r="GD2497" s="4"/>
      <c r="GE2497" s="4"/>
      <c r="GF2497" s="4"/>
      <c r="GG2497" s="4"/>
      <c r="GH2497" s="4"/>
      <c r="GI2497" s="4"/>
      <c r="GJ2497" s="4"/>
      <c r="GK2497" s="4"/>
      <c r="GL2497" s="4"/>
      <c r="GM2497" s="4"/>
      <c r="GN2497" s="4"/>
      <c r="GO2497" s="4"/>
      <c r="GP2497" s="4"/>
      <c r="GQ2497" s="4"/>
      <c r="GR2497" s="4"/>
      <c r="GS2497" s="4"/>
      <c r="GT2497" s="4"/>
      <c r="GU2497" s="4"/>
      <c r="GV2497" s="4"/>
      <c r="GW2497" s="4"/>
      <c r="GX2497" s="4"/>
      <c r="GY2497" s="4"/>
      <c r="GZ2497" s="4"/>
      <c r="HA2497" s="4"/>
      <c r="HB2497" s="4"/>
      <c r="HC2497" s="4"/>
      <c r="HD2497" s="4"/>
      <c r="HE2497" s="4"/>
      <c r="HF2497" s="4"/>
      <c r="HG2497" s="4"/>
      <c r="HH2497" s="4"/>
      <c r="HI2497" s="4"/>
      <c r="HJ2497" s="4"/>
      <c r="HK2497" s="4"/>
      <c r="HL2497" s="4"/>
      <c r="HM2497" s="4"/>
      <c r="HN2497" s="4"/>
      <c r="HO2497" s="4"/>
      <c r="HP2497" s="4"/>
      <c r="HQ2497" s="4"/>
      <c r="HR2497" s="4"/>
    </row>
    <row r="2498">
      <c r="A2498" s="2" t="s">
        <v>11060</v>
      </c>
      <c r="B2498" s="2" t="s">
        <v>886</v>
      </c>
      <c r="C2498" s="2" t="s">
        <v>901</v>
      </c>
      <c r="D2498" s="2" t="s">
        <v>1167</v>
      </c>
      <c r="E2498" s="2" t="s">
        <v>1168</v>
      </c>
      <c r="F2498" s="2" t="s">
        <v>11061</v>
      </c>
      <c r="G2498" s="2" t="s">
        <v>11061</v>
      </c>
      <c r="H2498" s="2" t="s">
        <v>11061</v>
      </c>
      <c r="I2498" s="2" t="s">
        <v>5320</v>
      </c>
      <c r="J2498" s="2" t="s">
        <v>892</v>
      </c>
      <c r="K2498" s="2" t="s">
        <v>297</v>
      </c>
      <c r="L2498" s="3">
        <v>39.2</v>
      </c>
      <c r="M2498" s="3">
        <v>41.16</v>
      </c>
      <c r="N2498" s="3">
        <v>79.99</v>
      </c>
      <c r="O2498" s="2" t="s">
        <v>245</v>
      </c>
      <c r="P2498" s="2" t="s">
        <v>238</v>
      </c>
      <c r="Q2498" s="2" t="s">
        <v>239</v>
      </c>
      <c r="R2498" s="2" t="s">
        <v>233</v>
      </c>
      <c r="S2498" s="2" t="s">
        <v>233</v>
      </c>
      <c r="T2498" s="2" t="s">
        <v>233</v>
      </c>
      <c r="U2498" s="2" t="s">
        <v>396</v>
      </c>
      <c r="V2498" s="2" t="s">
        <v>893</v>
      </c>
      <c r="W2498" s="2" t="s">
        <v>275</v>
      </c>
      <c r="X2498" s="2" t="s">
        <v>397</v>
      </c>
      <c r="Y2498" s="2" t="s">
        <v>233</v>
      </c>
      <c r="Z2498" s="4"/>
      <c r="AA2498" s="4">
        <f>=ROUNDDOWN({0},0)</f>
      </c>
      <c r="AB2498" s="5"/>
      <c r="AC2498" s="2" t="s">
        <v>1701</v>
      </c>
      <c r="AD2498" s="4">
        <v>100</v>
      </c>
      <c r="AE2498" s="4">
        <v>100</v>
      </c>
      <c r="AF2498" s="6"/>
      <c r="AG2498" s="6"/>
      <c r="AH2498" s="7">
        <v>0</v>
      </c>
      <c r="AI2498" s="4"/>
      <c r="AJ2498" s="4">
        <f>=ROUNDDOWN({0},0)</f>
      </c>
      <c r="AK2498" s="5"/>
      <c r="AL2498" s="2" t="s">
        <v>233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/>
      <c r="BD2498" s="8"/>
      <c r="BE2498" s="4"/>
      <c r="BF2498" s="8"/>
      <c r="BG2498" s="7"/>
      <c r="BH2498" s="7"/>
      <c r="BI2498" s="7"/>
      <c r="BJ2498" s="4"/>
      <c r="BK2498" s="8"/>
      <c r="BL2498" s="2" t="s">
        <v>233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243</v>
      </c>
      <c r="BV2498" s="2" t="s">
        <v>233</v>
      </c>
      <c r="BW2498" s="2" t="s">
        <v>233</v>
      </c>
      <c r="BX2498" s="2" t="s">
        <v>243</v>
      </c>
      <c r="BY2498" s="2" t="s">
        <v>244</v>
      </c>
      <c r="BZ2498" s="2" t="s">
        <v>245</v>
      </c>
      <c r="CA2498" s="2" t="s">
        <v>233</v>
      </c>
      <c r="CB2498" s="2" t="s">
        <v>233</v>
      </c>
      <c r="CC2498" s="2" t="s">
        <v>246</v>
      </c>
      <c r="CD2498" s="2" t="s">
        <v>233</v>
      </c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>
        <v>100</v>
      </c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  <c r="EM2498" s="4"/>
      <c r="EN2498" s="4"/>
      <c r="EO2498" s="4"/>
      <c r="EP2498" s="4"/>
      <c r="EQ2498" s="4"/>
      <c r="ER2498" s="4"/>
      <c r="ES2498" s="4"/>
      <c r="ET2498" s="4"/>
      <c r="EU2498" s="4"/>
      <c r="EV2498" s="4"/>
      <c r="EW2498" s="4"/>
      <c r="EX2498" s="4"/>
      <c r="EY2498" s="4"/>
      <c r="EZ2498" s="4"/>
      <c r="FA2498" s="4"/>
      <c r="FB2498" s="4"/>
      <c r="FC2498" s="4"/>
      <c r="FD2498" s="4"/>
      <c r="FE2498" s="4"/>
      <c r="FF2498" s="4"/>
      <c r="FG2498" s="4"/>
      <c r="FH2498" s="4"/>
      <c r="FI2498" s="4"/>
      <c r="FJ2498" s="4"/>
      <c r="FK2498" s="4"/>
      <c r="FL2498" s="4"/>
      <c r="FM2498" s="4"/>
      <c r="FN2498" s="4"/>
      <c r="FO2498" s="4"/>
      <c r="FP2498" s="4"/>
      <c r="FQ2498" s="4"/>
      <c r="FR2498" s="4"/>
      <c r="FS2498" s="4"/>
      <c r="FT2498" s="4"/>
      <c r="FU2498" s="4"/>
      <c r="FV2498" s="4"/>
      <c r="FW2498" s="4"/>
      <c r="FX2498" s="4"/>
      <c r="FY2498" s="4"/>
      <c r="FZ2498" s="4"/>
      <c r="GA2498" s="4"/>
      <c r="GB2498" s="4"/>
      <c r="GC2498" s="4"/>
      <c r="GD2498" s="4"/>
      <c r="GE2498" s="4"/>
      <c r="GF2498" s="4"/>
      <c r="GG2498" s="4"/>
      <c r="GH2498" s="4"/>
      <c r="GI2498" s="4"/>
      <c r="GJ2498" s="4"/>
      <c r="GK2498" s="4"/>
      <c r="GL2498" s="4"/>
      <c r="GM2498" s="4"/>
      <c r="GN2498" s="4"/>
      <c r="GO2498" s="4"/>
      <c r="GP2498" s="4"/>
      <c r="GQ2498" s="4"/>
      <c r="GR2498" s="4"/>
      <c r="GS2498" s="4"/>
      <c r="GT2498" s="4"/>
      <c r="GU2498" s="4"/>
      <c r="GV2498" s="4"/>
      <c r="GW2498" s="4"/>
      <c r="GX2498" s="4"/>
      <c r="GY2498" s="4"/>
      <c r="GZ2498" s="4"/>
      <c r="HA2498" s="4"/>
      <c r="HB2498" s="4"/>
      <c r="HC2498" s="4"/>
      <c r="HD2498" s="4"/>
      <c r="HE2498" s="4"/>
      <c r="HF2498" s="4"/>
      <c r="HG2498" s="4"/>
      <c r="HH2498" s="4"/>
      <c r="HI2498" s="4"/>
      <c r="HJ2498" s="4"/>
      <c r="HK2498" s="4"/>
      <c r="HL2498" s="4"/>
      <c r="HM2498" s="4"/>
      <c r="HN2498" s="4"/>
      <c r="HO2498" s="4"/>
      <c r="HP2498" s="4"/>
      <c r="HQ2498" s="4"/>
      <c r="HR2498" s="4"/>
    </row>
    <row r="2499">
      <c r="A2499" s="2" t="s">
        <v>11062</v>
      </c>
      <c r="B2499" s="2" t="s">
        <v>1066</v>
      </c>
      <c r="C2499" s="2" t="s">
        <v>530</v>
      </c>
      <c r="D2499" s="2" t="s">
        <v>11063</v>
      </c>
      <c r="E2499" s="2" t="s">
        <v>11064</v>
      </c>
      <c r="F2499" s="2" t="s">
        <v>11065</v>
      </c>
      <c r="G2499" s="2" t="s">
        <v>11066</v>
      </c>
      <c r="H2499" s="2" t="s">
        <v>7668</v>
      </c>
      <c r="I2499" s="2" t="s">
        <v>11067</v>
      </c>
      <c r="J2499" s="2" t="s">
        <v>892</v>
      </c>
      <c r="K2499" s="2" t="s">
        <v>569</v>
      </c>
      <c r="L2499" s="3">
        <v>270</v>
      </c>
      <c r="M2499" s="3">
        <v>283.5</v>
      </c>
      <c r="N2499" s="3">
        <v>569</v>
      </c>
      <c r="O2499" s="2" t="s">
        <v>245</v>
      </c>
      <c r="P2499" s="2" t="s">
        <v>393</v>
      </c>
      <c r="Q2499" s="2" t="s">
        <v>239</v>
      </c>
      <c r="R2499" s="2" t="s">
        <v>233</v>
      </c>
      <c r="S2499" s="2" t="s">
        <v>11068</v>
      </c>
      <c r="T2499" s="2" t="s">
        <v>233</v>
      </c>
      <c r="U2499" s="2" t="s">
        <v>233</v>
      </c>
      <c r="V2499" s="2" t="s">
        <v>893</v>
      </c>
      <c r="W2499" s="2" t="s">
        <v>451</v>
      </c>
      <c r="X2499" s="2" t="s">
        <v>233</v>
      </c>
      <c r="Y2499" s="2" t="s">
        <v>710</v>
      </c>
      <c r="Z2499" s="4">
        <v>84</v>
      </c>
      <c r="AA2499" s="4">
        <f>=ROUNDDOWN(28,0)</f>
      </c>
      <c r="AB2499" s="5">
        <v>3</v>
      </c>
      <c r="AC2499" s="2" t="s">
        <v>233</v>
      </c>
      <c r="AD2499" s="4"/>
      <c r="AE2499" s="4"/>
      <c r="AF2499" s="6">
        <v>66</v>
      </c>
      <c r="AG2499" s="6">
        <v>49</v>
      </c>
      <c r="AH2499" s="7">
        <v>1</v>
      </c>
      <c r="AI2499" s="4"/>
      <c r="AJ2499" s="4">
        <f>=ROUNDDOWN({0},0)</f>
      </c>
      <c r="AK2499" s="5"/>
      <c r="AL2499" s="2" t="s">
        <v>233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/>
      <c r="BD2499" s="8"/>
      <c r="BE2499" s="4"/>
      <c r="BF2499" s="8"/>
      <c r="BG2499" s="7"/>
      <c r="BH2499" s="7"/>
      <c r="BI2499" s="7"/>
      <c r="BJ2499" s="4">
        <v>11</v>
      </c>
      <c r="BK2499" s="8">
        <v>3187.44</v>
      </c>
      <c r="BL2499" s="2" t="s">
        <v>11069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11070</v>
      </c>
      <c r="BV2499" s="2" t="s">
        <v>233</v>
      </c>
      <c r="BW2499" s="2" t="s">
        <v>233</v>
      </c>
      <c r="BX2499" s="2" t="s">
        <v>233</v>
      </c>
      <c r="BY2499" s="2" t="s">
        <v>280</v>
      </c>
      <c r="BZ2499" s="2" t="s">
        <v>245</v>
      </c>
      <c r="CA2499" s="2" t="s">
        <v>7860</v>
      </c>
      <c r="CB2499" s="2" t="s">
        <v>799</v>
      </c>
      <c r="CC2499" s="2" t="s">
        <v>246</v>
      </c>
      <c r="CD2499" s="2" t="s">
        <v>233</v>
      </c>
      <c r="CE2499" s="4"/>
      <c r="CF2499" s="4">
        <v>69</v>
      </c>
      <c r="CG2499" s="4"/>
      <c r="CH2499" s="4"/>
      <c r="CI2499" s="4">
        <v>15</v>
      </c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/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  <c r="EM2499" s="4"/>
      <c r="EN2499" s="4"/>
      <c r="EO2499" s="4"/>
      <c r="EP2499" s="4"/>
      <c r="EQ2499" s="4"/>
      <c r="ER2499" s="4"/>
      <c r="ES2499" s="4"/>
      <c r="ET2499" s="4"/>
      <c r="EU2499" s="4"/>
      <c r="EV2499" s="4"/>
      <c r="EW2499" s="4"/>
      <c r="EX2499" s="4"/>
      <c r="EY2499" s="4"/>
      <c r="EZ2499" s="4"/>
      <c r="FA2499" s="4"/>
      <c r="FB2499" s="4"/>
      <c r="FC2499" s="4"/>
      <c r="FD2499" s="4"/>
      <c r="FE2499" s="4"/>
      <c r="FF2499" s="4"/>
      <c r="FG2499" s="4"/>
      <c r="FH2499" s="4"/>
      <c r="FI2499" s="4"/>
      <c r="FJ2499" s="4"/>
      <c r="FK2499" s="4"/>
      <c r="FL2499" s="4"/>
      <c r="FM2499" s="4"/>
      <c r="FN2499" s="4"/>
      <c r="FO2499" s="4"/>
      <c r="FP2499" s="4"/>
      <c r="FQ2499" s="4"/>
      <c r="FR2499" s="4"/>
      <c r="FS2499" s="4"/>
      <c r="FT2499" s="4"/>
      <c r="FU2499" s="4"/>
      <c r="FV2499" s="4"/>
      <c r="FW2499" s="4"/>
      <c r="FX2499" s="4"/>
      <c r="FY2499" s="4"/>
      <c r="FZ2499" s="4"/>
      <c r="GA2499" s="4"/>
      <c r="GB2499" s="4"/>
      <c r="GC2499" s="4"/>
      <c r="GD2499" s="4"/>
      <c r="GE2499" s="4"/>
      <c r="GF2499" s="4"/>
      <c r="GG2499" s="4"/>
      <c r="GH2499" s="4"/>
      <c r="GI2499" s="4"/>
      <c r="GJ2499" s="4"/>
      <c r="GK2499" s="4"/>
      <c r="GL2499" s="4"/>
      <c r="GM2499" s="4"/>
      <c r="GN2499" s="4"/>
      <c r="GO2499" s="4"/>
      <c r="GP2499" s="4"/>
      <c r="GQ2499" s="4"/>
      <c r="GR2499" s="4"/>
      <c r="GS2499" s="4"/>
      <c r="GT2499" s="4"/>
      <c r="GU2499" s="4"/>
      <c r="GV2499" s="4"/>
      <c r="GW2499" s="4"/>
      <c r="GX2499" s="4"/>
      <c r="GY2499" s="4"/>
      <c r="GZ2499" s="4"/>
      <c r="HA2499" s="4"/>
      <c r="HB2499" s="4"/>
      <c r="HC2499" s="4"/>
      <c r="HD2499" s="4"/>
      <c r="HE2499" s="4"/>
      <c r="HF2499" s="4"/>
      <c r="HG2499" s="4"/>
      <c r="HH2499" s="4"/>
      <c r="HI2499" s="4"/>
      <c r="HJ2499" s="4"/>
      <c r="HK2499" s="4"/>
      <c r="HL2499" s="4"/>
      <c r="HM2499" s="4"/>
      <c r="HN2499" s="4"/>
      <c r="HO2499" s="4"/>
      <c r="HP2499" s="4"/>
      <c r="HQ2499" s="4"/>
      <c r="HR2499" s="4"/>
    </row>
    <row r="2500">
      <c r="A2500" s="2" t="s">
        <v>11071</v>
      </c>
      <c r="B2500" s="2" t="s">
        <v>886</v>
      </c>
      <c r="C2500" s="2" t="s">
        <v>901</v>
      </c>
      <c r="D2500" s="2" t="s">
        <v>1167</v>
      </c>
      <c r="E2500" s="2" t="s">
        <v>1168</v>
      </c>
      <c r="F2500" s="2" t="s">
        <v>11072</v>
      </c>
      <c r="G2500" s="2" t="s">
        <v>11072</v>
      </c>
      <c r="H2500" s="2" t="s">
        <v>11072</v>
      </c>
      <c r="I2500" s="2" t="s">
        <v>11073</v>
      </c>
      <c r="J2500" s="2" t="s">
        <v>892</v>
      </c>
      <c r="K2500" s="2" t="s">
        <v>11074</v>
      </c>
      <c r="L2500" s="3">
        <v>44.37</v>
      </c>
      <c r="M2500" s="3">
        <v>46.59</v>
      </c>
      <c r="N2500" s="3">
        <v>104.99</v>
      </c>
      <c r="O2500" s="2" t="s">
        <v>245</v>
      </c>
      <c r="P2500" s="2" t="s">
        <v>272</v>
      </c>
      <c r="Q2500" s="2" t="s">
        <v>239</v>
      </c>
      <c r="R2500" s="2" t="s">
        <v>233</v>
      </c>
      <c r="S2500" s="2" t="s">
        <v>233</v>
      </c>
      <c r="T2500" s="2" t="s">
        <v>233</v>
      </c>
      <c r="U2500" s="2" t="s">
        <v>396</v>
      </c>
      <c r="V2500" s="2" t="s">
        <v>893</v>
      </c>
      <c r="W2500" s="2" t="s">
        <v>397</v>
      </c>
      <c r="X2500" s="2" t="s">
        <v>894</v>
      </c>
      <c r="Y2500" s="2" t="s">
        <v>3020</v>
      </c>
      <c r="Z2500" s="4">
        <v>28</v>
      </c>
      <c r="AA2500" s="4">
        <f>=ROUNDDOWN(5.6,0)</f>
      </c>
      <c r="AB2500" s="5">
        <v>5</v>
      </c>
      <c r="AC2500" s="2" t="s">
        <v>707</v>
      </c>
      <c r="AD2500" s="4">
        <v>50</v>
      </c>
      <c r="AE2500" s="4">
        <v>150</v>
      </c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233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/>
      <c r="BD2500" s="8"/>
      <c r="BE2500" s="4"/>
      <c r="BF2500" s="8"/>
      <c r="BG2500" s="7"/>
      <c r="BH2500" s="7"/>
      <c r="BI2500" s="7"/>
      <c r="BJ2500" s="4">
        <v>16</v>
      </c>
      <c r="BK2500" s="8">
        <v>866.55</v>
      </c>
      <c r="BL2500" s="2" t="s">
        <v>11075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11076</v>
      </c>
      <c r="BV2500" s="2" t="s">
        <v>233</v>
      </c>
      <c r="BW2500" s="2" t="s">
        <v>233</v>
      </c>
      <c r="BX2500" s="2" t="s">
        <v>233</v>
      </c>
      <c r="BY2500" s="2" t="s">
        <v>280</v>
      </c>
      <c r="BZ2500" s="2" t="s">
        <v>245</v>
      </c>
      <c r="CA2500" s="2" t="s">
        <v>9046</v>
      </c>
      <c r="CB2500" s="2" t="s">
        <v>5364</v>
      </c>
      <c r="CC2500" s="2" t="s">
        <v>246</v>
      </c>
      <c r="CD2500" s="2" t="s">
        <v>233</v>
      </c>
      <c r="CE2500" s="4"/>
      <c r="CF2500" s="4">
        <v>28</v>
      </c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/>
      <c r="DS2500" s="4"/>
      <c r="DT2500" s="4"/>
      <c r="DU2500" s="4"/>
      <c r="DV2500" s="4"/>
      <c r="DW2500" s="4"/>
      <c r="DX2500" s="4"/>
      <c r="DY2500" s="4"/>
      <c r="DZ2500" s="4"/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  <c r="EM2500" s="4"/>
      <c r="EN2500" s="4"/>
      <c r="EO2500" s="4"/>
      <c r="EP2500" s="4"/>
      <c r="EQ2500" s="4"/>
      <c r="ER2500" s="4"/>
      <c r="ES2500" s="4">
        <v>50</v>
      </c>
      <c r="ET2500" s="4"/>
      <c r="EU2500" s="4"/>
      <c r="EV2500" s="4"/>
      <c r="EW2500" s="4"/>
      <c r="EX2500" s="4"/>
      <c r="EY2500" s="4">
        <v>100</v>
      </c>
      <c r="EZ2500" s="4"/>
      <c r="FA2500" s="4"/>
      <c r="FB2500" s="4"/>
      <c r="FC2500" s="4"/>
      <c r="FD2500" s="4"/>
      <c r="FE2500" s="4"/>
      <c r="FF2500" s="4"/>
      <c r="FG2500" s="4"/>
      <c r="FH2500" s="4"/>
      <c r="FI2500" s="4"/>
      <c r="FJ2500" s="4"/>
      <c r="FK2500" s="4"/>
      <c r="FL2500" s="4"/>
      <c r="FM2500" s="4"/>
      <c r="FN2500" s="4"/>
      <c r="FO2500" s="4"/>
      <c r="FP2500" s="4"/>
      <c r="FQ2500" s="4"/>
      <c r="FR2500" s="4"/>
      <c r="FS2500" s="4"/>
      <c r="FT2500" s="4"/>
      <c r="FU2500" s="4"/>
      <c r="FV2500" s="4"/>
      <c r="FW2500" s="4"/>
      <c r="FX2500" s="4"/>
      <c r="FY2500" s="4"/>
      <c r="FZ2500" s="4"/>
      <c r="GA2500" s="4"/>
      <c r="GB2500" s="4"/>
      <c r="GC2500" s="4"/>
      <c r="GD2500" s="4"/>
      <c r="GE2500" s="4"/>
      <c r="GF2500" s="4"/>
      <c r="GG2500" s="4"/>
      <c r="GH2500" s="4"/>
      <c r="GI2500" s="4"/>
      <c r="GJ2500" s="4"/>
      <c r="GK2500" s="4"/>
      <c r="GL2500" s="4"/>
      <c r="GM2500" s="4"/>
      <c r="GN2500" s="4"/>
      <c r="GO2500" s="4"/>
      <c r="GP2500" s="4"/>
      <c r="GQ2500" s="4"/>
      <c r="GR2500" s="4"/>
      <c r="GS2500" s="4"/>
      <c r="GT2500" s="4"/>
      <c r="GU2500" s="4"/>
      <c r="GV2500" s="4"/>
      <c r="GW2500" s="4"/>
      <c r="GX2500" s="4"/>
      <c r="GY2500" s="4"/>
      <c r="GZ2500" s="4"/>
      <c r="HA2500" s="4"/>
      <c r="HB2500" s="4"/>
      <c r="HC2500" s="4"/>
      <c r="HD2500" s="4"/>
      <c r="HE2500" s="4"/>
      <c r="HF2500" s="4"/>
      <c r="HG2500" s="4"/>
      <c r="HH2500" s="4"/>
      <c r="HI2500" s="4"/>
      <c r="HJ2500" s="4"/>
      <c r="HK2500" s="4"/>
      <c r="HL2500" s="4"/>
      <c r="HM2500" s="4"/>
      <c r="HN2500" s="4"/>
      <c r="HO2500" s="4"/>
      <c r="HP2500" s="4"/>
      <c r="HQ2500" s="4"/>
      <c r="HR2500" s="4"/>
    </row>
    <row r="2501">
      <c r="A2501" s="2" t="s">
        <v>11077</v>
      </c>
      <c r="B2501" s="2" t="s">
        <v>228</v>
      </c>
      <c r="C2501" s="2" t="s">
        <v>911</v>
      </c>
      <c r="D2501" s="2" t="s">
        <v>969</v>
      </c>
      <c r="E2501" s="2" t="s">
        <v>970</v>
      </c>
      <c r="F2501" s="2" t="s">
        <v>11078</v>
      </c>
      <c r="G2501" s="2" t="s">
        <v>11079</v>
      </c>
      <c r="H2501" s="2" t="s">
        <v>11079</v>
      </c>
      <c r="I2501" s="2" t="s">
        <v>11080</v>
      </c>
      <c r="J2501" s="2" t="s">
        <v>918</v>
      </c>
      <c r="K2501" s="2" t="s">
        <v>620</v>
      </c>
      <c r="L2501" s="3">
        <v>18.89</v>
      </c>
      <c r="M2501" s="3">
        <v>19.83</v>
      </c>
      <c r="N2501" s="3">
        <v>34.99</v>
      </c>
      <c r="O2501" s="2" t="s">
        <v>252</v>
      </c>
      <c r="P2501" s="2" t="s">
        <v>311</v>
      </c>
      <c r="Q2501" s="2" t="s">
        <v>239</v>
      </c>
      <c r="R2501" s="2" t="s">
        <v>233</v>
      </c>
      <c r="S2501" s="2" t="s">
        <v>11081</v>
      </c>
      <c r="T2501" s="2" t="s">
        <v>395</v>
      </c>
      <c r="U2501" s="2" t="s">
        <v>233</v>
      </c>
      <c r="V2501" s="2" t="s">
        <v>3390</v>
      </c>
      <c r="W2501" s="2" t="s">
        <v>275</v>
      </c>
      <c r="X2501" s="2" t="s">
        <v>2082</v>
      </c>
      <c r="Y2501" s="2" t="s">
        <v>276</v>
      </c>
      <c r="Z2501" s="4"/>
      <c r="AA2501" s="4">
        <f>=ROUNDDOWN({0},0)</f>
      </c>
      <c r="AB2501" s="5">
        <v>5.7</v>
      </c>
      <c r="AC2501" s="2" t="s">
        <v>233</v>
      </c>
      <c r="AD2501" s="4"/>
      <c r="AE2501" s="4"/>
      <c r="AF2501" s="6">
        <v>65</v>
      </c>
      <c r="AG2501" s="6"/>
      <c r="AH2501" s="7">
        <v>0</v>
      </c>
      <c r="AI2501" s="4"/>
      <c r="AJ2501" s="4">
        <f>=ROUNDDOWN({0},0)</f>
      </c>
      <c r="AK2501" s="5"/>
      <c r="AL2501" s="2" t="s">
        <v>233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/>
      <c r="BD2501" s="8"/>
      <c r="BE2501" s="4"/>
      <c r="BF2501" s="8"/>
      <c r="BG2501" s="7"/>
      <c r="BH2501" s="7"/>
      <c r="BI2501" s="7"/>
      <c r="BJ2501" s="4"/>
      <c r="BK2501" s="8"/>
      <c r="BL2501" s="2" t="s">
        <v>11082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11083</v>
      </c>
      <c r="BV2501" s="2" t="s">
        <v>233</v>
      </c>
      <c r="BW2501" s="2" t="s">
        <v>233</v>
      </c>
      <c r="BX2501" s="2" t="s">
        <v>233</v>
      </c>
      <c r="BY2501" s="2" t="s">
        <v>280</v>
      </c>
      <c r="BZ2501" s="2" t="s">
        <v>245</v>
      </c>
      <c r="CA2501" s="2" t="s">
        <v>281</v>
      </c>
      <c r="CB2501" s="2" t="s">
        <v>680</v>
      </c>
      <c r="CC2501" s="2" t="s">
        <v>246</v>
      </c>
      <c r="CD2501" s="2" t="s">
        <v>233</v>
      </c>
      <c r="CE2501" s="4"/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/>
      <c r="DP2501" s="4"/>
      <c r="DQ2501" s="4"/>
      <c r="DR2501" s="4"/>
      <c r="DS2501" s="4"/>
      <c r="DT2501" s="4"/>
      <c r="DU2501" s="4"/>
      <c r="DV2501" s="4"/>
      <c r="DW2501" s="4"/>
      <c r="DX2501" s="4"/>
      <c r="DY2501" s="4"/>
      <c r="DZ2501" s="4"/>
      <c r="EA2501" s="4"/>
      <c r="EB2501" s="4"/>
      <c r="EC2501" s="4"/>
      <c r="ED2501" s="4"/>
      <c r="EE2501" s="4"/>
      <c r="EF2501" s="4"/>
      <c r="EG2501" s="4"/>
      <c r="EH2501" s="4"/>
      <c r="EI2501" s="4"/>
      <c r="EJ2501" s="4"/>
      <c r="EK2501" s="4"/>
      <c r="EL2501" s="4"/>
      <c r="EM2501" s="4"/>
      <c r="EN2501" s="4"/>
      <c r="EO2501" s="4"/>
      <c r="EP2501" s="4"/>
      <c r="EQ2501" s="4"/>
      <c r="ER2501" s="4"/>
      <c r="ES2501" s="4"/>
      <c r="ET2501" s="4"/>
      <c r="EU2501" s="4"/>
      <c r="EV2501" s="4"/>
      <c r="EW2501" s="4"/>
      <c r="EX2501" s="4"/>
      <c r="EY2501" s="4"/>
      <c r="EZ2501" s="4"/>
      <c r="FA2501" s="4"/>
      <c r="FB2501" s="4"/>
      <c r="FC2501" s="4"/>
      <c r="FD2501" s="4"/>
      <c r="FE2501" s="4"/>
      <c r="FF2501" s="4"/>
      <c r="FG2501" s="4"/>
      <c r="FH2501" s="4"/>
      <c r="FI2501" s="4"/>
      <c r="FJ2501" s="4"/>
      <c r="FK2501" s="4"/>
      <c r="FL2501" s="4"/>
      <c r="FM2501" s="4"/>
      <c r="FN2501" s="4"/>
      <c r="FO2501" s="4"/>
      <c r="FP2501" s="4"/>
      <c r="FQ2501" s="4"/>
      <c r="FR2501" s="4"/>
      <c r="FS2501" s="4"/>
      <c r="FT2501" s="4"/>
      <c r="FU2501" s="4"/>
      <c r="FV2501" s="4"/>
      <c r="FW2501" s="4"/>
      <c r="FX2501" s="4"/>
      <c r="FY2501" s="4"/>
      <c r="FZ2501" s="4"/>
      <c r="GA2501" s="4"/>
      <c r="GB2501" s="4"/>
      <c r="GC2501" s="4"/>
      <c r="GD2501" s="4"/>
      <c r="GE2501" s="4"/>
      <c r="GF2501" s="4"/>
      <c r="GG2501" s="4"/>
      <c r="GH2501" s="4"/>
      <c r="GI2501" s="4"/>
      <c r="GJ2501" s="4"/>
      <c r="GK2501" s="4"/>
      <c r="GL2501" s="4"/>
      <c r="GM2501" s="4"/>
      <c r="GN2501" s="4"/>
      <c r="GO2501" s="4"/>
      <c r="GP2501" s="4"/>
      <c r="GQ2501" s="4"/>
      <c r="GR2501" s="4"/>
      <c r="GS2501" s="4"/>
      <c r="GT2501" s="4"/>
      <c r="GU2501" s="4"/>
      <c r="GV2501" s="4"/>
      <c r="GW2501" s="4"/>
      <c r="GX2501" s="4"/>
      <c r="GY2501" s="4"/>
      <c r="GZ2501" s="4"/>
      <c r="HA2501" s="4"/>
      <c r="HB2501" s="4"/>
      <c r="HC2501" s="4"/>
      <c r="HD2501" s="4"/>
      <c r="HE2501" s="4"/>
      <c r="HF2501" s="4"/>
      <c r="HG2501" s="4"/>
      <c r="HH2501" s="4"/>
      <c r="HI2501" s="4"/>
      <c r="HJ2501" s="4"/>
      <c r="HK2501" s="4"/>
      <c r="HL2501" s="4"/>
      <c r="HM2501" s="4"/>
      <c r="HN2501" s="4"/>
      <c r="HO2501" s="4"/>
      <c r="HP2501" s="4"/>
      <c r="HQ2501" s="4"/>
      <c r="HR2501" s="4"/>
    </row>
    <row r="2502">
      <c r="A2502" s="2" t="s">
        <v>11084</v>
      </c>
      <c r="B2502" s="2" t="s">
        <v>1276</v>
      </c>
      <c r="C2502" s="2" t="s">
        <v>1277</v>
      </c>
      <c r="D2502" s="2" t="s">
        <v>1278</v>
      </c>
      <c r="E2502" s="2" t="s">
        <v>1279</v>
      </c>
      <c r="F2502" s="2" t="s">
        <v>11085</v>
      </c>
      <c r="G2502" s="2" t="s">
        <v>11085</v>
      </c>
      <c r="H2502" s="2" t="s">
        <v>11085</v>
      </c>
      <c r="I2502" s="2" t="s">
        <v>11086</v>
      </c>
      <c r="J2502" s="2" t="s">
        <v>2695</v>
      </c>
      <c r="K2502" s="2" t="s">
        <v>11087</v>
      </c>
      <c r="L2502" s="3">
        <v>9.27</v>
      </c>
      <c r="M2502" s="3">
        <v>9.73</v>
      </c>
      <c r="N2502" s="3">
        <v>19.99</v>
      </c>
      <c r="O2502" s="2" t="s">
        <v>245</v>
      </c>
      <c r="P2502" s="2" t="s">
        <v>238</v>
      </c>
      <c r="Q2502" s="2" t="s">
        <v>239</v>
      </c>
      <c r="R2502" s="2" t="s">
        <v>233</v>
      </c>
      <c r="S2502" s="2" t="s">
        <v>233</v>
      </c>
      <c r="T2502" s="2" t="s">
        <v>233</v>
      </c>
      <c r="U2502" s="2" t="s">
        <v>396</v>
      </c>
      <c r="V2502" s="2" t="s">
        <v>893</v>
      </c>
      <c r="W2502" s="2" t="s">
        <v>275</v>
      </c>
      <c r="X2502" s="2" t="s">
        <v>233</v>
      </c>
      <c r="Y2502" s="2" t="s">
        <v>2973</v>
      </c>
      <c r="Z2502" s="4">
        <v>500</v>
      </c>
      <c r="AA2502" s="4">
        <f>=ROUNDDOWN(45.4545454545455,0)</f>
      </c>
      <c r="AB2502" s="5">
        <v>11</v>
      </c>
      <c r="AC2502" s="2" t="s">
        <v>233</v>
      </c>
      <c r="AD2502" s="4"/>
      <c r="AE2502" s="4"/>
      <c r="AF2502" s="6">
        <v>65</v>
      </c>
      <c r="AG2502" s="6"/>
      <c r="AH2502" s="7">
        <v>1</v>
      </c>
      <c r="AI2502" s="4"/>
      <c r="AJ2502" s="4">
        <f>=ROUNDDOWN({0},0)</f>
      </c>
      <c r="AK2502" s="5"/>
      <c r="AL2502" s="2" t="s">
        <v>233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 t="s">
        <v>233</v>
      </c>
      <c r="AW2502" s="8" t="s">
        <v>233</v>
      </c>
      <c r="AX2502" s="4" t="s">
        <v>233</v>
      </c>
      <c r="AY2502" s="8" t="s">
        <v>233</v>
      </c>
      <c r="AZ2502" s="7" t="s">
        <v>233</v>
      </c>
      <c r="BA2502" s="7" t="s">
        <v>233</v>
      </c>
      <c r="BB2502" s="7"/>
      <c r="BC2502" s="4" t="s">
        <v>233</v>
      </c>
      <c r="BD2502" s="8" t="s">
        <v>233</v>
      </c>
      <c r="BE2502" s="4" t="s">
        <v>233</v>
      </c>
      <c r="BF2502" s="8" t="s">
        <v>233</v>
      </c>
      <c r="BG2502" s="7" t="s">
        <v>233</v>
      </c>
      <c r="BH2502" s="7" t="s">
        <v>233</v>
      </c>
      <c r="BI2502" s="7"/>
      <c r="BJ2502" s="4">
        <v>1</v>
      </c>
      <c r="BK2502" s="8">
        <v>9.73</v>
      </c>
      <c r="BL2502" s="2" t="s">
        <v>1028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243</v>
      </c>
      <c r="BV2502" s="2" t="s">
        <v>233</v>
      </c>
      <c r="BW2502" s="2" t="s">
        <v>233</v>
      </c>
      <c r="BX2502" s="2" t="s">
        <v>243</v>
      </c>
      <c r="BY2502" s="2" t="s">
        <v>346</v>
      </c>
      <c r="BZ2502" s="2" t="s">
        <v>245</v>
      </c>
      <c r="CA2502" s="2" t="s">
        <v>233</v>
      </c>
      <c r="CB2502" s="2" t="s">
        <v>233</v>
      </c>
      <c r="CC2502" s="2" t="s">
        <v>246</v>
      </c>
      <c r="CD2502" s="2" t="s">
        <v>233</v>
      </c>
      <c r="CE2502" s="4"/>
      <c r="CF2502" s="4">
        <v>243</v>
      </c>
      <c r="CG2502" s="4"/>
      <c r="CH2502" s="4"/>
      <c r="CI2502" s="4">
        <v>257</v>
      </c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  <c r="DP2502" s="4"/>
      <c r="DQ2502" s="4"/>
      <c r="DR2502" s="4"/>
      <c r="DS2502" s="4"/>
      <c r="DT2502" s="4"/>
      <c r="DU2502" s="4"/>
      <c r="DV2502" s="4"/>
      <c r="DW2502" s="4"/>
      <c r="DX2502" s="4"/>
      <c r="DY2502" s="4"/>
      <c r="DZ2502" s="4"/>
      <c r="EA2502" s="4"/>
      <c r="EB2502" s="4"/>
      <c r="EC2502" s="4"/>
      <c r="ED2502" s="4"/>
      <c r="EE2502" s="4"/>
      <c r="EF2502" s="4"/>
      <c r="EG2502" s="4"/>
      <c r="EH2502" s="4"/>
      <c r="EI2502" s="4"/>
      <c r="EJ2502" s="4"/>
      <c r="EK2502" s="4"/>
      <c r="EL2502" s="4"/>
      <c r="EM2502" s="4"/>
      <c r="EN2502" s="4"/>
      <c r="EO2502" s="4"/>
      <c r="EP2502" s="4"/>
      <c r="EQ2502" s="4"/>
      <c r="ER2502" s="4"/>
      <c r="ES2502" s="4"/>
      <c r="ET2502" s="4"/>
      <c r="EU2502" s="4"/>
      <c r="EV2502" s="4"/>
      <c r="EW2502" s="4"/>
      <c r="EX2502" s="4"/>
      <c r="EY2502" s="4"/>
      <c r="EZ2502" s="4"/>
      <c r="FA2502" s="4"/>
      <c r="FB2502" s="4"/>
      <c r="FC2502" s="4"/>
      <c r="FD2502" s="4"/>
      <c r="FE2502" s="4"/>
      <c r="FF2502" s="4"/>
      <c r="FG2502" s="4"/>
      <c r="FH2502" s="4"/>
      <c r="FI2502" s="4"/>
      <c r="FJ2502" s="4"/>
      <c r="FK2502" s="4"/>
      <c r="FL2502" s="4"/>
      <c r="FM2502" s="4"/>
      <c r="FN2502" s="4"/>
      <c r="FO2502" s="4"/>
      <c r="FP2502" s="4"/>
      <c r="FQ2502" s="4"/>
      <c r="FR2502" s="4"/>
      <c r="FS2502" s="4"/>
      <c r="FT2502" s="4"/>
      <c r="FU2502" s="4"/>
      <c r="FV2502" s="4"/>
      <c r="FW2502" s="4"/>
      <c r="FX2502" s="4"/>
      <c r="FY2502" s="4"/>
      <c r="FZ2502" s="4"/>
      <c r="GA2502" s="4"/>
      <c r="GB2502" s="4"/>
      <c r="GC2502" s="4"/>
      <c r="GD2502" s="4"/>
      <c r="GE2502" s="4"/>
      <c r="GF2502" s="4"/>
      <c r="GG2502" s="4"/>
      <c r="GH2502" s="4"/>
      <c r="GI2502" s="4"/>
      <c r="GJ2502" s="4"/>
      <c r="GK2502" s="4"/>
      <c r="GL2502" s="4"/>
      <c r="GM2502" s="4"/>
      <c r="GN2502" s="4"/>
      <c r="GO2502" s="4"/>
      <c r="GP2502" s="4"/>
      <c r="GQ2502" s="4"/>
      <c r="GR2502" s="4"/>
      <c r="GS2502" s="4"/>
      <c r="GT2502" s="4"/>
      <c r="GU2502" s="4"/>
      <c r="GV2502" s="4"/>
      <c r="GW2502" s="4"/>
      <c r="GX2502" s="4"/>
      <c r="GY2502" s="4"/>
      <c r="GZ2502" s="4"/>
      <c r="HA2502" s="4"/>
      <c r="HB2502" s="4"/>
      <c r="HC2502" s="4"/>
      <c r="HD2502" s="4"/>
      <c r="HE2502" s="4"/>
      <c r="HF2502" s="4"/>
      <c r="HG2502" s="4"/>
      <c r="HH2502" s="4"/>
      <c r="HI2502" s="4"/>
      <c r="HJ2502" s="4"/>
      <c r="HK2502" s="4"/>
      <c r="HL2502" s="4"/>
      <c r="HM2502" s="4"/>
      <c r="HN2502" s="4"/>
      <c r="HO2502" s="4"/>
      <c r="HP2502" s="4"/>
      <c r="HQ2502" s="4"/>
      <c r="HR2502" s="4"/>
    </row>
    <row r="2503">
      <c r="A2503" s="2" t="s">
        <v>11088</v>
      </c>
      <c r="B2503" s="2" t="s">
        <v>1276</v>
      </c>
      <c r="C2503" s="2" t="s">
        <v>1277</v>
      </c>
      <c r="D2503" s="2" t="s">
        <v>1278</v>
      </c>
      <c r="E2503" s="2" t="s">
        <v>1279</v>
      </c>
      <c r="F2503" s="2" t="s">
        <v>11085</v>
      </c>
      <c r="G2503" s="2" t="s">
        <v>11085</v>
      </c>
      <c r="H2503" s="2" t="s">
        <v>11085</v>
      </c>
      <c r="I2503" s="2" t="s">
        <v>11086</v>
      </c>
      <c r="J2503" s="2" t="s">
        <v>1282</v>
      </c>
      <c r="K2503" s="2" t="s">
        <v>11087</v>
      </c>
      <c r="L2503" s="3">
        <v>11.12</v>
      </c>
      <c r="M2503" s="3">
        <v>11.68</v>
      </c>
      <c r="N2503" s="3">
        <v>25.99</v>
      </c>
      <c r="O2503" s="2" t="s">
        <v>245</v>
      </c>
      <c r="P2503" s="2" t="s">
        <v>238</v>
      </c>
      <c r="Q2503" s="2" t="s">
        <v>239</v>
      </c>
      <c r="R2503" s="2" t="s">
        <v>233</v>
      </c>
      <c r="S2503" s="2" t="s">
        <v>233</v>
      </c>
      <c r="T2503" s="2" t="s">
        <v>233</v>
      </c>
      <c r="U2503" s="2" t="s">
        <v>396</v>
      </c>
      <c r="V2503" s="2" t="s">
        <v>893</v>
      </c>
      <c r="W2503" s="2" t="s">
        <v>275</v>
      </c>
      <c r="X2503" s="2" t="s">
        <v>233</v>
      </c>
      <c r="Y2503" s="2" t="s">
        <v>2973</v>
      </c>
      <c r="Z2503" s="4">
        <v>415</v>
      </c>
      <c r="AA2503" s="4">
        <f>=ROUNDDOWN(34.5833333333333,0)</f>
      </c>
      <c r="AB2503" s="5">
        <v>12</v>
      </c>
      <c r="AC2503" s="2" t="s">
        <v>233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233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 t="s">
        <v>233</v>
      </c>
      <c r="AW2503" s="8" t="s">
        <v>233</v>
      </c>
      <c r="AX2503" s="4" t="s">
        <v>233</v>
      </c>
      <c r="AY2503" s="8" t="s">
        <v>233</v>
      </c>
      <c r="AZ2503" s="7" t="s">
        <v>233</v>
      </c>
      <c r="BA2503" s="7" t="s">
        <v>233</v>
      </c>
      <c r="BB2503" s="7"/>
      <c r="BC2503" s="4" t="s">
        <v>233</v>
      </c>
      <c r="BD2503" s="8" t="s">
        <v>233</v>
      </c>
      <c r="BE2503" s="4" t="s">
        <v>233</v>
      </c>
      <c r="BF2503" s="8" t="s">
        <v>233</v>
      </c>
      <c r="BG2503" s="7" t="s">
        <v>233</v>
      </c>
      <c r="BH2503" s="7" t="s">
        <v>233</v>
      </c>
      <c r="BI2503" s="7"/>
      <c r="BJ2503" s="4">
        <v>20</v>
      </c>
      <c r="BK2503" s="8">
        <v>252.27</v>
      </c>
      <c r="BL2503" s="2" t="s">
        <v>5134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243</v>
      </c>
      <c r="BV2503" s="2" t="s">
        <v>233</v>
      </c>
      <c r="BW2503" s="2" t="s">
        <v>233</v>
      </c>
      <c r="BX2503" s="2" t="s">
        <v>243</v>
      </c>
      <c r="BY2503" s="2" t="s">
        <v>346</v>
      </c>
      <c r="BZ2503" s="2" t="s">
        <v>245</v>
      </c>
      <c r="CA2503" s="2" t="s">
        <v>233</v>
      </c>
      <c r="CB2503" s="2" t="s">
        <v>233</v>
      </c>
      <c r="CC2503" s="2" t="s">
        <v>246</v>
      </c>
      <c r="CD2503" s="2" t="s">
        <v>233</v>
      </c>
      <c r="CE2503" s="4"/>
      <c r="CF2503" s="4">
        <v>235</v>
      </c>
      <c r="CG2503" s="4"/>
      <c r="CH2503" s="4"/>
      <c r="CI2503" s="4">
        <v>180</v>
      </c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  <c r="DP2503" s="4"/>
      <c r="DQ2503" s="4"/>
      <c r="DR2503" s="4"/>
      <c r="DS2503" s="4"/>
      <c r="DT2503" s="4"/>
      <c r="DU2503" s="4"/>
      <c r="DV2503" s="4"/>
      <c r="DW2503" s="4"/>
      <c r="DX2503" s="4"/>
      <c r="DY2503" s="4"/>
      <c r="DZ2503" s="4"/>
      <c r="EA2503" s="4"/>
      <c r="EB2503" s="4"/>
      <c r="EC2503" s="4"/>
      <c r="ED2503" s="4"/>
      <c r="EE2503" s="4"/>
      <c r="EF2503" s="4"/>
      <c r="EG2503" s="4"/>
      <c r="EH2503" s="4"/>
      <c r="EI2503" s="4"/>
      <c r="EJ2503" s="4"/>
      <c r="EK2503" s="4"/>
      <c r="EL2503" s="4"/>
      <c r="EM2503" s="4"/>
      <c r="EN2503" s="4"/>
      <c r="EO2503" s="4"/>
      <c r="EP2503" s="4"/>
      <c r="EQ2503" s="4"/>
      <c r="ER2503" s="4"/>
      <c r="ES2503" s="4"/>
      <c r="ET2503" s="4"/>
      <c r="EU2503" s="4"/>
      <c r="EV2503" s="4"/>
      <c r="EW2503" s="4"/>
      <c r="EX2503" s="4"/>
      <c r="EY2503" s="4"/>
      <c r="EZ2503" s="4"/>
      <c r="FA2503" s="4"/>
      <c r="FB2503" s="4"/>
      <c r="FC2503" s="4"/>
      <c r="FD2503" s="4"/>
      <c r="FE2503" s="4"/>
      <c r="FF2503" s="4"/>
      <c r="FG2503" s="4"/>
      <c r="FH2503" s="4"/>
      <c r="FI2503" s="4"/>
      <c r="FJ2503" s="4"/>
      <c r="FK2503" s="4"/>
      <c r="FL2503" s="4"/>
      <c r="FM2503" s="4"/>
      <c r="FN2503" s="4"/>
      <c r="FO2503" s="4"/>
      <c r="FP2503" s="4"/>
      <c r="FQ2503" s="4"/>
      <c r="FR2503" s="4"/>
      <c r="FS2503" s="4"/>
      <c r="FT2503" s="4"/>
      <c r="FU2503" s="4"/>
      <c r="FV2503" s="4"/>
      <c r="FW2503" s="4"/>
      <c r="FX2503" s="4"/>
      <c r="FY2503" s="4"/>
      <c r="FZ2503" s="4"/>
      <c r="GA2503" s="4"/>
      <c r="GB2503" s="4"/>
      <c r="GC2503" s="4"/>
      <c r="GD2503" s="4"/>
      <c r="GE2503" s="4"/>
      <c r="GF2503" s="4"/>
      <c r="GG2503" s="4"/>
      <c r="GH2503" s="4"/>
      <c r="GI2503" s="4"/>
      <c r="GJ2503" s="4"/>
      <c r="GK2503" s="4"/>
      <c r="GL2503" s="4"/>
      <c r="GM2503" s="4"/>
      <c r="GN2503" s="4"/>
      <c r="GO2503" s="4"/>
      <c r="GP2503" s="4"/>
      <c r="GQ2503" s="4"/>
      <c r="GR2503" s="4"/>
      <c r="GS2503" s="4"/>
      <c r="GT2503" s="4"/>
      <c r="GU2503" s="4"/>
      <c r="GV2503" s="4"/>
      <c r="GW2503" s="4"/>
      <c r="GX2503" s="4"/>
      <c r="GY2503" s="4"/>
      <c r="GZ2503" s="4"/>
      <c r="HA2503" s="4"/>
      <c r="HB2503" s="4"/>
      <c r="HC2503" s="4"/>
      <c r="HD2503" s="4"/>
      <c r="HE2503" s="4"/>
      <c r="HF2503" s="4"/>
      <c r="HG2503" s="4"/>
      <c r="HH2503" s="4"/>
      <c r="HI2503" s="4"/>
      <c r="HJ2503" s="4"/>
      <c r="HK2503" s="4"/>
      <c r="HL2503" s="4"/>
      <c r="HM2503" s="4"/>
      <c r="HN2503" s="4"/>
      <c r="HO2503" s="4"/>
      <c r="HP2503" s="4"/>
      <c r="HQ2503" s="4"/>
      <c r="HR2503" s="4"/>
    </row>
    <row r="2504">
      <c r="A2504" s="2" t="s">
        <v>11089</v>
      </c>
      <c r="B2504" s="2" t="s">
        <v>1276</v>
      </c>
      <c r="C2504" s="2" t="s">
        <v>1277</v>
      </c>
      <c r="D2504" s="2" t="s">
        <v>1278</v>
      </c>
      <c r="E2504" s="2" t="s">
        <v>1279</v>
      </c>
      <c r="F2504" s="2" t="s">
        <v>11085</v>
      </c>
      <c r="G2504" s="2" t="s">
        <v>11085</v>
      </c>
      <c r="H2504" s="2" t="s">
        <v>11085</v>
      </c>
      <c r="I2504" s="2" t="s">
        <v>11086</v>
      </c>
      <c r="J2504" s="2" t="s">
        <v>1287</v>
      </c>
      <c r="K2504" s="2" t="s">
        <v>11087</v>
      </c>
      <c r="L2504" s="3">
        <v>14.04</v>
      </c>
      <c r="M2504" s="3">
        <v>14.74</v>
      </c>
      <c r="N2504" s="3">
        <v>29.99</v>
      </c>
      <c r="O2504" s="2" t="s">
        <v>245</v>
      </c>
      <c r="P2504" s="2" t="s">
        <v>238</v>
      </c>
      <c r="Q2504" s="2" t="s">
        <v>239</v>
      </c>
      <c r="R2504" s="2" t="s">
        <v>233</v>
      </c>
      <c r="S2504" s="2" t="s">
        <v>233</v>
      </c>
      <c r="T2504" s="2" t="s">
        <v>233</v>
      </c>
      <c r="U2504" s="2" t="s">
        <v>396</v>
      </c>
      <c r="V2504" s="2" t="s">
        <v>893</v>
      </c>
      <c r="W2504" s="2" t="s">
        <v>275</v>
      </c>
      <c r="X2504" s="2" t="s">
        <v>233</v>
      </c>
      <c r="Y2504" s="2" t="s">
        <v>2973</v>
      </c>
      <c r="Z2504" s="4">
        <v>400</v>
      </c>
      <c r="AA2504" s="4">
        <f>=ROUNDDOWN(33.3333333333333,0)</f>
      </c>
      <c r="AB2504" s="5">
        <v>12</v>
      </c>
      <c r="AC2504" s="2" t="s">
        <v>233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233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 t="s">
        <v>233</v>
      </c>
      <c r="AW2504" s="8" t="s">
        <v>233</v>
      </c>
      <c r="AX2504" s="4" t="s">
        <v>233</v>
      </c>
      <c r="AY2504" s="8" t="s">
        <v>233</v>
      </c>
      <c r="AZ2504" s="7" t="s">
        <v>233</v>
      </c>
      <c r="BA2504" s="7" t="s">
        <v>233</v>
      </c>
      <c r="BB2504" s="7"/>
      <c r="BC2504" s="4" t="s">
        <v>233</v>
      </c>
      <c r="BD2504" s="8" t="s">
        <v>233</v>
      </c>
      <c r="BE2504" s="4" t="s">
        <v>233</v>
      </c>
      <c r="BF2504" s="8" t="s">
        <v>233</v>
      </c>
      <c r="BG2504" s="7" t="s">
        <v>233</v>
      </c>
      <c r="BH2504" s="7" t="s">
        <v>233</v>
      </c>
      <c r="BI2504" s="7"/>
      <c r="BJ2504" s="4">
        <v>59</v>
      </c>
      <c r="BK2504" s="8">
        <v>950.03</v>
      </c>
      <c r="BL2504" s="2" t="s">
        <v>5134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243</v>
      </c>
      <c r="BV2504" s="2" t="s">
        <v>233</v>
      </c>
      <c r="BW2504" s="2" t="s">
        <v>233</v>
      </c>
      <c r="BX2504" s="2" t="s">
        <v>243</v>
      </c>
      <c r="BY2504" s="2" t="s">
        <v>346</v>
      </c>
      <c r="BZ2504" s="2" t="s">
        <v>245</v>
      </c>
      <c r="CA2504" s="2" t="s">
        <v>233</v>
      </c>
      <c r="CB2504" s="2" t="s">
        <v>233</v>
      </c>
      <c r="CC2504" s="2" t="s">
        <v>246</v>
      </c>
      <c r="CD2504" s="2" t="s">
        <v>233</v>
      </c>
      <c r="CE2504" s="4"/>
      <c r="CF2504" s="4">
        <v>224</v>
      </c>
      <c r="CG2504" s="4"/>
      <c r="CH2504" s="4"/>
      <c r="CI2504" s="4">
        <v>176</v>
      </c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  <c r="DP2504" s="4"/>
      <c r="DQ2504" s="4"/>
      <c r="DR2504" s="4"/>
      <c r="DS2504" s="4"/>
      <c r="DT2504" s="4"/>
      <c r="DU2504" s="4"/>
      <c r="DV2504" s="4"/>
      <c r="DW2504" s="4"/>
      <c r="DX2504" s="4"/>
      <c r="DY2504" s="4"/>
      <c r="DZ2504" s="4"/>
      <c r="EA2504" s="4"/>
      <c r="EB2504" s="4"/>
      <c r="EC2504" s="4"/>
      <c r="ED2504" s="4"/>
      <c r="EE2504" s="4"/>
      <c r="EF2504" s="4"/>
      <c r="EG2504" s="4"/>
      <c r="EH2504" s="4"/>
      <c r="EI2504" s="4"/>
      <c r="EJ2504" s="4"/>
      <c r="EK2504" s="4"/>
      <c r="EL2504" s="4"/>
      <c r="EM2504" s="4"/>
      <c r="EN2504" s="4"/>
      <c r="EO2504" s="4"/>
      <c r="EP2504" s="4"/>
      <c r="EQ2504" s="4"/>
      <c r="ER2504" s="4"/>
      <c r="ES2504" s="4"/>
      <c r="ET2504" s="4"/>
      <c r="EU2504" s="4"/>
      <c r="EV2504" s="4"/>
      <c r="EW2504" s="4"/>
      <c r="EX2504" s="4"/>
      <c r="EY2504" s="4"/>
      <c r="EZ2504" s="4"/>
      <c r="FA2504" s="4"/>
      <c r="FB2504" s="4"/>
      <c r="FC2504" s="4"/>
      <c r="FD2504" s="4"/>
      <c r="FE2504" s="4"/>
      <c r="FF2504" s="4"/>
      <c r="FG2504" s="4"/>
      <c r="FH2504" s="4"/>
      <c r="FI2504" s="4"/>
      <c r="FJ2504" s="4"/>
      <c r="FK2504" s="4"/>
      <c r="FL2504" s="4"/>
      <c r="FM2504" s="4"/>
      <c r="FN2504" s="4"/>
      <c r="FO2504" s="4"/>
      <c r="FP2504" s="4"/>
      <c r="FQ2504" s="4"/>
      <c r="FR2504" s="4"/>
      <c r="FS2504" s="4"/>
      <c r="FT2504" s="4"/>
      <c r="FU2504" s="4"/>
      <c r="FV2504" s="4"/>
      <c r="FW2504" s="4"/>
      <c r="FX2504" s="4"/>
      <c r="FY2504" s="4"/>
      <c r="FZ2504" s="4"/>
      <c r="GA2504" s="4"/>
      <c r="GB2504" s="4"/>
      <c r="GC2504" s="4"/>
      <c r="GD2504" s="4"/>
      <c r="GE2504" s="4"/>
      <c r="GF2504" s="4"/>
      <c r="GG2504" s="4"/>
      <c r="GH2504" s="4"/>
      <c r="GI2504" s="4"/>
      <c r="GJ2504" s="4"/>
      <c r="GK2504" s="4"/>
      <c r="GL2504" s="4"/>
      <c r="GM2504" s="4"/>
      <c r="GN2504" s="4"/>
      <c r="GO2504" s="4"/>
      <c r="GP2504" s="4"/>
      <c r="GQ2504" s="4"/>
      <c r="GR2504" s="4"/>
      <c r="GS2504" s="4"/>
      <c r="GT2504" s="4"/>
      <c r="GU2504" s="4"/>
      <c r="GV2504" s="4"/>
      <c r="GW2504" s="4"/>
      <c r="GX2504" s="4"/>
      <c r="GY2504" s="4"/>
      <c r="GZ2504" s="4"/>
      <c r="HA2504" s="4"/>
      <c r="HB2504" s="4"/>
      <c r="HC2504" s="4"/>
      <c r="HD2504" s="4"/>
      <c r="HE2504" s="4"/>
      <c r="HF2504" s="4"/>
      <c r="HG2504" s="4"/>
      <c r="HH2504" s="4"/>
      <c r="HI2504" s="4"/>
      <c r="HJ2504" s="4"/>
      <c r="HK2504" s="4"/>
      <c r="HL2504" s="4"/>
      <c r="HM2504" s="4"/>
      <c r="HN2504" s="4"/>
      <c r="HO2504" s="4"/>
      <c r="HP2504" s="4"/>
      <c r="HQ2504" s="4"/>
      <c r="HR2504" s="4"/>
    </row>
    <row r="2505">
      <c r="A2505" s="2" t="s">
        <v>11090</v>
      </c>
      <c r="B2505" s="2" t="s">
        <v>1276</v>
      </c>
      <c r="C2505" s="2" t="s">
        <v>1277</v>
      </c>
      <c r="D2505" s="2" t="s">
        <v>1278</v>
      </c>
      <c r="E2505" s="2" t="s">
        <v>1279</v>
      </c>
      <c r="F2505" s="2" t="s">
        <v>11085</v>
      </c>
      <c r="G2505" s="2" t="s">
        <v>11085</v>
      </c>
      <c r="H2505" s="2" t="s">
        <v>11085</v>
      </c>
      <c r="I2505" s="2" t="s">
        <v>11086</v>
      </c>
      <c r="J2505" s="2" t="s">
        <v>1290</v>
      </c>
      <c r="K2505" s="2" t="s">
        <v>11087</v>
      </c>
      <c r="L2505" s="3">
        <v>16.45</v>
      </c>
      <c r="M2505" s="3">
        <v>17.27</v>
      </c>
      <c r="N2505" s="3">
        <v>34.99</v>
      </c>
      <c r="O2505" s="2" t="s">
        <v>245</v>
      </c>
      <c r="P2505" s="2" t="s">
        <v>238</v>
      </c>
      <c r="Q2505" s="2" t="s">
        <v>239</v>
      </c>
      <c r="R2505" s="2" t="s">
        <v>233</v>
      </c>
      <c r="S2505" s="2" t="s">
        <v>233</v>
      </c>
      <c r="T2505" s="2" t="s">
        <v>233</v>
      </c>
      <c r="U2505" s="2" t="s">
        <v>396</v>
      </c>
      <c r="V2505" s="2" t="s">
        <v>893</v>
      </c>
      <c r="W2505" s="2" t="s">
        <v>275</v>
      </c>
      <c r="X2505" s="2" t="s">
        <v>233</v>
      </c>
      <c r="Y2505" s="2" t="s">
        <v>2973</v>
      </c>
      <c r="Z2505" s="4">
        <v>517</v>
      </c>
      <c r="AA2505" s="4">
        <f>=ROUNDDOWN(64.625,0)</f>
      </c>
      <c r="AB2505" s="5">
        <v>8</v>
      </c>
      <c r="AC2505" s="2" t="s">
        <v>233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233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 t="s">
        <v>233</v>
      </c>
      <c r="AW2505" s="8" t="s">
        <v>233</v>
      </c>
      <c r="AX2505" s="4" t="s">
        <v>233</v>
      </c>
      <c r="AY2505" s="8" t="s">
        <v>233</v>
      </c>
      <c r="AZ2505" s="7" t="s">
        <v>233</v>
      </c>
      <c r="BA2505" s="7" t="s">
        <v>233</v>
      </c>
      <c r="BB2505" s="7"/>
      <c r="BC2505" s="4" t="s">
        <v>233</v>
      </c>
      <c r="BD2505" s="8" t="s">
        <v>233</v>
      </c>
      <c r="BE2505" s="4" t="s">
        <v>233</v>
      </c>
      <c r="BF2505" s="8" t="s">
        <v>233</v>
      </c>
      <c r="BG2505" s="7" t="s">
        <v>233</v>
      </c>
      <c r="BH2505" s="7" t="s">
        <v>233</v>
      </c>
      <c r="BI2505" s="7"/>
      <c r="BJ2505" s="4">
        <v>11</v>
      </c>
      <c r="BK2505" s="8">
        <v>204.73</v>
      </c>
      <c r="BL2505" s="2" t="s">
        <v>5134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243</v>
      </c>
      <c r="BV2505" s="2" t="s">
        <v>233</v>
      </c>
      <c r="BW2505" s="2" t="s">
        <v>233</v>
      </c>
      <c r="BX2505" s="2" t="s">
        <v>243</v>
      </c>
      <c r="BY2505" s="2" t="s">
        <v>346</v>
      </c>
      <c r="BZ2505" s="2" t="s">
        <v>245</v>
      </c>
      <c r="CA2505" s="2" t="s">
        <v>233</v>
      </c>
      <c r="CB2505" s="2" t="s">
        <v>233</v>
      </c>
      <c r="CC2505" s="2" t="s">
        <v>246</v>
      </c>
      <c r="CD2505" s="2" t="s">
        <v>233</v>
      </c>
      <c r="CE2505" s="4"/>
      <c r="CF2505" s="4">
        <v>279</v>
      </c>
      <c r="CG2505" s="4"/>
      <c r="CH2505" s="4"/>
      <c r="CI2505" s="4">
        <v>238</v>
      </c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  <c r="DP2505" s="4"/>
      <c r="DQ2505" s="4"/>
      <c r="DR2505" s="4"/>
      <c r="DS2505" s="4"/>
      <c r="DT2505" s="4"/>
      <c r="DU2505" s="4"/>
      <c r="DV2505" s="4"/>
      <c r="DW2505" s="4"/>
      <c r="DX2505" s="4"/>
      <c r="DY2505" s="4"/>
      <c r="DZ2505" s="4"/>
      <c r="EA2505" s="4"/>
      <c r="EB2505" s="4"/>
      <c r="EC2505" s="4"/>
      <c r="ED2505" s="4"/>
      <c r="EE2505" s="4"/>
      <c r="EF2505" s="4"/>
      <c r="EG2505" s="4"/>
      <c r="EH2505" s="4"/>
      <c r="EI2505" s="4"/>
      <c r="EJ2505" s="4"/>
      <c r="EK2505" s="4"/>
      <c r="EL2505" s="4"/>
      <c r="EM2505" s="4"/>
      <c r="EN2505" s="4"/>
      <c r="EO2505" s="4"/>
      <c r="EP2505" s="4"/>
      <c r="EQ2505" s="4"/>
      <c r="ER2505" s="4"/>
      <c r="ES2505" s="4"/>
      <c r="ET2505" s="4"/>
      <c r="EU2505" s="4"/>
      <c r="EV2505" s="4"/>
      <c r="EW2505" s="4"/>
      <c r="EX2505" s="4"/>
      <c r="EY2505" s="4"/>
      <c r="EZ2505" s="4"/>
      <c r="FA2505" s="4"/>
      <c r="FB2505" s="4"/>
      <c r="FC2505" s="4"/>
      <c r="FD2505" s="4"/>
      <c r="FE2505" s="4"/>
      <c r="FF2505" s="4"/>
      <c r="FG2505" s="4"/>
      <c r="FH2505" s="4"/>
      <c r="FI2505" s="4"/>
      <c r="FJ2505" s="4"/>
      <c r="FK2505" s="4"/>
      <c r="FL2505" s="4"/>
      <c r="FM2505" s="4"/>
      <c r="FN2505" s="4"/>
      <c r="FO2505" s="4"/>
      <c r="FP2505" s="4"/>
      <c r="FQ2505" s="4"/>
      <c r="FR2505" s="4"/>
      <c r="FS2505" s="4"/>
      <c r="FT2505" s="4"/>
      <c r="FU2505" s="4"/>
      <c r="FV2505" s="4"/>
      <c r="FW2505" s="4"/>
      <c r="FX2505" s="4"/>
      <c r="FY2505" s="4"/>
      <c r="FZ2505" s="4"/>
      <c r="GA2505" s="4"/>
      <c r="GB2505" s="4"/>
      <c r="GC2505" s="4"/>
      <c r="GD2505" s="4"/>
      <c r="GE2505" s="4"/>
      <c r="GF2505" s="4"/>
      <c r="GG2505" s="4"/>
      <c r="GH2505" s="4"/>
      <c r="GI2505" s="4"/>
      <c r="GJ2505" s="4"/>
      <c r="GK2505" s="4"/>
      <c r="GL2505" s="4"/>
      <c r="GM2505" s="4"/>
      <c r="GN2505" s="4"/>
      <c r="GO2505" s="4"/>
      <c r="GP2505" s="4"/>
      <c r="GQ2505" s="4"/>
      <c r="GR2505" s="4"/>
      <c r="GS2505" s="4"/>
      <c r="GT2505" s="4"/>
      <c r="GU2505" s="4"/>
      <c r="GV2505" s="4"/>
      <c r="GW2505" s="4"/>
      <c r="GX2505" s="4"/>
      <c r="GY2505" s="4"/>
      <c r="GZ2505" s="4"/>
      <c r="HA2505" s="4"/>
      <c r="HB2505" s="4"/>
      <c r="HC2505" s="4"/>
      <c r="HD2505" s="4"/>
      <c r="HE2505" s="4"/>
      <c r="HF2505" s="4"/>
      <c r="HG2505" s="4"/>
      <c r="HH2505" s="4"/>
      <c r="HI2505" s="4"/>
      <c r="HJ2505" s="4"/>
      <c r="HK2505" s="4"/>
      <c r="HL2505" s="4"/>
      <c r="HM2505" s="4"/>
      <c r="HN2505" s="4"/>
      <c r="HO2505" s="4"/>
      <c r="HP2505" s="4"/>
      <c r="HQ2505" s="4"/>
      <c r="HR2505" s="4"/>
    </row>
    <row r="2506">
      <c r="A2506" s="2" t="s">
        <v>11091</v>
      </c>
      <c r="B2506" s="2" t="s">
        <v>910</v>
      </c>
      <c r="C2506" s="2" t="s">
        <v>911</v>
      </c>
      <c r="D2506" s="2" t="s">
        <v>969</v>
      </c>
      <c r="E2506" s="2" t="s">
        <v>3334</v>
      </c>
      <c r="F2506" s="2" t="s">
        <v>11092</v>
      </c>
      <c r="G2506" s="2" t="s">
        <v>11093</v>
      </c>
      <c r="H2506" s="2" t="s">
        <v>11094</v>
      </c>
      <c r="I2506" s="2" t="s">
        <v>11095</v>
      </c>
      <c r="J2506" s="2" t="s">
        <v>290</v>
      </c>
      <c r="K2506" s="2" t="s">
        <v>590</v>
      </c>
      <c r="L2506" s="3">
        <v>38.4</v>
      </c>
      <c r="M2506" s="3">
        <v>40.32</v>
      </c>
      <c r="N2506" s="3">
        <v>84.99</v>
      </c>
      <c r="O2506" s="2" t="s">
        <v>245</v>
      </c>
      <c r="P2506" s="2" t="s">
        <v>311</v>
      </c>
      <c r="Q2506" s="2" t="s">
        <v>239</v>
      </c>
      <c r="R2506" s="2" t="s">
        <v>233</v>
      </c>
      <c r="S2506" s="2" t="s">
        <v>11096</v>
      </c>
      <c r="T2506" s="2" t="s">
        <v>395</v>
      </c>
      <c r="U2506" s="2" t="s">
        <v>3165</v>
      </c>
      <c r="V2506" s="2" t="s">
        <v>5239</v>
      </c>
      <c r="W2506" s="2" t="s">
        <v>1763</v>
      </c>
      <c r="X2506" s="2" t="s">
        <v>1303</v>
      </c>
      <c r="Y2506" s="2" t="s">
        <v>2884</v>
      </c>
      <c r="Z2506" s="4">
        <v>328</v>
      </c>
      <c r="AA2506" s="4">
        <f>=ROUNDDOWN(102.5,0)</f>
      </c>
      <c r="AB2506" s="5">
        <v>3.2</v>
      </c>
      <c r="AC2506" s="2" t="s">
        <v>233</v>
      </c>
      <c r="AD2506" s="4"/>
      <c r="AE2506" s="4"/>
      <c r="AF2506" s="6">
        <v>64</v>
      </c>
      <c r="AG2506" s="6"/>
      <c r="AH2506" s="7">
        <v>1</v>
      </c>
      <c r="AI2506" s="4"/>
      <c r="AJ2506" s="4">
        <f>=ROUNDDOWN({0},0)</f>
      </c>
      <c r="AK2506" s="5"/>
      <c r="AL2506" s="2" t="s">
        <v>233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/>
      <c r="BD2506" s="8"/>
      <c r="BE2506" s="4"/>
      <c r="BF2506" s="8"/>
      <c r="BG2506" s="7"/>
      <c r="BH2506" s="7"/>
      <c r="BI2506" s="7"/>
      <c r="BJ2506" s="4">
        <v>12</v>
      </c>
      <c r="BK2506" s="8">
        <v>541.44</v>
      </c>
      <c r="BL2506" s="2" t="s">
        <v>11097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11098</v>
      </c>
      <c r="BV2506" s="2" t="s">
        <v>233</v>
      </c>
      <c r="BW2506" s="2" t="s">
        <v>233</v>
      </c>
      <c r="BX2506" s="2" t="s">
        <v>233</v>
      </c>
      <c r="BY2506" s="2" t="s">
        <v>280</v>
      </c>
      <c r="BZ2506" s="2" t="s">
        <v>245</v>
      </c>
      <c r="CA2506" s="2" t="s">
        <v>9753</v>
      </c>
      <c r="CB2506" s="2" t="s">
        <v>11099</v>
      </c>
      <c r="CC2506" s="2" t="s">
        <v>246</v>
      </c>
      <c r="CD2506" s="2" t="s">
        <v>233</v>
      </c>
      <c r="CE2506" s="4">
        <v>169</v>
      </c>
      <c r="CF2506" s="4"/>
      <c r="CG2506" s="4"/>
      <c r="CH2506" s="4"/>
      <c r="CI2506" s="4">
        <v>159</v>
      </c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  <c r="DP2506" s="4"/>
      <c r="DQ2506" s="4"/>
      <c r="DR2506" s="4"/>
      <c r="DS2506" s="4"/>
      <c r="DT2506" s="4"/>
      <c r="DU2506" s="4"/>
      <c r="DV2506" s="4"/>
      <c r="DW2506" s="4"/>
      <c r="DX2506" s="4"/>
      <c r="DY2506" s="4"/>
      <c r="DZ2506" s="4"/>
      <c r="EA2506" s="4"/>
      <c r="EB2506" s="4"/>
      <c r="EC2506" s="4"/>
      <c r="ED2506" s="4"/>
      <c r="EE2506" s="4"/>
      <c r="EF2506" s="4"/>
      <c r="EG2506" s="4"/>
      <c r="EH2506" s="4"/>
      <c r="EI2506" s="4"/>
      <c r="EJ2506" s="4"/>
      <c r="EK2506" s="4"/>
      <c r="EL2506" s="4"/>
      <c r="EM2506" s="4"/>
      <c r="EN2506" s="4"/>
      <c r="EO2506" s="4"/>
      <c r="EP2506" s="4"/>
      <c r="EQ2506" s="4"/>
      <c r="ER2506" s="4"/>
      <c r="ES2506" s="4"/>
      <c r="ET2506" s="4"/>
      <c r="EU2506" s="4"/>
      <c r="EV2506" s="4"/>
      <c r="EW2506" s="4"/>
      <c r="EX2506" s="4"/>
      <c r="EY2506" s="4"/>
      <c r="EZ2506" s="4"/>
      <c r="FA2506" s="4"/>
      <c r="FB2506" s="4"/>
      <c r="FC2506" s="4"/>
      <c r="FD2506" s="4"/>
      <c r="FE2506" s="4"/>
      <c r="FF2506" s="4"/>
      <c r="FG2506" s="4"/>
      <c r="FH2506" s="4"/>
      <c r="FI2506" s="4"/>
      <c r="FJ2506" s="4"/>
      <c r="FK2506" s="4"/>
      <c r="FL2506" s="4"/>
      <c r="FM2506" s="4"/>
      <c r="FN2506" s="4"/>
      <c r="FO2506" s="4"/>
      <c r="FP2506" s="4"/>
      <c r="FQ2506" s="4"/>
      <c r="FR2506" s="4"/>
      <c r="FS2506" s="4"/>
      <c r="FT2506" s="4"/>
      <c r="FU2506" s="4"/>
      <c r="FV2506" s="4"/>
      <c r="FW2506" s="4"/>
      <c r="FX2506" s="4"/>
      <c r="FY2506" s="4"/>
      <c r="FZ2506" s="4"/>
      <c r="GA2506" s="4"/>
      <c r="GB2506" s="4"/>
      <c r="GC2506" s="4"/>
      <c r="GD2506" s="4"/>
      <c r="GE2506" s="4"/>
      <c r="GF2506" s="4"/>
      <c r="GG2506" s="4"/>
      <c r="GH2506" s="4"/>
      <c r="GI2506" s="4"/>
      <c r="GJ2506" s="4"/>
      <c r="GK2506" s="4"/>
      <c r="GL2506" s="4"/>
      <c r="GM2506" s="4"/>
      <c r="GN2506" s="4"/>
      <c r="GO2506" s="4"/>
      <c r="GP2506" s="4"/>
      <c r="GQ2506" s="4"/>
      <c r="GR2506" s="4"/>
      <c r="GS2506" s="4"/>
      <c r="GT2506" s="4"/>
      <c r="GU2506" s="4"/>
      <c r="GV2506" s="4"/>
      <c r="GW2506" s="4"/>
      <c r="GX2506" s="4"/>
      <c r="GY2506" s="4"/>
      <c r="GZ2506" s="4"/>
      <c r="HA2506" s="4"/>
      <c r="HB2506" s="4"/>
      <c r="HC2506" s="4"/>
      <c r="HD2506" s="4"/>
      <c r="HE2506" s="4"/>
      <c r="HF2506" s="4"/>
      <c r="HG2506" s="4"/>
      <c r="HH2506" s="4"/>
      <c r="HI2506" s="4"/>
      <c r="HJ2506" s="4"/>
      <c r="HK2506" s="4"/>
      <c r="HL2506" s="4"/>
      <c r="HM2506" s="4"/>
      <c r="HN2506" s="4"/>
      <c r="HO2506" s="4"/>
      <c r="HP2506" s="4"/>
      <c r="HQ2506" s="4"/>
      <c r="HR2506" s="4"/>
    </row>
    <row r="2507">
      <c r="A2507" s="2" t="s">
        <v>11100</v>
      </c>
      <c r="B2507" s="2" t="s">
        <v>228</v>
      </c>
      <c r="C2507" s="2" t="s">
        <v>1335</v>
      </c>
      <c r="D2507" s="2" t="s">
        <v>969</v>
      </c>
      <c r="E2507" s="2" t="s">
        <v>970</v>
      </c>
      <c r="F2507" s="2" t="s">
        <v>11101</v>
      </c>
      <c r="G2507" s="2" t="s">
        <v>11101</v>
      </c>
      <c r="H2507" s="2" t="s">
        <v>11101</v>
      </c>
      <c r="I2507" s="2" t="s">
        <v>11102</v>
      </c>
      <c r="J2507" s="2" t="s">
        <v>1142</v>
      </c>
      <c r="K2507" s="2" t="s">
        <v>1388</v>
      </c>
      <c r="L2507" s="3">
        <v>52.38</v>
      </c>
      <c r="M2507" s="3">
        <v>55</v>
      </c>
      <c r="N2507" s="3">
        <v>109.99</v>
      </c>
      <c r="O2507" s="2" t="s">
        <v>245</v>
      </c>
      <c r="P2507" s="2" t="s">
        <v>272</v>
      </c>
      <c r="Q2507" s="2" t="s">
        <v>239</v>
      </c>
      <c r="R2507" s="2" t="s">
        <v>233</v>
      </c>
      <c r="S2507" s="2" t="s">
        <v>11103</v>
      </c>
      <c r="T2507" s="2" t="s">
        <v>1055</v>
      </c>
      <c r="U2507" s="2" t="s">
        <v>475</v>
      </c>
      <c r="V2507" s="2" t="s">
        <v>1658</v>
      </c>
      <c r="W2507" s="2" t="s">
        <v>978</v>
      </c>
      <c r="X2507" s="2" t="s">
        <v>1056</v>
      </c>
      <c r="Y2507" s="2" t="s">
        <v>11104</v>
      </c>
      <c r="Z2507" s="4">
        <v>1</v>
      </c>
      <c r="AA2507" s="4">
        <f>=ROUNDDOWN(0.0555555555555556,0)</f>
      </c>
      <c r="AB2507" s="5">
        <v>18</v>
      </c>
      <c r="AC2507" s="2" t="s">
        <v>825</v>
      </c>
      <c r="AD2507" s="4">
        <v>190</v>
      </c>
      <c r="AE2507" s="4">
        <v>190</v>
      </c>
      <c r="AF2507" s="6">
        <v>65</v>
      </c>
      <c r="AG2507" s="6"/>
      <c r="AH2507" s="7">
        <v>0</v>
      </c>
      <c r="AI2507" s="4"/>
      <c r="AJ2507" s="4">
        <f>=ROUNDDOWN({0},0)</f>
      </c>
      <c r="AK2507" s="5"/>
      <c r="AL2507" s="2" t="s">
        <v>233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/>
      <c r="BD2507" s="8"/>
      <c r="BE2507" s="4"/>
      <c r="BF2507" s="8"/>
      <c r="BG2507" s="7"/>
      <c r="BH2507" s="7"/>
      <c r="BI2507" s="7"/>
      <c r="BJ2507" s="4">
        <v>1</v>
      </c>
      <c r="BK2507" s="8">
        <v>55</v>
      </c>
      <c r="BL2507" s="2" t="s">
        <v>744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11105</v>
      </c>
      <c r="BV2507" s="2" t="s">
        <v>233</v>
      </c>
      <c r="BW2507" s="2" t="s">
        <v>233</v>
      </c>
      <c r="BX2507" s="2" t="s">
        <v>233</v>
      </c>
      <c r="BY2507" s="2" t="s">
        <v>280</v>
      </c>
      <c r="BZ2507" s="2" t="s">
        <v>245</v>
      </c>
      <c r="CA2507" s="2" t="s">
        <v>1796</v>
      </c>
      <c r="CB2507" s="2" t="s">
        <v>6359</v>
      </c>
      <c r="CC2507" s="2" t="s">
        <v>246</v>
      </c>
      <c r="CD2507" s="2" t="s">
        <v>233</v>
      </c>
      <c r="CE2507" s="4">
        <v>1</v>
      </c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  <c r="DP2507" s="4"/>
      <c r="DQ2507" s="4"/>
      <c r="DR2507" s="4"/>
      <c r="DS2507" s="4"/>
      <c r="DT2507" s="4"/>
      <c r="DU2507" s="4"/>
      <c r="DV2507" s="4"/>
      <c r="DW2507" s="4"/>
      <c r="DX2507" s="4"/>
      <c r="DY2507" s="4"/>
      <c r="DZ2507" s="4"/>
      <c r="EA2507" s="4"/>
      <c r="EB2507" s="4"/>
      <c r="EC2507" s="4"/>
      <c r="ED2507" s="4"/>
      <c r="EE2507" s="4"/>
      <c r="EF2507" s="4"/>
      <c r="EG2507" s="4"/>
      <c r="EH2507" s="4"/>
      <c r="EI2507" s="4"/>
      <c r="EJ2507" s="4"/>
      <c r="EK2507" s="4"/>
      <c r="EL2507" s="4"/>
      <c r="EM2507" s="4"/>
      <c r="EN2507" s="4"/>
      <c r="EO2507" s="4"/>
      <c r="EP2507" s="4"/>
      <c r="EQ2507" s="4"/>
      <c r="ER2507" s="4"/>
      <c r="ES2507" s="4"/>
      <c r="ET2507" s="4"/>
      <c r="EU2507" s="4"/>
      <c r="EV2507" s="4"/>
      <c r="EW2507" s="4"/>
      <c r="EX2507" s="4"/>
      <c r="EY2507" s="4"/>
      <c r="EZ2507" s="4"/>
      <c r="FA2507" s="4"/>
      <c r="FB2507" s="4"/>
      <c r="FC2507" s="4"/>
      <c r="FD2507" s="4"/>
      <c r="FE2507" s="4"/>
      <c r="FF2507" s="4"/>
      <c r="FG2507" s="4"/>
      <c r="FH2507" s="4"/>
      <c r="FI2507" s="4"/>
      <c r="FJ2507" s="4"/>
      <c r="FK2507" s="4"/>
      <c r="FL2507" s="4"/>
      <c r="FM2507" s="4"/>
      <c r="FN2507" s="4"/>
      <c r="FO2507" s="4"/>
      <c r="FP2507" s="4"/>
      <c r="FQ2507" s="4"/>
      <c r="FR2507" s="4"/>
      <c r="FS2507" s="4"/>
      <c r="FT2507" s="4"/>
      <c r="FU2507" s="4"/>
      <c r="FV2507" s="4"/>
      <c r="FW2507" s="4"/>
      <c r="FX2507" s="4"/>
      <c r="FY2507" s="4"/>
      <c r="FZ2507" s="4"/>
      <c r="GA2507" s="4"/>
      <c r="GB2507" s="4"/>
      <c r="GC2507" s="4"/>
      <c r="GD2507" s="4"/>
      <c r="GE2507" s="4">
        <v>190</v>
      </c>
      <c r="GF2507" s="4"/>
      <c r="GG2507" s="4"/>
      <c r="GH2507" s="4"/>
      <c r="GI2507" s="4"/>
      <c r="GJ2507" s="4"/>
      <c r="GK2507" s="4"/>
      <c r="GL2507" s="4"/>
      <c r="GM2507" s="4"/>
      <c r="GN2507" s="4"/>
      <c r="GO2507" s="4"/>
      <c r="GP2507" s="4"/>
      <c r="GQ2507" s="4"/>
      <c r="GR2507" s="4"/>
      <c r="GS2507" s="4"/>
      <c r="GT2507" s="4"/>
      <c r="GU2507" s="4"/>
      <c r="GV2507" s="4"/>
      <c r="GW2507" s="4"/>
      <c r="GX2507" s="4"/>
      <c r="GY2507" s="4"/>
      <c r="GZ2507" s="4"/>
      <c r="HA2507" s="4"/>
      <c r="HB2507" s="4"/>
      <c r="HC2507" s="4"/>
      <c r="HD2507" s="4"/>
      <c r="HE2507" s="4"/>
      <c r="HF2507" s="4"/>
      <c r="HG2507" s="4"/>
      <c r="HH2507" s="4"/>
      <c r="HI2507" s="4"/>
      <c r="HJ2507" s="4"/>
      <c r="HK2507" s="4"/>
      <c r="HL2507" s="4"/>
      <c r="HM2507" s="4"/>
      <c r="HN2507" s="4"/>
      <c r="HO2507" s="4"/>
      <c r="HP2507" s="4"/>
      <c r="HQ2507" s="4"/>
      <c r="HR2507" s="4"/>
    </row>
    <row r="2508">
      <c r="A2508" s="2" t="s">
        <v>11106</v>
      </c>
      <c r="B2508" s="2" t="s">
        <v>1242</v>
      </c>
      <c r="C2508" s="2" t="s">
        <v>530</v>
      </c>
      <c r="D2508" s="2" t="s">
        <v>1616</v>
      </c>
      <c r="E2508" s="2" t="s">
        <v>1617</v>
      </c>
      <c r="F2508" s="2" t="s">
        <v>11107</v>
      </c>
      <c r="G2508" s="2" t="s">
        <v>11108</v>
      </c>
      <c r="H2508" s="2" t="s">
        <v>11109</v>
      </c>
      <c r="I2508" s="2" t="s">
        <v>11110</v>
      </c>
      <c r="J2508" s="2" t="s">
        <v>11111</v>
      </c>
      <c r="K2508" s="2" t="s">
        <v>271</v>
      </c>
      <c r="L2508" s="3">
        <v>19.2</v>
      </c>
      <c r="M2508" s="3">
        <v>20.15</v>
      </c>
      <c r="N2508" s="3">
        <v>39.99</v>
      </c>
      <c r="O2508" s="2" t="s">
        <v>245</v>
      </c>
      <c r="P2508" s="2" t="s">
        <v>238</v>
      </c>
      <c r="Q2508" s="2" t="s">
        <v>239</v>
      </c>
      <c r="R2508" s="2" t="s">
        <v>233</v>
      </c>
      <c r="S2508" s="2" t="s">
        <v>11112</v>
      </c>
      <c r="T2508" s="2" t="s">
        <v>395</v>
      </c>
      <c r="U2508" s="2" t="s">
        <v>396</v>
      </c>
      <c r="V2508" s="2" t="s">
        <v>241</v>
      </c>
      <c r="W2508" s="2" t="s">
        <v>1056</v>
      </c>
      <c r="X2508" s="2" t="s">
        <v>275</v>
      </c>
      <c r="Y2508" s="2" t="s">
        <v>5826</v>
      </c>
      <c r="Z2508" s="4">
        <v>292</v>
      </c>
      <c r="AA2508" s="4">
        <f>=ROUNDDOWN(14.6,0)</f>
      </c>
      <c r="AB2508" s="5">
        <v>20</v>
      </c>
      <c r="AC2508" s="2" t="s">
        <v>1492</v>
      </c>
      <c r="AD2508" s="4">
        <v>300</v>
      </c>
      <c r="AE2508" s="4">
        <v>300</v>
      </c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233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 t="s">
        <v>233</v>
      </c>
      <c r="AW2508" s="8" t="s">
        <v>233</v>
      </c>
      <c r="AX2508" s="4" t="s">
        <v>233</v>
      </c>
      <c r="AY2508" s="8" t="s">
        <v>233</v>
      </c>
      <c r="AZ2508" s="7" t="s">
        <v>233</v>
      </c>
      <c r="BA2508" s="7" t="s">
        <v>233</v>
      </c>
      <c r="BB2508" s="7"/>
      <c r="BC2508" s="4" t="s">
        <v>233</v>
      </c>
      <c r="BD2508" s="8" t="s">
        <v>233</v>
      </c>
      <c r="BE2508" s="4" t="s">
        <v>233</v>
      </c>
      <c r="BF2508" s="8" t="s">
        <v>233</v>
      </c>
      <c r="BG2508" s="7" t="s">
        <v>233</v>
      </c>
      <c r="BH2508" s="7" t="s">
        <v>233</v>
      </c>
      <c r="BI2508" s="7"/>
      <c r="BJ2508" s="4">
        <v>6</v>
      </c>
      <c r="BK2508" s="8">
        <v>120.92</v>
      </c>
      <c r="BL2508" s="2" t="s">
        <v>1023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11113</v>
      </c>
      <c r="BV2508" s="2" t="s">
        <v>233</v>
      </c>
      <c r="BW2508" s="2" t="s">
        <v>233</v>
      </c>
      <c r="BX2508" s="2" t="s">
        <v>243</v>
      </c>
      <c r="BY2508" s="2" t="s">
        <v>280</v>
      </c>
      <c r="BZ2508" s="2" t="s">
        <v>245</v>
      </c>
      <c r="CA2508" s="2" t="s">
        <v>2564</v>
      </c>
      <c r="CB2508" s="2" t="s">
        <v>233</v>
      </c>
      <c r="CC2508" s="2" t="s">
        <v>246</v>
      </c>
      <c r="CD2508" s="2" t="s">
        <v>233</v>
      </c>
      <c r="CE2508" s="4"/>
      <c r="CF2508" s="4"/>
      <c r="CG2508" s="4"/>
      <c r="CH2508" s="4"/>
      <c r="CI2508" s="4">
        <v>292</v>
      </c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  <c r="DP2508" s="4"/>
      <c r="DQ2508" s="4"/>
      <c r="DR2508" s="4"/>
      <c r="DS2508" s="4"/>
      <c r="DT2508" s="4"/>
      <c r="DU2508" s="4"/>
      <c r="DV2508" s="4"/>
      <c r="DW2508" s="4"/>
      <c r="DX2508" s="4"/>
      <c r="DY2508" s="4"/>
      <c r="DZ2508" s="4">
        <v>300</v>
      </c>
      <c r="EA2508" s="4"/>
      <c r="EB2508" s="4"/>
      <c r="EC2508" s="4"/>
      <c r="ED2508" s="4"/>
      <c r="EE2508" s="4"/>
      <c r="EF2508" s="4"/>
      <c r="EG2508" s="4"/>
      <c r="EH2508" s="4"/>
      <c r="EI2508" s="4"/>
      <c r="EJ2508" s="4"/>
      <c r="EK2508" s="4"/>
      <c r="EL2508" s="4"/>
      <c r="EM2508" s="4"/>
      <c r="EN2508" s="4"/>
      <c r="EO2508" s="4"/>
      <c r="EP2508" s="4"/>
      <c r="EQ2508" s="4"/>
      <c r="ER2508" s="4"/>
      <c r="ES2508" s="4"/>
      <c r="ET2508" s="4"/>
      <c r="EU2508" s="4"/>
      <c r="EV2508" s="4"/>
      <c r="EW2508" s="4"/>
      <c r="EX2508" s="4"/>
      <c r="EY2508" s="4"/>
      <c r="EZ2508" s="4"/>
      <c r="FA2508" s="4"/>
      <c r="FB2508" s="4"/>
      <c r="FC2508" s="4"/>
      <c r="FD2508" s="4"/>
      <c r="FE2508" s="4"/>
      <c r="FF2508" s="4"/>
      <c r="FG2508" s="4"/>
      <c r="FH2508" s="4"/>
      <c r="FI2508" s="4"/>
      <c r="FJ2508" s="4"/>
      <c r="FK2508" s="4"/>
      <c r="FL2508" s="4"/>
      <c r="FM2508" s="4"/>
      <c r="FN2508" s="4"/>
      <c r="FO2508" s="4"/>
      <c r="FP2508" s="4"/>
      <c r="FQ2508" s="4"/>
      <c r="FR2508" s="4"/>
      <c r="FS2508" s="4"/>
      <c r="FT2508" s="4"/>
      <c r="FU2508" s="4"/>
      <c r="FV2508" s="4"/>
      <c r="FW2508" s="4"/>
      <c r="FX2508" s="4"/>
      <c r="FY2508" s="4"/>
      <c r="FZ2508" s="4"/>
      <c r="GA2508" s="4"/>
      <c r="GB2508" s="4"/>
      <c r="GC2508" s="4"/>
      <c r="GD2508" s="4"/>
      <c r="GE2508" s="4"/>
      <c r="GF2508" s="4"/>
      <c r="GG2508" s="4"/>
      <c r="GH2508" s="4"/>
      <c r="GI2508" s="4"/>
      <c r="GJ2508" s="4"/>
      <c r="GK2508" s="4"/>
      <c r="GL2508" s="4"/>
      <c r="GM2508" s="4"/>
      <c r="GN2508" s="4"/>
      <c r="GO2508" s="4"/>
      <c r="GP2508" s="4"/>
      <c r="GQ2508" s="4"/>
      <c r="GR2508" s="4"/>
      <c r="GS2508" s="4"/>
      <c r="GT2508" s="4"/>
      <c r="GU2508" s="4"/>
      <c r="GV2508" s="4"/>
      <c r="GW2508" s="4"/>
      <c r="GX2508" s="4"/>
      <c r="GY2508" s="4"/>
      <c r="GZ2508" s="4"/>
      <c r="HA2508" s="4"/>
      <c r="HB2508" s="4"/>
      <c r="HC2508" s="4"/>
      <c r="HD2508" s="4"/>
      <c r="HE2508" s="4"/>
      <c r="HF2508" s="4"/>
      <c r="HG2508" s="4"/>
      <c r="HH2508" s="4"/>
      <c r="HI2508" s="4"/>
      <c r="HJ2508" s="4"/>
      <c r="HK2508" s="4"/>
      <c r="HL2508" s="4"/>
      <c r="HM2508" s="4"/>
      <c r="HN2508" s="4"/>
      <c r="HO2508" s="4"/>
      <c r="HP2508" s="4"/>
      <c r="HQ2508" s="4"/>
      <c r="HR2508" s="4"/>
    </row>
    <row r="2509">
      <c r="A2509" s="2" t="s">
        <v>11114</v>
      </c>
      <c r="B2509" s="2" t="s">
        <v>1242</v>
      </c>
      <c r="C2509" s="2" t="s">
        <v>530</v>
      </c>
      <c r="D2509" s="2" t="s">
        <v>1862</v>
      </c>
      <c r="E2509" s="2" t="s">
        <v>9859</v>
      </c>
      <c r="F2509" s="2" t="s">
        <v>11107</v>
      </c>
      <c r="G2509" s="2" t="s">
        <v>11108</v>
      </c>
      <c r="H2509" s="2" t="s">
        <v>11109</v>
      </c>
      <c r="I2509" s="2" t="s">
        <v>11115</v>
      </c>
      <c r="J2509" s="2" t="s">
        <v>9864</v>
      </c>
      <c r="K2509" s="2" t="s">
        <v>271</v>
      </c>
      <c r="L2509" s="3">
        <v>47</v>
      </c>
      <c r="M2509" s="3">
        <v>49.35</v>
      </c>
      <c r="N2509" s="3">
        <v>99.99</v>
      </c>
      <c r="O2509" s="2" t="s">
        <v>245</v>
      </c>
      <c r="P2509" s="2" t="s">
        <v>238</v>
      </c>
      <c r="Q2509" s="2" t="s">
        <v>239</v>
      </c>
      <c r="R2509" s="2" t="s">
        <v>233</v>
      </c>
      <c r="S2509" s="2" t="s">
        <v>11112</v>
      </c>
      <c r="T2509" s="2" t="s">
        <v>395</v>
      </c>
      <c r="U2509" s="2" t="s">
        <v>871</v>
      </c>
      <c r="V2509" s="2" t="s">
        <v>241</v>
      </c>
      <c r="W2509" s="2" t="s">
        <v>1056</v>
      </c>
      <c r="X2509" s="2" t="s">
        <v>11116</v>
      </c>
      <c r="Y2509" s="2" t="s">
        <v>5826</v>
      </c>
      <c r="Z2509" s="4">
        <v>221</v>
      </c>
      <c r="AA2509" s="4">
        <f>=ROUNDDOWN(96.0869565217391,0)</f>
      </c>
      <c r="AB2509" s="5">
        <v>2.3</v>
      </c>
      <c r="AC2509" s="2" t="s">
        <v>1492</v>
      </c>
      <c r="AD2509" s="4">
        <v>220</v>
      </c>
      <c r="AE2509" s="4">
        <v>220</v>
      </c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233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 t="s">
        <v>233</v>
      </c>
      <c r="AW2509" s="8" t="s">
        <v>233</v>
      </c>
      <c r="AX2509" s="4" t="s">
        <v>233</v>
      </c>
      <c r="AY2509" s="8" t="s">
        <v>233</v>
      </c>
      <c r="AZ2509" s="7" t="s">
        <v>233</v>
      </c>
      <c r="BA2509" s="7" t="s">
        <v>233</v>
      </c>
      <c r="BB2509" s="7"/>
      <c r="BC2509" s="4" t="s">
        <v>233</v>
      </c>
      <c r="BD2509" s="8" t="s">
        <v>233</v>
      </c>
      <c r="BE2509" s="4" t="s">
        <v>233</v>
      </c>
      <c r="BF2509" s="8" t="s">
        <v>233</v>
      </c>
      <c r="BG2509" s="7" t="s">
        <v>233</v>
      </c>
      <c r="BH2509" s="7" t="s">
        <v>233</v>
      </c>
      <c r="BI2509" s="7"/>
      <c r="BJ2509" s="4">
        <v>5</v>
      </c>
      <c r="BK2509" s="8">
        <v>246.75</v>
      </c>
      <c r="BL2509" s="2" t="s">
        <v>1028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11117</v>
      </c>
      <c r="BV2509" s="2" t="s">
        <v>233</v>
      </c>
      <c r="BW2509" s="2" t="s">
        <v>233</v>
      </c>
      <c r="BX2509" s="2" t="s">
        <v>243</v>
      </c>
      <c r="BY2509" s="2" t="s">
        <v>280</v>
      </c>
      <c r="BZ2509" s="2" t="s">
        <v>245</v>
      </c>
      <c r="CA2509" s="2" t="s">
        <v>6940</v>
      </c>
      <c r="CB2509" s="2" t="s">
        <v>350</v>
      </c>
      <c r="CC2509" s="2" t="s">
        <v>246</v>
      </c>
      <c r="CD2509" s="2" t="s">
        <v>233</v>
      </c>
      <c r="CE2509" s="4"/>
      <c r="CF2509" s="4"/>
      <c r="CG2509" s="4"/>
      <c r="CH2509" s="4"/>
      <c r="CI2509" s="4">
        <v>221</v>
      </c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  <c r="DP2509" s="4"/>
      <c r="DQ2509" s="4"/>
      <c r="DR2509" s="4"/>
      <c r="DS2509" s="4"/>
      <c r="DT2509" s="4"/>
      <c r="DU2509" s="4"/>
      <c r="DV2509" s="4"/>
      <c r="DW2509" s="4"/>
      <c r="DX2509" s="4"/>
      <c r="DY2509" s="4"/>
      <c r="DZ2509" s="4">
        <v>220</v>
      </c>
      <c r="EA2509" s="4"/>
      <c r="EB2509" s="4"/>
      <c r="EC2509" s="4"/>
      <c r="ED2509" s="4"/>
      <c r="EE2509" s="4"/>
      <c r="EF2509" s="4"/>
      <c r="EG2509" s="4"/>
      <c r="EH2509" s="4"/>
      <c r="EI2509" s="4"/>
      <c r="EJ2509" s="4"/>
      <c r="EK2509" s="4"/>
      <c r="EL2509" s="4"/>
      <c r="EM2509" s="4"/>
      <c r="EN2509" s="4"/>
      <c r="EO2509" s="4"/>
      <c r="EP2509" s="4"/>
      <c r="EQ2509" s="4"/>
      <c r="ER2509" s="4"/>
      <c r="ES2509" s="4"/>
      <c r="ET2509" s="4"/>
      <c r="EU2509" s="4"/>
      <c r="EV2509" s="4"/>
      <c r="EW2509" s="4"/>
      <c r="EX2509" s="4"/>
      <c r="EY2509" s="4"/>
      <c r="EZ2509" s="4"/>
      <c r="FA2509" s="4"/>
      <c r="FB2509" s="4"/>
      <c r="FC2509" s="4"/>
      <c r="FD2509" s="4"/>
      <c r="FE2509" s="4"/>
      <c r="FF2509" s="4"/>
      <c r="FG2509" s="4"/>
      <c r="FH2509" s="4"/>
      <c r="FI2509" s="4"/>
      <c r="FJ2509" s="4"/>
      <c r="FK2509" s="4"/>
      <c r="FL2509" s="4"/>
      <c r="FM2509" s="4"/>
      <c r="FN2509" s="4"/>
      <c r="FO2509" s="4"/>
      <c r="FP2509" s="4"/>
      <c r="FQ2509" s="4"/>
      <c r="FR2509" s="4"/>
      <c r="FS2509" s="4"/>
      <c r="FT2509" s="4"/>
      <c r="FU2509" s="4"/>
      <c r="FV2509" s="4"/>
      <c r="FW2509" s="4"/>
      <c r="FX2509" s="4"/>
      <c r="FY2509" s="4"/>
      <c r="FZ2509" s="4"/>
      <c r="GA2509" s="4"/>
      <c r="GB2509" s="4"/>
      <c r="GC2509" s="4"/>
      <c r="GD2509" s="4"/>
      <c r="GE2509" s="4"/>
      <c r="GF2509" s="4"/>
      <c r="GG2509" s="4"/>
      <c r="GH2509" s="4"/>
      <c r="GI2509" s="4"/>
      <c r="GJ2509" s="4"/>
      <c r="GK2509" s="4"/>
      <c r="GL2509" s="4"/>
      <c r="GM2509" s="4"/>
      <c r="GN2509" s="4"/>
      <c r="GO2509" s="4"/>
      <c r="GP2509" s="4"/>
      <c r="GQ2509" s="4"/>
      <c r="GR2509" s="4"/>
      <c r="GS2509" s="4"/>
      <c r="GT2509" s="4"/>
      <c r="GU2509" s="4"/>
      <c r="GV2509" s="4"/>
      <c r="GW2509" s="4"/>
      <c r="GX2509" s="4"/>
      <c r="GY2509" s="4"/>
      <c r="GZ2509" s="4"/>
      <c r="HA2509" s="4"/>
      <c r="HB2509" s="4"/>
      <c r="HC2509" s="4"/>
      <c r="HD2509" s="4"/>
      <c r="HE2509" s="4"/>
      <c r="HF2509" s="4"/>
      <c r="HG2509" s="4"/>
      <c r="HH2509" s="4"/>
      <c r="HI2509" s="4"/>
      <c r="HJ2509" s="4"/>
      <c r="HK2509" s="4"/>
      <c r="HL2509" s="4"/>
      <c r="HM2509" s="4"/>
      <c r="HN2509" s="4"/>
      <c r="HO2509" s="4"/>
      <c r="HP2509" s="4"/>
      <c r="HQ2509" s="4"/>
      <c r="HR2509" s="4"/>
    </row>
    <row r="2510">
      <c r="A2510" s="2" t="s">
        <v>11118</v>
      </c>
      <c r="B2510" s="2" t="s">
        <v>1066</v>
      </c>
      <c r="C2510" s="2" t="s">
        <v>530</v>
      </c>
      <c r="D2510" s="2" t="s">
        <v>1111</v>
      </c>
      <c r="E2510" s="2" t="s">
        <v>1112</v>
      </c>
      <c r="F2510" s="2" t="s">
        <v>11119</v>
      </c>
      <c r="G2510" s="2" t="s">
        <v>11120</v>
      </c>
      <c r="H2510" s="2" t="s">
        <v>11121</v>
      </c>
      <c r="I2510" s="2" t="s">
        <v>11122</v>
      </c>
      <c r="J2510" s="2" t="s">
        <v>892</v>
      </c>
      <c r="K2510" s="2" t="s">
        <v>1631</v>
      </c>
      <c r="L2510" s="3">
        <v>207</v>
      </c>
      <c r="M2510" s="3">
        <v>217.35</v>
      </c>
      <c r="N2510" s="3">
        <v>439</v>
      </c>
      <c r="O2510" s="2" t="s">
        <v>245</v>
      </c>
      <c r="P2510" s="2" t="s">
        <v>272</v>
      </c>
      <c r="Q2510" s="2" t="s">
        <v>239</v>
      </c>
      <c r="R2510" s="2" t="s">
        <v>233</v>
      </c>
      <c r="S2510" s="2" t="s">
        <v>233</v>
      </c>
      <c r="T2510" s="2" t="s">
        <v>233</v>
      </c>
      <c r="U2510" s="2" t="s">
        <v>233</v>
      </c>
      <c r="V2510" s="2" t="s">
        <v>241</v>
      </c>
      <c r="W2510" s="2" t="s">
        <v>451</v>
      </c>
      <c r="X2510" s="2" t="s">
        <v>233</v>
      </c>
      <c r="Y2510" s="2" t="s">
        <v>1150</v>
      </c>
      <c r="Z2510" s="4">
        <v>264</v>
      </c>
      <c r="AA2510" s="4">
        <f>=ROUNDDOWN(26.4,0)</f>
      </c>
      <c r="AB2510" s="5">
        <v>10</v>
      </c>
      <c r="AC2510" s="2" t="s">
        <v>8769</v>
      </c>
      <c r="AD2510" s="4">
        <v>56</v>
      </c>
      <c r="AE2510" s="4">
        <v>200</v>
      </c>
      <c r="AF2510" s="6">
        <v>74</v>
      </c>
      <c r="AG2510" s="6"/>
      <c r="AH2510" s="7">
        <v>1</v>
      </c>
      <c r="AI2510" s="4"/>
      <c r="AJ2510" s="4">
        <f>=ROUNDDOWN({0},0)</f>
      </c>
      <c r="AK2510" s="5"/>
      <c r="AL2510" s="2" t="s">
        <v>233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 t="s">
        <v>233</v>
      </c>
      <c r="BD2510" s="8" t="s">
        <v>233</v>
      </c>
      <c r="BE2510" s="4" t="s">
        <v>233</v>
      </c>
      <c r="BF2510" s="8" t="s">
        <v>233</v>
      </c>
      <c r="BG2510" s="7" t="s">
        <v>233</v>
      </c>
      <c r="BH2510" s="7" t="s">
        <v>233</v>
      </c>
      <c r="BI2510" s="7"/>
      <c r="BJ2510" s="4">
        <v>40</v>
      </c>
      <c r="BK2510" s="8">
        <v>7758.67</v>
      </c>
      <c r="BL2510" s="2" t="s">
        <v>11123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11124</v>
      </c>
      <c r="BV2510" s="2" t="s">
        <v>233</v>
      </c>
      <c r="BW2510" s="2" t="s">
        <v>233</v>
      </c>
      <c r="BX2510" s="2" t="s">
        <v>798</v>
      </c>
      <c r="BY2510" s="2" t="s">
        <v>280</v>
      </c>
      <c r="BZ2510" s="2" t="s">
        <v>245</v>
      </c>
      <c r="CA2510" s="2" t="s">
        <v>4261</v>
      </c>
      <c r="CB2510" s="2" t="s">
        <v>11125</v>
      </c>
      <c r="CC2510" s="2" t="s">
        <v>246</v>
      </c>
      <c r="CD2510" s="2" t="s">
        <v>233</v>
      </c>
      <c r="CE2510" s="4"/>
      <c r="CF2510" s="4">
        <v>264</v>
      </c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  <c r="DP2510" s="4"/>
      <c r="DQ2510" s="4"/>
      <c r="DR2510" s="4"/>
      <c r="DS2510" s="4"/>
      <c r="DT2510" s="4"/>
      <c r="DU2510" s="4"/>
      <c r="DV2510" s="4"/>
      <c r="DW2510" s="4"/>
      <c r="DX2510" s="4"/>
      <c r="DY2510" s="4"/>
      <c r="DZ2510" s="4"/>
      <c r="EA2510" s="4"/>
      <c r="EB2510" s="4">
        <v>56</v>
      </c>
      <c r="EC2510" s="4"/>
      <c r="ED2510" s="4"/>
      <c r="EE2510" s="4"/>
      <c r="EF2510" s="4"/>
      <c r="EG2510" s="4"/>
      <c r="EH2510" s="4"/>
      <c r="EI2510" s="4"/>
      <c r="EJ2510" s="4"/>
      <c r="EK2510" s="4"/>
      <c r="EL2510" s="4"/>
      <c r="EM2510" s="4"/>
      <c r="EN2510" s="4"/>
      <c r="EO2510" s="4"/>
      <c r="EP2510" s="4"/>
      <c r="EQ2510" s="4"/>
      <c r="ER2510" s="4"/>
      <c r="ES2510" s="4"/>
      <c r="ET2510" s="4"/>
      <c r="EU2510" s="4"/>
      <c r="EV2510" s="4"/>
      <c r="EW2510" s="4"/>
      <c r="EX2510" s="4"/>
      <c r="EY2510" s="4"/>
      <c r="EZ2510" s="4"/>
      <c r="FA2510" s="4"/>
      <c r="FB2510" s="4"/>
      <c r="FC2510" s="4"/>
      <c r="FD2510" s="4"/>
      <c r="FE2510" s="4"/>
      <c r="FF2510" s="4"/>
      <c r="FG2510" s="4"/>
      <c r="FH2510" s="4"/>
      <c r="FI2510" s="4"/>
      <c r="FJ2510" s="4"/>
      <c r="FK2510" s="4"/>
      <c r="FL2510" s="4"/>
      <c r="FM2510" s="4"/>
      <c r="FN2510" s="4">
        <v>144</v>
      </c>
      <c r="FO2510" s="4"/>
      <c r="FP2510" s="4"/>
      <c r="FQ2510" s="4"/>
      <c r="FR2510" s="4"/>
      <c r="FS2510" s="4"/>
      <c r="FT2510" s="4"/>
      <c r="FU2510" s="4"/>
      <c r="FV2510" s="4"/>
      <c r="FW2510" s="4"/>
      <c r="FX2510" s="4"/>
      <c r="FY2510" s="4"/>
      <c r="FZ2510" s="4"/>
      <c r="GA2510" s="4"/>
      <c r="GB2510" s="4"/>
      <c r="GC2510" s="4"/>
      <c r="GD2510" s="4"/>
      <c r="GE2510" s="4"/>
      <c r="GF2510" s="4"/>
      <c r="GG2510" s="4"/>
      <c r="GH2510" s="4"/>
      <c r="GI2510" s="4"/>
      <c r="GJ2510" s="4"/>
      <c r="GK2510" s="4"/>
      <c r="GL2510" s="4"/>
      <c r="GM2510" s="4"/>
      <c r="GN2510" s="4"/>
      <c r="GO2510" s="4"/>
      <c r="GP2510" s="4"/>
      <c r="GQ2510" s="4"/>
      <c r="GR2510" s="4"/>
      <c r="GS2510" s="4"/>
      <c r="GT2510" s="4"/>
      <c r="GU2510" s="4"/>
      <c r="GV2510" s="4"/>
      <c r="GW2510" s="4"/>
      <c r="GX2510" s="4"/>
      <c r="GY2510" s="4"/>
      <c r="GZ2510" s="4"/>
      <c r="HA2510" s="4"/>
      <c r="HB2510" s="4"/>
      <c r="HC2510" s="4"/>
      <c r="HD2510" s="4"/>
      <c r="HE2510" s="4"/>
      <c r="HF2510" s="4"/>
      <c r="HG2510" s="4"/>
      <c r="HH2510" s="4"/>
      <c r="HI2510" s="4"/>
      <c r="HJ2510" s="4"/>
      <c r="HK2510" s="4"/>
      <c r="HL2510" s="4"/>
      <c r="HM2510" s="4"/>
      <c r="HN2510" s="4"/>
      <c r="HO2510" s="4"/>
      <c r="HP2510" s="4"/>
      <c r="HQ2510" s="4"/>
      <c r="HR2510" s="4"/>
    </row>
    <row r="2511">
      <c r="A2511" s="2" t="s">
        <v>11126</v>
      </c>
      <c r="B2511" s="2" t="s">
        <v>1066</v>
      </c>
      <c r="C2511" s="2" t="s">
        <v>530</v>
      </c>
      <c r="D2511" s="2" t="s">
        <v>1111</v>
      </c>
      <c r="E2511" s="2" t="s">
        <v>1112</v>
      </c>
      <c r="F2511" s="2" t="s">
        <v>11119</v>
      </c>
      <c r="G2511" s="2" t="s">
        <v>11120</v>
      </c>
      <c r="H2511" s="2" t="s">
        <v>11121</v>
      </c>
      <c r="I2511" s="2" t="s">
        <v>1116</v>
      </c>
      <c r="J2511" s="2" t="s">
        <v>892</v>
      </c>
      <c r="K2511" s="2" t="s">
        <v>11127</v>
      </c>
      <c r="L2511" s="3">
        <v>405.72</v>
      </c>
      <c r="M2511" s="3">
        <v>426.01</v>
      </c>
      <c r="N2511" s="3">
        <v>859</v>
      </c>
      <c r="O2511" s="2" t="s">
        <v>245</v>
      </c>
      <c r="P2511" s="2" t="s">
        <v>1118</v>
      </c>
      <c r="Q2511" s="2" t="s">
        <v>239</v>
      </c>
      <c r="R2511" s="2" t="s">
        <v>16</v>
      </c>
      <c r="S2511" s="2" t="s">
        <v>11128</v>
      </c>
      <c r="T2511" s="2" t="s">
        <v>233</v>
      </c>
      <c r="U2511" s="2" t="s">
        <v>491</v>
      </c>
      <c r="V2511" s="2" t="s">
        <v>241</v>
      </c>
      <c r="W2511" s="2" t="s">
        <v>451</v>
      </c>
      <c r="X2511" s="2" t="s">
        <v>233</v>
      </c>
      <c r="Y2511" s="2" t="s">
        <v>1120</v>
      </c>
      <c r="Z2511" s="4">
        <v>204</v>
      </c>
      <c r="AA2511" s="4">
        <f>=ROUNDDOWN({0},0)</f>
      </c>
      <c r="AB2511" s="5"/>
      <c r="AC2511" s="2" t="s">
        <v>1601</v>
      </c>
      <c r="AD2511" s="4">
        <v>28</v>
      </c>
      <c r="AE2511" s="4">
        <v>198</v>
      </c>
      <c r="AF2511" s="6"/>
      <c r="AG2511" s="6"/>
      <c r="AH2511" s="7">
        <v>1</v>
      </c>
      <c r="AI2511" s="4"/>
      <c r="AJ2511" s="4">
        <f>=ROUNDDOWN({0},0)</f>
      </c>
      <c r="AK2511" s="5"/>
      <c r="AL2511" s="2" t="s">
        <v>1492</v>
      </c>
      <c r="AM2511" s="4">
        <v>72</v>
      </c>
      <c r="AN2511" s="4">
        <v>72</v>
      </c>
      <c r="AO2511" s="7">
        <v>0</v>
      </c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 t="s">
        <v>233</v>
      </c>
      <c r="BD2511" s="8" t="s">
        <v>233</v>
      </c>
      <c r="BE2511" s="4" t="s">
        <v>233</v>
      </c>
      <c r="BF2511" s="8" t="s">
        <v>233</v>
      </c>
      <c r="BG2511" s="7" t="s">
        <v>233</v>
      </c>
      <c r="BH2511" s="7" t="s">
        <v>233</v>
      </c>
      <c r="BI2511" s="7"/>
      <c r="BJ2511" s="4"/>
      <c r="BK2511" s="8"/>
      <c r="BL2511" s="2" t="s">
        <v>233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243</v>
      </c>
      <c r="BV2511" s="2" t="s">
        <v>233</v>
      </c>
      <c r="BW2511" s="2" t="s">
        <v>233</v>
      </c>
      <c r="BX2511" s="2" t="s">
        <v>243</v>
      </c>
      <c r="BY2511" s="2" t="s">
        <v>346</v>
      </c>
      <c r="BZ2511" s="2" t="s">
        <v>245</v>
      </c>
      <c r="CA2511" s="2" t="s">
        <v>233</v>
      </c>
      <c r="CB2511" s="2" t="s">
        <v>233</v>
      </c>
      <c r="CC2511" s="2" t="s">
        <v>246</v>
      </c>
      <c r="CD2511" s="2" t="s">
        <v>233</v>
      </c>
      <c r="CE2511" s="4"/>
      <c r="CF2511" s="4">
        <v>189</v>
      </c>
      <c r="CG2511" s="4"/>
      <c r="CH2511" s="4"/>
      <c r="CI2511" s="4">
        <v>15</v>
      </c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  <c r="DP2511" s="4"/>
      <c r="DQ2511" s="4"/>
      <c r="DR2511" s="4"/>
      <c r="DS2511" s="4"/>
      <c r="DT2511" s="4"/>
      <c r="DU2511" s="4"/>
      <c r="DV2511" s="4"/>
      <c r="DW2511" s="4"/>
      <c r="DX2511" s="4"/>
      <c r="DY2511" s="4"/>
      <c r="DZ2511" s="4"/>
      <c r="EA2511" s="4"/>
      <c r="EB2511" s="4"/>
      <c r="EC2511" s="4"/>
      <c r="ED2511" s="4"/>
      <c r="EE2511" s="4"/>
      <c r="EF2511" s="4"/>
      <c r="EG2511" s="4"/>
      <c r="EH2511" s="4"/>
      <c r="EI2511" s="4"/>
      <c r="EJ2511" s="4"/>
      <c r="EK2511" s="4"/>
      <c r="EL2511" s="4"/>
      <c r="EM2511" s="4"/>
      <c r="EN2511" s="4"/>
      <c r="EO2511" s="4"/>
      <c r="EP2511" s="4">
        <v>28</v>
      </c>
      <c r="EQ2511" s="4"/>
      <c r="ER2511" s="4"/>
      <c r="ES2511" s="4"/>
      <c r="ET2511" s="4"/>
      <c r="EU2511" s="4"/>
      <c r="EV2511" s="4"/>
      <c r="EW2511" s="4">
        <v>20</v>
      </c>
      <c r="EX2511" s="4"/>
      <c r="EY2511" s="4"/>
      <c r="EZ2511" s="4"/>
      <c r="FA2511" s="4"/>
      <c r="FB2511" s="4"/>
      <c r="FC2511" s="4"/>
      <c r="FD2511" s="4"/>
      <c r="FE2511" s="4"/>
      <c r="FF2511" s="4"/>
      <c r="FG2511" s="4"/>
      <c r="FH2511" s="4"/>
      <c r="FI2511" s="4"/>
      <c r="FJ2511" s="4"/>
      <c r="FK2511" s="4"/>
      <c r="FL2511" s="4">
        <v>84</v>
      </c>
      <c r="FM2511" s="4"/>
      <c r="FN2511" s="4">
        <v>66</v>
      </c>
      <c r="FO2511" s="4"/>
      <c r="FP2511" s="4"/>
      <c r="FQ2511" s="4"/>
      <c r="FR2511" s="4"/>
      <c r="FS2511" s="4"/>
      <c r="FT2511" s="4"/>
      <c r="FU2511" s="4"/>
      <c r="FV2511" s="4"/>
      <c r="FW2511" s="4"/>
      <c r="FX2511" s="4"/>
      <c r="FY2511" s="4"/>
      <c r="FZ2511" s="4"/>
      <c r="GA2511" s="4"/>
      <c r="GB2511" s="4"/>
      <c r="GC2511" s="4"/>
      <c r="GD2511" s="4"/>
      <c r="GE2511" s="4"/>
      <c r="GF2511" s="4"/>
      <c r="GG2511" s="4"/>
      <c r="GH2511" s="4"/>
      <c r="GI2511" s="4"/>
      <c r="GJ2511" s="4"/>
      <c r="GK2511" s="4"/>
      <c r="GL2511" s="4"/>
      <c r="GM2511" s="4"/>
      <c r="GN2511" s="4"/>
      <c r="GO2511" s="4"/>
      <c r="GP2511" s="4"/>
      <c r="GQ2511" s="4"/>
      <c r="GR2511" s="4"/>
      <c r="GS2511" s="4"/>
      <c r="GT2511" s="4"/>
      <c r="GU2511" s="4"/>
      <c r="GV2511" s="4"/>
      <c r="GW2511" s="4"/>
      <c r="GX2511" s="4"/>
      <c r="GY2511" s="4"/>
      <c r="GZ2511" s="4"/>
      <c r="HA2511" s="4"/>
      <c r="HB2511" s="4"/>
      <c r="HC2511" s="4"/>
      <c r="HD2511" s="4"/>
      <c r="HE2511" s="4"/>
      <c r="HF2511" s="4"/>
      <c r="HG2511" s="4"/>
      <c r="HH2511" s="4"/>
      <c r="HI2511" s="4"/>
      <c r="HJ2511" s="4">
        <v>72</v>
      </c>
      <c r="HK2511" s="4"/>
      <c r="HL2511" s="4"/>
      <c r="HM2511" s="4"/>
      <c r="HN2511" s="4"/>
      <c r="HO2511" s="4"/>
      <c r="HP2511" s="4"/>
      <c r="HQ2511" s="4"/>
      <c r="HR2511" s="4"/>
    </row>
    <row r="2512">
      <c r="A2512" s="2" t="s">
        <v>11129</v>
      </c>
      <c r="B2512" s="2" t="s">
        <v>228</v>
      </c>
      <c r="C2512" s="2" t="s">
        <v>1050</v>
      </c>
      <c r="D2512" s="2" t="s">
        <v>3847</v>
      </c>
      <c r="E2512" s="2" t="s">
        <v>3848</v>
      </c>
      <c r="F2512" s="2" t="s">
        <v>11130</v>
      </c>
      <c r="G2512" s="2" t="s">
        <v>11130</v>
      </c>
      <c r="H2512" s="2" t="s">
        <v>11130</v>
      </c>
      <c r="I2512" s="2" t="s">
        <v>11131</v>
      </c>
      <c r="J2512" s="2" t="s">
        <v>270</v>
      </c>
      <c r="K2512" s="2" t="s">
        <v>271</v>
      </c>
      <c r="L2512" s="3">
        <v>56.69</v>
      </c>
      <c r="M2512" s="3">
        <v>59.52</v>
      </c>
      <c r="N2512" s="3">
        <v>104.99</v>
      </c>
      <c r="O2512" s="2" t="s">
        <v>237</v>
      </c>
      <c r="P2512" s="2" t="s">
        <v>996</v>
      </c>
      <c r="Q2512" s="2" t="s">
        <v>239</v>
      </c>
      <c r="R2512" s="2" t="s">
        <v>233</v>
      </c>
      <c r="S2512" s="2" t="s">
        <v>11132</v>
      </c>
      <c r="T2512" s="2" t="s">
        <v>1055</v>
      </c>
      <c r="U2512" s="2" t="s">
        <v>233</v>
      </c>
      <c r="V2512" s="2" t="s">
        <v>241</v>
      </c>
      <c r="W2512" s="2" t="s">
        <v>275</v>
      </c>
      <c r="X2512" s="2" t="s">
        <v>233</v>
      </c>
      <c r="Y2512" s="2" t="s">
        <v>4431</v>
      </c>
      <c r="Z2512" s="4"/>
      <c r="AA2512" s="4">
        <f>=ROUNDDOWN({0},0)</f>
      </c>
      <c r="AB2512" s="5">
        <v>5</v>
      </c>
      <c r="AC2512" s="2" t="s">
        <v>233</v>
      </c>
      <c r="AD2512" s="4"/>
      <c r="AE2512" s="4"/>
      <c r="AF2512" s="6">
        <v>61</v>
      </c>
      <c r="AG2512" s="6"/>
      <c r="AH2512" s="7">
        <v>0</v>
      </c>
      <c r="AI2512" s="4"/>
      <c r="AJ2512" s="4">
        <f>=ROUNDDOWN({0},0)</f>
      </c>
      <c r="AK2512" s="5"/>
      <c r="AL2512" s="2" t="s">
        <v>233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 t="s">
        <v>233</v>
      </c>
      <c r="AW2512" s="8" t="s">
        <v>233</v>
      </c>
      <c r="AX2512" s="4" t="s">
        <v>233</v>
      </c>
      <c r="AY2512" s="8" t="s">
        <v>233</v>
      </c>
      <c r="AZ2512" s="7" t="s">
        <v>233</v>
      </c>
      <c r="BA2512" s="7" t="s">
        <v>233</v>
      </c>
      <c r="BB2512" s="7"/>
      <c r="BC2512" s="4" t="s">
        <v>233</v>
      </c>
      <c r="BD2512" s="8" t="s">
        <v>233</v>
      </c>
      <c r="BE2512" s="4" t="s">
        <v>233</v>
      </c>
      <c r="BF2512" s="8" t="s">
        <v>233</v>
      </c>
      <c r="BG2512" s="7" t="s">
        <v>233</v>
      </c>
      <c r="BH2512" s="7" t="s">
        <v>233</v>
      </c>
      <c r="BI2512" s="7"/>
      <c r="BJ2512" s="4"/>
      <c r="BK2512" s="8"/>
      <c r="BL2512" s="2" t="s">
        <v>4080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11133</v>
      </c>
      <c r="BV2512" s="2" t="s">
        <v>233</v>
      </c>
      <c r="BW2512" s="2" t="s">
        <v>233</v>
      </c>
      <c r="BX2512" s="2" t="s">
        <v>233</v>
      </c>
      <c r="BY2512" s="2" t="s">
        <v>280</v>
      </c>
      <c r="BZ2512" s="2" t="s">
        <v>245</v>
      </c>
      <c r="CA2512" s="2" t="s">
        <v>11134</v>
      </c>
      <c r="CB2512" s="2" t="s">
        <v>4022</v>
      </c>
      <c r="CC2512" s="2" t="s">
        <v>246</v>
      </c>
      <c r="CD2512" s="2" t="s">
        <v>233</v>
      </c>
      <c r="CE2512" s="4"/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  <c r="DL2512" s="4"/>
      <c r="DM2512" s="4"/>
      <c r="DN2512" s="4"/>
      <c r="DO2512" s="4"/>
      <c r="DP2512" s="4"/>
      <c r="DQ2512" s="4"/>
      <c r="DR2512" s="4"/>
      <c r="DS2512" s="4"/>
      <c r="DT2512" s="4"/>
      <c r="DU2512" s="4"/>
      <c r="DV2512" s="4"/>
      <c r="DW2512" s="4"/>
      <c r="DX2512" s="4"/>
      <c r="DY2512" s="4"/>
      <c r="DZ2512" s="4"/>
      <c r="EA2512" s="4"/>
      <c r="EB2512" s="4"/>
      <c r="EC2512" s="4"/>
      <c r="ED2512" s="4"/>
      <c r="EE2512" s="4"/>
      <c r="EF2512" s="4"/>
      <c r="EG2512" s="4"/>
      <c r="EH2512" s="4"/>
      <c r="EI2512" s="4"/>
      <c r="EJ2512" s="4"/>
      <c r="EK2512" s="4"/>
      <c r="EL2512" s="4"/>
      <c r="EM2512" s="4"/>
      <c r="EN2512" s="4"/>
      <c r="EO2512" s="4"/>
      <c r="EP2512" s="4"/>
      <c r="EQ2512" s="4"/>
      <c r="ER2512" s="4"/>
      <c r="ES2512" s="4"/>
      <c r="ET2512" s="4"/>
      <c r="EU2512" s="4"/>
      <c r="EV2512" s="4"/>
      <c r="EW2512" s="4"/>
      <c r="EX2512" s="4"/>
      <c r="EY2512" s="4"/>
      <c r="EZ2512" s="4"/>
      <c r="FA2512" s="4"/>
      <c r="FB2512" s="4"/>
      <c r="FC2512" s="4"/>
      <c r="FD2512" s="4"/>
      <c r="FE2512" s="4"/>
      <c r="FF2512" s="4"/>
      <c r="FG2512" s="4"/>
      <c r="FH2512" s="4"/>
      <c r="FI2512" s="4"/>
      <c r="FJ2512" s="4"/>
      <c r="FK2512" s="4"/>
      <c r="FL2512" s="4"/>
      <c r="FM2512" s="4"/>
      <c r="FN2512" s="4"/>
      <c r="FO2512" s="4"/>
      <c r="FP2512" s="4"/>
      <c r="FQ2512" s="4"/>
      <c r="FR2512" s="4"/>
      <c r="FS2512" s="4"/>
      <c r="FT2512" s="4"/>
      <c r="FU2512" s="4"/>
      <c r="FV2512" s="4"/>
      <c r="FW2512" s="4"/>
      <c r="FX2512" s="4"/>
      <c r="FY2512" s="4"/>
      <c r="FZ2512" s="4"/>
      <c r="GA2512" s="4"/>
      <c r="GB2512" s="4"/>
      <c r="GC2512" s="4"/>
      <c r="GD2512" s="4"/>
      <c r="GE2512" s="4"/>
      <c r="GF2512" s="4"/>
      <c r="GG2512" s="4"/>
      <c r="GH2512" s="4"/>
      <c r="GI2512" s="4"/>
      <c r="GJ2512" s="4"/>
      <c r="GK2512" s="4"/>
      <c r="GL2512" s="4"/>
      <c r="GM2512" s="4"/>
      <c r="GN2512" s="4"/>
      <c r="GO2512" s="4"/>
      <c r="GP2512" s="4"/>
      <c r="GQ2512" s="4"/>
      <c r="GR2512" s="4"/>
      <c r="GS2512" s="4"/>
      <c r="GT2512" s="4"/>
      <c r="GU2512" s="4"/>
      <c r="GV2512" s="4"/>
      <c r="GW2512" s="4"/>
      <c r="GX2512" s="4"/>
      <c r="GY2512" s="4"/>
      <c r="GZ2512" s="4"/>
      <c r="HA2512" s="4"/>
      <c r="HB2512" s="4"/>
      <c r="HC2512" s="4"/>
      <c r="HD2512" s="4"/>
      <c r="HE2512" s="4"/>
      <c r="HF2512" s="4"/>
      <c r="HG2512" s="4"/>
      <c r="HH2512" s="4"/>
      <c r="HI2512" s="4"/>
      <c r="HJ2512" s="4"/>
      <c r="HK2512" s="4"/>
      <c r="HL2512" s="4"/>
      <c r="HM2512" s="4"/>
      <c r="HN2512" s="4"/>
      <c r="HO2512" s="4"/>
      <c r="HP2512" s="4"/>
      <c r="HQ2512" s="4"/>
      <c r="HR2512" s="4"/>
    </row>
    <row r="2513">
      <c r="A2513" s="2" t="s">
        <v>11135</v>
      </c>
      <c r="B2513" s="2" t="s">
        <v>228</v>
      </c>
      <c r="C2513" s="2" t="s">
        <v>1050</v>
      </c>
      <c r="D2513" s="2" t="s">
        <v>3847</v>
      </c>
      <c r="E2513" s="2" t="s">
        <v>3848</v>
      </c>
      <c r="F2513" s="2" t="s">
        <v>11130</v>
      </c>
      <c r="G2513" s="2" t="s">
        <v>11130</v>
      </c>
      <c r="H2513" s="2" t="s">
        <v>11130</v>
      </c>
      <c r="I2513" s="2" t="s">
        <v>11131</v>
      </c>
      <c r="J2513" s="2" t="s">
        <v>290</v>
      </c>
      <c r="K2513" s="2" t="s">
        <v>271</v>
      </c>
      <c r="L2513" s="3">
        <v>62.09</v>
      </c>
      <c r="M2513" s="3">
        <v>65.19</v>
      </c>
      <c r="N2513" s="3">
        <v>114.99</v>
      </c>
      <c r="O2513" s="2" t="s">
        <v>237</v>
      </c>
      <c r="P2513" s="2" t="s">
        <v>996</v>
      </c>
      <c r="Q2513" s="2" t="s">
        <v>239</v>
      </c>
      <c r="R2513" s="2" t="s">
        <v>233</v>
      </c>
      <c r="S2513" s="2" t="s">
        <v>11132</v>
      </c>
      <c r="T2513" s="2" t="s">
        <v>1055</v>
      </c>
      <c r="U2513" s="2" t="s">
        <v>233</v>
      </c>
      <c r="V2513" s="2" t="s">
        <v>241</v>
      </c>
      <c r="W2513" s="2" t="s">
        <v>275</v>
      </c>
      <c r="X2513" s="2" t="s">
        <v>233</v>
      </c>
      <c r="Y2513" s="2" t="s">
        <v>4431</v>
      </c>
      <c r="Z2513" s="4">
        <v>21</v>
      </c>
      <c r="AA2513" s="4">
        <f>=ROUNDDOWN(3.5,0)</f>
      </c>
      <c r="AB2513" s="5">
        <v>6</v>
      </c>
      <c r="AC2513" s="2" t="s">
        <v>233</v>
      </c>
      <c r="AD2513" s="4"/>
      <c r="AE2513" s="4"/>
      <c r="AF2513" s="6">
        <v>61</v>
      </c>
      <c r="AG2513" s="6"/>
      <c r="AH2513" s="7">
        <v>1</v>
      </c>
      <c r="AI2513" s="4"/>
      <c r="AJ2513" s="4">
        <f>=ROUNDDOWN({0},0)</f>
      </c>
      <c r="AK2513" s="5"/>
      <c r="AL2513" s="2" t="s">
        <v>233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233</v>
      </c>
      <c r="AW2513" s="8" t="s">
        <v>233</v>
      </c>
      <c r="AX2513" s="4" t="s">
        <v>233</v>
      </c>
      <c r="AY2513" s="8" t="s">
        <v>233</v>
      </c>
      <c r="AZ2513" s="7" t="s">
        <v>233</v>
      </c>
      <c r="BA2513" s="7" t="s">
        <v>233</v>
      </c>
      <c r="BB2513" s="7"/>
      <c r="BC2513" s="4" t="s">
        <v>233</v>
      </c>
      <c r="BD2513" s="8" t="s">
        <v>233</v>
      </c>
      <c r="BE2513" s="4" t="s">
        <v>233</v>
      </c>
      <c r="BF2513" s="8" t="s">
        <v>233</v>
      </c>
      <c r="BG2513" s="7" t="s">
        <v>233</v>
      </c>
      <c r="BH2513" s="7" t="s">
        <v>233</v>
      </c>
      <c r="BI2513" s="7"/>
      <c r="BJ2513" s="4">
        <v>2</v>
      </c>
      <c r="BK2513" s="8">
        <v>102.38</v>
      </c>
      <c r="BL2513" s="2" t="s">
        <v>9458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11136</v>
      </c>
      <c r="BV2513" s="2" t="s">
        <v>233</v>
      </c>
      <c r="BW2513" s="2" t="s">
        <v>233</v>
      </c>
      <c r="BX2513" s="2" t="s">
        <v>233</v>
      </c>
      <c r="BY2513" s="2" t="s">
        <v>280</v>
      </c>
      <c r="BZ2513" s="2" t="s">
        <v>245</v>
      </c>
      <c r="CA2513" s="2" t="s">
        <v>11134</v>
      </c>
      <c r="CB2513" s="2" t="s">
        <v>4189</v>
      </c>
      <c r="CC2513" s="2" t="s">
        <v>246</v>
      </c>
      <c r="CD2513" s="2" t="s">
        <v>233</v>
      </c>
      <c r="CE2513" s="4">
        <v>21</v>
      </c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  <c r="DP2513" s="4"/>
      <c r="DQ2513" s="4"/>
      <c r="DR2513" s="4"/>
      <c r="DS2513" s="4"/>
      <c r="DT2513" s="4"/>
      <c r="DU2513" s="4"/>
      <c r="DV2513" s="4"/>
      <c r="DW2513" s="4"/>
      <c r="DX2513" s="4"/>
      <c r="DY2513" s="4"/>
      <c r="DZ2513" s="4"/>
      <c r="EA2513" s="4"/>
      <c r="EB2513" s="4"/>
      <c r="EC2513" s="4"/>
      <c r="ED2513" s="4"/>
      <c r="EE2513" s="4"/>
      <c r="EF2513" s="4"/>
      <c r="EG2513" s="4"/>
      <c r="EH2513" s="4"/>
      <c r="EI2513" s="4"/>
      <c r="EJ2513" s="4"/>
      <c r="EK2513" s="4"/>
      <c r="EL2513" s="4"/>
      <c r="EM2513" s="4"/>
      <c r="EN2513" s="4"/>
      <c r="EO2513" s="4"/>
      <c r="EP2513" s="4"/>
      <c r="EQ2513" s="4"/>
      <c r="ER2513" s="4"/>
      <c r="ES2513" s="4"/>
      <c r="ET2513" s="4"/>
      <c r="EU2513" s="4"/>
      <c r="EV2513" s="4"/>
      <c r="EW2513" s="4"/>
      <c r="EX2513" s="4"/>
      <c r="EY2513" s="4"/>
      <c r="EZ2513" s="4"/>
      <c r="FA2513" s="4"/>
      <c r="FB2513" s="4"/>
      <c r="FC2513" s="4"/>
      <c r="FD2513" s="4"/>
      <c r="FE2513" s="4"/>
      <c r="FF2513" s="4"/>
      <c r="FG2513" s="4"/>
      <c r="FH2513" s="4"/>
      <c r="FI2513" s="4"/>
      <c r="FJ2513" s="4"/>
      <c r="FK2513" s="4"/>
      <c r="FL2513" s="4"/>
      <c r="FM2513" s="4"/>
      <c r="FN2513" s="4"/>
      <c r="FO2513" s="4"/>
      <c r="FP2513" s="4"/>
      <c r="FQ2513" s="4"/>
      <c r="FR2513" s="4"/>
      <c r="FS2513" s="4"/>
      <c r="FT2513" s="4"/>
      <c r="FU2513" s="4"/>
      <c r="FV2513" s="4"/>
      <c r="FW2513" s="4"/>
      <c r="FX2513" s="4"/>
      <c r="FY2513" s="4"/>
      <c r="FZ2513" s="4"/>
      <c r="GA2513" s="4"/>
      <c r="GB2513" s="4"/>
      <c r="GC2513" s="4"/>
      <c r="GD2513" s="4"/>
      <c r="GE2513" s="4"/>
      <c r="GF2513" s="4"/>
      <c r="GG2513" s="4"/>
      <c r="GH2513" s="4"/>
      <c r="GI2513" s="4"/>
      <c r="GJ2513" s="4"/>
      <c r="GK2513" s="4"/>
      <c r="GL2513" s="4"/>
      <c r="GM2513" s="4"/>
      <c r="GN2513" s="4"/>
      <c r="GO2513" s="4"/>
      <c r="GP2513" s="4"/>
      <c r="GQ2513" s="4"/>
      <c r="GR2513" s="4"/>
      <c r="GS2513" s="4"/>
      <c r="GT2513" s="4"/>
      <c r="GU2513" s="4"/>
      <c r="GV2513" s="4"/>
      <c r="GW2513" s="4"/>
      <c r="GX2513" s="4"/>
      <c r="GY2513" s="4"/>
      <c r="GZ2513" s="4"/>
      <c r="HA2513" s="4"/>
      <c r="HB2513" s="4"/>
      <c r="HC2513" s="4"/>
      <c r="HD2513" s="4"/>
      <c r="HE2513" s="4"/>
      <c r="HF2513" s="4"/>
      <c r="HG2513" s="4"/>
      <c r="HH2513" s="4"/>
      <c r="HI2513" s="4"/>
      <c r="HJ2513" s="4"/>
      <c r="HK2513" s="4"/>
      <c r="HL2513" s="4"/>
      <c r="HM2513" s="4"/>
      <c r="HN2513" s="4"/>
      <c r="HO2513" s="4"/>
      <c r="HP2513" s="4"/>
      <c r="HQ2513" s="4"/>
      <c r="HR2513" s="4"/>
    </row>
    <row r="2514">
      <c r="A2514" s="2" t="s">
        <v>11137</v>
      </c>
      <c r="B2514" s="2" t="s">
        <v>228</v>
      </c>
      <c r="C2514" s="2" t="s">
        <v>1050</v>
      </c>
      <c r="D2514" s="2" t="s">
        <v>3847</v>
      </c>
      <c r="E2514" s="2" t="s">
        <v>3848</v>
      </c>
      <c r="F2514" s="2" t="s">
        <v>11130</v>
      </c>
      <c r="G2514" s="2" t="s">
        <v>11130</v>
      </c>
      <c r="H2514" s="2" t="s">
        <v>11130</v>
      </c>
      <c r="I2514" s="2" t="s">
        <v>11131</v>
      </c>
      <c r="J2514" s="2" t="s">
        <v>348</v>
      </c>
      <c r="K2514" s="2" t="s">
        <v>271</v>
      </c>
      <c r="L2514" s="3">
        <v>83.69</v>
      </c>
      <c r="M2514" s="3">
        <v>87.87</v>
      </c>
      <c r="N2514" s="3">
        <v>154.99</v>
      </c>
      <c r="O2514" s="2" t="s">
        <v>237</v>
      </c>
      <c r="P2514" s="2" t="s">
        <v>996</v>
      </c>
      <c r="Q2514" s="2" t="s">
        <v>239</v>
      </c>
      <c r="R2514" s="2" t="s">
        <v>233</v>
      </c>
      <c r="S2514" s="2" t="s">
        <v>11132</v>
      </c>
      <c r="T2514" s="2" t="s">
        <v>1055</v>
      </c>
      <c r="U2514" s="2" t="s">
        <v>233</v>
      </c>
      <c r="V2514" s="2" t="s">
        <v>241</v>
      </c>
      <c r="W2514" s="2" t="s">
        <v>275</v>
      </c>
      <c r="X2514" s="2" t="s">
        <v>233</v>
      </c>
      <c r="Y2514" s="2" t="s">
        <v>4431</v>
      </c>
      <c r="Z2514" s="4">
        <v>132</v>
      </c>
      <c r="AA2514" s="4">
        <f>=ROUNDDOWN(26.4,0)</f>
      </c>
      <c r="AB2514" s="5">
        <v>5</v>
      </c>
      <c r="AC2514" s="2" t="s">
        <v>233</v>
      </c>
      <c r="AD2514" s="4"/>
      <c r="AE2514" s="4"/>
      <c r="AF2514" s="6">
        <v>61</v>
      </c>
      <c r="AG2514" s="6"/>
      <c r="AH2514" s="7">
        <v>1</v>
      </c>
      <c r="AI2514" s="4"/>
      <c r="AJ2514" s="4">
        <f>=ROUNDDOWN({0},0)</f>
      </c>
      <c r="AK2514" s="5"/>
      <c r="AL2514" s="2" t="s">
        <v>233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 t="s">
        <v>233</v>
      </c>
      <c r="AW2514" s="8" t="s">
        <v>233</v>
      </c>
      <c r="AX2514" s="4" t="s">
        <v>233</v>
      </c>
      <c r="AY2514" s="8" t="s">
        <v>233</v>
      </c>
      <c r="AZ2514" s="7" t="s">
        <v>233</v>
      </c>
      <c r="BA2514" s="7" t="s">
        <v>233</v>
      </c>
      <c r="BB2514" s="7"/>
      <c r="BC2514" s="4" t="s">
        <v>233</v>
      </c>
      <c r="BD2514" s="8" t="s">
        <v>233</v>
      </c>
      <c r="BE2514" s="4" t="s">
        <v>233</v>
      </c>
      <c r="BF2514" s="8" t="s">
        <v>233</v>
      </c>
      <c r="BG2514" s="7" t="s">
        <v>233</v>
      </c>
      <c r="BH2514" s="7" t="s">
        <v>233</v>
      </c>
      <c r="BI2514" s="7"/>
      <c r="BJ2514" s="4">
        <v>3</v>
      </c>
      <c r="BK2514" s="8">
        <v>214.77</v>
      </c>
      <c r="BL2514" s="2" t="s">
        <v>8444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11138</v>
      </c>
      <c r="BV2514" s="2" t="s">
        <v>233</v>
      </c>
      <c r="BW2514" s="2" t="s">
        <v>233</v>
      </c>
      <c r="BX2514" s="2" t="s">
        <v>233</v>
      </c>
      <c r="BY2514" s="2" t="s">
        <v>280</v>
      </c>
      <c r="BZ2514" s="2" t="s">
        <v>245</v>
      </c>
      <c r="CA2514" s="2" t="s">
        <v>11134</v>
      </c>
      <c r="CB2514" s="2" t="s">
        <v>3988</v>
      </c>
      <c r="CC2514" s="2" t="s">
        <v>246</v>
      </c>
      <c r="CD2514" s="2" t="s">
        <v>233</v>
      </c>
      <c r="CE2514" s="4">
        <v>132</v>
      </c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  <c r="DP2514" s="4"/>
      <c r="DQ2514" s="4"/>
      <c r="DR2514" s="4"/>
      <c r="DS2514" s="4"/>
      <c r="DT2514" s="4"/>
      <c r="DU2514" s="4"/>
      <c r="DV2514" s="4"/>
      <c r="DW2514" s="4"/>
      <c r="DX2514" s="4"/>
      <c r="DY2514" s="4"/>
      <c r="DZ2514" s="4"/>
      <c r="EA2514" s="4"/>
      <c r="EB2514" s="4"/>
      <c r="EC2514" s="4"/>
      <c r="ED2514" s="4"/>
      <c r="EE2514" s="4"/>
      <c r="EF2514" s="4"/>
      <c r="EG2514" s="4"/>
      <c r="EH2514" s="4"/>
      <c r="EI2514" s="4"/>
      <c r="EJ2514" s="4"/>
      <c r="EK2514" s="4"/>
      <c r="EL2514" s="4"/>
      <c r="EM2514" s="4"/>
      <c r="EN2514" s="4"/>
      <c r="EO2514" s="4"/>
      <c r="EP2514" s="4"/>
      <c r="EQ2514" s="4"/>
      <c r="ER2514" s="4"/>
      <c r="ES2514" s="4"/>
      <c r="ET2514" s="4"/>
      <c r="EU2514" s="4"/>
      <c r="EV2514" s="4"/>
      <c r="EW2514" s="4"/>
      <c r="EX2514" s="4"/>
      <c r="EY2514" s="4"/>
      <c r="EZ2514" s="4"/>
      <c r="FA2514" s="4"/>
      <c r="FB2514" s="4"/>
      <c r="FC2514" s="4"/>
      <c r="FD2514" s="4"/>
      <c r="FE2514" s="4"/>
      <c r="FF2514" s="4"/>
      <c r="FG2514" s="4"/>
      <c r="FH2514" s="4"/>
      <c r="FI2514" s="4"/>
      <c r="FJ2514" s="4"/>
      <c r="FK2514" s="4"/>
      <c r="FL2514" s="4"/>
      <c r="FM2514" s="4"/>
      <c r="FN2514" s="4"/>
      <c r="FO2514" s="4"/>
      <c r="FP2514" s="4"/>
      <c r="FQ2514" s="4"/>
      <c r="FR2514" s="4"/>
      <c r="FS2514" s="4"/>
      <c r="FT2514" s="4"/>
      <c r="FU2514" s="4"/>
      <c r="FV2514" s="4"/>
      <c r="FW2514" s="4"/>
      <c r="FX2514" s="4"/>
      <c r="FY2514" s="4"/>
      <c r="FZ2514" s="4"/>
      <c r="GA2514" s="4"/>
      <c r="GB2514" s="4"/>
      <c r="GC2514" s="4"/>
      <c r="GD2514" s="4"/>
      <c r="GE2514" s="4"/>
      <c r="GF2514" s="4"/>
      <c r="GG2514" s="4"/>
      <c r="GH2514" s="4"/>
      <c r="GI2514" s="4"/>
      <c r="GJ2514" s="4"/>
      <c r="GK2514" s="4"/>
      <c r="GL2514" s="4"/>
      <c r="GM2514" s="4"/>
      <c r="GN2514" s="4"/>
      <c r="GO2514" s="4"/>
      <c r="GP2514" s="4"/>
      <c r="GQ2514" s="4"/>
      <c r="GR2514" s="4"/>
      <c r="GS2514" s="4"/>
      <c r="GT2514" s="4"/>
      <c r="GU2514" s="4"/>
      <c r="GV2514" s="4"/>
      <c r="GW2514" s="4"/>
      <c r="GX2514" s="4"/>
      <c r="GY2514" s="4"/>
      <c r="GZ2514" s="4"/>
      <c r="HA2514" s="4"/>
      <c r="HB2514" s="4"/>
      <c r="HC2514" s="4"/>
      <c r="HD2514" s="4"/>
      <c r="HE2514" s="4"/>
      <c r="HF2514" s="4"/>
      <c r="HG2514" s="4"/>
      <c r="HH2514" s="4"/>
      <c r="HI2514" s="4"/>
      <c r="HJ2514" s="4"/>
      <c r="HK2514" s="4"/>
      <c r="HL2514" s="4"/>
      <c r="HM2514" s="4"/>
      <c r="HN2514" s="4"/>
      <c r="HO2514" s="4"/>
      <c r="HP2514" s="4"/>
      <c r="HQ2514" s="4"/>
      <c r="HR2514" s="4"/>
    </row>
    <row r="2515">
      <c r="A2515" s="2" t="s">
        <v>11139</v>
      </c>
      <c r="B2515" s="2" t="s">
        <v>228</v>
      </c>
      <c r="C2515" s="2" t="s">
        <v>1050</v>
      </c>
      <c r="D2515" s="2" t="s">
        <v>3847</v>
      </c>
      <c r="E2515" s="2" t="s">
        <v>3848</v>
      </c>
      <c r="F2515" s="2" t="s">
        <v>11130</v>
      </c>
      <c r="G2515" s="2" t="s">
        <v>11130</v>
      </c>
      <c r="H2515" s="2" t="s">
        <v>11130</v>
      </c>
      <c r="I2515" s="2" t="s">
        <v>11131</v>
      </c>
      <c r="J2515" s="2" t="s">
        <v>328</v>
      </c>
      <c r="K2515" s="2" t="s">
        <v>271</v>
      </c>
      <c r="L2515" s="3">
        <v>94.49</v>
      </c>
      <c r="M2515" s="3">
        <v>99.21</v>
      </c>
      <c r="N2515" s="3">
        <v>174.99</v>
      </c>
      <c r="O2515" s="2" t="s">
        <v>237</v>
      </c>
      <c r="P2515" s="2" t="s">
        <v>996</v>
      </c>
      <c r="Q2515" s="2" t="s">
        <v>239</v>
      </c>
      <c r="R2515" s="2" t="s">
        <v>233</v>
      </c>
      <c r="S2515" s="2" t="s">
        <v>11132</v>
      </c>
      <c r="T2515" s="2" t="s">
        <v>1055</v>
      </c>
      <c r="U2515" s="2" t="s">
        <v>233</v>
      </c>
      <c r="V2515" s="2" t="s">
        <v>241</v>
      </c>
      <c r="W2515" s="2" t="s">
        <v>275</v>
      </c>
      <c r="X2515" s="2" t="s">
        <v>233</v>
      </c>
      <c r="Y2515" s="2" t="s">
        <v>4431</v>
      </c>
      <c r="Z2515" s="4">
        <v>32</v>
      </c>
      <c r="AA2515" s="4">
        <f>=ROUNDDOWN(6.4,0)</f>
      </c>
      <c r="AB2515" s="5">
        <v>5</v>
      </c>
      <c r="AC2515" s="2" t="s">
        <v>233</v>
      </c>
      <c r="AD2515" s="4"/>
      <c r="AE2515" s="4"/>
      <c r="AF2515" s="6">
        <v>61</v>
      </c>
      <c r="AG2515" s="6"/>
      <c r="AH2515" s="7">
        <v>1</v>
      </c>
      <c r="AI2515" s="4"/>
      <c r="AJ2515" s="4">
        <f>=ROUNDDOWN({0},0)</f>
      </c>
      <c r="AK2515" s="5"/>
      <c r="AL2515" s="2" t="s">
        <v>233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 t="s">
        <v>233</v>
      </c>
      <c r="AW2515" s="8" t="s">
        <v>233</v>
      </c>
      <c r="AX2515" s="4" t="s">
        <v>233</v>
      </c>
      <c r="AY2515" s="8" t="s">
        <v>233</v>
      </c>
      <c r="AZ2515" s="7" t="s">
        <v>233</v>
      </c>
      <c r="BA2515" s="7" t="s">
        <v>233</v>
      </c>
      <c r="BB2515" s="7"/>
      <c r="BC2515" s="4" t="s">
        <v>233</v>
      </c>
      <c r="BD2515" s="8" t="s">
        <v>233</v>
      </c>
      <c r="BE2515" s="4" t="s">
        <v>233</v>
      </c>
      <c r="BF2515" s="8" t="s">
        <v>233</v>
      </c>
      <c r="BG2515" s="7" t="s">
        <v>233</v>
      </c>
      <c r="BH2515" s="7" t="s">
        <v>233</v>
      </c>
      <c r="BI2515" s="7"/>
      <c r="BJ2515" s="4">
        <v>4</v>
      </c>
      <c r="BK2515" s="8">
        <v>360.13</v>
      </c>
      <c r="BL2515" s="2" t="s">
        <v>3298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11140</v>
      </c>
      <c r="BV2515" s="2" t="s">
        <v>233</v>
      </c>
      <c r="BW2515" s="2" t="s">
        <v>233</v>
      </c>
      <c r="BX2515" s="2" t="s">
        <v>233</v>
      </c>
      <c r="BY2515" s="2" t="s">
        <v>280</v>
      </c>
      <c r="BZ2515" s="2" t="s">
        <v>245</v>
      </c>
      <c r="CA2515" s="2" t="s">
        <v>11134</v>
      </c>
      <c r="CB2515" s="2" t="s">
        <v>4424</v>
      </c>
      <c r="CC2515" s="2" t="s">
        <v>246</v>
      </c>
      <c r="CD2515" s="2" t="s">
        <v>233</v>
      </c>
      <c r="CE2515" s="4">
        <v>32</v>
      </c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  <c r="DP2515" s="4"/>
      <c r="DQ2515" s="4"/>
      <c r="DR2515" s="4"/>
      <c r="DS2515" s="4"/>
      <c r="DT2515" s="4"/>
      <c r="DU2515" s="4"/>
      <c r="DV2515" s="4"/>
      <c r="DW2515" s="4"/>
      <c r="DX2515" s="4"/>
      <c r="DY2515" s="4"/>
      <c r="DZ2515" s="4"/>
      <c r="EA2515" s="4"/>
      <c r="EB2515" s="4"/>
      <c r="EC2515" s="4"/>
      <c r="ED2515" s="4"/>
      <c r="EE2515" s="4"/>
      <c r="EF2515" s="4"/>
      <c r="EG2515" s="4"/>
      <c r="EH2515" s="4"/>
      <c r="EI2515" s="4"/>
      <c r="EJ2515" s="4"/>
      <c r="EK2515" s="4"/>
      <c r="EL2515" s="4"/>
      <c r="EM2515" s="4"/>
      <c r="EN2515" s="4"/>
      <c r="EO2515" s="4"/>
      <c r="EP2515" s="4"/>
      <c r="EQ2515" s="4"/>
      <c r="ER2515" s="4"/>
      <c r="ES2515" s="4"/>
      <c r="ET2515" s="4"/>
      <c r="EU2515" s="4"/>
      <c r="EV2515" s="4"/>
      <c r="EW2515" s="4"/>
      <c r="EX2515" s="4"/>
      <c r="EY2515" s="4"/>
      <c r="EZ2515" s="4"/>
      <c r="FA2515" s="4"/>
      <c r="FB2515" s="4"/>
      <c r="FC2515" s="4"/>
      <c r="FD2515" s="4"/>
      <c r="FE2515" s="4"/>
      <c r="FF2515" s="4"/>
      <c r="FG2515" s="4"/>
      <c r="FH2515" s="4"/>
      <c r="FI2515" s="4"/>
      <c r="FJ2515" s="4"/>
      <c r="FK2515" s="4"/>
      <c r="FL2515" s="4"/>
      <c r="FM2515" s="4"/>
      <c r="FN2515" s="4"/>
      <c r="FO2515" s="4"/>
      <c r="FP2515" s="4"/>
      <c r="FQ2515" s="4"/>
      <c r="FR2515" s="4"/>
      <c r="FS2515" s="4"/>
      <c r="FT2515" s="4"/>
      <c r="FU2515" s="4"/>
      <c r="FV2515" s="4"/>
      <c r="FW2515" s="4"/>
      <c r="FX2515" s="4"/>
      <c r="FY2515" s="4"/>
      <c r="FZ2515" s="4"/>
      <c r="GA2515" s="4"/>
      <c r="GB2515" s="4"/>
      <c r="GC2515" s="4"/>
      <c r="GD2515" s="4"/>
      <c r="GE2515" s="4"/>
      <c r="GF2515" s="4"/>
      <c r="GG2515" s="4"/>
      <c r="GH2515" s="4"/>
      <c r="GI2515" s="4"/>
      <c r="GJ2515" s="4"/>
      <c r="GK2515" s="4"/>
      <c r="GL2515" s="4"/>
      <c r="GM2515" s="4"/>
      <c r="GN2515" s="4"/>
      <c r="GO2515" s="4"/>
      <c r="GP2515" s="4"/>
      <c r="GQ2515" s="4"/>
      <c r="GR2515" s="4"/>
      <c r="GS2515" s="4"/>
      <c r="GT2515" s="4"/>
      <c r="GU2515" s="4"/>
      <c r="GV2515" s="4"/>
      <c r="GW2515" s="4"/>
      <c r="GX2515" s="4"/>
      <c r="GY2515" s="4"/>
      <c r="GZ2515" s="4"/>
      <c r="HA2515" s="4"/>
      <c r="HB2515" s="4"/>
      <c r="HC2515" s="4"/>
      <c r="HD2515" s="4"/>
      <c r="HE2515" s="4"/>
      <c r="HF2515" s="4"/>
      <c r="HG2515" s="4"/>
      <c r="HH2515" s="4"/>
      <c r="HI2515" s="4"/>
      <c r="HJ2515" s="4"/>
      <c r="HK2515" s="4"/>
      <c r="HL2515" s="4"/>
      <c r="HM2515" s="4"/>
      <c r="HN2515" s="4"/>
      <c r="HO2515" s="4"/>
      <c r="HP2515" s="4"/>
      <c r="HQ2515" s="4"/>
      <c r="HR2515" s="4"/>
    </row>
    <row r="2516">
      <c r="A2516" s="2" t="s">
        <v>11141</v>
      </c>
      <c r="B2516" s="2" t="s">
        <v>228</v>
      </c>
      <c r="C2516" s="2" t="s">
        <v>1050</v>
      </c>
      <c r="D2516" s="2" t="s">
        <v>3847</v>
      </c>
      <c r="E2516" s="2" t="s">
        <v>3848</v>
      </c>
      <c r="F2516" s="2" t="s">
        <v>11130</v>
      </c>
      <c r="G2516" s="2" t="s">
        <v>11130</v>
      </c>
      <c r="H2516" s="2" t="s">
        <v>11130</v>
      </c>
      <c r="I2516" s="2" t="s">
        <v>11131</v>
      </c>
      <c r="J2516" s="2" t="s">
        <v>348</v>
      </c>
      <c r="K2516" s="2" t="s">
        <v>984</v>
      </c>
      <c r="L2516" s="3">
        <v>83.69</v>
      </c>
      <c r="M2516" s="3">
        <v>87.87</v>
      </c>
      <c r="N2516" s="3">
        <v>154.99</v>
      </c>
      <c r="O2516" s="2" t="s">
        <v>237</v>
      </c>
      <c r="P2516" s="2" t="s">
        <v>996</v>
      </c>
      <c r="Q2516" s="2" t="s">
        <v>239</v>
      </c>
      <c r="R2516" s="2" t="s">
        <v>233</v>
      </c>
      <c r="S2516" s="2" t="s">
        <v>11142</v>
      </c>
      <c r="T2516" s="2" t="s">
        <v>1622</v>
      </c>
      <c r="U2516" s="2" t="s">
        <v>396</v>
      </c>
      <c r="V2516" s="2" t="s">
        <v>241</v>
      </c>
      <c r="W2516" s="2" t="s">
        <v>275</v>
      </c>
      <c r="X2516" s="2" t="s">
        <v>233</v>
      </c>
      <c r="Y2516" s="2" t="s">
        <v>5373</v>
      </c>
      <c r="Z2516" s="4">
        <v>139</v>
      </c>
      <c r="AA2516" s="4">
        <f>=ROUNDDOWN(46.3333333333333,0)</f>
      </c>
      <c r="AB2516" s="5">
        <v>3</v>
      </c>
      <c r="AC2516" s="2" t="s">
        <v>233</v>
      </c>
      <c r="AD2516" s="4"/>
      <c r="AE2516" s="4"/>
      <c r="AF2516" s="6">
        <v>61</v>
      </c>
      <c r="AG2516" s="6"/>
      <c r="AH2516" s="7">
        <v>1</v>
      </c>
      <c r="AI2516" s="4"/>
      <c r="AJ2516" s="4">
        <f>=ROUNDDOWN({0},0)</f>
      </c>
      <c r="AK2516" s="5"/>
      <c r="AL2516" s="2" t="s">
        <v>233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/>
      <c r="AW2516" s="8"/>
      <c r="AX2516" s="4"/>
      <c r="AY2516" s="8"/>
      <c r="AZ2516" s="7"/>
      <c r="BA2516" s="7"/>
      <c r="BB2516" s="7"/>
      <c r="BC2516" s="4" t="s">
        <v>233</v>
      </c>
      <c r="BD2516" s="8" t="s">
        <v>233</v>
      </c>
      <c r="BE2516" s="4" t="s">
        <v>233</v>
      </c>
      <c r="BF2516" s="8" t="s">
        <v>233</v>
      </c>
      <c r="BG2516" s="7" t="s">
        <v>233</v>
      </c>
      <c r="BH2516" s="7" t="s">
        <v>233</v>
      </c>
      <c r="BI2516" s="7"/>
      <c r="BJ2516" s="4">
        <v>1</v>
      </c>
      <c r="BK2516" s="8">
        <v>77.9</v>
      </c>
      <c r="BL2516" s="2" t="s">
        <v>492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11143</v>
      </c>
      <c r="BV2516" s="2" t="s">
        <v>233</v>
      </c>
      <c r="BW2516" s="2" t="s">
        <v>233</v>
      </c>
      <c r="BX2516" s="2" t="s">
        <v>233</v>
      </c>
      <c r="BY2516" s="2" t="s">
        <v>280</v>
      </c>
      <c r="BZ2516" s="2" t="s">
        <v>245</v>
      </c>
      <c r="CA2516" s="2" t="s">
        <v>10756</v>
      </c>
      <c r="CB2516" s="2" t="s">
        <v>9125</v>
      </c>
      <c r="CC2516" s="2" t="s">
        <v>246</v>
      </c>
      <c r="CD2516" s="2" t="s">
        <v>233</v>
      </c>
      <c r="CE2516" s="4">
        <v>139</v>
      </c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  <c r="DP2516" s="4"/>
      <c r="DQ2516" s="4"/>
      <c r="DR2516" s="4"/>
      <c r="DS2516" s="4"/>
      <c r="DT2516" s="4"/>
      <c r="DU2516" s="4"/>
      <c r="DV2516" s="4"/>
      <c r="DW2516" s="4"/>
      <c r="DX2516" s="4"/>
      <c r="DY2516" s="4"/>
      <c r="DZ2516" s="4"/>
      <c r="EA2516" s="4"/>
      <c r="EB2516" s="4"/>
      <c r="EC2516" s="4"/>
      <c r="ED2516" s="4"/>
      <c r="EE2516" s="4"/>
      <c r="EF2516" s="4"/>
      <c r="EG2516" s="4"/>
      <c r="EH2516" s="4"/>
      <c r="EI2516" s="4"/>
      <c r="EJ2516" s="4"/>
      <c r="EK2516" s="4"/>
      <c r="EL2516" s="4"/>
      <c r="EM2516" s="4"/>
      <c r="EN2516" s="4"/>
      <c r="EO2516" s="4"/>
      <c r="EP2516" s="4"/>
      <c r="EQ2516" s="4"/>
      <c r="ER2516" s="4"/>
      <c r="ES2516" s="4"/>
      <c r="ET2516" s="4"/>
      <c r="EU2516" s="4"/>
      <c r="EV2516" s="4"/>
      <c r="EW2516" s="4"/>
      <c r="EX2516" s="4"/>
      <c r="EY2516" s="4"/>
      <c r="EZ2516" s="4"/>
      <c r="FA2516" s="4"/>
      <c r="FB2516" s="4"/>
      <c r="FC2516" s="4"/>
      <c r="FD2516" s="4"/>
      <c r="FE2516" s="4"/>
      <c r="FF2516" s="4"/>
      <c r="FG2516" s="4"/>
      <c r="FH2516" s="4"/>
      <c r="FI2516" s="4"/>
      <c r="FJ2516" s="4"/>
      <c r="FK2516" s="4"/>
      <c r="FL2516" s="4"/>
      <c r="FM2516" s="4"/>
      <c r="FN2516" s="4"/>
      <c r="FO2516" s="4"/>
      <c r="FP2516" s="4"/>
      <c r="FQ2516" s="4"/>
      <c r="FR2516" s="4"/>
      <c r="FS2516" s="4"/>
      <c r="FT2516" s="4"/>
      <c r="FU2516" s="4"/>
      <c r="FV2516" s="4"/>
      <c r="FW2516" s="4"/>
      <c r="FX2516" s="4"/>
      <c r="FY2516" s="4"/>
      <c r="FZ2516" s="4"/>
      <c r="GA2516" s="4"/>
      <c r="GB2516" s="4"/>
      <c r="GC2516" s="4"/>
      <c r="GD2516" s="4"/>
      <c r="GE2516" s="4"/>
      <c r="GF2516" s="4"/>
      <c r="GG2516" s="4"/>
      <c r="GH2516" s="4"/>
      <c r="GI2516" s="4"/>
      <c r="GJ2516" s="4"/>
      <c r="GK2516" s="4"/>
      <c r="GL2516" s="4"/>
      <c r="GM2516" s="4"/>
      <c r="GN2516" s="4"/>
      <c r="GO2516" s="4"/>
      <c r="GP2516" s="4"/>
      <c r="GQ2516" s="4"/>
      <c r="GR2516" s="4"/>
      <c r="GS2516" s="4"/>
      <c r="GT2516" s="4"/>
      <c r="GU2516" s="4"/>
      <c r="GV2516" s="4"/>
      <c r="GW2516" s="4"/>
      <c r="GX2516" s="4"/>
      <c r="GY2516" s="4"/>
      <c r="GZ2516" s="4"/>
      <c r="HA2516" s="4"/>
      <c r="HB2516" s="4"/>
      <c r="HC2516" s="4"/>
      <c r="HD2516" s="4"/>
      <c r="HE2516" s="4"/>
      <c r="HF2516" s="4"/>
      <c r="HG2516" s="4"/>
      <c r="HH2516" s="4"/>
      <c r="HI2516" s="4"/>
      <c r="HJ2516" s="4"/>
      <c r="HK2516" s="4"/>
      <c r="HL2516" s="4"/>
      <c r="HM2516" s="4"/>
      <c r="HN2516" s="4"/>
      <c r="HO2516" s="4"/>
      <c r="HP2516" s="4"/>
      <c r="HQ2516" s="4"/>
      <c r="HR2516" s="4"/>
    </row>
    <row r="2517">
      <c r="A2517" s="2" t="s">
        <v>11144</v>
      </c>
      <c r="B2517" s="2" t="s">
        <v>228</v>
      </c>
      <c r="C2517" s="2" t="s">
        <v>1050</v>
      </c>
      <c r="D2517" s="2" t="s">
        <v>3847</v>
      </c>
      <c r="E2517" s="2" t="s">
        <v>3848</v>
      </c>
      <c r="F2517" s="2" t="s">
        <v>11130</v>
      </c>
      <c r="G2517" s="2" t="s">
        <v>11130</v>
      </c>
      <c r="H2517" s="2" t="s">
        <v>11130</v>
      </c>
      <c r="I2517" s="2" t="s">
        <v>11131</v>
      </c>
      <c r="J2517" s="2" t="s">
        <v>290</v>
      </c>
      <c r="K2517" s="2" t="s">
        <v>255</v>
      </c>
      <c r="L2517" s="3">
        <v>62.09</v>
      </c>
      <c r="M2517" s="3">
        <v>65.19</v>
      </c>
      <c r="N2517" s="3">
        <v>114.99</v>
      </c>
      <c r="O2517" s="2" t="s">
        <v>237</v>
      </c>
      <c r="P2517" s="2" t="s">
        <v>996</v>
      </c>
      <c r="Q2517" s="2" t="s">
        <v>239</v>
      </c>
      <c r="R2517" s="2" t="s">
        <v>233</v>
      </c>
      <c r="S2517" s="2" t="s">
        <v>11145</v>
      </c>
      <c r="T2517" s="2" t="s">
        <v>1055</v>
      </c>
      <c r="U2517" s="2" t="s">
        <v>233</v>
      </c>
      <c r="V2517" s="2" t="s">
        <v>241</v>
      </c>
      <c r="W2517" s="2" t="s">
        <v>275</v>
      </c>
      <c r="X2517" s="2" t="s">
        <v>233</v>
      </c>
      <c r="Y2517" s="2" t="s">
        <v>4431</v>
      </c>
      <c r="Z2517" s="4">
        <v>221</v>
      </c>
      <c r="AA2517" s="4">
        <f>=ROUNDDOWN(36.8333333333333,0)</f>
      </c>
      <c r="AB2517" s="5">
        <v>6</v>
      </c>
      <c r="AC2517" s="2" t="s">
        <v>233</v>
      </c>
      <c r="AD2517" s="4"/>
      <c r="AE2517" s="4"/>
      <c r="AF2517" s="6">
        <v>61</v>
      </c>
      <c r="AG2517" s="6"/>
      <c r="AH2517" s="7">
        <v>1</v>
      </c>
      <c r="AI2517" s="4"/>
      <c r="AJ2517" s="4">
        <f>=ROUNDDOWN({0},0)</f>
      </c>
      <c r="AK2517" s="5"/>
      <c r="AL2517" s="2" t="s">
        <v>233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 t="s">
        <v>233</v>
      </c>
      <c r="AW2517" s="8" t="s">
        <v>233</v>
      </c>
      <c r="AX2517" s="4" t="s">
        <v>233</v>
      </c>
      <c r="AY2517" s="8" t="s">
        <v>233</v>
      </c>
      <c r="AZ2517" s="7" t="s">
        <v>233</v>
      </c>
      <c r="BA2517" s="7" t="s">
        <v>233</v>
      </c>
      <c r="BB2517" s="7"/>
      <c r="BC2517" s="4" t="s">
        <v>233</v>
      </c>
      <c r="BD2517" s="8" t="s">
        <v>233</v>
      </c>
      <c r="BE2517" s="4" t="s">
        <v>233</v>
      </c>
      <c r="BF2517" s="8" t="s">
        <v>233</v>
      </c>
      <c r="BG2517" s="7" t="s">
        <v>233</v>
      </c>
      <c r="BH2517" s="7" t="s">
        <v>233</v>
      </c>
      <c r="BI2517" s="7"/>
      <c r="BJ2517" s="4">
        <v>5</v>
      </c>
      <c r="BK2517" s="8">
        <v>301.7</v>
      </c>
      <c r="BL2517" s="2" t="s">
        <v>5260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11146</v>
      </c>
      <c r="BV2517" s="2" t="s">
        <v>233</v>
      </c>
      <c r="BW2517" s="2" t="s">
        <v>233</v>
      </c>
      <c r="BX2517" s="2" t="s">
        <v>233</v>
      </c>
      <c r="BY2517" s="2" t="s">
        <v>280</v>
      </c>
      <c r="BZ2517" s="2" t="s">
        <v>245</v>
      </c>
      <c r="CA2517" s="2" t="s">
        <v>11134</v>
      </c>
      <c r="CB2517" s="2" t="s">
        <v>4372</v>
      </c>
      <c r="CC2517" s="2" t="s">
        <v>246</v>
      </c>
      <c r="CD2517" s="2" t="s">
        <v>233</v>
      </c>
      <c r="CE2517" s="4">
        <v>221</v>
      </c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  <c r="DL2517" s="4"/>
      <c r="DM2517" s="4"/>
      <c r="DN2517" s="4"/>
      <c r="DO2517" s="4"/>
      <c r="DP2517" s="4"/>
      <c r="DQ2517" s="4"/>
      <c r="DR2517" s="4"/>
      <c r="DS2517" s="4"/>
      <c r="DT2517" s="4"/>
      <c r="DU2517" s="4"/>
      <c r="DV2517" s="4"/>
      <c r="DW2517" s="4"/>
      <c r="DX2517" s="4"/>
      <c r="DY2517" s="4"/>
      <c r="DZ2517" s="4"/>
      <c r="EA2517" s="4"/>
      <c r="EB2517" s="4"/>
      <c r="EC2517" s="4"/>
      <c r="ED2517" s="4"/>
      <c r="EE2517" s="4"/>
      <c r="EF2517" s="4"/>
      <c r="EG2517" s="4"/>
      <c r="EH2517" s="4"/>
      <c r="EI2517" s="4"/>
      <c r="EJ2517" s="4"/>
      <c r="EK2517" s="4"/>
      <c r="EL2517" s="4"/>
      <c r="EM2517" s="4"/>
      <c r="EN2517" s="4"/>
      <c r="EO2517" s="4"/>
      <c r="EP2517" s="4"/>
      <c r="EQ2517" s="4"/>
      <c r="ER2517" s="4"/>
      <c r="ES2517" s="4"/>
      <c r="ET2517" s="4"/>
      <c r="EU2517" s="4"/>
      <c r="EV2517" s="4"/>
      <c r="EW2517" s="4"/>
      <c r="EX2517" s="4"/>
      <c r="EY2517" s="4"/>
      <c r="EZ2517" s="4"/>
      <c r="FA2517" s="4"/>
      <c r="FB2517" s="4"/>
      <c r="FC2517" s="4"/>
      <c r="FD2517" s="4"/>
      <c r="FE2517" s="4"/>
      <c r="FF2517" s="4"/>
      <c r="FG2517" s="4"/>
      <c r="FH2517" s="4"/>
      <c r="FI2517" s="4"/>
      <c r="FJ2517" s="4"/>
      <c r="FK2517" s="4"/>
      <c r="FL2517" s="4"/>
      <c r="FM2517" s="4"/>
      <c r="FN2517" s="4"/>
      <c r="FO2517" s="4"/>
      <c r="FP2517" s="4"/>
      <c r="FQ2517" s="4"/>
      <c r="FR2517" s="4"/>
      <c r="FS2517" s="4"/>
      <c r="FT2517" s="4"/>
      <c r="FU2517" s="4"/>
      <c r="FV2517" s="4"/>
      <c r="FW2517" s="4"/>
      <c r="FX2517" s="4"/>
      <c r="FY2517" s="4"/>
      <c r="FZ2517" s="4"/>
      <c r="GA2517" s="4"/>
      <c r="GB2517" s="4"/>
      <c r="GC2517" s="4"/>
      <c r="GD2517" s="4"/>
      <c r="GE2517" s="4"/>
      <c r="GF2517" s="4"/>
      <c r="GG2517" s="4"/>
      <c r="GH2517" s="4"/>
      <c r="GI2517" s="4"/>
      <c r="GJ2517" s="4"/>
      <c r="GK2517" s="4"/>
      <c r="GL2517" s="4"/>
      <c r="GM2517" s="4"/>
      <c r="GN2517" s="4"/>
      <c r="GO2517" s="4"/>
      <c r="GP2517" s="4"/>
      <c r="GQ2517" s="4"/>
      <c r="GR2517" s="4"/>
      <c r="GS2517" s="4"/>
      <c r="GT2517" s="4"/>
      <c r="GU2517" s="4"/>
      <c r="GV2517" s="4"/>
      <c r="GW2517" s="4"/>
      <c r="GX2517" s="4"/>
      <c r="GY2517" s="4"/>
      <c r="GZ2517" s="4"/>
      <c r="HA2517" s="4"/>
      <c r="HB2517" s="4"/>
      <c r="HC2517" s="4"/>
      <c r="HD2517" s="4"/>
      <c r="HE2517" s="4"/>
      <c r="HF2517" s="4"/>
      <c r="HG2517" s="4"/>
      <c r="HH2517" s="4"/>
      <c r="HI2517" s="4"/>
      <c r="HJ2517" s="4"/>
      <c r="HK2517" s="4"/>
      <c r="HL2517" s="4"/>
      <c r="HM2517" s="4"/>
      <c r="HN2517" s="4"/>
      <c r="HO2517" s="4"/>
      <c r="HP2517" s="4"/>
      <c r="HQ2517" s="4"/>
      <c r="HR2517" s="4"/>
    </row>
    <row r="2518">
      <c r="A2518" s="2" t="s">
        <v>11147</v>
      </c>
      <c r="B2518" s="2" t="s">
        <v>228</v>
      </c>
      <c r="C2518" s="2" t="s">
        <v>1050</v>
      </c>
      <c r="D2518" s="2" t="s">
        <v>3847</v>
      </c>
      <c r="E2518" s="2" t="s">
        <v>3848</v>
      </c>
      <c r="F2518" s="2" t="s">
        <v>11130</v>
      </c>
      <c r="G2518" s="2" t="s">
        <v>11130</v>
      </c>
      <c r="H2518" s="2" t="s">
        <v>11130</v>
      </c>
      <c r="I2518" s="2" t="s">
        <v>11131</v>
      </c>
      <c r="J2518" s="2" t="s">
        <v>348</v>
      </c>
      <c r="K2518" s="2" t="s">
        <v>255</v>
      </c>
      <c r="L2518" s="3">
        <v>83.69</v>
      </c>
      <c r="M2518" s="3">
        <v>87.87</v>
      </c>
      <c r="N2518" s="3">
        <v>154.99</v>
      </c>
      <c r="O2518" s="2" t="s">
        <v>237</v>
      </c>
      <c r="P2518" s="2" t="s">
        <v>996</v>
      </c>
      <c r="Q2518" s="2" t="s">
        <v>239</v>
      </c>
      <c r="R2518" s="2" t="s">
        <v>233</v>
      </c>
      <c r="S2518" s="2" t="s">
        <v>11145</v>
      </c>
      <c r="T2518" s="2" t="s">
        <v>1055</v>
      </c>
      <c r="U2518" s="2" t="s">
        <v>233</v>
      </c>
      <c r="V2518" s="2" t="s">
        <v>241</v>
      </c>
      <c r="W2518" s="2" t="s">
        <v>275</v>
      </c>
      <c r="X2518" s="2" t="s">
        <v>233</v>
      </c>
      <c r="Y2518" s="2" t="s">
        <v>4431</v>
      </c>
      <c r="Z2518" s="4">
        <v>48</v>
      </c>
      <c r="AA2518" s="4">
        <f>=ROUNDDOWN(8,0)</f>
      </c>
      <c r="AB2518" s="5">
        <v>6</v>
      </c>
      <c r="AC2518" s="2" t="s">
        <v>233</v>
      </c>
      <c r="AD2518" s="4"/>
      <c r="AE2518" s="4"/>
      <c r="AF2518" s="6">
        <v>61</v>
      </c>
      <c r="AG2518" s="6"/>
      <c r="AH2518" s="7">
        <v>1</v>
      </c>
      <c r="AI2518" s="4"/>
      <c r="AJ2518" s="4">
        <f>=ROUNDDOWN({0},0)</f>
      </c>
      <c r="AK2518" s="5"/>
      <c r="AL2518" s="2" t="s">
        <v>233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 t="s">
        <v>233</v>
      </c>
      <c r="AW2518" s="8" t="s">
        <v>233</v>
      </c>
      <c r="AX2518" s="4" t="s">
        <v>233</v>
      </c>
      <c r="AY2518" s="8" t="s">
        <v>233</v>
      </c>
      <c r="AZ2518" s="7" t="s">
        <v>233</v>
      </c>
      <c r="BA2518" s="7" t="s">
        <v>233</v>
      </c>
      <c r="BB2518" s="7"/>
      <c r="BC2518" s="4" t="s">
        <v>233</v>
      </c>
      <c r="BD2518" s="8" t="s">
        <v>233</v>
      </c>
      <c r="BE2518" s="4" t="s">
        <v>233</v>
      </c>
      <c r="BF2518" s="8" t="s">
        <v>233</v>
      </c>
      <c r="BG2518" s="7" t="s">
        <v>233</v>
      </c>
      <c r="BH2518" s="7" t="s">
        <v>233</v>
      </c>
      <c r="BI2518" s="7"/>
      <c r="BJ2518" s="4">
        <v>4</v>
      </c>
      <c r="BK2518" s="8">
        <v>330.47</v>
      </c>
      <c r="BL2518" s="2" t="s">
        <v>10635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11148</v>
      </c>
      <c r="BV2518" s="2" t="s">
        <v>233</v>
      </c>
      <c r="BW2518" s="2" t="s">
        <v>233</v>
      </c>
      <c r="BX2518" s="2" t="s">
        <v>233</v>
      </c>
      <c r="BY2518" s="2" t="s">
        <v>280</v>
      </c>
      <c r="BZ2518" s="2" t="s">
        <v>245</v>
      </c>
      <c r="CA2518" s="2" t="s">
        <v>11134</v>
      </c>
      <c r="CB2518" s="2" t="s">
        <v>4125</v>
      </c>
      <c r="CC2518" s="2" t="s">
        <v>246</v>
      </c>
      <c r="CD2518" s="2" t="s">
        <v>233</v>
      </c>
      <c r="CE2518" s="4">
        <v>48</v>
      </c>
      <c r="CF2518" s="4"/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  <c r="DL2518" s="4"/>
      <c r="DM2518" s="4"/>
      <c r="DN2518" s="4"/>
      <c r="DO2518" s="4"/>
      <c r="DP2518" s="4"/>
      <c r="DQ2518" s="4"/>
      <c r="DR2518" s="4"/>
      <c r="DS2518" s="4"/>
      <c r="DT2518" s="4"/>
      <c r="DU2518" s="4"/>
      <c r="DV2518" s="4"/>
      <c r="DW2518" s="4"/>
      <c r="DX2518" s="4"/>
      <c r="DY2518" s="4"/>
      <c r="DZ2518" s="4"/>
      <c r="EA2518" s="4"/>
      <c r="EB2518" s="4"/>
      <c r="EC2518" s="4"/>
      <c r="ED2518" s="4"/>
      <c r="EE2518" s="4"/>
      <c r="EF2518" s="4"/>
      <c r="EG2518" s="4"/>
      <c r="EH2518" s="4"/>
      <c r="EI2518" s="4"/>
      <c r="EJ2518" s="4"/>
      <c r="EK2518" s="4"/>
      <c r="EL2518" s="4"/>
      <c r="EM2518" s="4"/>
      <c r="EN2518" s="4"/>
      <c r="EO2518" s="4"/>
      <c r="EP2518" s="4"/>
      <c r="EQ2518" s="4"/>
      <c r="ER2518" s="4"/>
      <c r="ES2518" s="4"/>
      <c r="ET2518" s="4"/>
      <c r="EU2518" s="4"/>
      <c r="EV2518" s="4"/>
      <c r="EW2518" s="4"/>
      <c r="EX2518" s="4"/>
      <c r="EY2518" s="4"/>
      <c r="EZ2518" s="4"/>
      <c r="FA2518" s="4"/>
      <c r="FB2518" s="4"/>
      <c r="FC2518" s="4"/>
      <c r="FD2518" s="4"/>
      <c r="FE2518" s="4"/>
      <c r="FF2518" s="4"/>
      <c r="FG2518" s="4"/>
      <c r="FH2518" s="4"/>
      <c r="FI2518" s="4"/>
      <c r="FJ2518" s="4"/>
      <c r="FK2518" s="4"/>
      <c r="FL2518" s="4"/>
      <c r="FM2518" s="4"/>
      <c r="FN2518" s="4"/>
      <c r="FO2518" s="4"/>
      <c r="FP2518" s="4"/>
      <c r="FQ2518" s="4"/>
      <c r="FR2518" s="4"/>
      <c r="FS2518" s="4"/>
      <c r="FT2518" s="4"/>
      <c r="FU2518" s="4"/>
      <c r="FV2518" s="4"/>
      <c r="FW2518" s="4"/>
      <c r="FX2518" s="4"/>
      <c r="FY2518" s="4"/>
      <c r="FZ2518" s="4"/>
      <c r="GA2518" s="4"/>
      <c r="GB2518" s="4"/>
      <c r="GC2518" s="4"/>
      <c r="GD2518" s="4"/>
      <c r="GE2518" s="4"/>
      <c r="GF2518" s="4"/>
      <c r="GG2518" s="4"/>
      <c r="GH2518" s="4"/>
      <c r="GI2518" s="4"/>
      <c r="GJ2518" s="4"/>
      <c r="GK2518" s="4"/>
      <c r="GL2518" s="4"/>
      <c r="GM2518" s="4"/>
      <c r="GN2518" s="4"/>
      <c r="GO2518" s="4"/>
      <c r="GP2518" s="4"/>
      <c r="GQ2518" s="4"/>
      <c r="GR2518" s="4"/>
      <c r="GS2518" s="4"/>
      <c r="GT2518" s="4"/>
      <c r="GU2518" s="4"/>
      <c r="GV2518" s="4"/>
      <c r="GW2518" s="4"/>
      <c r="GX2518" s="4"/>
      <c r="GY2518" s="4"/>
      <c r="GZ2518" s="4"/>
      <c r="HA2518" s="4"/>
      <c r="HB2518" s="4"/>
      <c r="HC2518" s="4"/>
      <c r="HD2518" s="4"/>
      <c r="HE2518" s="4"/>
      <c r="HF2518" s="4"/>
      <c r="HG2518" s="4"/>
      <c r="HH2518" s="4"/>
      <c r="HI2518" s="4"/>
      <c r="HJ2518" s="4"/>
      <c r="HK2518" s="4"/>
      <c r="HL2518" s="4"/>
      <c r="HM2518" s="4"/>
      <c r="HN2518" s="4"/>
      <c r="HO2518" s="4"/>
      <c r="HP2518" s="4"/>
      <c r="HQ2518" s="4"/>
      <c r="HR2518" s="4"/>
    </row>
    <row r="2519">
      <c r="A2519" s="2" t="s">
        <v>11149</v>
      </c>
      <c r="B2519" s="2" t="s">
        <v>228</v>
      </c>
      <c r="C2519" s="2" t="s">
        <v>1050</v>
      </c>
      <c r="D2519" s="2" t="s">
        <v>3847</v>
      </c>
      <c r="E2519" s="2" t="s">
        <v>3848</v>
      </c>
      <c r="F2519" s="2" t="s">
        <v>11130</v>
      </c>
      <c r="G2519" s="2" t="s">
        <v>11130</v>
      </c>
      <c r="H2519" s="2" t="s">
        <v>11130</v>
      </c>
      <c r="I2519" s="2" t="s">
        <v>11131</v>
      </c>
      <c r="J2519" s="2" t="s">
        <v>290</v>
      </c>
      <c r="K2519" s="2" t="s">
        <v>2475</v>
      </c>
      <c r="L2519" s="3">
        <v>62.09</v>
      </c>
      <c r="M2519" s="3">
        <v>65.19</v>
      </c>
      <c r="N2519" s="3">
        <v>114.99</v>
      </c>
      <c r="O2519" s="2" t="s">
        <v>237</v>
      </c>
      <c r="P2519" s="2" t="s">
        <v>996</v>
      </c>
      <c r="Q2519" s="2" t="s">
        <v>239</v>
      </c>
      <c r="R2519" s="2" t="s">
        <v>233</v>
      </c>
      <c r="S2519" s="2" t="s">
        <v>11150</v>
      </c>
      <c r="T2519" s="2" t="s">
        <v>1622</v>
      </c>
      <c r="U2519" s="2" t="s">
        <v>396</v>
      </c>
      <c r="V2519" s="2" t="s">
        <v>241</v>
      </c>
      <c r="W2519" s="2" t="s">
        <v>275</v>
      </c>
      <c r="X2519" s="2" t="s">
        <v>233</v>
      </c>
      <c r="Y2519" s="2" t="s">
        <v>5373</v>
      </c>
      <c r="Z2519" s="4">
        <v>75</v>
      </c>
      <c r="AA2519" s="4">
        <f>=ROUNDDOWN(25,0)</f>
      </c>
      <c r="AB2519" s="5">
        <v>3</v>
      </c>
      <c r="AC2519" s="2" t="s">
        <v>233</v>
      </c>
      <c r="AD2519" s="4"/>
      <c r="AE2519" s="4"/>
      <c r="AF2519" s="6">
        <v>61</v>
      </c>
      <c r="AG2519" s="6"/>
      <c r="AH2519" s="7">
        <v>1</v>
      </c>
      <c r="AI2519" s="4"/>
      <c r="AJ2519" s="4">
        <f>=ROUNDDOWN({0},0)</f>
      </c>
      <c r="AK2519" s="5"/>
      <c r="AL2519" s="2" t="s">
        <v>233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 t="s">
        <v>233</v>
      </c>
      <c r="AW2519" s="8" t="s">
        <v>233</v>
      </c>
      <c r="AX2519" s="4" t="s">
        <v>233</v>
      </c>
      <c r="AY2519" s="8" t="s">
        <v>233</v>
      </c>
      <c r="AZ2519" s="7" t="s">
        <v>233</v>
      </c>
      <c r="BA2519" s="7" t="s">
        <v>233</v>
      </c>
      <c r="BB2519" s="7"/>
      <c r="BC2519" s="4" t="s">
        <v>233</v>
      </c>
      <c r="BD2519" s="8" t="s">
        <v>233</v>
      </c>
      <c r="BE2519" s="4" t="s">
        <v>233</v>
      </c>
      <c r="BF2519" s="8" t="s">
        <v>233</v>
      </c>
      <c r="BG2519" s="7" t="s">
        <v>233</v>
      </c>
      <c r="BH2519" s="7" t="s">
        <v>233</v>
      </c>
      <c r="BI2519" s="7"/>
      <c r="BJ2519" s="4">
        <v>1</v>
      </c>
      <c r="BK2519" s="8">
        <v>57</v>
      </c>
      <c r="BL2519" s="2" t="s">
        <v>496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11151</v>
      </c>
      <c r="BV2519" s="2" t="s">
        <v>233</v>
      </c>
      <c r="BW2519" s="2" t="s">
        <v>233</v>
      </c>
      <c r="BX2519" s="2" t="s">
        <v>233</v>
      </c>
      <c r="BY2519" s="2" t="s">
        <v>280</v>
      </c>
      <c r="BZ2519" s="2" t="s">
        <v>245</v>
      </c>
      <c r="CA2519" s="2" t="s">
        <v>10756</v>
      </c>
      <c r="CB2519" s="2" t="s">
        <v>4208</v>
      </c>
      <c r="CC2519" s="2" t="s">
        <v>246</v>
      </c>
      <c r="CD2519" s="2" t="s">
        <v>233</v>
      </c>
      <c r="CE2519" s="4">
        <v>75</v>
      </c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  <c r="DL2519" s="4"/>
      <c r="DM2519" s="4"/>
      <c r="DN2519" s="4"/>
      <c r="DO2519" s="4"/>
      <c r="DP2519" s="4"/>
      <c r="DQ2519" s="4"/>
      <c r="DR2519" s="4"/>
      <c r="DS2519" s="4"/>
      <c r="DT2519" s="4"/>
      <c r="DU2519" s="4"/>
      <c r="DV2519" s="4"/>
      <c r="DW2519" s="4"/>
      <c r="DX2519" s="4"/>
      <c r="DY2519" s="4"/>
      <c r="DZ2519" s="4"/>
      <c r="EA2519" s="4"/>
      <c r="EB2519" s="4"/>
      <c r="EC2519" s="4"/>
      <c r="ED2519" s="4"/>
      <c r="EE2519" s="4"/>
      <c r="EF2519" s="4"/>
      <c r="EG2519" s="4"/>
      <c r="EH2519" s="4"/>
      <c r="EI2519" s="4"/>
      <c r="EJ2519" s="4"/>
      <c r="EK2519" s="4"/>
      <c r="EL2519" s="4"/>
      <c r="EM2519" s="4"/>
      <c r="EN2519" s="4"/>
      <c r="EO2519" s="4"/>
      <c r="EP2519" s="4"/>
      <c r="EQ2519" s="4"/>
      <c r="ER2519" s="4"/>
      <c r="ES2519" s="4"/>
      <c r="ET2519" s="4"/>
      <c r="EU2519" s="4"/>
      <c r="EV2519" s="4"/>
      <c r="EW2519" s="4"/>
      <c r="EX2519" s="4"/>
      <c r="EY2519" s="4"/>
      <c r="EZ2519" s="4"/>
      <c r="FA2519" s="4"/>
      <c r="FB2519" s="4"/>
      <c r="FC2519" s="4"/>
      <c r="FD2519" s="4"/>
      <c r="FE2519" s="4"/>
      <c r="FF2519" s="4"/>
      <c r="FG2519" s="4"/>
      <c r="FH2519" s="4"/>
      <c r="FI2519" s="4"/>
      <c r="FJ2519" s="4"/>
      <c r="FK2519" s="4"/>
      <c r="FL2519" s="4"/>
      <c r="FM2519" s="4"/>
      <c r="FN2519" s="4"/>
      <c r="FO2519" s="4"/>
      <c r="FP2519" s="4"/>
      <c r="FQ2519" s="4"/>
      <c r="FR2519" s="4"/>
      <c r="FS2519" s="4"/>
      <c r="FT2519" s="4"/>
      <c r="FU2519" s="4"/>
      <c r="FV2519" s="4"/>
      <c r="FW2519" s="4"/>
      <c r="FX2519" s="4"/>
      <c r="FY2519" s="4"/>
      <c r="FZ2519" s="4"/>
      <c r="GA2519" s="4"/>
      <c r="GB2519" s="4"/>
      <c r="GC2519" s="4"/>
      <c r="GD2519" s="4"/>
      <c r="GE2519" s="4"/>
      <c r="GF2519" s="4"/>
      <c r="GG2519" s="4"/>
      <c r="GH2519" s="4"/>
      <c r="GI2519" s="4"/>
      <c r="GJ2519" s="4"/>
      <c r="GK2519" s="4"/>
      <c r="GL2519" s="4"/>
      <c r="GM2519" s="4"/>
      <c r="GN2519" s="4"/>
      <c r="GO2519" s="4"/>
      <c r="GP2519" s="4"/>
      <c r="GQ2519" s="4"/>
      <c r="GR2519" s="4"/>
      <c r="GS2519" s="4"/>
      <c r="GT2519" s="4"/>
      <c r="GU2519" s="4"/>
      <c r="GV2519" s="4"/>
      <c r="GW2519" s="4"/>
      <c r="GX2519" s="4"/>
      <c r="GY2519" s="4"/>
      <c r="GZ2519" s="4"/>
      <c r="HA2519" s="4"/>
      <c r="HB2519" s="4"/>
      <c r="HC2519" s="4"/>
      <c r="HD2519" s="4"/>
      <c r="HE2519" s="4"/>
      <c r="HF2519" s="4"/>
      <c r="HG2519" s="4"/>
      <c r="HH2519" s="4"/>
      <c r="HI2519" s="4"/>
      <c r="HJ2519" s="4"/>
      <c r="HK2519" s="4"/>
      <c r="HL2519" s="4"/>
      <c r="HM2519" s="4"/>
      <c r="HN2519" s="4"/>
      <c r="HO2519" s="4"/>
      <c r="HP2519" s="4"/>
      <c r="HQ2519" s="4"/>
      <c r="HR2519" s="4"/>
    </row>
    <row r="2520">
      <c r="A2520" s="2" t="s">
        <v>11152</v>
      </c>
      <c r="B2520" s="2" t="s">
        <v>228</v>
      </c>
      <c r="C2520" s="2" t="s">
        <v>1050</v>
      </c>
      <c r="D2520" s="2" t="s">
        <v>3847</v>
      </c>
      <c r="E2520" s="2" t="s">
        <v>3848</v>
      </c>
      <c r="F2520" s="2" t="s">
        <v>11130</v>
      </c>
      <c r="G2520" s="2" t="s">
        <v>11130</v>
      </c>
      <c r="H2520" s="2" t="s">
        <v>11130</v>
      </c>
      <c r="I2520" s="2" t="s">
        <v>11131</v>
      </c>
      <c r="J2520" s="2" t="s">
        <v>328</v>
      </c>
      <c r="K2520" s="2" t="s">
        <v>2475</v>
      </c>
      <c r="L2520" s="3">
        <v>94.49</v>
      </c>
      <c r="M2520" s="3">
        <v>99.21</v>
      </c>
      <c r="N2520" s="3">
        <v>174.99</v>
      </c>
      <c r="O2520" s="2" t="s">
        <v>237</v>
      </c>
      <c r="P2520" s="2" t="s">
        <v>996</v>
      </c>
      <c r="Q2520" s="2" t="s">
        <v>239</v>
      </c>
      <c r="R2520" s="2" t="s">
        <v>233</v>
      </c>
      <c r="S2520" s="2" t="s">
        <v>11150</v>
      </c>
      <c r="T2520" s="2" t="s">
        <v>1622</v>
      </c>
      <c r="U2520" s="2" t="s">
        <v>396</v>
      </c>
      <c r="V2520" s="2" t="s">
        <v>241</v>
      </c>
      <c r="W2520" s="2" t="s">
        <v>275</v>
      </c>
      <c r="X2520" s="2" t="s">
        <v>233</v>
      </c>
      <c r="Y2520" s="2" t="s">
        <v>5373</v>
      </c>
      <c r="Z2520" s="4">
        <v>46</v>
      </c>
      <c r="AA2520" s="4">
        <f>=ROUNDDOWN(15.3333333333333,0)</f>
      </c>
      <c r="AB2520" s="5">
        <v>3</v>
      </c>
      <c r="AC2520" s="2" t="s">
        <v>233</v>
      </c>
      <c r="AD2520" s="4"/>
      <c r="AE2520" s="4"/>
      <c r="AF2520" s="6">
        <v>61</v>
      </c>
      <c r="AG2520" s="6"/>
      <c r="AH2520" s="7">
        <v>1</v>
      </c>
      <c r="AI2520" s="4"/>
      <c r="AJ2520" s="4">
        <f>=ROUNDDOWN({0},0)</f>
      </c>
      <c r="AK2520" s="5"/>
      <c r="AL2520" s="2" t="s">
        <v>233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 t="s">
        <v>233</v>
      </c>
      <c r="AW2520" s="8" t="s">
        <v>233</v>
      </c>
      <c r="AX2520" s="4" t="s">
        <v>233</v>
      </c>
      <c r="AY2520" s="8" t="s">
        <v>233</v>
      </c>
      <c r="AZ2520" s="7" t="s">
        <v>233</v>
      </c>
      <c r="BA2520" s="7" t="s">
        <v>233</v>
      </c>
      <c r="BB2520" s="7"/>
      <c r="BC2520" s="4" t="s">
        <v>233</v>
      </c>
      <c r="BD2520" s="8" t="s">
        <v>233</v>
      </c>
      <c r="BE2520" s="4" t="s">
        <v>233</v>
      </c>
      <c r="BF2520" s="8" t="s">
        <v>233</v>
      </c>
      <c r="BG2520" s="7" t="s">
        <v>233</v>
      </c>
      <c r="BH2520" s="7" t="s">
        <v>233</v>
      </c>
      <c r="BI2520" s="7"/>
      <c r="BJ2520" s="4">
        <v>1</v>
      </c>
      <c r="BK2520" s="8">
        <v>101.21</v>
      </c>
      <c r="BL2520" s="2" t="s">
        <v>6082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11153</v>
      </c>
      <c r="BV2520" s="2" t="s">
        <v>233</v>
      </c>
      <c r="BW2520" s="2" t="s">
        <v>233</v>
      </c>
      <c r="BX2520" s="2" t="s">
        <v>233</v>
      </c>
      <c r="BY2520" s="2" t="s">
        <v>280</v>
      </c>
      <c r="BZ2520" s="2" t="s">
        <v>245</v>
      </c>
      <c r="CA2520" s="2" t="s">
        <v>10756</v>
      </c>
      <c r="CB2520" s="2" t="s">
        <v>8941</v>
      </c>
      <c r="CC2520" s="2" t="s">
        <v>246</v>
      </c>
      <c r="CD2520" s="2" t="s">
        <v>233</v>
      </c>
      <c r="CE2520" s="4">
        <v>46</v>
      </c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  <c r="DL2520" s="4"/>
      <c r="DM2520" s="4"/>
      <c r="DN2520" s="4"/>
      <c r="DO2520" s="4"/>
      <c r="DP2520" s="4"/>
      <c r="DQ2520" s="4"/>
      <c r="DR2520" s="4"/>
      <c r="DS2520" s="4"/>
      <c r="DT2520" s="4"/>
      <c r="DU2520" s="4"/>
      <c r="DV2520" s="4"/>
      <c r="DW2520" s="4"/>
      <c r="DX2520" s="4"/>
      <c r="DY2520" s="4"/>
      <c r="DZ2520" s="4"/>
      <c r="EA2520" s="4"/>
      <c r="EB2520" s="4"/>
      <c r="EC2520" s="4"/>
      <c r="ED2520" s="4"/>
      <c r="EE2520" s="4"/>
      <c r="EF2520" s="4"/>
      <c r="EG2520" s="4"/>
      <c r="EH2520" s="4"/>
      <c r="EI2520" s="4"/>
      <c r="EJ2520" s="4"/>
      <c r="EK2520" s="4"/>
      <c r="EL2520" s="4"/>
      <c r="EM2520" s="4"/>
      <c r="EN2520" s="4"/>
      <c r="EO2520" s="4"/>
      <c r="EP2520" s="4"/>
      <c r="EQ2520" s="4"/>
      <c r="ER2520" s="4"/>
      <c r="ES2520" s="4"/>
      <c r="ET2520" s="4"/>
      <c r="EU2520" s="4"/>
      <c r="EV2520" s="4"/>
      <c r="EW2520" s="4"/>
      <c r="EX2520" s="4"/>
      <c r="EY2520" s="4"/>
      <c r="EZ2520" s="4"/>
      <c r="FA2520" s="4"/>
      <c r="FB2520" s="4"/>
      <c r="FC2520" s="4"/>
      <c r="FD2520" s="4"/>
      <c r="FE2520" s="4"/>
      <c r="FF2520" s="4"/>
      <c r="FG2520" s="4"/>
      <c r="FH2520" s="4"/>
      <c r="FI2520" s="4"/>
      <c r="FJ2520" s="4"/>
      <c r="FK2520" s="4"/>
      <c r="FL2520" s="4"/>
      <c r="FM2520" s="4"/>
      <c r="FN2520" s="4"/>
      <c r="FO2520" s="4"/>
      <c r="FP2520" s="4"/>
      <c r="FQ2520" s="4"/>
      <c r="FR2520" s="4"/>
      <c r="FS2520" s="4"/>
      <c r="FT2520" s="4"/>
      <c r="FU2520" s="4"/>
      <c r="FV2520" s="4"/>
      <c r="FW2520" s="4"/>
      <c r="FX2520" s="4"/>
      <c r="FY2520" s="4"/>
      <c r="FZ2520" s="4"/>
      <c r="GA2520" s="4"/>
      <c r="GB2520" s="4"/>
      <c r="GC2520" s="4"/>
      <c r="GD2520" s="4"/>
      <c r="GE2520" s="4"/>
      <c r="GF2520" s="4"/>
      <c r="GG2520" s="4"/>
      <c r="GH2520" s="4"/>
      <c r="GI2520" s="4"/>
      <c r="GJ2520" s="4"/>
      <c r="GK2520" s="4"/>
      <c r="GL2520" s="4"/>
      <c r="GM2520" s="4"/>
      <c r="GN2520" s="4"/>
      <c r="GO2520" s="4"/>
      <c r="GP2520" s="4"/>
      <c r="GQ2520" s="4"/>
      <c r="GR2520" s="4"/>
      <c r="GS2520" s="4"/>
      <c r="GT2520" s="4"/>
      <c r="GU2520" s="4"/>
      <c r="GV2520" s="4"/>
      <c r="GW2520" s="4"/>
      <c r="GX2520" s="4"/>
      <c r="GY2520" s="4"/>
      <c r="GZ2520" s="4"/>
      <c r="HA2520" s="4"/>
      <c r="HB2520" s="4"/>
      <c r="HC2520" s="4"/>
      <c r="HD2520" s="4"/>
      <c r="HE2520" s="4"/>
      <c r="HF2520" s="4"/>
      <c r="HG2520" s="4"/>
      <c r="HH2520" s="4"/>
      <c r="HI2520" s="4"/>
      <c r="HJ2520" s="4"/>
      <c r="HK2520" s="4"/>
      <c r="HL2520" s="4"/>
      <c r="HM2520" s="4"/>
      <c r="HN2520" s="4"/>
      <c r="HO2520" s="4"/>
      <c r="HP2520" s="4"/>
      <c r="HQ2520" s="4"/>
      <c r="HR2520" s="4"/>
    </row>
    <row r="2521">
      <c r="A2521" s="2" t="s">
        <v>11154</v>
      </c>
      <c r="B2521" s="2" t="s">
        <v>228</v>
      </c>
      <c r="C2521" s="2" t="s">
        <v>1050</v>
      </c>
      <c r="D2521" s="2" t="s">
        <v>3847</v>
      </c>
      <c r="E2521" s="2" t="s">
        <v>3848</v>
      </c>
      <c r="F2521" s="2" t="s">
        <v>11130</v>
      </c>
      <c r="G2521" s="2" t="s">
        <v>11130</v>
      </c>
      <c r="H2521" s="2" t="s">
        <v>11130</v>
      </c>
      <c r="I2521" s="2" t="s">
        <v>11131</v>
      </c>
      <c r="J2521" s="2" t="s">
        <v>270</v>
      </c>
      <c r="K2521" s="2" t="s">
        <v>569</v>
      </c>
      <c r="L2521" s="3">
        <v>56.69</v>
      </c>
      <c r="M2521" s="3">
        <v>59.52</v>
      </c>
      <c r="N2521" s="3">
        <v>104.99</v>
      </c>
      <c r="O2521" s="2" t="s">
        <v>237</v>
      </c>
      <c r="P2521" s="2" t="s">
        <v>996</v>
      </c>
      <c r="Q2521" s="2" t="s">
        <v>239</v>
      </c>
      <c r="R2521" s="2" t="s">
        <v>233</v>
      </c>
      <c r="S2521" s="2" t="s">
        <v>11155</v>
      </c>
      <c r="T2521" s="2" t="s">
        <v>1055</v>
      </c>
      <c r="U2521" s="2" t="s">
        <v>233</v>
      </c>
      <c r="V2521" s="2" t="s">
        <v>241</v>
      </c>
      <c r="W2521" s="2" t="s">
        <v>275</v>
      </c>
      <c r="X2521" s="2" t="s">
        <v>233</v>
      </c>
      <c r="Y2521" s="2" t="s">
        <v>4431</v>
      </c>
      <c r="Z2521" s="4"/>
      <c r="AA2521" s="4">
        <f>=ROUNDDOWN({0},0)</f>
      </c>
      <c r="AB2521" s="5">
        <v>4</v>
      </c>
      <c r="AC2521" s="2" t="s">
        <v>233</v>
      </c>
      <c r="AD2521" s="4"/>
      <c r="AE2521" s="4"/>
      <c r="AF2521" s="6">
        <v>61</v>
      </c>
      <c r="AG2521" s="6"/>
      <c r="AH2521" s="7">
        <v>0</v>
      </c>
      <c r="AI2521" s="4"/>
      <c r="AJ2521" s="4">
        <f>=ROUNDDOWN({0},0)</f>
      </c>
      <c r="AK2521" s="5"/>
      <c r="AL2521" s="2" t="s">
        <v>233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233</v>
      </c>
      <c r="AW2521" s="8" t="s">
        <v>233</v>
      </c>
      <c r="AX2521" s="4" t="s">
        <v>233</v>
      </c>
      <c r="AY2521" s="8" t="s">
        <v>233</v>
      </c>
      <c r="AZ2521" s="7" t="s">
        <v>233</v>
      </c>
      <c r="BA2521" s="7" t="s">
        <v>233</v>
      </c>
      <c r="BB2521" s="7"/>
      <c r="BC2521" s="4" t="s">
        <v>233</v>
      </c>
      <c r="BD2521" s="8" t="s">
        <v>233</v>
      </c>
      <c r="BE2521" s="4" t="s">
        <v>233</v>
      </c>
      <c r="BF2521" s="8" t="s">
        <v>233</v>
      </c>
      <c r="BG2521" s="7" t="s">
        <v>233</v>
      </c>
      <c r="BH2521" s="7" t="s">
        <v>233</v>
      </c>
      <c r="BI2521" s="7"/>
      <c r="BJ2521" s="4"/>
      <c r="BK2521" s="8"/>
      <c r="BL2521" s="2" t="s">
        <v>5260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11156</v>
      </c>
      <c r="BV2521" s="2" t="s">
        <v>233</v>
      </c>
      <c r="BW2521" s="2" t="s">
        <v>233</v>
      </c>
      <c r="BX2521" s="2" t="s">
        <v>233</v>
      </c>
      <c r="BY2521" s="2" t="s">
        <v>280</v>
      </c>
      <c r="BZ2521" s="2" t="s">
        <v>245</v>
      </c>
      <c r="CA2521" s="2" t="s">
        <v>11134</v>
      </c>
      <c r="CB2521" s="2" t="s">
        <v>7761</v>
      </c>
      <c r="CC2521" s="2" t="s">
        <v>246</v>
      </c>
      <c r="CD2521" s="2" t="s">
        <v>233</v>
      </c>
      <c r="CE2521" s="4"/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  <c r="DL2521" s="4"/>
      <c r="DM2521" s="4"/>
      <c r="DN2521" s="4"/>
      <c r="DO2521" s="4"/>
      <c r="DP2521" s="4"/>
      <c r="DQ2521" s="4"/>
      <c r="DR2521" s="4"/>
      <c r="DS2521" s="4"/>
      <c r="DT2521" s="4"/>
      <c r="DU2521" s="4"/>
      <c r="DV2521" s="4"/>
      <c r="DW2521" s="4"/>
      <c r="DX2521" s="4"/>
      <c r="DY2521" s="4"/>
      <c r="DZ2521" s="4"/>
      <c r="EA2521" s="4"/>
      <c r="EB2521" s="4"/>
      <c r="EC2521" s="4"/>
      <c r="ED2521" s="4"/>
      <c r="EE2521" s="4"/>
      <c r="EF2521" s="4"/>
      <c r="EG2521" s="4"/>
      <c r="EH2521" s="4"/>
      <c r="EI2521" s="4"/>
      <c r="EJ2521" s="4"/>
      <c r="EK2521" s="4"/>
      <c r="EL2521" s="4"/>
      <c r="EM2521" s="4"/>
      <c r="EN2521" s="4"/>
      <c r="EO2521" s="4"/>
      <c r="EP2521" s="4"/>
      <c r="EQ2521" s="4"/>
      <c r="ER2521" s="4"/>
      <c r="ES2521" s="4"/>
      <c r="ET2521" s="4"/>
      <c r="EU2521" s="4"/>
      <c r="EV2521" s="4"/>
      <c r="EW2521" s="4"/>
      <c r="EX2521" s="4"/>
      <c r="EY2521" s="4"/>
      <c r="EZ2521" s="4"/>
      <c r="FA2521" s="4"/>
      <c r="FB2521" s="4"/>
      <c r="FC2521" s="4"/>
      <c r="FD2521" s="4"/>
      <c r="FE2521" s="4"/>
      <c r="FF2521" s="4"/>
      <c r="FG2521" s="4"/>
      <c r="FH2521" s="4"/>
      <c r="FI2521" s="4"/>
      <c r="FJ2521" s="4"/>
      <c r="FK2521" s="4"/>
      <c r="FL2521" s="4"/>
      <c r="FM2521" s="4"/>
      <c r="FN2521" s="4"/>
      <c r="FO2521" s="4"/>
      <c r="FP2521" s="4"/>
      <c r="FQ2521" s="4"/>
      <c r="FR2521" s="4"/>
      <c r="FS2521" s="4"/>
      <c r="FT2521" s="4"/>
      <c r="FU2521" s="4"/>
      <c r="FV2521" s="4"/>
      <c r="FW2521" s="4"/>
      <c r="FX2521" s="4"/>
      <c r="FY2521" s="4"/>
      <c r="FZ2521" s="4"/>
      <c r="GA2521" s="4"/>
      <c r="GB2521" s="4"/>
      <c r="GC2521" s="4"/>
      <c r="GD2521" s="4"/>
      <c r="GE2521" s="4"/>
      <c r="GF2521" s="4"/>
      <c r="GG2521" s="4"/>
      <c r="GH2521" s="4"/>
      <c r="GI2521" s="4"/>
      <c r="GJ2521" s="4"/>
      <c r="GK2521" s="4"/>
      <c r="GL2521" s="4"/>
      <c r="GM2521" s="4"/>
      <c r="GN2521" s="4"/>
      <c r="GO2521" s="4"/>
      <c r="GP2521" s="4"/>
      <c r="GQ2521" s="4"/>
      <c r="GR2521" s="4"/>
      <c r="GS2521" s="4"/>
      <c r="GT2521" s="4"/>
      <c r="GU2521" s="4"/>
      <c r="GV2521" s="4"/>
      <c r="GW2521" s="4"/>
      <c r="GX2521" s="4"/>
      <c r="GY2521" s="4"/>
      <c r="GZ2521" s="4"/>
      <c r="HA2521" s="4"/>
      <c r="HB2521" s="4"/>
      <c r="HC2521" s="4"/>
      <c r="HD2521" s="4"/>
      <c r="HE2521" s="4"/>
      <c r="HF2521" s="4"/>
      <c r="HG2521" s="4"/>
      <c r="HH2521" s="4"/>
      <c r="HI2521" s="4"/>
      <c r="HJ2521" s="4"/>
      <c r="HK2521" s="4"/>
      <c r="HL2521" s="4"/>
      <c r="HM2521" s="4"/>
      <c r="HN2521" s="4"/>
      <c r="HO2521" s="4"/>
      <c r="HP2521" s="4"/>
      <c r="HQ2521" s="4"/>
      <c r="HR2521" s="4"/>
    </row>
    <row r="2522">
      <c r="A2522" s="2" t="s">
        <v>11157</v>
      </c>
      <c r="B2522" s="2" t="s">
        <v>228</v>
      </c>
      <c r="C2522" s="2" t="s">
        <v>1050</v>
      </c>
      <c r="D2522" s="2" t="s">
        <v>3847</v>
      </c>
      <c r="E2522" s="2" t="s">
        <v>3848</v>
      </c>
      <c r="F2522" s="2" t="s">
        <v>11130</v>
      </c>
      <c r="G2522" s="2" t="s">
        <v>11130</v>
      </c>
      <c r="H2522" s="2" t="s">
        <v>11130</v>
      </c>
      <c r="I2522" s="2" t="s">
        <v>11131</v>
      </c>
      <c r="J2522" s="2" t="s">
        <v>290</v>
      </c>
      <c r="K2522" s="2" t="s">
        <v>569</v>
      </c>
      <c r="L2522" s="3">
        <v>62.09</v>
      </c>
      <c r="M2522" s="3">
        <v>65.19</v>
      </c>
      <c r="N2522" s="3">
        <v>114.99</v>
      </c>
      <c r="O2522" s="2" t="s">
        <v>237</v>
      </c>
      <c r="P2522" s="2" t="s">
        <v>996</v>
      </c>
      <c r="Q2522" s="2" t="s">
        <v>239</v>
      </c>
      <c r="R2522" s="2" t="s">
        <v>233</v>
      </c>
      <c r="S2522" s="2" t="s">
        <v>11155</v>
      </c>
      <c r="T2522" s="2" t="s">
        <v>1055</v>
      </c>
      <c r="U2522" s="2" t="s">
        <v>233</v>
      </c>
      <c r="V2522" s="2" t="s">
        <v>241</v>
      </c>
      <c r="W2522" s="2" t="s">
        <v>275</v>
      </c>
      <c r="X2522" s="2" t="s">
        <v>233</v>
      </c>
      <c r="Y2522" s="2" t="s">
        <v>4431</v>
      </c>
      <c r="Z2522" s="4">
        <v>150</v>
      </c>
      <c r="AA2522" s="4">
        <f>=ROUNDDOWN(25,0)</f>
      </c>
      <c r="AB2522" s="5">
        <v>6</v>
      </c>
      <c r="AC2522" s="2" t="s">
        <v>233</v>
      </c>
      <c r="AD2522" s="4"/>
      <c r="AE2522" s="4"/>
      <c r="AF2522" s="6">
        <v>61</v>
      </c>
      <c r="AG2522" s="6"/>
      <c r="AH2522" s="7">
        <v>1</v>
      </c>
      <c r="AI2522" s="4"/>
      <c r="AJ2522" s="4">
        <f>=ROUNDDOWN({0},0)</f>
      </c>
      <c r="AK2522" s="5"/>
      <c r="AL2522" s="2" t="s">
        <v>233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 t="s">
        <v>233</v>
      </c>
      <c r="AW2522" s="8" t="s">
        <v>233</v>
      </c>
      <c r="AX2522" s="4" t="s">
        <v>233</v>
      </c>
      <c r="AY2522" s="8" t="s">
        <v>233</v>
      </c>
      <c r="AZ2522" s="7" t="s">
        <v>233</v>
      </c>
      <c r="BA2522" s="7" t="s">
        <v>233</v>
      </c>
      <c r="BB2522" s="7"/>
      <c r="BC2522" s="4" t="s">
        <v>233</v>
      </c>
      <c r="BD2522" s="8" t="s">
        <v>233</v>
      </c>
      <c r="BE2522" s="4" t="s">
        <v>233</v>
      </c>
      <c r="BF2522" s="8" t="s">
        <v>233</v>
      </c>
      <c r="BG2522" s="7" t="s">
        <v>233</v>
      </c>
      <c r="BH2522" s="7" t="s">
        <v>233</v>
      </c>
      <c r="BI2522" s="7"/>
      <c r="BJ2522" s="4">
        <v>4</v>
      </c>
      <c r="BK2522" s="8">
        <v>242.56</v>
      </c>
      <c r="BL2522" s="2" t="s">
        <v>11158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11159</v>
      </c>
      <c r="BV2522" s="2" t="s">
        <v>233</v>
      </c>
      <c r="BW2522" s="2" t="s">
        <v>233</v>
      </c>
      <c r="BX2522" s="2" t="s">
        <v>233</v>
      </c>
      <c r="BY2522" s="2" t="s">
        <v>280</v>
      </c>
      <c r="BZ2522" s="2" t="s">
        <v>245</v>
      </c>
      <c r="CA2522" s="2" t="s">
        <v>11134</v>
      </c>
      <c r="CB2522" s="2" t="s">
        <v>1333</v>
      </c>
      <c r="CC2522" s="2" t="s">
        <v>246</v>
      </c>
      <c r="CD2522" s="2" t="s">
        <v>233</v>
      </c>
      <c r="CE2522" s="4">
        <v>150</v>
      </c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  <c r="DP2522" s="4"/>
      <c r="DQ2522" s="4"/>
      <c r="DR2522" s="4"/>
      <c r="DS2522" s="4"/>
      <c r="DT2522" s="4"/>
      <c r="DU2522" s="4"/>
      <c r="DV2522" s="4"/>
      <c r="DW2522" s="4"/>
      <c r="DX2522" s="4"/>
      <c r="DY2522" s="4"/>
      <c r="DZ2522" s="4"/>
      <c r="EA2522" s="4"/>
      <c r="EB2522" s="4"/>
      <c r="EC2522" s="4"/>
      <c r="ED2522" s="4"/>
      <c r="EE2522" s="4"/>
      <c r="EF2522" s="4"/>
      <c r="EG2522" s="4"/>
      <c r="EH2522" s="4"/>
      <c r="EI2522" s="4"/>
      <c r="EJ2522" s="4"/>
      <c r="EK2522" s="4"/>
      <c r="EL2522" s="4"/>
      <c r="EM2522" s="4"/>
      <c r="EN2522" s="4"/>
      <c r="EO2522" s="4"/>
      <c r="EP2522" s="4"/>
      <c r="EQ2522" s="4"/>
      <c r="ER2522" s="4"/>
      <c r="ES2522" s="4"/>
      <c r="ET2522" s="4"/>
      <c r="EU2522" s="4"/>
      <c r="EV2522" s="4"/>
      <c r="EW2522" s="4"/>
      <c r="EX2522" s="4"/>
      <c r="EY2522" s="4"/>
      <c r="EZ2522" s="4"/>
      <c r="FA2522" s="4"/>
      <c r="FB2522" s="4"/>
      <c r="FC2522" s="4"/>
      <c r="FD2522" s="4"/>
      <c r="FE2522" s="4"/>
      <c r="FF2522" s="4"/>
      <c r="FG2522" s="4"/>
      <c r="FH2522" s="4"/>
      <c r="FI2522" s="4"/>
      <c r="FJ2522" s="4"/>
      <c r="FK2522" s="4"/>
      <c r="FL2522" s="4"/>
      <c r="FM2522" s="4"/>
      <c r="FN2522" s="4"/>
      <c r="FO2522" s="4"/>
      <c r="FP2522" s="4"/>
      <c r="FQ2522" s="4"/>
      <c r="FR2522" s="4"/>
      <c r="FS2522" s="4"/>
      <c r="FT2522" s="4"/>
      <c r="FU2522" s="4"/>
      <c r="FV2522" s="4"/>
      <c r="FW2522" s="4"/>
      <c r="FX2522" s="4"/>
      <c r="FY2522" s="4"/>
      <c r="FZ2522" s="4"/>
      <c r="GA2522" s="4"/>
      <c r="GB2522" s="4"/>
      <c r="GC2522" s="4"/>
      <c r="GD2522" s="4"/>
      <c r="GE2522" s="4"/>
      <c r="GF2522" s="4"/>
      <c r="GG2522" s="4"/>
      <c r="GH2522" s="4"/>
      <c r="GI2522" s="4"/>
      <c r="GJ2522" s="4"/>
      <c r="GK2522" s="4"/>
      <c r="GL2522" s="4"/>
      <c r="GM2522" s="4"/>
      <c r="GN2522" s="4"/>
      <c r="GO2522" s="4"/>
      <c r="GP2522" s="4"/>
      <c r="GQ2522" s="4"/>
      <c r="GR2522" s="4"/>
      <c r="GS2522" s="4"/>
      <c r="GT2522" s="4"/>
      <c r="GU2522" s="4"/>
      <c r="GV2522" s="4"/>
      <c r="GW2522" s="4"/>
      <c r="GX2522" s="4"/>
      <c r="GY2522" s="4"/>
      <c r="GZ2522" s="4"/>
      <c r="HA2522" s="4"/>
      <c r="HB2522" s="4"/>
      <c r="HC2522" s="4"/>
      <c r="HD2522" s="4"/>
      <c r="HE2522" s="4"/>
      <c r="HF2522" s="4"/>
      <c r="HG2522" s="4"/>
      <c r="HH2522" s="4"/>
      <c r="HI2522" s="4"/>
      <c r="HJ2522" s="4"/>
      <c r="HK2522" s="4"/>
      <c r="HL2522" s="4"/>
      <c r="HM2522" s="4"/>
      <c r="HN2522" s="4"/>
      <c r="HO2522" s="4"/>
      <c r="HP2522" s="4"/>
      <c r="HQ2522" s="4"/>
      <c r="HR2522" s="4"/>
    </row>
    <row r="2523">
      <c r="A2523" s="2" t="s">
        <v>11160</v>
      </c>
      <c r="B2523" s="2" t="s">
        <v>228</v>
      </c>
      <c r="C2523" s="2" t="s">
        <v>1050</v>
      </c>
      <c r="D2523" s="2" t="s">
        <v>3847</v>
      </c>
      <c r="E2523" s="2" t="s">
        <v>3848</v>
      </c>
      <c r="F2523" s="2" t="s">
        <v>11130</v>
      </c>
      <c r="G2523" s="2" t="s">
        <v>11130</v>
      </c>
      <c r="H2523" s="2" t="s">
        <v>11130</v>
      </c>
      <c r="I2523" s="2" t="s">
        <v>11131</v>
      </c>
      <c r="J2523" s="2" t="s">
        <v>290</v>
      </c>
      <c r="K2523" s="2" t="s">
        <v>1201</v>
      </c>
      <c r="L2523" s="3">
        <v>62.09</v>
      </c>
      <c r="M2523" s="3">
        <v>65.19</v>
      </c>
      <c r="N2523" s="3">
        <v>114.99</v>
      </c>
      <c r="O2523" s="2" t="s">
        <v>237</v>
      </c>
      <c r="P2523" s="2" t="s">
        <v>996</v>
      </c>
      <c r="Q2523" s="2" t="s">
        <v>239</v>
      </c>
      <c r="R2523" s="2" t="s">
        <v>233</v>
      </c>
      <c r="S2523" s="2" t="s">
        <v>11161</v>
      </c>
      <c r="T2523" s="2" t="s">
        <v>1055</v>
      </c>
      <c r="U2523" s="2" t="s">
        <v>233</v>
      </c>
      <c r="V2523" s="2" t="s">
        <v>241</v>
      </c>
      <c r="W2523" s="2" t="s">
        <v>275</v>
      </c>
      <c r="X2523" s="2" t="s">
        <v>233</v>
      </c>
      <c r="Y2523" s="2" t="s">
        <v>4431</v>
      </c>
      <c r="Z2523" s="4">
        <v>108</v>
      </c>
      <c r="AA2523" s="4">
        <f>=ROUNDDOWN(36,0)</f>
      </c>
      <c r="AB2523" s="5">
        <v>3</v>
      </c>
      <c r="AC2523" s="2" t="s">
        <v>233</v>
      </c>
      <c r="AD2523" s="4"/>
      <c r="AE2523" s="4"/>
      <c r="AF2523" s="6">
        <v>61</v>
      </c>
      <c r="AG2523" s="6"/>
      <c r="AH2523" s="7">
        <v>1</v>
      </c>
      <c r="AI2523" s="4"/>
      <c r="AJ2523" s="4">
        <f>=ROUNDDOWN({0},0)</f>
      </c>
      <c r="AK2523" s="5"/>
      <c r="AL2523" s="2" t="s">
        <v>233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233</v>
      </c>
      <c r="BD2523" s="8" t="s">
        <v>233</v>
      </c>
      <c r="BE2523" s="4" t="s">
        <v>233</v>
      </c>
      <c r="BF2523" s="8" t="s">
        <v>233</v>
      </c>
      <c r="BG2523" s="7" t="s">
        <v>233</v>
      </c>
      <c r="BH2523" s="7" t="s">
        <v>233</v>
      </c>
      <c r="BI2523" s="7"/>
      <c r="BJ2523" s="4"/>
      <c r="BK2523" s="8"/>
      <c r="BL2523" s="2" t="s">
        <v>233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11162</v>
      </c>
      <c r="BV2523" s="2" t="s">
        <v>233</v>
      </c>
      <c r="BW2523" s="2" t="s">
        <v>233</v>
      </c>
      <c r="BX2523" s="2" t="s">
        <v>233</v>
      </c>
      <c r="BY2523" s="2" t="s">
        <v>280</v>
      </c>
      <c r="BZ2523" s="2" t="s">
        <v>245</v>
      </c>
      <c r="CA2523" s="2" t="s">
        <v>11134</v>
      </c>
      <c r="CB2523" s="2" t="s">
        <v>4117</v>
      </c>
      <c r="CC2523" s="2" t="s">
        <v>246</v>
      </c>
      <c r="CD2523" s="2" t="s">
        <v>233</v>
      </c>
      <c r="CE2523" s="4">
        <v>108</v>
      </c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  <c r="DL2523" s="4"/>
      <c r="DM2523" s="4"/>
      <c r="DN2523" s="4"/>
      <c r="DO2523" s="4"/>
      <c r="DP2523" s="4"/>
      <c r="DQ2523" s="4"/>
      <c r="DR2523" s="4"/>
      <c r="DS2523" s="4"/>
      <c r="DT2523" s="4"/>
      <c r="DU2523" s="4"/>
      <c r="DV2523" s="4"/>
      <c r="DW2523" s="4"/>
      <c r="DX2523" s="4"/>
      <c r="DY2523" s="4"/>
      <c r="DZ2523" s="4"/>
      <c r="EA2523" s="4"/>
      <c r="EB2523" s="4"/>
      <c r="EC2523" s="4"/>
      <c r="ED2523" s="4"/>
      <c r="EE2523" s="4"/>
      <c r="EF2523" s="4"/>
      <c r="EG2523" s="4"/>
      <c r="EH2523" s="4"/>
      <c r="EI2523" s="4"/>
      <c r="EJ2523" s="4"/>
      <c r="EK2523" s="4"/>
      <c r="EL2523" s="4"/>
      <c r="EM2523" s="4"/>
      <c r="EN2523" s="4"/>
      <c r="EO2523" s="4"/>
      <c r="EP2523" s="4"/>
      <c r="EQ2523" s="4"/>
      <c r="ER2523" s="4"/>
      <c r="ES2523" s="4"/>
      <c r="ET2523" s="4"/>
      <c r="EU2523" s="4"/>
      <c r="EV2523" s="4"/>
      <c r="EW2523" s="4"/>
      <c r="EX2523" s="4"/>
      <c r="EY2523" s="4"/>
      <c r="EZ2523" s="4"/>
      <c r="FA2523" s="4"/>
      <c r="FB2523" s="4"/>
      <c r="FC2523" s="4"/>
      <c r="FD2523" s="4"/>
      <c r="FE2523" s="4"/>
      <c r="FF2523" s="4"/>
      <c r="FG2523" s="4"/>
      <c r="FH2523" s="4"/>
      <c r="FI2523" s="4"/>
      <c r="FJ2523" s="4"/>
      <c r="FK2523" s="4"/>
      <c r="FL2523" s="4"/>
      <c r="FM2523" s="4"/>
      <c r="FN2523" s="4"/>
      <c r="FO2523" s="4"/>
      <c r="FP2523" s="4"/>
      <c r="FQ2523" s="4"/>
      <c r="FR2523" s="4"/>
      <c r="FS2523" s="4"/>
      <c r="FT2523" s="4"/>
      <c r="FU2523" s="4"/>
      <c r="FV2523" s="4"/>
      <c r="FW2523" s="4"/>
      <c r="FX2523" s="4"/>
      <c r="FY2523" s="4"/>
      <c r="FZ2523" s="4"/>
      <c r="GA2523" s="4"/>
      <c r="GB2523" s="4"/>
      <c r="GC2523" s="4"/>
      <c r="GD2523" s="4"/>
      <c r="GE2523" s="4"/>
      <c r="GF2523" s="4"/>
      <c r="GG2523" s="4"/>
      <c r="GH2523" s="4"/>
      <c r="GI2523" s="4"/>
      <c r="GJ2523" s="4"/>
      <c r="GK2523" s="4"/>
      <c r="GL2523" s="4"/>
      <c r="GM2523" s="4"/>
      <c r="GN2523" s="4"/>
      <c r="GO2523" s="4"/>
      <c r="GP2523" s="4"/>
      <c r="GQ2523" s="4"/>
      <c r="GR2523" s="4"/>
      <c r="GS2523" s="4"/>
      <c r="GT2523" s="4"/>
      <c r="GU2523" s="4"/>
      <c r="GV2523" s="4"/>
      <c r="GW2523" s="4"/>
      <c r="GX2523" s="4"/>
      <c r="GY2523" s="4"/>
      <c r="GZ2523" s="4"/>
      <c r="HA2523" s="4"/>
      <c r="HB2523" s="4"/>
      <c r="HC2523" s="4"/>
      <c r="HD2523" s="4"/>
      <c r="HE2523" s="4"/>
      <c r="HF2523" s="4"/>
      <c r="HG2523" s="4"/>
      <c r="HH2523" s="4"/>
      <c r="HI2523" s="4"/>
      <c r="HJ2523" s="4"/>
      <c r="HK2523" s="4"/>
      <c r="HL2523" s="4"/>
      <c r="HM2523" s="4"/>
      <c r="HN2523" s="4"/>
      <c r="HO2523" s="4"/>
      <c r="HP2523" s="4"/>
      <c r="HQ2523" s="4"/>
      <c r="HR2523" s="4"/>
    </row>
    <row r="2524">
      <c r="A2524" s="2" t="s">
        <v>11163</v>
      </c>
      <c r="B2524" s="2" t="s">
        <v>910</v>
      </c>
      <c r="C2524" s="2" t="s">
        <v>1130</v>
      </c>
      <c r="D2524" s="2" t="s">
        <v>912</v>
      </c>
      <c r="E2524" s="2" t="s">
        <v>1139</v>
      </c>
      <c r="F2524" s="2" t="s">
        <v>11164</v>
      </c>
      <c r="G2524" s="2" t="s">
        <v>6117</v>
      </c>
      <c r="H2524" s="2" t="s">
        <v>11165</v>
      </c>
      <c r="I2524" s="2" t="s">
        <v>11166</v>
      </c>
      <c r="J2524" s="2" t="s">
        <v>1142</v>
      </c>
      <c r="K2524" s="2" t="s">
        <v>1125</v>
      </c>
      <c r="L2524" s="3">
        <v>52.8</v>
      </c>
      <c r="M2524" s="3">
        <v>55.44</v>
      </c>
      <c r="N2524" s="3">
        <v>109.99</v>
      </c>
      <c r="O2524" s="2" t="s">
        <v>252</v>
      </c>
      <c r="P2524" s="2" t="s">
        <v>311</v>
      </c>
      <c r="Q2524" s="2" t="s">
        <v>239</v>
      </c>
      <c r="R2524" s="2" t="s">
        <v>233</v>
      </c>
      <c r="S2524" s="2" t="s">
        <v>11167</v>
      </c>
      <c r="T2524" s="2" t="s">
        <v>341</v>
      </c>
      <c r="U2524" s="2" t="s">
        <v>475</v>
      </c>
      <c r="V2524" s="2" t="s">
        <v>1340</v>
      </c>
      <c r="W2524" s="2" t="s">
        <v>397</v>
      </c>
      <c r="X2524" s="2" t="s">
        <v>275</v>
      </c>
      <c r="Y2524" s="2" t="s">
        <v>10643</v>
      </c>
      <c r="Z2524" s="4">
        <v>14</v>
      </c>
      <c r="AA2524" s="4">
        <f>=ROUNDDOWN(7,0)</f>
      </c>
      <c r="AB2524" s="5">
        <v>2</v>
      </c>
      <c r="AC2524" s="2" t="s">
        <v>233</v>
      </c>
      <c r="AD2524" s="4"/>
      <c r="AE2524" s="4"/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233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/>
      <c r="BD2524" s="8"/>
      <c r="BE2524" s="4"/>
      <c r="BF2524" s="8"/>
      <c r="BG2524" s="7"/>
      <c r="BH2524" s="7"/>
      <c r="BI2524" s="7"/>
      <c r="BJ2524" s="4">
        <v>1</v>
      </c>
      <c r="BK2524" s="8">
        <v>34.93</v>
      </c>
      <c r="BL2524" s="2" t="s">
        <v>6087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11168</v>
      </c>
      <c r="BV2524" s="2" t="s">
        <v>233</v>
      </c>
      <c r="BW2524" s="2" t="s">
        <v>233</v>
      </c>
      <c r="BX2524" s="2" t="s">
        <v>233</v>
      </c>
      <c r="BY2524" s="2" t="s">
        <v>280</v>
      </c>
      <c r="BZ2524" s="2" t="s">
        <v>245</v>
      </c>
      <c r="CA2524" s="2" t="s">
        <v>4630</v>
      </c>
      <c r="CB2524" s="2" t="s">
        <v>5429</v>
      </c>
      <c r="CC2524" s="2" t="s">
        <v>246</v>
      </c>
      <c r="CD2524" s="2" t="s">
        <v>233</v>
      </c>
      <c r="CE2524" s="4">
        <v>14</v>
      </c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  <c r="DP2524" s="4"/>
      <c r="DQ2524" s="4"/>
      <c r="DR2524" s="4"/>
      <c r="DS2524" s="4"/>
      <c r="DT2524" s="4"/>
      <c r="DU2524" s="4"/>
      <c r="DV2524" s="4"/>
      <c r="DW2524" s="4"/>
      <c r="DX2524" s="4"/>
      <c r="DY2524" s="4"/>
      <c r="DZ2524" s="4"/>
      <c r="EA2524" s="4"/>
      <c r="EB2524" s="4"/>
      <c r="EC2524" s="4"/>
      <c r="ED2524" s="4"/>
      <c r="EE2524" s="4"/>
      <c r="EF2524" s="4"/>
      <c r="EG2524" s="4"/>
      <c r="EH2524" s="4"/>
      <c r="EI2524" s="4"/>
      <c r="EJ2524" s="4"/>
      <c r="EK2524" s="4"/>
      <c r="EL2524" s="4"/>
      <c r="EM2524" s="4"/>
      <c r="EN2524" s="4"/>
      <c r="EO2524" s="4"/>
      <c r="EP2524" s="4"/>
      <c r="EQ2524" s="4"/>
      <c r="ER2524" s="4"/>
      <c r="ES2524" s="4"/>
      <c r="ET2524" s="4"/>
      <c r="EU2524" s="4"/>
      <c r="EV2524" s="4"/>
      <c r="EW2524" s="4"/>
      <c r="EX2524" s="4"/>
      <c r="EY2524" s="4"/>
      <c r="EZ2524" s="4"/>
      <c r="FA2524" s="4"/>
      <c r="FB2524" s="4"/>
      <c r="FC2524" s="4"/>
      <c r="FD2524" s="4"/>
      <c r="FE2524" s="4"/>
      <c r="FF2524" s="4"/>
      <c r="FG2524" s="4"/>
      <c r="FH2524" s="4"/>
      <c r="FI2524" s="4"/>
      <c r="FJ2524" s="4"/>
      <c r="FK2524" s="4"/>
      <c r="FL2524" s="4"/>
      <c r="FM2524" s="4"/>
      <c r="FN2524" s="4"/>
      <c r="FO2524" s="4"/>
      <c r="FP2524" s="4"/>
      <c r="FQ2524" s="4"/>
      <c r="FR2524" s="4"/>
      <c r="FS2524" s="4"/>
      <c r="FT2524" s="4"/>
      <c r="FU2524" s="4"/>
      <c r="FV2524" s="4"/>
      <c r="FW2524" s="4"/>
      <c r="FX2524" s="4"/>
      <c r="FY2524" s="4"/>
      <c r="FZ2524" s="4"/>
      <c r="GA2524" s="4"/>
      <c r="GB2524" s="4"/>
      <c r="GC2524" s="4"/>
      <c r="GD2524" s="4"/>
      <c r="GE2524" s="4"/>
      <c r="GF2524" s="4"/>
      <c r="GG2524" s="4"/>
      <c r="GH2524" s="4"/>
      <c r="GI2524" s="4"/>
      <c r="GJ2524" s="4"/>
      <c r="GK2524" s="4"/>
      <c r="GL2524" s="4"/>
      <c r="GM2524" s="4"/>
      <c r="GN2524" s="4"/>
      <c r="GO2524" s="4"/>
      <c r="GP2524" s="4"/>
      <c r="GQ2524" s="4"/>
      <c r="GR2524" s="4"/>
      <c r="GS2524" s="4"/>
      <c r="GT2524" s="4"/>
      <c r="GU2524" s="4"/>
      <c r="GV2524" s="4"/>
      <c r="GW2524" s="4"/>
      <c r="GX2524" s="4"/>
      <c r="GY2524" s="4"/>
      <c r="GZ2524" s="4"/>
      <c r="HA2524" s="4"/>
      <c r="HB2524" s="4"/>
      <c r="HC2524" s="4"/>
      <c r="HD2524" s="4"/>
      <c r="HE2524" s="4"/>
      <c r="HF2524" s="4"/>
      <c r="HG2524" s="4"/>
      <c r="HH2524" s="4"/>
      <c r="HI2524" s="4"/>
      <c r="HJ2524" s="4"/>
      <c r="HK2524" s="4"/>
      <c r="HL2524" s="4"/>
      <c r="HM2524" s="4"/>
      <c r="HN2524" s="4"/>
      <c r="HO2524" s="4"/>
      <c r="HP2524" s="4"/>
      <c r="HQ2524" s="4"/>
      <c r="HR2524" s="4"/>
    </row>
    <row r="2525">
      <c r="A2525" s="2" t="s">
        <v>11169</v>
      </c>
      <c r="B2525" s="2" t="s">
        <v>1242</v>
      </c>
      <c r="C2525" s="2" t="s">
        <v>701</v>
      </c>
      <c r="D2525" s="2" t="s">
        <v>969</v>
      </c>
      <c r="E2525" s="2" t="s">
        <v>3334</v>
      </c>
      <c r="F2525" s="2" t="s">
        <v>11170</v>
      </c>
      <c r="G2525" s="2" t="s">
        <v>11170</v>
      </c>
      <c r="H2525" s="2" t="s">
        <v>11170</v>
      </c>
      <c r="I2525" s="2" t="s">
        <v>11171</v>
      </c>
      <c r="J2525" s="2" t="s">
        <v>328</v>
      </c>
      <c r="K2525" s="2" t="s">
        <v>6366</v>
      </c>
      <c r="L2525" s="3">
        <v>52.38</v>
      </c>
      <c r="M2525" s="3">
        <v>55</v>
      </c>
      <c r="N2525" s="3">
        <v>109.99</v>
      </c>
      <c r="O2525" s="2" t="s">
        <v>245</v>
      </c>
      <c r="P2525" s="2" t="s">
        <v>311</v>
      </c>
      <c r="Q2525" s="2" t="s">
        <v>239</v>
      </c>
      <c r="R2525" s="2" t="s">
        <v>233</v>
      </c>
      <c r="S2525" s="2" t="s">
        <v>11172</v>
      </c>
      <c r="T2525" s="2" t="s">
        <v>395</v>
      </c>
      <c r="U2525" s="2" t="s">
        <v>3750</v>
      </c>
      <c r="V2525" s="2" t="s">
        <v>921</v>
      </c>
      <c r="W2525" s="2" t="s">
        <v>397</v>
      </c>
      <c r="X2525" s="2" t="s">
        <v>233</v>
      </c>
      <c r="Y2525" s="2" t="s">
        <v>3751</v>
      </c>
      <c r="Z2525" s="4"/>
      <c r="AA2525" s="4">
        <f>=ROUNDDOWN({0},0)</f>
      </c>
      <c r="AB2525" s="5">
        <v>0.2</v>
      </c>
      <c r="AC2525" s="2" t="s">
        <v>233</v>
      </c>
      <c r="AD2525" s="4"/>
      <c r="AE2525" s="4"/>
      <c r="AF2525" s="6"/>
      <c r="AG2525" s="6"/>
      <c r="AH2525" s="7">
        <v>0.7419</v>
      </c>
      <c r="AI2525" s="4"/>
      <c r="AJ2525" s="4">
        <f>=ROUNDDOWN({0},0)</f>
      </c>
      <c r="AK2525" s="5"/>
      <c r="AL2525" s="2" t="s">
        <v>233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 t="s">
        <v>233</v>
      </c>
      <c r="BD2525" s="8" t="s">
        <v>233</v>
      </c>
      <c r="BE2525" s="4" t="s">
        <v>233</v>
      </c>
      <c r="BF2525" s="8" t="s">
        <v>233</v>
      </c>
      <c r="BG2525" s="7" t="s">
        <v>233</v>
      </c>
      <c r="BH2525" s="7" t="s">
        <v>233</v>
      </c>
      <c r="BI2525" s="7"/>
      <c r="BJ2525" s="4">
        <v>2</v>
      </c>
      <c r="BK2525" s="8">
        <v>93.72</v>
      </c>
      <c r="BL2525" s="2" t="s">
        <v>3094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11173</v>
      </c>
      <c r="BV2525" s="2" t="s">
        <v>233</v>
      </c>
      <c r="BW2525" s="2" t="s">
        <v>233</v>
      </c>
      <c r="BX2525" s="2" t="s">
        <v>233</v>
      </c>
      <c r="BY2525" s="2" t="s">
        <v>280</v>
      </c>
      <c r="BZ2525" s="2" t="s">
        <v>245</v>
      </c>
      <c r="CA2525" s="2" t="s">
        <v>6707</v>
      </c>
      <c r="CB2525" s="2" t="s">
        <v>5992</v>
      </c>
      <c r="CC2525" s="2" t="s">
        <v>246</v>
      </c>
      <c r="CD2525" s="2" t="s">
        <v>233</v>
      </c>
      <c r="CE2525" s="4"/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  <c r="DP2525" s="4"/>
      <c r="DQ2525" s="4"/>
      <c r="DR2525" s="4"/>
      <c r="DS2525" s="4"/>
      <c r="DT2525" s="4"/>
      <c r="DU2525" s="4"/>
      <c r="DV2525" s="4"/>
      <c r="DW2525" s="4"/>
      <c r="DX2525" s="4"/>
      <c r="DY2525" s="4"/>
      <c r="DZ2525" s="4"/>
      <c r="EA2525" s="4"/>
      <c r="EB2525" s="4"/>
      <c r="EC2525" s="4"/>
      <c r="ED2525" s="4"/>
      <c r="EE2525" s="4"/>
      <c r="EF2525" s="4"/>
      <c r="EG2525" s="4"/>
      <c r="EH2525" s="4"/>
      <c r="EI2525" s="4"/>
      <c r="EJ2525" s="4"/>
      <c r="EK2525" s="4"/>
      <c r="EL2525" s="4"/>
      <c r="EM2525" s="4"/>
      <c r="EN2525" s="4"/>
      <c r="EO2525" s="4"/>
      <c r="EP2525" s="4"/>
      <c r="EQ2525" s="4"/>
      <c r="ER2525" s="4"/>
      <c r="ES2525" s="4"/>
      <c r="ET2525" s="4"/>
      <c r="EU2525" s="4"/>
      <c r="EV2525" s="4"/>
      <c r="EW2525" s="4"/>
      <c r="EX2525" s="4"/>
      <c r="EY2525" s="4"/>
      <c r="EZ2525" s="4"/>
      <c r="FA2525" s="4"/>
      <c r="FB2525" s="4"/>
      <c r="FC2525" s="4"/>
      <c r="FD2525" s="4"/>
      <c r="FE2525" s="4"/>
      <c r="FF2525" s="4"/>
      <c r="FG2525" s="4"/>
      <c r="FH2525" s="4"/>
      <c r="FI2525" s="4"/>
      <c r="FJ2525" s="4"/>
      <c r="FK2525" s="4"/>
      <c r="FL2525" s="4"/>
      <c r="FM2525" s="4"/>
      <c r="FN2525" s="4"/>
      <c r="FO2525" s="4"/>
      <c r="FP2525" s="4"/>
      <c r="FQ2525" s="4"/>
      <c r="FR2525" s="4"/>
      <c r="FS2525" s="4"/>
      <c r="FT2525" s="4"/>
      <c r="FU2525" s="4"/>
      <c r="FV2525" s="4"/>
      <c r="FW2525" s="4"/>
      <c r="FX2525" s="4"/>
      <c r="FY2525" s="4"/>
      <c r="FZ2525" s="4"/>
      <c r="GA2525" s="4"/>
      <c r="GB2525" s="4"/>
      <c r="GC2525" s="4"/>
      <c r="GD2525" s="4"/>
      <c r="GE2525" s="4"/>
      <c r="GF2525" s="4"/>
      <c r="GG2525" s="4"/>
      <c r="GH2525" s="4"/>
      <c r="GI2525" s="4"/>
      <c r="GJ2525" s="4"/>
      <c r="GK2525" s="4"/>
      <c r="GL2525" s="4"/>
      <c r="GM2525" s="4"/>
      <c r="GN2525" s="4"/>
      <c r="GO2525" s="4"/>
      <c r="GP2525" s="4"/>
      <c r="GQ2525" s="4"/>
      <c r="GR2525" s="4"/>
      <c r="GS2525" s="4"/>
      <c r="GT2525" s="4"/>
      <c r="GU2525" s="4"/>
      <c r="GV2525" s="4"/>
      <c r="GW2525" s="4"/>
      <c r="GX2525" s="4"/>
      <c r="GY2525" s="4"/>
      <c r="GZ2525" s="4"/>
      <c r="HA2525" s="4"/>
      <c r="HB2525" s="4"/>
      <c r="HC2525" s="4"/>
      <c r="HD2525" s="4"/>
      <c r="HE2525" s="4"/>
      <c r="HF2525" s="4"/>
      <c r="HG2525" s="4"/>
      <c r="HH2525" s="4"/>
      <c r="HI2525" s="4"/>
      <c r="HJ2525" s="4"/>
      <c r="HK2525" s="4"/>
      <c r="HL2525" s="4"/>
      <c r="HM2525" s="4"/>
      <c r="HN2525" s="4"/>
      <c r="HO2525" s="4"/>
      <c r="HP2525" s="4"/>
      <c r="HQ2525" s="4"/>
      <c r="HR2525" s="4"/>
    </row>
    <row r="2526">
      <c r="A2526" s="2" t="s">
        <v>11174</v>
      </c>
      <c r="B2526" s="2" t="s">
        <v>1242</v>
      </c>
      <c r="C2526" s="2" t="s">
        <v>701</v>
      </c>
      <c r="D2526" s="2" t="s">
        <v>969</v>
      </c>
      <c r="E2526" s="2" t="s">
        <v>3334</v>
      </c>
      <c r="F2526" s="2" t="s">
        <v>11170</v>
      </c>
      <c r="G2526" s="2" t="s">
        <v>11170</v>
      </c>
      <c r="H2526" s="2" t="s">
        <v>11170</v>
      </c>
      <c r="I2526" s="2" t="s">
        <v>11171</v>
      </c>
      <c r="J2526" s="2" t="s">
        <v>348</v>
      </c>
      <c r="K2526" s="2" t="s">
        <v>620</v>
      </c>
      <c r="L2526" s="3">
        <v>47.61</v>
      </c>
      <c r="M2526" s="3">
        <v>49.99</v>
      </c>
      <c r="N2526" s="3">
        <v>99.99</v>
      </c>
      <c r="O2526" s="2" t="s">
        <v>245</v>
      </c>
      <c r="P2526" s="2" t="s">
        <v>311</v>
      </c>
      <c r="Q2526" s="2" t="s">
        <v>239</v>
      </c>
      <c r="R2526" s="2" t="s">
        <v>233</v>
      </c>
      <c r="S2526" s="2" t="s">
        <v>11175</v>
      </c>
      <c r="T2526" s="2" t="s">
        <v>395</v>
      </c>
      <c r="U2526" s="2" t="s">
        <v>3750</v>
      </c>
      <c r="V2526" s="2" t="s">
        <v>921</v>
      </c>
      <c r="W2526" s="2" t="s">
        <v>397</v>
      </c>
      <c r="X2526" s="2" t="s">
        <v>233</v>
      </c>
      <c r="Y2526" s="2" t="s">
        <v>1437</v>
      </c>
      <c r="Z2526" s="4"/>
      <c r="AA2526" s="4">
        <f>=ROUNDDOWN({0},0)</f>
      </c>
      <c r="AB2526" s="5"/>
      <c r="AC2526" s="2" t="s">
        <v>233</v>
      </c>
      <c r="AD2526" s="4"/>
      <c r="AE2526" s="4"/>
      <c r="AF2526" s="6"/>
      <c r="AG2526" s="6"/>
      <c r="AH2526" s="7">
        <v>0</v>
      </c>
      <c r="AI2526" s="4"/>
      <c r="AJ2526" s="4">
        <f>=ROUNDDOWN({0},0)</f>
      </c>
      <c r="AK2526" s="5"/>
      <c r="AL2526" s="2" t="s">
        <v>233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 t="s">
        <v>233</v>
      </c>
      <c r="BD2526" s="8" t="s">
        <v>233</v>
      </c>
      <c r="BE2526" s="4" t="s">
        <v>233</v>
      </c>
      <c r="BF2526" s="8" t="s">
        <v>233</v>
      </c>
      <c r="BG2526" s="7" t="s">
        <v>233</v>
      </c>
      <c r="BH2526" s="7" t="s">
        <v>233</v>
      </c>
      <c r="BI2526" s="7"/>
      <c r="BJ2526" s="4"/>
      <c r="BK2526" s="8"/>
      <c r="BL2526" s="2" t="s">
        <v>233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11176</v>
      </c>
      <c r="BV2526" s="2" t="s">
        <v>233</v>
      </c>
      <c r="BW2526" s="2" t="s">
        <v>233</v>
      </c>
      <c r="BX2526" s="2" t="s">
        <v>233</v>
      </c>
      <c r="BY2526" s="2" t="s">
        <v>280</v>
      </c>
      <c r="BZ2526" s="2" t="s">
        <v>245</v>
      </c>
      <c r="CA2526" s="2" t="s">
        <v>6707</v>
      </c>
      <c r="CB2526" s="2" t="s">
        <v>11177</v>
      </c>
      <c r="CC2526" s="2" t="s">
        <v>246</v>
      </c>
      <c r="CD2526" s="2" t="s">
        <v>233</v>
      </c>
      <c r="CE2526" s="4"/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  <c r="DL2526" s="4"/>
      <c r="DM2526" s="4"/>
      <c r="DN2526" s="4"/>
      <c r="DO2526" s="4"/>
      <c r="DP2526" s="4"/>
      <c r="DQ2526" s="4"/>
      <c r="DR2526" s="4"/>
      <c r="DS2526" s="4"/>
      <c r="DT2526" s="4"/>
      <c r="DU2526" s="4"/>
      <c r="DV2526" s="4"/>
      <c r="DW2526" s="4"/>
      <c r="DX2526" s="4"/>
      <c r="DY2526" s="4"/>
      <c r="DZ2526" s="4"/>
      <c r="EA2526" s="4"/>
      <c r="EB2526" s="4"/>
      <c r="EC2526" s="4"/>
      <c r="ED2526" s="4"/>
      <c r="EE2526" s="4"/>
      <c r="EF2526" s="4"/>
      <c r="EG2526" s="4"/>
      <c r="EH2526" s="4"/>
      <c r="EI2526" s="4"/>
      <c r="EJ2526" s="4"/>
      <c r="EK2526" s="4"/>
      <c r="EL2526" s="4"/>
      <c r="EM2526" s="4"/>
      <c r="EN2526" s="4"/>
      <c r="EO2526" s="4"/>
      <c r="EP2526" s="4"/>
      <c r="EQ2526" s="4"/>
      <c r="ER2526" s="4"/>
      <c r="ES2526" s="4"/>
      <c r="ET2526" s="4"/>
      <c r="EU2526" s="4"/>
      <c r="EV2526" s="4"/>
      <c r="EW2526" s="4"/>
      <c r="EX2526" s="4"/>
      <c r="EY2526" s="4"/>
      <c r="EZ2526" s="4"/>
      <c r="FA2526" s="4"/>
      <c r="FB2526" s="4"/>
      <c r="FC2526" s="4"/>
      <c r="FD2526" s="4"/>
      <c r="FE2526" s="4"/>
      <c r="FF2526" s="4"/>
      <c r="FG2526" s="4"/>
      <c r="FH2526" s="4"/>
      <c r="FI2526" s="4"/>
      <c r="FJ2526" s="4"/>
      <c r="FK2526" s="4"/>
      <c r="FL2526" s="4"/>
      <c r="FM2526" s="4"/>
      <c r="FN2526" s="4"/>
      <c r="FO2526" s="4"/>
      <c r="FP2526" s="4"/>
      <c r="FQ2526" s="4"/>
      <c r="FR2526" s="4"/>
      <c r="FS2526" s="4"/>
      <c r="FT2526" s="4"/>
      <c r="FU2526" s="4"/>
      <c r="FV2526" s="4"/>
      <c r="FW2526" s="4"/>
      <c r="FX2526" s="4"/>
      <c r="FY2526" s="4"/>
      <c r="FZ2526" s="4"/>
      <c r="GA2526" s="4"/>
      <c r="GB2526" s="4"/>
      <c r="GC2526" s="4"/>
      <c r="GD2526" s="4"/>
      <c r="GE2526" s="4"/>
      <c r="GF2526" s="4"/>
      <c r="GG2526" s="4"/>
      <c r="GH2526" s="4"/>
      <c r="GI2526" s="4"/>
      <c r="GJ2526" s="4"/>
      <c r="GK2526" s="4"/>
      <c r="GL2526" s="4"/>
      <c r="GM2526" s="4"/>
      <c r="GN2526" s="4"/>
      <c r="GO2526" s="4"/>
      <c r="GP2526" s="4"/>
      <c r="GQ2526" s="4"/>
      <c r="GR2526" s="4"/>
      <c r="GS2526" s="4"/>
      <c r="GT2526" s="4"/>
      <c r="GU2526" s="4"/>
      <c r="GV2526" s="4"/>
      <c r="GW2526" s="4"/>
      <c r="GX2526" s="4"/>
      <c r="GY2526" s="4"/>
      <c r="GZ2526" s="4"/>
      <c r="HA2526" s="4"/>
      <c r="HB2526" s="4"/>
      <c r="HC2526" s="4"/>
      <c r="HD2526" s="4"/>
      <c r="HE2526" s="4"/>
      <c r="HF2526" s="4"/>
      <c r="HG2526" s="4"/>
      <c r="HH2526" s="4"/>
      <c r="HI2526" s="4"/>
      <c r="HJ2526" s="4"/>
      <c r="HK2526" s="4"/>
      <c r="HL2526" s="4"/>
      <c r="HM2526" s="4"/>
      <c r="HN2526" s="4"/>
      <c r="HO2526" s="4"/>
      <c r="HP2526" s="4"/>
      <c r="HQ2526" s="4"/>
      <c r="HR2526" s="4"/>
    </row>
    <row r="2527">
      <c r="A2527" s="2" t="s">
        <v>11178</v>
      </c>
      <c r="B2527" s="2" t="s">
        <v>1242</v>
      </c>
      <c r="C2527" s="2" t="s">
        <v>1986</v>
      </c>
      <c r="D2527" s="2" t="s">
        <v>969</v>
      </c>
      <c r="E2527" s="2" t="s">
        <v>1078</v>
      </c>
      <c r="F2527" s="2" t="s">
        <v>11179</v>
      </c>
      <c r="G2527" s="2" t="s">
        <v>11179</v>
      </c>
      <c r="H2527" s="2" t="s">
        <v>11179</v>
      </c>
      <c r="I2527" s="2" t="s">
        <v>6825</v>
      </c>
      <c r="J2527" s="2" t="s">
        <v>546</v>
      </c>
      <c r="K2527" s="2" t="s">
        <v>257</v>
      </c>
      <c r="L2527" s="3">
        <v>204.28</v>
      </c>
      <c r="M2527" s="3">
        <v>214.49</v>
      </c>
      <c r="N2527" s="3">
        <v>599.99</v>
      </c>
      <c r="O2527" s="2" t="s">
        <v>245</v>
      </c>
      <c r="P2527" s="2" t="s">
        <v>272</v>
      </c>
      <c r="Q2527" s="2" t="s">
        <v>239</v>
      </c>
      <c r="R2527" s="2" t="s">
        <v>233</v>
      </c>
      <c r="S2527" s="2" t="s">
        <v>233</v>
      </c>
      <c r="T2527" s="2" t="s">
        <v>233</v>
      </c>
      <c r="U2527" s="2" t="s">
        <v>342</v>
      </c>
      <c r="V2527" s="2" t="s">
        <v>1869</v>
      </c>
      <c r="W2527" s="2" t="s">
        <v>776</v>
      </c>
      <c r="X2527" s="2" t="s">
        <v>233</v>
      </c>
      <c r="Y2527" s="2" t="s">
        <v>2008</v>
      </c>
      <c r="Z2527" s="4"/>
      <c r="AA2527" s="4">
        <f>=ROUNDDOWN({0},0)</f>
      </c>
      <c r="AB2527" s="5">
        <v>2</v>
      </c>
      <c r="AC2527" s="2" t="s">
        <v>2183</v>
      </c>
      <c r="AD2527" s="4">
        <v>60</v>
      </c>
      <c r="AE2527" s="4">
        <v>60</v>
      </c>
      <c r="AF2527" s="6">
        <v>65</v>
      </c>
      <c r="AG2527" s="6"/>
      <c r="AH2527" s="7">
        <v>0</v>
      </c>
      <c r="AI2527" s="4"/>
      <c r="AJ2527" s="4">
        <f>=ROUNDDOWN({0},0)</f>
      </c>
      <c r="AK2527" s="5"/>
      <c r="AL2527" s="2" t="s">
        <v>233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/>
      <c r="AW2527" s="8"/>
      <c r="AX2527" s="4"/>
      <c r="AY2527" s="8"/>
      <c r="AZ2527" s="7"/>
      <c r="BA2527" s="7"/>
      <c r="BB2527" s="7"/>
      <c r="BC2527" s="4"/>
      <c r="BD2527" s="8"/>
      <c r="BE2527" s="4"/>
      <c r="BF2527" s="8"/>
      <c r="BG2527" s="7"/>
      <c r="BH2527" s="7"/>
      <c r="BI2527" s="7"/>
      <c r="BJ2527" s="4"/>
      <c r="BK2527" s="8"/>
      <c r="BL2527" s="2" t="s">
        <v>1602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11180</v>
      </c>
      <c r="BV2527" s="2" t="s">
        <v>233</v>
      </c>
      <c r="BW2527" s="2" t="s">
        <v>233</v>
      </c>
      <c r="BX2527" s="2" t="s">
        <v>233</v>
      </c>
      <c r="BY2527" s="2" t="s">
        <v>280</v>
      </c>
      <c r="BZ2527" s="2" t="s">
        <v>245</v>
      </c>
      <c r="CA2527" s="2" t="s">
        <v>8278</v>
      </c>
      <c r="CB2527" s="2" t="s">
        <v>1998</v>
      </c>
      <c r="CC2527" s="2" t="s">
        <v>246</v>
      </c>
      <c r="CD2527" s="2" t="s">
        <v>233</v>
      </c>
      <c r="CE2527" s="4"/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  <c r="DP2527" s="4"/>
      <c r="DQ2527" s="4"/>
      <c r="DR2527" s="4"/>
      <c r="DS2527" s="4"/>
      <c r="DT2527" s="4"/>
      <c r="DU2527" s="4"/>
      <c r="DV2527" s="4"/>
      <c r="DW2527" s="4"/>
      <c r="DX2527" s="4"/>
      <c r="DY2527" s="4"/>
      <c r="DZ2527" s="4"/>
      <c r="EA2527" s="4"/>
      <c r="EB2527" s="4"/>
      <c r="EC2527" s="4"/>
      <c r="ED2527" s="4"/>
      <c r="EE2527" s="4"/>
      <c r="EF2527" s="4"/>
      <c r="EG2527" s="4"/>
      <c r="EH2527" s="4"/>
      <c r="EI2527" s="4"/>
      <c r="EJ2527" s="4"/>
      <c r="EK2527" s="4"/>
      <c r="EL2527" s="4"/>
      <c r="EM2527" s="4"/>
      <c r="EN2527" s="4"/>
      <c r="EO2527" s="4"/>
      <c r="EP2527" s="4"/>
      <c r="EQ2527" s="4"/>
      <c r="ER2527" s="4"/>
      <c r="ES2527" s="4"/>
      <c r="ET2527" s="4"/>
      <c r="EU2527" s="4"/>
      <c r="EV2527" s="4"/>
      <c r="EW2527" s="4"/>
      <c r="EX2527" s="4"/>
      <c r="EY2527" s="4"/>
      <c r="EZ2527" s="4"/>
      <c r="FA2527" s="4"/>
      <c r="FB2527" s="4"/>
      <c r="FC2527" s="4"/>
      <c r="FD2527" s="4"/>
      <c r="FE2527" s="4"/>
      <c r="FF2527" s="4"/>
      <c r="FG2527" s="4"/>
      <c r="FH2527" s="4"/>
      <c r="FI2527" s="4"/>
      <c r="FJ2527" s="4"/>
      <c r="FK2527" s="4"/>
      <c r="FL2527" s="4"/>
      <c r="FM2527" s="4"/>
      <c r="FN2527" s="4">
        <v>60</v>
      </c>
      <c r="FO2527" s="4"/>
      <c r="FP2527" s="4"/>
      <c r="FQ2527" s="4"/>
      <c r="FR2527" s="4"/>
      <c r="FS2527" s="4"/>
      <c r="FT2527" s="4"/>
      <c r="FU2527" s="4"/>
      <c r="FV2527" s="4"/>
      <c r="FW2527" s="4"/>
      <c r="FX2527" s="4"/>
      <c r="FY2527" s="4"/>
      <c r="FZ2527" s="4"/>
      <c r="GA2527" s="4"/>
      <c r="GB2527" s="4"/>
      <c r="GC2527" s="4"/>
      <c r="GD2527" s="4"/>
      <c r="GE2527" s="4"/>
      <c r="GF2527" s="4"/>
      <c r="GG2527" s="4"/>
      <c r="GH2527" s="4"/>
      <c r="GI2527" s="4"/>
      <c r="GJ2527" s="4"/>
      <c r="GK2527" s="4"/>
      <c r="GL2527" s="4"/>
      <c r="GM2527" s="4"/>
      <c r="GN2527" s="4"/>
      <c r="GO2527" s="4"/>
      <c r="GP2527" s="4"/>
      <c r="GQ2527" s="4"/>
      <c r="GR2527" s="4"/>
      <c r="GS2527" s="4"/>
      <c r="GT2527" s="4"/>
      <c r="GU2527" s="4"/>
      <c r="GV2527" s="4"/>
      <c r="GW2527" s="4"/>
      <c r="GX2527" s="4"/>
      <c r="GY2527" s="4"/>
      <c r="GZ2527" s="4"/>
      <c r="HA2527" s="4"/>
      <c r="HB2527" s="4"/>
      <c r="HC2527" s="4"/>
      <c r="HD2527" s="4"/>
      <c r="HE2527" s="4"/>
      <c r="HF2527" s="4"/>
      <c r="HG2527" s="4"/>
      <c r="HH2527" s="4"/>
      <c r="HI2527" s="4"/>
      <c r="HJ2527" s="4"/>
      <c r="HK2527" s="4"/>
      <c r="HL2527" s="4"/>
      <c r="HM2527" s="4"/>
      <c r="HN2527" s="4"/>
      <c r="HO2527" s="4"/>
      <c r="HP2527" s="4"/>
      <c r="HQ2527" s="4"/>
      <c r="HR2527" s="4"/>
    </row>
    <row r="2528">
      <c r="A2528" s="2" t="s">
        <v>11181</v>
      </c>
      <c r="B2528" s="2" t="s">
        <v>228</v>
      </c>
      <c r="C2528" s="2" t="s">
        <v>911</v>
      </c>
      <c r="D2528" s="2" t="s">
        <v>969</v>
      </c>
      <c r="E2528" s="2" t="s">
        <v>970</v>
      </c>
      <c r="F2528" s="2" t="s">
        <v>11182</v>
      </c>
      <c r="G2528" s="2" t="s">
        <v>11182</v>
      </c>
      <c r="H2528" s="2" t="s">
        <v>11182</v>
      </c>
      <c r="I2528" s="2" t="s">
        <v>11183</v>
      </c>
      <c r="J2528" s="2" t="s">
        <v>270</v>
      </c>
      <c r="K2528" s="2" t="s">
        <v>2942</v>
      </c>
      <c r="L2528" s="3">
        <v>33.33</v>
      </c>
      <c r="M2528" s="3">
        <v>35</v>
      </c>
      <c r="N2528" s="3">
        <v>69.99</v>
      </c>
      <c r="O2528" s="2" t="s">
        <v>245</v>
      </c>
      <c r="P2528" s="2" t="s">
        <v>238</v>
      </c>
      <c r="Q2528" s="2" t="s">
        <v>239</v>
      </c>
      <c r="R2528" s="2" t="s">
        <v>233</v>
      </c>
      <c r="S2528" s="2" t="s">
        <v>11184</v>
      </c>
      <c r="T2528" s="2" t="s">
        <v>3570</v>
      </c>
      <c r="U2528" s="2" t="s">
        <v>491</v>
      </c>
      <c r="V2528" s="2" t="s">
        <v>241</v>
      </c>
      <c r="W2528" s="2" t="s">
        <v>275</v>
      </c>
      <c r="X2528" s="2" t="s">
        <v>233</v>
      </c>
      <c r="Y2528" s="2" t="s">
        <v>3199</v>
      </c>
      <c r="Z2528" s="4">
        <v>100</v>
      </c>
      <c r="AA2528" s="4">
        <f>=ROUNDDOWN(8.33333333333333,0)</f>
      </c>
      <c r="AB2528" s="5">
        <v>12</v>
      </c>
      <c r="AC2528" s="2" t="s">
        <v>4953</v>
      </c>
      <c r="AD2528" s="4">
        <v>160</v>
      </c>
      <c r="AE2528" s="4">
        <v>160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233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233</v>
      </c>
      <c r="AW2528" s="8" t="s">
        <v>233</v>
      </c>
      <c r="AX2528" s="4" t="s">
        <v>233</v>
      </c>
      <c r="AY2528" s="8" t="s">
        <v>233</v>
      </c>
      <c r="AZ2528" s="7" t="s">
        <v>233</v>
      </c>
      <c r="BA2528" s="7" t="s">
        <v>233</v>
      </c>
      <c r="BB2528" s="7"/>
      <c r="BC2528" s="4" t="s">
        <v>233</v>
      </c>
      <c r="BD2528" s="8" t="s">
        <v>233</v>
      </c>
      <c r="BE2528" s="4" t="s">
        <v>233</v>
      </c>
      <c r="BF2528" s="8" t="s">
        <v>233</v>
      </c>
      <c r="BG2528" s="7" t="s">
        <v>233</v>
      </c>
      <c r="BH2528" s="7" t="s">
        <v>233</v>
      </c>
      <c r="BI2528" s="7"/>
      <c r="BJ2528" s="4"/>
      <c r="BK2528" s="8"/>
      <c r="BL2528" s="2" t="s">
        <v>233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11185</v>
      </c>
      <c r="BV2528" s="2" t="s">
        <v>233</v>
      </c>
      <c r="BW2528" s="2" t="s">
        <v>233</v>
      </c>
      <c r="BX2528" s="2" t="s">
        <v>243</v>
      </c>
      <c r="BY2528" s="2" t="s">
        <v>280</v>
      </c>
      <c r="BZ2528" s="2" t="s">
        <v>245</v>
      </c>
      <c r="CA2528" s="2" t="s">
        <v>2872</v>
      </c>
      <c r="CB2528" s="2" t="s">
        <v>233</v>
      </c>
      <c r="CC2528" s="2" t="s">
        <v>246</v>
      </c>
      <c r="CD2528" s="2" t="s">
        <v>233</v>
      </c>
      <c r="CE2528" s="4">
        <v>100</v>
      </c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  <c r="DP2528" s="4"/>
      <c r="DQ2528" s="4"/>
      <c r="DR2528" s="4"/>
      <c r="DS2528" s="4"/>
      <c r="DT2528" s="4"/>
      <c r="DU2528" s="4"/>
      <c r="DV2528" s="4"/>
      <c r="DW2528" s="4"/>
      <c r="DX2528" s="4"/>
      <c r="DY2528" s="4"/>
      <c r="DZ2528" s="4"/>
      <c r="EA2528" s="4"/>
      <c r="EB2528" s="4"/>
      <c r="EC2528" s="4"/>
      <c r="ED2528" s="4"/>
      <c r="EE2528" s="4"/>
      <c r="EF2528" s="4"/>
      <c r="EG2528" s="4"/>
      <c r="EH2528" s="4"/>
      <c r="EI2528" s="4"/>
      <c r="EJ2528" s="4"/>
      <c r="EK2528" s="4"/>
      <c r="EL2528" s="4"/>
      <c r="EM2528" s="4"/>
      <c r="EN2528" s="4"/>
      <c r="EO2528" s="4"/>
      <c r="EP2528" s="4"/>
      <c r="EQ2528" s="4"/>
      <c r="ER2528" s="4"/>
      <c r="ES2528" s="4"/>
      <c r="ET2528" s="4"/>
      <c r="EU2528" s="4"/>
      <c r="EV2528" s="4"/>
      <c r="EW2528" s="4">
        <v>160</v>
      </c>
      <c r="EX2528" s="4"/>
      <c r="EY2528" s="4"/>
      <c r="EZ2528" s="4"/>
      <c r="FA2528" s="4"/>
      <c r="FB2528" s="4"/>
      <c r="FC2528" s="4"/>
      <c r="FD2528" s="4"/>
      <c r="FE2528" s="4"/>
      <c r="FF2528" s="4"/>
      <c r="FG2528" s="4"/>
      <c r="FH2528" s="4"/>
      <c r="FI2528" s="4"/>
      <c r="FJ2528" s="4"/>
      <c r="FK2528" s="4"/>
      <c r="FL2528" s="4"/>
      <c r="FM2528" s="4"/>
      <c r="FN2528" s="4"/>
      <c r="FO2528" s="4"/>
      <c r="FP2528" s="4"/>
      <c r="FQ2528" s="4"/>
      <c r="FR2528" s="4"/>
      <c r="FS2528" s="4"/>
      <c r="FT2528" s="4"/>
      <c r="FU2528" s="4"/>
      <c r="FV2528" s="4"/>
      <c r="FW2528" s="4"/>
      <c r="FX2528" s="4"/>
      <c r="FY2528" s="4"/>
      <c r="FZ2528" s="4"/>
      <c r="GA2528" s="4"/>
      <c r="GB2528" s="4"/>
      <c r="GC2528" s="4"/>
      <c r="GD2528" s="4"/>
      <c r="GE2528" s="4"/>
      <c r="GF2528" s="4"/>
      <c r="GG2528" s="4"/>
      <c r="GH2528" s="4"/>
      <c r="GI2528" s="4"/>
      <c r="GJ2528" s="4"/>
      <c r="GK2528" s="4"/>
      <c r="GL2528" s="4"/>
      <c r="GM2528" s="4"/>
      <c r="GN2528" s="4"/>
      <c r="GO2528" s="4"/>
      <c r="GP2528" s="4"/>
      <c r="GQ2528" s="4"/>
      <c r="GR2528" s="4"/>
      <c r="GS2528" s="4"/>
      <c r="GT2528" s="4"/>
      <c r="GU2528" s="4"/>
      <c r="GV2528" s="4"/>
      <c r="GW2528" s="4"/>
      <c r="GX2528" s="4"/>
      <c r="GY2528" s="4"/>
      <c r="GZ2528" s="4"/>
      <c r="HA2528" s="4"/>
      <c r="HB2528" s="4"/>
      <c r="HC2528" s="4"/>
      <c r="HD2528" s="4"/>
      <c r="HE2528" s="4"/>
      <c r="HF2528" s="4"/>
      <c r="HG2528" s="4"/>
      <c r="HH2528" s="4"/>
      <c r="HI2528" s="4"/>
      <c r="HJ2528" s="4"/>
      <c r="HK2528" s="4"/>
      <c r="HL2528" s="4"/>
      <c r="HM2528" s="4"/>
      <c r="HN2528" s="4"/>
      <c r="HO2528" s="4"/>
      <c r="HP2528" s="4"/>
      <c r="HQ2528" s="4"/>
      <c r="HR2528" s="4"/>
    </row>
    <row r="2529">
      <c r="A2529" s="2" t="s">
        <v>11186</v>
      </c>
      <c r="B2529" s="2" t="s">
        <v>228</v>
      </c>
      <c r="C2529" s="2" t="s">
        <v>911</v>
      </c>
      <c r="D2529" s="2" t="s">
        <v>969</v>
      </c>
      <c r="E2529" s="2" t="s">
        <v>970</v>
      </c>
      <c r="F2529" s="2" t="s">
        <v>11182</v>
      </c>
      <c r="G2529" s="2" t="s">
        <v>11182</v>
      </c>
      <c r="H2529" s="2" t="s">
        <v>11182</v>
      </c>
      <c r="I2529" s="2" t="s">
        <v>11187</v>
      </c>
      <c r="J2529" s="2" t="s">
        <v>981</v>
      </c>
      <c r="K2529" s="2" t="s">
        <v>2942</v>
      </c>
      <c r="L2529" s="3">
        <v>42.85</v>
      </c>
      <c r="M2529" s="3">
        <v>44.99</v>
      </c>
      <c r="N2529" s="3">
        <v>89.99</v>
      </c>
      <c r="O2529" s="2" t="s">
        <v>245</v>
      </c>
      <c r="P2529" s="2" t="s">
        <v>238</v>
      </c>
      <c r="Q2529" s="2" t="s">
        <v>239</v>
      </c>
      <c r="R2529" s="2" t="s">
        <v>233</v>
      </c>
      <c r="S2529" s="2" t="s">
        <v>11184</v>
      </c>
      <c r="T2529" s="2" t="s">
        <v>3570</v>
      </c>
      <c r="U2529" s="2" t="s">
        <v>475</v>
      </c>
      <c r="V2529" s="2" t="s">
        <v>241</v>
      </c>
      <c r="W2529" s="2" t="s">
        <v>275</v>
      </c>
      <c r="X2529" s="2" t="s">
        <v>233</v>
      </c>
      <c r="Y2529" s="2" t="s">
        <v>2467</v>
      </c>
      <c r="Z2529" s="4">
        <v>150</v>
      </c>
      <c r="AA2529" s="4">
        <f>=ROUNDDOWN(9.375,0)</f>
      </c>
      <c r="AB2529" s="5">
        <v>16</v>
      </c>
      <c r="AC2529" s="2" t="s">
        <v>4953</v>
      </c>
      <c r="AD2529" s="4">
        <v>420</v>
      </c>
      <c r="AE2529" s="4">
        <v>420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233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 t="s">
        <v>233</v>
      </c>
      <c r="AW2529" s="8" t="s">
        <v>233</v>
      </c>
      <c r="AX2529" s="4" t="s">
        <v>233</v>
      </c>
      <c r="AY2529" s="8" t="s">
        <v>233</v>
      </c>
      <c r="AZ2529" s="7" t="s">
        <v>233</v>
      </c>
      <c r="BA2529" s="7" t="s">
        <v>233</v>
      </c>
      <c r="BB2529" s="7"/>
      <c r="BC2529" s="4" t="s">
        <v>233</v>
      </c>
      <c r="BD2529" s="8" t="s">
        <v>233</v>
      </c>
      <c r="BE2529" s="4" t="s">
        <v>233</v>
      </c>
      <c r="BF2529" s="8" t="s">
        <v>233</v>
      </c>
      <c r="BG2529" s="7" t="s">
        <v>233</v>
      </c>
      <c r="BH2529" s="7" t="s">
        <v>233</v>
      </c>
      <c r="BI2529" s="7"/>
      <c r="BJ2529" s="4"/>
      <c r="BK2529" s="8"/>
      <c r="BL2529" s="2" t="s">
        <v>233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11188</v>
      </c>
      <c r="BV2529" s="2" t="s">
        <v>233</v>
      </c>
      <c r="BW2529" s="2" t="s">
        <v>233</v>
      </c>
      <c r="BX2529" s="2" t="s">
        <v>243</v>
      </c>
      <c r="BY2529" s="2" t="s">
        <v>280</v>
      </c>
      <c r="BZ2529" s="2" t="s">
        <v>245</v>
      </c>
      <c r="CA2529" s="2" t="s">
        <v>2872</v>
      </c>
      <c r="CB2529" s="2" t="s">
        <v>233</v>
      </c>
      <c r="CC2529" s="2" t="s">
        <v>246</v>
      </c>
      <c r="CD2529" s="2" t="s">
        <v>233</v>
      </c>
      <c r="CE2529" s="4">
        <v>150</v>
      </c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  <c r="DP2529" s="4"/>
      <c r="DQ2529" s="4"/>
      <c r="DR2529" s="4"/>
      <c r="DS2529" s="4"/>
      <c r="DT2529" s="4"/>
      <c r="DU2529" s="4"/>
      <c r="DV2529" s="4"/>
      <c r="DW2529" s="4"/>
      <c r="DX2529" s="4"/>
      <c r="DY2529" s="4"/>
      <c r="DZ2529" s="4"/>
      <c r="EA2529" s="4"/>
      <c r="EB2529" s="4"/>
      <c r="EC2529" s="4"/>
      <c r="ED2529" s="4"/>
      <c r="EE2529" s="4"/>
      <c r="EF2529" s="4"/>
      <c r="EG2529" s="4"/>
      <c r="EH2529" s="4"/>
      <c r="EI2529" s="4"/>
      <c r="EJ2529" s="4"/>
      <c r="EK2529" s="4"/>
      <c r="EL2529" s="4"/>
      <c r="EM2529" s="4"/>
      <c r="EN2529" s="4"/>
      <c r="EO2529" s="4"/>
      <c r="EP2529" s="4"/>
      <c r="EQ2529" s="4"/>
      <c r="ER2529" s="4"/>
      <c r="ES2529" s="4"/>
      <c r="ET2529" s="4"/>
      <c r="EU2529" s="4"/>
      <c r="EV2529" s="4"/>
      <c r="EW2529" s="4">
        <v>420</v>
      </c>
      <c r="EX2529" s="4"/>
      <c r="EY2529" s="4"/>
      <c r="EZ2529" s="4"/>
      <c r="FA2529" s="4"/>
      <c r="FB2529" s="4"/>
      <c r="FC2529" s="4"/>
      <c r="FD2529" s="4"/>
      <c r="FE2529" s="4"/>
      <c r="FF2529" s="4"/>
      <c r="FG2529" s="4"/>
      <c r="FH2529" s="4"/>
      <c r="FI2529" s="4"/>
      <c r="FJ2529" s="4"/>
      <c r="FK2529" s="4"/>
      <c r="FL2529" s="4"/>
      <c r="FM2529" s="4"/>
      <c r="FN2529" s="4"/>
      <c r="FO2529" s="4"/>
      <c r="FP2529" s="4"/>
      <c r="FQ2529" s="4"/>
      <c r="FR2529" s="4"/>
      <c r="FS2529" s="4"/>
      <c r="FT2529" s="4"/>
      <c r="FU2529" s="4"/>
      <c r="FV2529" s="4"/>
      <c r="FW2529" s="4"/>
      <c r="FX2529" s="4"/>
      <c r="FY2529" s="4"/>
      <c r="FZ2529" s="4"/>
      <c r="GA2529" s="4"/>
      <c r="GB2529" s="4"/>
      <c r="GC2529" s="4"/>
      <c r="GD2529" s="4"/>
      <c r="GE2529" s="4"/>
      <c r="GF2529" s="4"/>
      <c r="GG2529" s="4"/>
      <c r="GH2529" s="4"/>
      <c r="GI2529" s="4"/>
      <c r="GJ2529" s="4"/>
      <c r="GK2529" s="4"/>
      <c r="GL2529" s="4"/>
      <c r="GM2529" s="4"/>
      <c r="GN2529" s="4"/>
      <c r="GO2529" s="4"/>
      <c r="GP2529" s="4"/>
      <c r="GQ2529" s="4"/>
      <c r="GR2529" s="4"/>
      <c r="GS2529" s="4"/>
      <c r="GT2529" s="4"/>
      <c r="GU2529" s="4"/>
      <c r="GV2529" s="4"/>
      <c r="GW2529" s="4"/>
      <c r="GX2529" s="4"/>
      <c r="GY2529" s="4"/>
      <c r="GZ2529" s="4"/>
      <c r="HA2529" s="4"/>
      <c r="HB2529" s="4"/>
      <c r="HC2529" s="4"/>
      <c r="HD2529" s="4"/>
      <c r="HE2529" s="4"/>
      <c r="HF2529" s="4"/>
      <c r="HG2529" s="4"/>
      <c r="HH2529" s="4"/>
      <c r="HI2529" s="4"/>
      <c r="HJ2529" s="4"/>
      <c r="HK2529" s="4"/>
      <c r="HL2529" s="4"/>
      <c r="HM2529" s="4"/>
      <c r="HN2529" s="4"/>
      <c r="HO2529" s="4"/>
      <c r="HP2529" s="4"/>
      <c r="HQ2529" s="4"/>
      <c r="HR2529" s="4"/>
    </row>
    <row r="2530">
      <c r="A2530" s="2" t="s">
        <v>11189</v>
      </c>
      <c r="B2530" s="2" t="s">
        <v>228</v>
      </c>
      <c r="C2530" s="2" t="s">
        <v>911</v>
      </c>
      <c r="D2530" s="2" t="s">
        <v>969</v>
      </c>
      <c r="E2530" s="2" t="s">
        <v>970</v>
      </c>
      <c r="F2530" s="2" t="s">
        <v>11182</v>
      </c>
      <c r="G2530" s="2" t="s">
        <v>11182</v>
      </c>
      <c r="H2530" s="2" t="s">
        <v>11182</v>
      </c>
      <c r="I2530" s="2" t="s">
        <v>11187</v>
      </c>
      <c r="J2530" s="2" t="s">
        <v>328</v>
      </c>
      <c r="K2530" s="2" t="s">
        <v>2942</v>
      </c>
      <c r="L2530" s="3">
        <v>47.61</v>
      </c>
      <c r="M2530" s="3">
        <v>49.99</v>
      </c>
      <c r="N2530" s="3">
        <v>99.99</v>
      </c>
      <c r="O2530" s="2" t="s">
        <v>245</v>
      </c>
      <c r="P2530" s="2" t="s">
        <v>238</v>
      </c>
      <c r="Q2530" s="2" t="s">
        <v>239</v>
      </c>
      <c r="R2530" s="2" t="s">
        <v>233</v>
      </c>
      <c r="S2530" s="2" t="s">
        <v>11184</v>
      </c>
      <c r="T2530" s="2" t="s">
        <v>3570</v>
      </c>
      <c r="U2530" s="2" t="s">
        <v>475</v>
      </c>
      <c r="V2530" s="2" t="s">
        <v>241</v>
      </c>
      <c r="W2530" s="2" t="s">
        <v>275</v>
      </c>
      <c r="X2530" s="2" t="s">
        <v>233</v>
      </c>
      <c r="Y2530" s="2" t="s">
        <v>3199</v>
      </c>
      <c r="Z2530" s="4">
        <v>90</v>
      </c>
      <c r="AA2530" s="4">
        <f>=ROUNDDOWN(10,0)</f>
      </c>
      <c r="AB2530" s="5">
        <v>9</v>
      </c>
      <c r="AC2530" s="2" t="s">
        <v>4953</v>
      </c>
      <c r="AD2530" s="4">
        <v>90</v>
      </c>
      <c r="AE2530" s="4">
        <v>90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233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 t="s">
        <v>233</v>
      </c>
      <c r="AW2530" s="8" t="s">
        <v>233</v>
      </c>
      <c r="AX2530" s="4" t="s">
        <v>233</v>
      </c>
      <c r="AY2530" s="8" t="s">
        <v>233</v>
      </c>
      <c r="AZ2530" s="7" t="s">
        <v>233</v>
      </c>
      <c r="BA2530" s="7" t="s">
        <v>233</v>
      </c>
      <c r="BB2530" s="7"/>
      <c r="BC2530" s="4" t="s">
        <v>233</v>
      </c>
      <c r="BD2530" s="8" t="s">
        <v>233</v>
      </c>
      <c r="BE2530" s="4" t="s">
        <v>233</v>
      </c>
      <c r="BF2530" s="8" t="s">
        <v>233</v>
      </c>
      <c r="BG2530" s="7" t="s">
        <v>233</v>
      </c>
      <c r="BH2530" s="7" t="s">
        <v>233</v>
      </c>
      <c r="BI2530" s="7"/>
      <c r="BJ2530" s="4"/>
      <c r="BK2530" s="8"/>
      <c r="BL2530" s="2" t="s">
        <v>233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11190</v>
      </c>
      <c r="BV2530" s="2" t="s">
        <v>233</v>
      </c>
      <c r="BW2530" s="2" t="s">
        <v>233</v>
      </c>
      <c r="BX2530" s="2" t="s">
        <v>243</v>
      </c>
      <c r="BY2530" s="2" t="s">
        <v>280</v>
      </c>
      <c r="BZ2530" s="2" t="s">
        <v>245</v>
      </c>
      <c r="CA2530" s="2" t="s">
        <v>2872</v>
      </c>
      <c r="CB2530" s="2" t="s">
        <v>233</v>
      </c>
      <c r="CC2530" s="2" t="s">
        <v>246</v>
      </c>
      <c r="CD2530" s="2" t="s">
        <v>233</v>
      </c>
      <c r="CE2530" s="4">
        <v>90</v>
      </c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  <c r="DP2530" s="4"/>
      <c r="DQ2530" s="4"/>
      <c r="DR2530" s="4"/>
      <c r="DS2530" s="4"/>
      <c r="DT2530" s="4"/>
      <c r="DU2530" s="4"/>
      <c r="DV2530" s="4"/>
      <c r="DW2530" s="4"/>
      <c r="DX2530" s="4"/>
      <c r="DY2530" s="4"/>
      <c r="DZ2530" s="4"/>
      <c r="EA2530" s="4"/>
      <c r="EB2530" s="4"/>
      <c r="EC2530" s="4"/>
      <c r="ED2530" s="4"/>
      <c r="EE2530" s="4"/>
      <c r="EF2530" s="4"/>
      <c r="EG2530" s="4"/>
      <c r="EH2530" s="4"/>
      <c r="EI2530" s="4"/>
      <c r="EJ2530" s="4"/>
      <c r="EK2530" s="4"/>
      <c r="EL2530" s="4"/>
      <c r="EM2530" s="4"/>
      <c r="EN2530" s="4"/>
      <c r="EO2530" s="4"/>
      <c r="EP2530" s="4"/>
      <c r="EQ2530" s="4"/>
      <c r="ER2530" s="4"/>
      <c r="ES2530" s="4"/>
      <c r="ET2530" s="4"/>
      <c r="EU2530" s="4"/>
      <c r="EV2530" s="4"/>
      <c r="EW2530" s="4">
        <v>90</v>
      </c>
      <c r="EX2530" s="4"/>
      <c r="EY2530" s="4"/>
      <c r="EZ2530" s="4"/>
      <c r="FA2530" s="4"/>
      <c r="FB2530" s="4"/>
      <c r="FC2530" s="4"/>
      <c r="FD2530" s="4"/>
      <c r="FE2530" s="4"/>
      <c r="FF2530" s="4"/>
      <c r="FG2530" s="4"/>
      <c r="FH2530" s="4"/>
      <c r="FI2530" s="4"/>
      <c r="FJ2530" s="4"/>
      <c r="FK2530" s="4"/>
      <c r="FL2530" s="4"/>
      <c r="FM2530" s="4"/>
      <c r="FN2530" s="4"/>
      <c r="FO2530" s="4"/>
      <c r="FP2530" s="4"/>
      <c r="FQ2530" s="4"/>
      <c r="FR2530" s="4"/>
      <c r="FS2530" s="4"/>
      <c r="FT2530" s="4"/>
      <c r="FU2530" s="4"/>
      <c r="FV2530" s="4"/>
      <c r="FW2530" s="4"/>
      <c r="FX2530" s="4"/>
      <c r="FY2530" s="4"/>
      <c r="FZ2530" s="4"/>
      <c r="GA2530" s="4"/>
      <c r="GB2530" s="4"/>
      <c r="GC2530" s="4"/>
      <c r="GD2530" s="4"/>
      <c r="GE2530" s="4"/>
      <c r="GF2530" s="4"/>
      <c r="GG2530" s="4"/>
      <c r="GH2530" s="4"/>
      <c r="GI2530" s="4"/>
      <c r="GJ2530" s="4"/>
      <c r="GK2530" s="4"/>
      <c r="GL2530" s="4"/>
      <c r="GM2530" s="4"/>
      <c r="GN2530" s="4"/>
      <c r="GO2530" s="4"/>
      <c r="GP2530" s="4"/>
      <c r="GQ2530" s="4"/>
      <c r="GR2530" s="4"/>
      <c r="GS2530" s="4"/>
      <c r="GT2530" s="4"/>
      <c r="GU2530" s="4"/>
      <c r="GV2530" s="4"/>
      <c r="GW2530" s="4"/>
      <c r="GX2530" s="4"/>
      <c r="GY2530" s="4"/>
      <c r="GZ2530" s="4"/>
      <c r="HA2530" s="4"/>
      <c r="HB2530" s="4"/>
      <c r="HC2530" s="4"/>
      <c r="HD2530" s="4"/>
      <c r="HE2530" s="4"/>
      <c r="HF2530" s="4"/>
      <c r="HG2530" s="4"/>
      <c r="HH2530" s="4"/>
      <c r="HI2530" s="4"/>
      <c r="HJ2530" s="4"/>
      <c r="HK2530" s="4"/>
      <c r="HL2530" s="4"/>
      <c r="HM2530" s="4"/>
      <c r="HN2530" s="4"/>
      <c r="HO2530" s="4"/>
      <c r="HP2530" s="4"/>
      <c r="HQ2530" s="4"/>
      <c r="HR2530" s="4"/>
    </row>
    <row r="2531">
      <c r="A2531" s="2" t="s">
        <v>11191</v>
      </c>
      <c r="B2531" s="2" t="s">
        <v>228</v>
      </c>
      <c r="C2531" s="2" t="s">
        <v>911</v>
      </c>
      <c r="D2531" s="2" t="s">
        <v>969</v>
      </c>
      <c r="E2531" s="2" t="s">
        <v>970</v>
      </c>
      <c r="F2531" s="2" t="s">
        <v>11182</v>
      </c>
      <c r="G2531" s="2" t="s">
        <v>11182</v>
      </c>
      <c r="H2531" s="2" t="s">
        <v>11182</v>
      </c>
      <c r="I2531" s="2" t="s">
        <v>11183</v>
      </c>
      <c r="J2531" s="2" t="s">
        <v>270</v>
      </c>
      <c r="K2531" s="2" t="s">
        <v>1201</v>
      </c>
      <c r="L2531" s="3">
        <v>33.33</v>
      </c>
      <c r="M2531" s="3">
        <v>35</v>
      </c>
      <c r="N2531" s="3">
        <v>69.99</v>
      </c>
      <c r="O2531" s="2" t="s">
        <v>245</v>
      </c>
      <c r="P2531" s="2" t="s">
        <v>238</v>
      </c>
      <c r="Q2531" s="2" t="s">
        <v>239</v>
      </c>
      <c r="R2531" s="2" t="s">
        <v>233</v>
      </c>
      <c r="S2531" s="2" t="s">
        <v>11192</v>
      </c>
      <c r="T2531" s="2" t="s">
        <v>3570</v>
      </c>
      <c r="U2531" s="2" t="s">
        <v>491</v>
      </c>
      <c r="V2531" s="2" t="s">
        <v>241</v>
      </c>
      <c r="W2531" s="2" t="s">
        <v>275</v>
      </c>
      <c r="X2531" s="2" t="s">
        <v>233</v>
      </c>
      <c r="Y2531" s="2" t="s">
        <v>3199</v>
      </c>
      <c r="Z2531" s="4">
        <v>100</v>
      </c>
      <c r="AA2531" s="4">
        <f>=ROUNDDOWN(8.33333333333333,0)</f>
      </c>
      <c r="AB2531" s="5">
        <v>12</v>
      </c>
      <c r="AC2531" s="2" t="s">
        <v>4953</v>
      </c>
      <c r="AD2531" s="4">
        <v>160</v>
      </c>
      <c r="AE2531" s="4">
        <v>160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233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233</v>
      </c>
      <c r="AW2531" s="8" t="s">
        <v>233</v>
      </c>
      <c r="AX2531" s="4" t="s">
        <v>233</v>
      </c>
      <c r="AY2531" s="8" t="s">
        <v>233</v>
      </c>
      <c r="AZ2531" s="7" t="s">
        <v>233</v>
      </c>
      <c r="BA2531" s="7" t="s">
        <v>233</v>
      </c>
      <c r="BB2531" s="7"/>
      <c r="BC2531" s="4" t="s">
        <v>233</v>
      </c>
      <c r="BD2531" s="8" t="s">
        <v>233</v>
      </c>
      <c r="BE2531" s="4" t="s">
        <v>233</v>
      </c>
      <c r="BF2531" s="8" t="s">
        <v>233</v>
      </c>
      <c r="BG2531" s="7" t="s">
        <v>233</v>
      </c>
      <c r="BH2531" s="7" t="s">
        <v>233</v>
      </c>
      <c r="BI2531" s="7"/>
      <c r="BJ2531" s="4"/>
      <c r="BK2531" s="8"/>
      <c r="BL2531" s="2" t="s">
        <v>233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11193</v>
      </c>
      <c r="BV2531" s="2" t="s">
        <v>233</v>
      </c>
      <c r="BW2531" s="2" t="s">
        <v>233</v>
      </c>
      <c r="BX2531" s="2" t="s">
        <v>243</v>
      </c>
      <c r="BY2531" s="2" t="s">
        <v>280</v>
      </c>
      <c r="BZ2531" s="2" t="s">
        <v>245</v>
      </c>
      <c r="CA2531" s="2" t="s">
        <v>2872</v>
      </c>
      <c r="CB2531" s="2" t="s">
        <v>233</v>
      </c>
      <c r="CC2531" s="2" t="s">
        <v>246</v>
      </c>
      <c r="CD2531" s="2" t="s">
        <v>233</v>
      </c>
      <c r="CE2531" s="4">
        <v>100</v>
      </c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  <c r="DP2531" s="4"/>
      <c r="DQ2531" s="4"/>
      <c r="DR2531" s="4"/>
      <c r="DS2531" s="4"/>
      <c r="DT2531" s="4"/>
      <c r="DU2531" s="4"/>
      <c r="DV2531" s="4"/>
      <c r="DW2531" s="4"/>
      <c r="DX2531" s="4"/>
      <c r="DY2531" s="4"/>
      <c r="DZ2531" s="4"/>
      <c r="EA2531" s="4"/>
      <c r="EB2531" s="4"/>
      <c r="EC2531" s="4"/>
      <c r="ED2531" s="4"/>
      <c r="EE2531" s="4"/>
      <c r="EF2531" s="4"/>
      <c r="EG2531" s="4"/>
      <c r="EH2531" s="4"/>
      <c r="EI2531" s="4"/>
      <c r="EJ2531" s="4"/>
      <c r="EK2531" s="4"/>
      <c r="EL2531" s="4"/>
      <c r="EM2531" s="4"/>
      <c r="EN2531" s="4"/>
      <c r="EO2531" s="4"/>
      <c r="EP2531" s="4"/>
      <c r="EQ2531" s="4"/>
      <c r="ER2531" s="4"/>
      <c r="ES2531" s="4"/>
      <c r="ET2531" s="4"/>
      <c r="EU2531" s="4"/>
      <c r="EV2531" s="4"/>
      <c r="EW2531" s="4">
        <v>160</v>
      </c>
      <c r="EX2531" s="4"/>
      <c r="EY2531" s="4"/>
      <c r="EZ2531" s="4"/>
      <c r="FA2531" s="4"/>
      <c r="FB2531" s="4"/>
      <c r="FC2531" s="4"/>
      <c r="FD2531" s="4"/>
      <c r="FE2531" s="4"/>
      <c r="FF2531" s="4"/>
      <c r="FG2531" s="4"/>
      <c r="FH2531" s="4"/>
      <c r="FI2531" s="4"/>
      <c r="FJ2531" s="4"/>
      <c r="FK2531" s="4"/>
      <c r="FL2531" s="4"/>
      <c r="FM2531" s="4"/>
      <c r="FN2531" s="4"/>
      <c r="FO2531" s="4"/>
      <c r="FP2531" s="4"/>
      <c r="FQ2531" s="4"/>
      <c r="FR2531" s="4"/>
      <c r="FS2531" s="4"/>
      <c r="FT2531" s="4"/>
      <c r="FU2531" s="4"/>
      <c r="FV2531" s="4"/>
      <c r="FW2531" s="4"/>
      <c r="FX2531" s="4"/>
      <c r="FY2531" s="4"/>
      <c r="FZ2531" s="4"/>
      <c r="GA2531" s="4"/>
      <c r="GB2531" s="4"/>
      <c r="GC2531" s="4"/>
      <c r="GD2531" s="4"/>
      <c r="GE2531" s="4"/>
      <c r="GF2531" s="4"/>
      <c r="GG2531" s="4"/>
      <c r="GH2531" s="4"/>
      <c r="GI2531" s="4"/>
      <c r="GJ2531" s="4"/>
      <c r="GK2531" s="4"/>
      <c r="GL2531" s="4"/>
      <c r="GM2531" s="4"/>
      <c r="GN2531" s="4"/>
      <c r="GO2531" s="4"/>
      <c r="GP2531" s="4"/>
      <c r="GQ2531" s="4"/>
      <c r="GR2531" s="4"/>
      <c r="GS2531" s="4"/>
      <c r="GT2531" s="4"/>
      <c r="GU2531" s="4"/>
      <c r="GV2531" s="4"/>
      <c r="GW2531" s="4"/>
      <c r="GX2531" s="4"/>
      <c r="GY2531" s="4"/>
      <c r="GZ2531" s="4"/>
      <c r="HA2531" s="4"/>
      <c r="HB2531" s="4"/>
      <c r="HC2531" s="4"/>
      <c r="HD2531" s="4"/>
      <c r="HE2531" s="4"/>
      <c r="HF2531" s="4"/>
      <c r="HG2531" s="4"/>
      <c r="HH2531" s="4"/>
      <c r="HI2531" s="4"/>
      <c r="HJ2531" s="4"/>
      <c r="HK2531" s="4"/>
      <c r="HL2531" s="4"/>
      <c r="HM2531" s="4"/>
      <c r="HN2531" s="4"/>
      <c r="HO2531" s="4"/>
      <c r="HP2531" s="4"/>
      <c r="HQ2531" s="4"/>
      <c r="HR2531" s="4"/>
    </row>
    <row r="2532">
      <c r="A2532" s="2" t="s">
        <v>11194</v>
      </c>
      <c r="B2532" s="2" t="s">
        <v>228</v>
      </c>
      <c r="C2532" s="2" t="s">
        <v>911</v>
      </c>
      <c r="D2532" s="2" t="s">
        <v>969</v>
      </c>
      <c r="E2532" s="2" t="s">
        <v>970</v>
      </c>
      <c r="F2532" s="2" t="s">
        <v>11182</v>
      </c>
      <c r="G2532" s="2" t="s">
        <v>11182</v>
      </c>
      <c r="H2532" s="2" t="s">
        <v>11182</v>
      </c>
      <c r="I2532" s="2" t="s">
        <v>11187</v>
      </c>
      <c r="J2532" s="2" t="s">
        <v>981</v>
      </c>
      <c r="K2532" s="2" t="s">
        <v>1201</v>
      </c>
      <c r="L2532" s="3">
        <v>42.85</v>
      </c>
      <c r="M2532" s="3">
        <v>44.99</v>
      </c>
      <c r="N2532" s="3">
        <v>89.99</v>
      </c>
      <c r="O2532" s="2" t="s">
        <v>245</v>
      </c>
      <c r="P2532" s="2" t="s">
        <v>238</v>
      </c>
      <c r="Q2532" s="2" t="s">
        <v>239</v>
      </c>
      <c r="R2532" s="2" t="s">
        <v>233</v>
      </c>
      <c r="S2532" s="2" t="s">
        <v>11192</v>
      </c>
      <c r="T2532" s="2" t="s">
        <v>3570</v>
      </c>
      <c r="U2532" s="2" t="s">
        <v>475</v>
      </c>
      <c r="V2532" s="2" t="s">
        <v>241</v>
      </c>
      <c r="W2532" s="2" t="s">
        <v>275</v>
      </c>
      <c r="X2532" s="2" t="s">
        <v>233</v>
      </c>
      <c r="Y2532" s="2" t="s">
        <v>2467</v>
      </c>
      <c r="Z2532" s="4">
        <v>149</v>
      </c>
      <c r="AA2532" s="4">
        <f>=ROUNDDOWN(9.3125,0)</f>
      </c>
      <c r="AB2532" s="5">
        <v>16</v>
      </c>
      <c r="AC2532" s="2" t="s">
        <v>4953</v>
      </c>
      <c r="AD2532" s="4">
        <v>205</v>
      </c>
      <c r="AE2532" s="4">
        <v>205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233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 t="s">
        <v>233</v>
      </c>
      <c r="AW2532" s="8" t="s">
        <v>233</v>
      </c>
      <c r="AX2532" s="4" t="s">
        <v>233</v>
      </c>
      <c r="AY2532" s="8" t="s">
        <v>233</v>
      </c>
      <c r="AZ2532" s="7" t="s">
        <v>233</v>
      </c>
      <c r="BA2532" s="7" t="s">
        <v>233</v>
      </c>
      <c r="BB2532" s="7"/>
      <c r="BC2532" s="4" t="s">
        <v>233</v>
      </c>
      <c r="BD2532" s="8" t="s">
        <v>233</v>
      </c>
      <c r="BE2532" s="4" t="s">
        <v>233</v>
      </c>
      <c r="BF2532" s="8" t="s">
        <v>233</v>
      </c>
      <c r="BG2532" s="7" t="s">
        <v>233</v>
      </c>
      <c r="BH2532" s="7" t="s">
        <v>233</v>
      </c>
      <c r="BI2532" s="7"/>
      <c r="BJ2532" s="4"/>
      <c r="BK2532" s="8"/>
      <c r="BL2532" s="2" t="s">
        <v>233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11195</v>
      </c>
      <c r="BV2532" s="2" t="s">
        <v>233</v>
      </c>
      <c r="BW2532" s="2" t="s">
        <v>233</v>
      </c>
      <c r="BX2532" s="2" t="s">
        <v>243</v>
      </c>
      <c r="BY2532" s="2" t="s">
        <v>280</v>
      </c>
      <c r="BZ2532" s="2" t="s">
        <v>245</v>
      </c>
      <c r="CA2532" s="2" t="s">
        <v>2872</v>
      </c>
      <c r="CB2532" s="2" t="s">
        <v>233</v>
      </c>
      <c r="CC2532" s="2" t="s">
        <v>246</v>
      </c>
      <c r="CD2532" s="2" t="s">
        <v>233</v>
      </c>
      <c r="CE2532" s="4">
        <v>149</v>
      </c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  <c r="DP2532" s="4"/>
      <c r="DQ2532" s="4"/>
      <c r="DR2532" s="4"/>
      <c r="DS2532" s="4"/>
      <c r="DT2532" s="4"/>
      <c r="DU2532" s="4"/>
      <c r="DV2532" s="4"/>
      <c r="DW2532" s="4"/>
      <c r="DX2532" s="4"/>
      <c r="DY2532" s="4"/>
      <c r="DZ2532" s="4"/>
      <c r="EA2532" s="4"/>
      <c r="EB2532" s="4"/>
      <c r="EC2532" s="4"/>
      <c r="ED2532" s="4"/>
      <c r="EE2532" s="4"/>
      <c r="EF2532" s="4"/>
      <c r="EG2532" s="4"/>
      <c r="EH2532" s="4"/>
      <c r="EI2532" s="4"/>
      <c r="EJ2532" s="4"/>
      <c r="EK2532" s="4"/>
      <c r="EL2532" s="4"/>
      <c r="EM2532" s="4"/>
      <c r="EN2532" s="4"/>
      <c r="EO2532" s="4"/>
      <c r="EP2532" s="4"/>
      <c r="EQ2532" s="4"/>
      <c r="ER2532" s="4"/>
      <c r="ES2532" s="4"/>
      <c r="ET2532" s="4"/>
      <c r="EU2532" s="4"/>
      <c r="EV2532" s="4"/>
      <c r="EW2532" s="4">
        <v>205</v>
      </c>
      <c r="EX2532" s="4"/>
      <c r="EY2532" s="4"/>
      <c r="EZ2532" s="4"/>
      <c r="FA2532" s="4"/>
      <c r="FB2532" s="4"/>
      <c r="FC2532" s="4"/>
      <c r="FD2532" s="4"/>
      <c r="FE2532" s="4"/>
      <c r="FF2532" s="4"/>
      <c r="FG2532" s="4"/>
      <c r="FH2532" s="4"/>
      <c r="FI2532" s="4"/>
      <c r="FJ2532" s="4"/>
      <c r="FK2532" s="4"/>
      <c r="FL2532" s="4"/>
      <c r="FM2532" s="4"/>
      <c r="FN2532" s="4"/>
      <c r="FO2532" s="4"/>
      <c r="FP2532" s="4"/>
      <c r="FQ2532" s="4"/>
      <c r="FR2532" s="4"/>
      <c r="FS2532" s="4"/>
      <c r="FT2532" s="4"/>
      <c r="FU2532" s="4"/>
      <c r="FV2532" s="4"/>
      <c r="FW2532" s="4"/>
      <c r="FX2532" s="4"/>
      <c r="FY2532" s="4"/>
      <c r="FZ2532" s="4"/>
      <c r="GA2532" s="4"/>
      <c r="GB2532" s="4"/>
      <c r="GC2532" s="4"/>
      <c r="GD2532" s="4"/>
      <c r="GE2532" s="4"/>
      <c r="GF2532" s="4"/>
      <c r="GG2532" s="4"/>
      <c r="GH2532" s="4"/>
      <c r="GI2532" s="4"/>
      <c r="GJ2532" s="4"/>
      <c r="GK2532" s="4"/>
      <c r="GL2532" s="4"/>
      <c r="GM2532" s="4"/>
      <c r="GN2532" s="4"/>
      <c r="GO2532" s="4"/>
      <c r="GP2532" s="4"/>
      <c r="GQ2532" s="4"/>
      <c r="GR2532" s="4"/>
      <c r="GS2532" s="4"/>
      <c r="GT2532" s="4"/>
      <c r="GU2532" s="4"/>
      <c r="GV2532" s="4"/>
      <c r="GW2532" s="4"/>
      <c r="GX2532" s="4"/>
      <c r="GY2532" s="4"/>
      <c r="GZ2532" s="4"/>
      <c r="HA2532" s="4"/>
      <c r="HB2532" s="4"/>
      <c r="HC2532" s="4"/>
      <c r="HD2532" s="4"/>
      <c r="HE2532" s="4"/>
      <c r="HF2532" s="4"/>
      <c r="HG2532" s="4"/>
      <c r="HH2532" s="4"/>
      <c r="HI2532" s="4"/>
      <c r="HJ2532" s="4"/>
      <c r="HK2532" s="4"/>
      <c r="HL2532" s="4"/>
      <c r="HM2532" s="4"/>
      <c r="HN2532" s="4"/>
      <c r="HO2532" s="4"/>
      <c r="HP2532" s="4"/>
      <c r="HQ2532" s="4"/>
      <c r="HR2532" s="4"/>
    </row>
    <row r="2533">
      <c r="A2533" s="2" t="s">
        <v>11196</v>
      </c>
      <c r="B2533" s="2" t="s">
        <v>228</v>
      </c>
      <c r="C2533" s="2" t="s">
        <v>911</v>
      </c>
      <c r="D2533" s="2" t="s">
        <v>969</v>
      </c>
      <c r="E2533" s="2" t="s">
        <v>970</v>
      </c>
      <c r="F2533" s="2" t="s">
        <v>11182</v>
      </c>
      <c r="G2533" s="2" t="s">
        <v>11182</v>
      </c>
      <c r="H2533" s="2" t="s">
        <v>11182</v>
      </c>
      <c r="I2533" s="2" t="s">
        <v>11187</v>
      </c>
      <c r="J2533" s="2" t="s">
        <v>328</v>
      </c>
      <c r="K2533" s="2" t="s">
        <v>1201</v>
      </c>
      <c r="L2533" s="3">
        <v>47.61</v>
      </c>
      <c r="M2533" s="3">
        <v>49.99</v>
      </c>
      <c r="N2533" s="3">
        <v>99.99</v>
      </c>
      <c r="O2533" s="2" t="s">
        <v>245</v>
      </c>
      <c r="P2533" s="2" t="s">
        <v>238</v>
      </c>
      <c r="Q2533" s="2" t="s">
        <v>239</v>
      </c>
      <c r="R2533" s="2" t="s">
        <v>233</v>
      </c>
      <c r="S2533" s="2" t="s">
        <v>11192</v>
      </c>
      <c r="T2533" s="2" t="s">
        <v>3570</v>
      </c>
      <c r="U2533" s="2" t="s">
        <v>475</v>
      </c>
      <c r="V2533" s="2" t="s">
        <v>241</v>
      </c>
      <c r="W2533" s="2" t="s">
        <v>275</v>
      </c>
      <c r="X2533" s="2" t="s">
        <v>233</v>
      </c>
      <c r="Y2533" s="2" t="s">
        <v>2467</v>
      </c>
      <c r="Z2533" s="4">
        <v>90</v>
      </c>
      <c r="AA2533" s="4">
        <f>=ROUNDDOWN(10,0)</f>
      </c>
      <c r="AB2533" s="5">
        <v>9</v>
      </c>
      <c r="AC2533" s="2" t="s">
        <v>4953</v>
      </c>
      <c r="AD2533" s="4">
        <v>90</v>
      </c>
      <c r="AE2533" s="4">
        <v>90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233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233</v>
      </c>
      <c r="AW2533" s="8" t="s">
        <v>233</v>
      </c>
      <c r="AX2533" s="4" t="s">
        <v>233</v>
      </c>
      <c r="AY2533" s="8" t="s">
        <v>233</v>
      </c>
      <c r="AZ2533" s="7" t="s">
        <v>233</v>
      </c>
      <c r="BA2533" s="7" t="s">
        <v>233</v>
      </c>
      <c r="BB2533" s="7"/>
      <c r="BC2533" s="4" t="s">
        <v>233</v>
      </c>
      <c r="BD2533" s="8" t="s">
        <v>233</v>
      </c>
      <c r="BE2533" s="4" t="s">
        <v>233</v>
      </c>
      <c r="BF2533" s="8" t="s">
        <v>233</v>
      </c>
      <c r="BG2533" s="7" t="s">
        <v>233</v>
      </c>
      <c r="BH2533" s="7" t="s">
        <v>233</v>
      </c>
      <c r="BI2533" s="7"/>
      <c r="BJ2533" s="4"/>
      <c r="BK2533" s="8"/>
      <c r="BL2533" s="2" t="s">
        <v>233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11197</v>
      </c>
      <c r="BV2533" s="2" t="s">
        <v>233</v>
      </c>
      <c r="BW2533" s="2" t="s">
        <v>233</v>
      </c>
      <c r="BX2533" s="2" t="s">
        <v>243</v>
      </c>
      <c r="BY2533" s="2" t="s">
        <v>280</v>
      </c>
      <c r="BZ2533" s="2" t="s">
        <v>245</v>
      </c>
      <c r="CA2533" s="2" t="s">
        <v>2872</v>
      </c>
      <c r="CB2533" s="2" t="s">
        <v>233</v>
      </c>
      <c r="CC2533" s="2" t="s">
        <v>246</v>
      </c>
      <c r="CD2533" s="2" t="s">
        <v>233</v>
      </c>
      <c r="CE2533" s="4">
        <v>90</v>
      </c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  <c r="DP2533" s="4"/>
      <c r="DQ2533" s="4"/>
      <c r="DR2533" s="4"/>
      <c r="DS2533" s="4"/>
      <c r="DT2533" s="4"/>
      <c r="DU2533" s="4"/>
      <c r="DV2533" s="4"/>
      <c r="DW2533" s="4"/>
      <c r="DX2533" s="4"/>
      <c r="DY2533" s="4"/>
      <c r="DZ2533" s="4"/>
      <c r="EA2533" s="4"/>
      <c r="EB2533" s="4"/>
      <c r="EC2533" s="4"/>
      <c r="ED2533" s="4"/>
      <c r="EE2533" s="4"/>
      <c r="EF2533" s="4"/>
      <c r="EG2533" s="4"/>
      <c r="EH2533" s="4"/>
      <c r="EI2533" s="4"/>
      <c r="EJ2533" s="4"/>
      <c r="EK2533" s="4"/>
      <c r="EL2533" s="4"/>
      <c r="EM2533" s="4"/>
      <c r="EN2533" s="4"/>
      <c r="EO2533" s="4"/>
      <c r="EP2533" s="4"/>
      <c r="EQ2533" s="4"/>
      <c r="ER2533" s="4"/>
      <c r="ES2533" s="4"/>
      <c r="ET2533" s="4"/>
      <c r="EU2533" s="4"/>
      <c r="EV2533" s="4"/>
      <c r="EW2533" s="4">
        <v>90</v>
      </c>
      <c r="EX2533" s="4"/>
      <c r="EY2533" s="4"/>
      <c r="EZ2533" s="4"/>
      <c r="FA2533" s="4"/>
      <c r="FB2533" s="4"/>
      <c r="FC2533" s="4"/>
      <c r="FD2533" s="4"/>
      <c r="FE2533" s="4"/>
      <c r="FF2533" s="4"/>
      <c r="FG2533" s="4"/>
      <c r="FH2533" s="4"/>
      <c r="FI2533" s="4"/>
      <c r="FJ2533" s="4"/>
      <c r="FK2533" s="4"/>
      <c r="FL2533" s="4"/>
      <c r="FM2533" s="4"/>
      <c r="FN2533" s="4"/>
      <c r="FO2533" s="4"/>
      <c r="FP2533" s="4"/>
      <c r="FQ2533" s="4"/>
      <c r="FR2533" s="4"/>
      <c r="FS2533" s="4"/>
      <c r="FT2533" s="4"/>
      <c r="FU2533" s="4"/>
      <c r="FV2533" s="4"/>
      <c r="FW2533" s="4"/>
      <c r="FX2533" s="4"/>
      <c r="FY2533" s="4"/>
      <c r="FZ2533" s="4"/>
      <c r="GA2533" s="4"/>
      <c r="GB2533" s="4"/>
      <c r="GC2533" s="4"/>
      <c r="GD2533" s="4"/>
      <c r="GE2533" s="4"/>
      <c r="GF2533" s="4"/>
      <c r="GG2533" s="4"/>
      <c r="GH2533" s="4"/>
      <c r="GI2533" s="4"/>
      <c r="GJ2533" s="4"/>
      <c r="GK2533" s="4"/>
      <c r="GL2533" s="4"/>
      <c r="GM2533" s="4"/>
      <c r="GN2533" s="4"/>
      <c r="GO2533" s="4"/>
      <c r="GP2533" s="4"/>
      <c r="GQ2533" s="4"/>
      <c r="GR2533" s="4"/>
      <c r="GS2533" s="4"/>
      <c r="GT2533" s="4"/>
      <c r="GU2533" s="4"/>
      <c r="GV2533" s="4"/>
      <c r="GW2533" s="4"/>
      <c r="GX2533" s="4"/>
      <c r="GY2533" s="4"/>
      <c r="GZ2533" s="4"/>
      <c r="HA2533" s="4"/>
      <c r="HB2533" s="4"/>
      <c r="HC2533" s="4"/>
      <c r="HD2533" s="4"/>
      <c r="HE2533" s="4"/>
      <c r="HF2533" s="4"/>
      <c r="HG2533" s="4"/>
      <c r="HH2533" s="4"/>
      <c r="HI2533" s="4"/>
      <c r="HJ2533" s="4"/>
      <c r="HK2533" s="4"/>
      <c r="HL2533" s="4"/>
      <c r="HM2533" s="4"/>
      <c r="HN2533" s="4"/>
      <c r="HO2533" s="4"/>
      <c r="HP2533" s="4"/>
      <c r="HQ2533" s="4"/>
      <c r="HR2533" s="4"/>
    </row>
    <row r="2534">
      <c r="A2534" s="2" t="s">
        <v>11198</v>
      </c>
      <c r="B2534" s="2" t="s">
        <v>228</v>
      </c>
      <c r="C2534" s="2" t="s">
        <v>911</v>
      </c>
      <c r="D2534" s="2" t="s">
        <v>969</v>
      </c>
      <c r="E2534" s="2" t="s">
        <v>970</v>
      </c>
      <c r="F2534" s="2" t="s">
        <v>11182</v>
      </c>
      <c r="G2534" s="2" t="s">
        <v>11182</v>
      </c>
      <c r="H2534" s="2" t="s">
        <v>11182</v>
      </c>
      <c r="I2534" s="2" t="s">
        <v>11183</v>
      </c>
      <c r="J2534" s="2" t="s">
        <v>270</v>
      </c>
      <c r="K2534" s="2" t="s">
        <v>620</v>
      </c>
      <c r="L2534" s="3">
        <v>33.33</v>
      </c>
      <c r="M2534" s="3">
        <v>35</v>
      </c>
      <c r="N2534" s="3">
        <v>69.99</v>
      </c>
      <c r="O2534" s="2" t="s">
        <v>245</v>
      </c>
      <c r="P2534" s="2" t="s">
        <v>238</v>
      </c>
      <c r="Q2534" s="2" t="s">
        <v>239</v>
      </c>
      <c r="R2534" s="2" t="s">
        <v>233</v>
      </c>
      <c r="S2534" s="2" t="s">
        <v>11199</v>
      </c>
      <c r="T2534" s="2" t="s">
        <v>3570</v>
      </c>
      <c r="U2534" s="2" t="s">
        <v>491</v>
      </c>
      <c r="V2534" s="2" t="s">
        <v>241</v>
      </c>
      <c r="W2534" s="2" t="s">
        <v>275</v>
      </c>
      <c r="X2534" s="2" t="s">
        <v>233</v>
      </c>
      <c r="Y2534" s="2" t="s">
        <v>3199</v>
      </c>
      <c r="Z2534" s="4">
        <v>100</v>
      </c>
      <c r="AA2534" s="4">
        <f>=ROUNDDOWN(10,0)</f>
      </c>
      <c r="AB2534" s="5">
        <v>10</v>
      </c>
      <c r="AC2534" s="2" t="s">
        <v>4953</v>
      </c>
      <c r="AD2534" s="4">
        <v>160</v>
      </c>
      <c r="AE2534" s="4">
        <v>160</v>
      </c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233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233</v>
      </c>
      <c r="AW2534" s="8" t="s">
        <v>233</v>
      </c>
      <c r="AX2534" s="4" t="s">
        <v>233</v>
      </c>
      <c r="AY2534" s="8" t="s">
        <v>233</v>
      </c>
      <c r="AZ2534" s="7" t="s">
        <v>233</v>
      </c>
      <c r="BA2534" s="7" t="s">
        <v>233</v>
      </c>
      <c r="BB2534" s="7"/>
      <c r="BC2534" s="4" t="s">
        <v>233</v>
      </c>
      <c r="BD2534" s="8" t="s">
        <v>233</v>
      </c>
      <c r="BE2534" s="4" t="s">
        <v>233</v>
      </c>
      <c r="BF2534" s="8" t="s">
        <v>233</v>
      </c>
      <c r="BG2534" s="7" t="s">
        <v>233</v>
      </c>
      <c r="BH2534" s="7" t="s">
        <v>233</v>
      </c>
      <c r="BI2534" s="7"/>
      <c r="BJ2534" s="4"/>
      <c r="BK2534" s="8"/>
      <c r="BL2534" s="2" t="s">
        <v>233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11200</v>
      </c>
      <c r="BV2534" s="2" t="s">
        <v>233</v>
      </c>
      <c r="BW2534" s="2" t="s">
        <v>233</v>
      </c>
      <c r="BX2534" s="2" t="s">
        <v>243</v>
      </c>
      <c r="BY2534" s="2" t="s">
        <v>280</v>
      </c>
      <c r="BZ2534" s="2" t="s">
        <v>245</v>
      </c>
      <c r="CA2534" s="2" t="s">
        <v>2872</v>
      </c>
      <c r="CB2534" s="2" t="s">
        <v>233</v>
      </c>
      <c r="CC2534" s="2" t="s">
        <v>246</v>
      </c>
      <c r="CD2534" s="2" t="s">
        <v>233</v>
      </c>
      <c r="CE2534" s="4">
        <v>100</v>
      </c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/>
      <c r="EL2534" s="4"/>
      <c r="EM2534" s="4"/>
      <c r="EN2534" s="4"/>
      <c r="EO2534" s="4"/>
      <c r="EP2534" s="4"/>
      <c r="EQ2534" s="4"/>
      <c r="ER2534" s="4"/>
      <c r="ES2534" s="4"/>
      <c r="ET2534" s="4"/>
      <c r="EU2534" s="4"/>
      <c r="EV2534" s="4"/>
      <c r="EW2534" s="4">
        <v>160</v>
      </c>
      <c r="EX2534" s="4"/>
      <c r="EY2534" s="4"/>
      <c r="EZ2534" s="4"/>
      <c r="FA2534" s="4"/>
      <c r="FB2534" s="4"/>
      <c r="FC2534" s="4"/>
      <c r="FD2534" s="4"/>
      <c r="FE2534" s="4"/>
      <c r="FF2534" s="4"/>
      <c r="FG2534" s="4"/>
      <c r="FH2534" s="4"/>
      <c r="FI2534" s="4"/>
      <c r="FJ2534" s="4"/>
      <c r="FK2534" s="4"/>
      <c r="FL2534" s="4"/>
      <c r="FM2534" s="4"/>
      <c r="FN2534" s="4"/>
      <c r="FO2534" s="4"/>
      <c r="FP2534" s="4"/>
      <c r="FQ2534" s="4"/>
      <c r="FR2534" s="4"/>
      <c r="FS2534" s="4"/>
      <c r="FT2534" s="4"/>
      <c r="FU2534" s="4"/>
      <c r="FV2534" s="4"/>
      <c r="FW2534" s="4"/>
      <c r="FX2534" s="4"/>
      <c r="FY2534" s="4"/>
      <c r="FZ2534" s="4"/>
      <c r="GA2534" s="4"/>
      <c r="GB2534" s="4"/>
      <c r="GC2534" s="4"/>
      <c r="GD2534" s="4"/>
      <c r="GE2534" s="4"/>
      <c r="GF2534" s="4"/>
      <c r="GG2534" s="4"/>
      <c r="GH2534" s="4"/>
      <c r="GI2534" s="4"/>
      <c r="GJ2534" s="4"/>
      <c r="GK2534" s="4"/>
      <c r="GL2534" s="4"/>
      <c r="GM2534" s="4"/>
      <c r="GN2534" s="4"/>
      <c r="GO2534" s="4"/>
      <c r="GP2534" s="4"/>
      <c r="GQ2534" s="4"/>
      <c r="GR2534" s="4"/>
      <c r="GS2534" s="4"/>
      <c r="GT2534" s="4"/>
      <c r="GU2534" s="4"/>
      <c r="GV2534" s="4"/>
      <c r="GW2534" s="4"/>
      <c r="GX2534" s="4"/>
      <c r="GY2534" s="4"/>
      <c r="GZ2534" s="4"/>
      <c r="HA2534" s="4"/>
      <c r="HB2534" s="4"/>
      <c r="HC2534" s="4"/>
      <c r="HD2534" s="4"/>
      <c r="HE2534" s="4"/>
      <c r="HF2534" s="4"/>
      <c r="HG2534" s="4"/>
      <c r="HH2534" s="4"/>
      <c r="HI2534" s="4"/>
      <c r="HJ2534" s="4"/>
      <c r="HK2534" s="4"/>
      <c r="HL2534" s="4"/>
      <c r="HM2534" s="4"/>
      <c r="HN2534" s="4"/>
      <c r="HO2534" s="4"/>
      <c r="HP2534" s="4"/>
      <c r="HQ2534" s="4"/>
      <c r="HR2534" s="4"/>
    </row>
    <row r="2535">
      <c r="A2535" s="2" t="s">
        <v>11201</v>
      </c>
      <c r="B2535" s="2" t="s">
        <v>228</v>
      </c>
      <c r="C2535" s="2" t="s">
        <v>911</v>
      </c>
      <c r="D2535" s="2" t="s">
        <v>969</v>
      </c>
      <c r="E2535" s="2" t="s">
        <v>970</v>
      </c>
      <c r="F2535" s="2" t="s">
        <v>11182</v>
      </c>
      <c r="G2535" s="2" t="s">
        <v>11182</v>
      </c>
      <c r="H2535" s="2" t="s">
        <v>11182</v>
      </c>
      <c r="I2535" s="2" t="s">
        <v>11187</v>
      </c>
      <c r="J2535" s="2" t="s">
        <v>981</v>
      </c>
      <c r="K2535" s="2" t="s">
        <v>620</v>
      </c>
      <c r="L2535" s="3">
        <v>42.85</v>
      </c>
      <c r="M2535" s="3">
        <v>44.99</v>
      </c>
      <c r="N2535" s="3">
        <v>89.99</v>
      </c>
      <c r="O2535" s="2" t="s">
        <v>245</v>
      </c>
      <c r="P2535" s="2" t="s">
        <v>238</v>
      </c>
      <c r="Q2535" s="2" t="s">
        <v>239</v>
      </c>
      <c r="R2535" s="2" t="s">
        <v>233</v>
      </c>
      <c r="S2535" s="2" t="s">
        <v>11199</v>
      </c>
      <c r="T2535" s="2" t="s">
        <v>3570</v>
      </c>
      <c r="U2535" s="2" t="s">
        <v>475</v>
      </c>
      <c r="V2535" s="2" t="s">
        <v>241</v>
      </c>
      <c r="W2535" s="2" t="s">
        <v>275</v>
      </c>
      <c r="X2535" s="2" t="s">
        <v>233</v>
      </c>
      <c r="Y2535" s="2" t="s">
        <v>3199</v>
      </c>
      <c r="Z2535" s="4">
        <v>150</v>
      </c>
      <c r="AA2535" s="4">
        <f>=ROUNDDOWN(10.7142857142857,0)</f>
      </c>
      <c r="AB2535" s="5">
        <v>14</v>
      </c>
      <c r="AC2535" s="2" t="s">
        <v>4953</v>
      </c>
      <c r="AD2535" s="4">
        <v>420</v>
      </c>
      <c r="AE2535" s="4">
        <v>420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233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 t="s">
        <v>233</v>
      </c>
      <c r="AW2535" s="8" t="s">
        <v>233</v>
      </c>
      <c r="AX2535" s="4" t="s">
        <v>233</v>
      </c>
      <c r="AY2535" s="8" t="s">
        <v>233</v>
      </c>
      <c r="AZ2535" s="7" t="s">
        <v>233</v>
      </c>
      <c r="BA2535" s="7" t="s">
        <v>233</v>
      </c>
      <c r="BB2535" s="7"/>
      <c r="BC2535" s="4" t="s">
        <v>233</v>
      </c>
      <c r="BD2535" s="8" t="s">
        <v>233</v>
      </c>
      <c r="BE2535" s="4" t="s">
        <v>233</v>
      </c>
      <c r="BF2535" s="8" t="s">
        <v>233</v>
      </c>
      <c r="BG2535" s="7" t="s">
        <v>233</v>
      </c>
      <c r="BH2535" s="7" t="s">
        <v>233</v>
      </c>
      <c r="BI2535" s="7"/>
      <c r="BJ2535" s="4"/>
      <c r="BK2535" s="8"/>
      <c r="BL2535" s="2" t="s">
        <v>233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11202</v>
      </c>
      <c r="BV2535" s="2" t="s">
        <v>233</v>
      </c>
      <c r="BW2535" s="2" t="s">
        <v>233</v>
      </c>
      <c r="BX2535" s="2" t="s">
        <v>243</v>
      </c>
      <c r="BY2535" s="2" t="s">
        <v>280</v>
      </c>
      <c r="BZ2535" s="2" t="s">
        <v>245</v>
      </c>
      <c r="CA2535" s="2" t="s">
        <v>2872</v>
      </c>
      <c r="CB2535" s="2" t="s">
        <v>233</v>
      </c>
      <c r="CC2535" s="2" t="s">
        <v>246</v>
      </c>
      <c r="CD2535" s="2" t="s">
        <v>233</v>
      </c>
      <c r="CE2535" s="4">
        <v>150</v>
      </c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  <c r="DP2535" s="4"/>
      <c r="DQ2535" s="4"/>
      <c r="DR2535" s="4"/>
      <c r="DS2535" s="4"/>
      <c r="DT2535" s="4"/>
      <c r="DU2535" s="4"/>
      <c r="DV2535" s="4"/>
      <c r="DW2535" s="4"/>
      <c r="DX2535" s="4"/>
      <c r="DY2535" s="4"/>
      <c r="DZ2535" s="4"/>
      <c r="EA2535" s="4"/>
      <c r="EB2535" s="4"/>
      <c r="EC2535" s="4"/>
      <c r="ED2535" s="4"/>
      <c r="EE2535" s="4"/>
      <c r="EF2535" s="4"/>
      <c r="EG2535" s="4"/>
      <c r="EH2535" s="4"/>
      <c r="EI2535" s="4"/>
      <c r="EJ2535" s="4"/>
      <c r="EK2535" s="4"/>
      <c r="EL2535" s="4"/>
      <c r="EM2535" s="4"/>
      <c r="EN2535" s="4"/>
      <c r="EO2535" s="4"/>
      <c r="EP2535" s="4"/>
      <c r="EQ2535" s="4"/>
      <c r="ER2535" s="4"/>
      <c r="ES2535" s="4"/>
      <c r="ET2535" s="4"/>
      <c r="EU2535" s="4"/>
      <c r="EV2535" s="4"/>
      <c r="EW2535" s="4">
        <v>420</v>
      </c>
      <c r="EX2535" s="4"/>
      <c r="EY2535" s="4"/>
      <c r="EZ2535" s="4"/>
      <c r="FA2535" s="4"/>
      <c r="FB2535" s="4"/>
      <c r="FC2535" s="4"/>
      <c r="FD2535" s="4"/>
      <c r="FE2535" s="4"/>
      <c r="FF2535" s="4"/>
      <c r="FG2535" s="4"/>
      <c r="FH2535" s="4"/>
      <c r="FI2535" s="4"/>
      <c r="FJ2535" s="4"/>
      <c r="FK2535" s="4"/>
      <c r="FL2535" s="4"/>
      <c r="FM2535" s="4"/>
      <c r="FN2535" s="4"/>
      <c r="FO2535" s="4"/>
      <c r="FP2535" s="4"/>
      <c r="FQ2535" s="4"/>
      <c r="FR2535" s="4"/>
      <c r="FS2535" s="4"/>
      <c r="FT2535" s="4"/>
      <c r="FU2535" s="4"/>
      <c r="FV2535" s="4"/>
      <c r="FW2535" s="4"/>
      <c r="FX2535" s="4"/>
      <c r="FY2535" s="4"/>
      <c r="FZ2535" s="4"/>
      <c r="GA2535" s="4"/>
      <c r="GB2535" s="4"/>
      <c r="GC2535" s="4"/>
      <c r="GD2535" s="4"/>
      <c r="GE2535" s="4"/>
      <c r="GF2535" s="4"/>
      <c r="GG2535" s="4"/>
      <c r="GH2535" s="4"/>
      <c r="GI2535" s="4"/>
      <c r="GJ2535" s="4"/>
      <c r="GK2535" s="4"/>
      <c r="GL2535" s="4"/>
      <c r="GM2535" s="4"/>
      <c r="GN2535" s="4"/>
      <c r="GO2535" s="4"/>
      <c r="GP2535" s="4"/>
      <c r="GQ2535" s="4"/>
      <c r="GR2535" s="4"/>
      <c r="GS2535" s="4"/>
      <c r="GT2535" s="4"/>
      <c r="GU2535" s="4"/>
      <c r="GV2535" s="4"/>
      <c r="GW2535" s="4"/>
      <c r="GX2535" s="4"/>
      <c r="GY2535" s="4"/>
      <c r="GZ2535" s="4"/>
      <c r="HA2535" s="4"/>
      <c r="HB2535" s="4"/>
      <c r="HC2535" s="4"/>
      <c r="HD2535" s="4"/>
      <c r="HE2535" s="4"/>
      <c r="HF2535" s="4"/>
      <c r="HG2535" s="4"/>
      <c r="HH2535" s="4"/>
      <c r="HI2535" s="4"/>
      <c r="HJ2535" s="4"/>
      <c r="HK2535" s="4"/>
      <c r="HL2535" s="4"/>
      <c r="HM2535" s="4"/>
      <c r="HN2535" s="4"/>
      <c r="HO2535" s="4"/>
      <c r="HP2535" s="4"/>
      <c r="HQ2535" s="4"/>
      <c r="HR2535" s="4"/>
    </row>
    <row r="2536">
      <c r="A2536" s="2" t="s">
        <v>11203</v>
      </c>
      <c r="B2536" s="2" t="s">
        <v>228</v>
      </c>
      <c r="C2536" s="2" t="s">
        <v>911</v>
      </c>
      <c r="D2536" s="2" t="s">
        <v>969</v>
      </c>
      <c r="E2536" s="2" t="s">
        <v>970</v>
      </c>
      <c r="F2536" s="2" t="s">
        <v>11182</v>
      </c>
      <c r="G2536" s="2" t="s">
        <v>11182</v>
      </c>
      <c r="H2536" s="2" t="s">
        <v>11182</v>
      </c>
      <c r="I2536" s="2" t="s">
        <v>11187</v>
      </c>
      <c r="J2536" s="2" t="s">
        <v>328</v>
      </c>
      <c r="K2536" s="2" t="s">
        <v>620</v>
      </c>
      <c r="L2536" s="3">
        <v>47.61</v>
      </c>
      <c r="M2536" s="3">
        <v>49.99</v>
      </c>
      <c r="N2536" s="3">
        <v>99.99</v>
      </c>
      <c r="O2536" s="2" t="s">
        <v>245</v>
      </c>
      <c r="P2536" s="2" t="s">
        <v>238</v>
      </c>
      <c r="Q2536" s="2" t="s">
        <v>239</v>
      </c>
      <c r="R2536" s="2" t="s">
        <v>233</v>
      </c>
      <c r="S2536" s="2" t="s">
        <v>11199</v>
      </c>
      <c r="T2536" s="2" t="s">
        <v>3570</v>
      </c>
      <c r="U2536" s="2" t="s">
        <v>475</v>
      </c>
      <c r="V2536" s="2" t="s">
        <v>241</v>
      </c>
      <c r="W2536" s="2" t="s">
        <v>275</v>
      </c>
      <c r="X2536" s="2" t="s">
        <v>233</v>
      </c>
      <c r="Y2536" s="2" t="s">
        <v>2467</v>
      </c>
      <c r="Z2536" s="4">
        <v>90</v>
      </c>
      <c r="AA2536" s="4">
        <f>=ROUNDDOWN(12.8571428571429,0)</f>
      </c>
      <c r="AB2536" s="5">
        <v>7</v>
      </c>
      <c r="AC2536" s="2" t="s">
        <v>4953</v>
      </c>
      <c r="AD2536" s="4">
        <v>90</v>
      </c>
      <c r="AE2536" s="4">
        <v>90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233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 t="s">
        <v>233</v>
      </c>
      <c r="AW2536" s="8" t="s">
        <v>233</v>
      </c>
      <c r="AX2536" s="4" t="s">
        <v>233</v>
      </c>
      <c r="AY2536" s="8" t="s">
        <v>233</v>
      </c>
      <c r="AZ2536" s="7" t="s">
        <v>233</v>
      </c>
      <c r="BA2536" s="7" t="s">
        <v>233</v>
      </c>
      <c r="BB2536" s="7"/>
      <c r="BC2536" s="4" t="s">
        <v>233</v>
      </c>
      <c r="BD2536" s="8" t="s">
        <v>233</v>
      </c>
      <c r="BE2536" s="4" t="s">
        <v>233</v>
      </c>
      <c r="BF2536" s="8" t="s">
        <v>233</v>
      </c>
      <c r="BG2536" s="7" t="s">
        <v>233</v>
      </c>
      <c r="BH2536" s="7" t="s">
        <v>233</v>
      </c>
      <c r="BI2536" s="7"/>
      <c r="BJ2536" s="4"/>
      <c r="BK2536" s="8"/>
      <c r="BL2536" s="2" t="s">
        <v>233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11204</v>
      </c>
      <c r="BV2536" s="2" t="s">
        <v>233</v>
      </c>
      <c r="BW2536" s="2" t="s">
        <v>233</v>
      </c>
      <c r="BX2536" s="2" t="s">
        <v>243</v>
      </c>
      <c r="BY2536" s="2" t="s">
        <v>280</v>
      </c>
      <c r="BZ2536" s="2" t="s">
        <v>245</v>
      </c>
      <c r="CA2536" s="2" t="s">
        <v>2872</v>
      </c>
      <c r="CB2536" s="2" t="s">
        <v>233</v>
      </c>
      <c r="CC2536" s="2" t="s">
        <v>246</v>
      </c>
      <c r="CD2536" s="2" t="s">
        <v>233</v>
      </c>
      <c r="CE2536" s="4">
        <v>90</v>
      </c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  <c r="DP2536" s="4"/>
      <c r="DQ2536" s="4"/>
      <c r="DR2536" s="4"/>
      <c r="DS2536" s="4"/>
      <c r="DT2536" s="4"/>
      <c r="DU2536" s="4"/>
      <c r="DV2536" s="4"/>
      <c r="DW2536" s="4"/>
      <c r="DX2536" s="4"/>
      <c r="DY2536" s="4"/>
      <c r="DZ2536" s="4"/>
      <c r="EA2536" s="4"/>
      <c r="EB2536" s="4"/>
      <c r="EC2536" s="4"/>
      <c r="ED2536" s="4"/>
      <c r="EE2536" s="4"/>
      <c r="EF2536" s="4"/>
      <c r="EG2536" s="4"/>
      <c r="EH2536" s="4"/>
      <c r="EI2536" s="4"/>
      <c r="EJ2536" s="4"/>
      <c r="EK2536" s="4"/>
      <c r="EL2536" s="4"/>
      <c r="EM2536" s="4"/>
      <c r="EN2536" s="4"/>
      <c r="EO2536" s="4"/>
      <c r="EP2536" s="4"/>
      <c r="EQ2536" s="4"/>
      <c r="ER2536" s="4"/>
      <c r="ES2536" s="4"/>
      <c r="ET2536" s="4"/>
      <c r="EU2536" s="4"/>
      <c r="EV2536" s="4"/>
      <c r="EW2536" s="4">
        <v>90</v>
      </c>
      <c r="EX2536" s="4"/>
      <c r="EY2536" s="4"/>
      <c r="EZ2536" s="4"/>
      <c r="FA2536" s="4"/>
      <c r="FB2536" s="4"/>
      <c r="FC2536" s="4"/>
      <c r="FD2536" s="4"/>
      <c r="FE2536" s="4"/>
      <c r="FF2536" s="4"/>
      <c r="FG2536" s="4"/>
      <c r="FH2536" s="4"/>
      <c r="FI2536" s="4"/>
      <c r="FJ2536" s="4"/>
      <c r="FK2536" s="4"/>
      <c r="FL2536" s="4"/>
      <c r="FM2536" s="4"/>
      <c r="FN2536" s="4"/>
      <c r="FO2536" s="4"/>
      <c r="FP2536" s="4"/>
      <c r="FQ2536" s="4"/>
      <c r="FR2536" s="4"/>
      <c r="FS2536" s="4"/>
      <c r="FT2536" s="4"/>
      <c r="FU2536" s="4"/>
      <c r="FV2536" s="4"/>
      <c r="FW2536" s="4"/>
      <c r="FX2536" s="4"/>
      <c r="FY2536" s="4"/>
      <c r="FZ2536" s="4"/>
      <c r="GA2536" s="4"/>
      <c r="GB2536" s="4"/>
      <c r="GC2536" s="4"/>
      <c r="GD2536" s="4"/>
      <c r="GE2536" s="4"/>
      <c r="GF2536" s="4"/>
      <c r="GG2536" s="4"/>
      <c r="GH2536" s="4"/>
      <c r="GI2536" s="4"/>
      <c r="GJ2536" s="4"/>
      <c r="GK2536" s="4"/>
      <c r="GL2536" s="4"/>
      <c r="GM2536" s="4"/>
      <c r="GN2536" s="4"/>
      <c r="GO2536" s="4"/>
      <c r="GP2536" s="4"/>
      <c r="GQ2536" s="4"/>
      <c r="GR2536" s="4"/>
      <c r="GS2536" s="4"/>
      <c r="GT2536" s="4"/>
      <c r="GU2536" s="4"/>
      <c r="GV2536" s="4"/>
      <c r="GW2536" s="4"/>
      <c r="GX2536" s="4"/>
      <c r="GY2536" s="4"/>
      <c r="GZ2536" s="4"/>
      <c r="HA2536" s="4"/>
      <c r="HB2536" s="4"/>
      <c r="HC2536" s="4"/>
      <c r="HD2536" s="4"/>
      <c r="HE2536" s="4"/>
      <c r="HF2536" s="4"/>
      <c r="HG2536" s="4"/>
      <c r="HH2536" s="4"/>
      <c r="HI2536" s="4"/>
      <c r="HJ2536" s="4"/>
      <c r="HK2536" s="4"/>
      <c r="HL2536" s="4"/>
      <c r="HM2536" s="4"/>
      <c r="HN2536" s="4"/>
      <c r="HO2536" s="4"/>
      <c r="HP2536" s="4"/>
      <c r="HQ2536" s="4"/>
      <c r="HR2536" s="4"/>
    </row>
    <row r="2537">
      <c r="A2537" s="2" t="s">
        <v>11205</v>
      </c>
      <c r="B2537" s="2" t="s">
        <v>1242</v>
      </c>
      <c r="C2537" s="2" t="s">
        <v>887</v>
      </c>
      <c r="D2537" s="2" t="s">
        <v>1862</v>
      </c>
      <c r="E2537" s="2" t="s">
        <v>3734</v>
      </c>
      <c r="F2537" s="2" t="s">
        <v>11206</v>
      </c>
      <c r="G2537" s="2" t="s">
        <v>11206</v>
      </c>
      <c r="H2537" s="2" t="s">
        <v>233</v>
      </c>
      <c r="I2537" s="2" t="s">
        <v>11207</v>
      </c>
      <c r="J2537" s="2" t="s">
        <v>348</v>
      </c>
      <c r="K2537" s="2" t="s">
        <v>11208</v>
      </c>
      <c r="L2537" s="3">
        <v>73.15</v>
      </c>
      <c r="M2537" s="3">
        <v>76.81</v>
      </c>
      <c r="N2537" s="3">
        <v>209</v>
      </c>
      <c r="O2537" s="2" t="s">
        <v>245</v>
      </c>
      <c r="P2537" s="2" t="s">
        <v>272</v>
      </c>
      <c r="Q2537" s="2" t="s">
        <v>239</v>
      </c>
      <c r="R2537" s="2" t="s">
        <v>233</v>
      </c>
      <c r="S2537" s="2" t="s">
        <v>11209</v>
      </c>
      <c r="T2537" s="2" t="s">
        <v>233</v>
      </c>
      <c r="U2537" s="2" t="s">
        <v>475</v>
      </c>
      <c r="V2537" s="2" t="s">
        <v>241</v>
      </c>
      <c r="W2537" s="2" t="s">
        <v>451</v>
      </c>
      <c r="X2537" s="2" t="s">
        <v>1303</v>
      </c>
      <c r="Y2537" s="2" t="s">
        <v>276</v>
      </c>
      <c r="Z2537" s="4">
        <v>124</v>
      </c>
      <c r="AA2537" s="4">
        <f>=ROUNDDOWN(41.3333333333333,0)</f>
      </c>
      <c r="AB2537" s="5">
        <v>3</v>
      </c>
      <c r="AC2537" s="2" t="s">
        <v>233</v>
      </c>
      <c r="AD2537" s="4"/>
      <c r="AE2537" s="4"/>
      <c r="AF2537" s="6">
        <v>67</v>
      </c>
      <c r="AG2537" s="6"/>
      <c r="AH2537" s="7">
        <v>1</v>
      </c>
      <c r="AI2537" s="4"/>
      <c r="AJ2537" s="4">
        <f>=ROUNDDOWN({0},0)</f>
      </c>
      <c r="AK2537" s="5"/>
      <c r="AL2537" s="2" t="s">
        <v>233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/>
      <c r="AW2537" s="8"/>
      <c r="AX2537" s="4"/>
      <c r="AY2537" s="8"/>
      <c r="AZ2537" s="7"/>
      <c r="BA2537" s="7"/>
      <c r="BB2537" s="7"/>
      <c r="BC2537" s="4"/>
      <c r="BD2537" s="8"/>
      <c r="BE2537" s="4"/>
      <c r="BF2537" s="8"/>
      <c r="BG2537" s="7"/>
      <c r="BH2537" s="7"/>
      <c r="BI2537" s="7"/>
      <c r="BJ2537" s="4">
        <v>5</v>
      </c>
      <c r="BK2537" s="8">
        <v>384.11</v>
      </c>
      <c r="BL2537" s="2" t="s">
        <v>11210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11211</v>
      </c>
      <c r="BV2537" s="2" t="s">
        <v>233</v>
      </c>
      <c r="BW2537" s="2" t="s">
        <v>233</v>
      </c>
      <c r="BX2537" s="2" t="s">
        <v>233</v>
      </c>
      <c r="BY2537" s="2" t="s">
        <v>280</v>
      </c>
      <c r="BZ2537" s="2" t="s">
        <v>245</v>
      </c>
      <c r="CA2537" s="2" t="s">
        <v>281</v>
      </c>
      <c r="CB2537" s="2" t="s">
        <v>11212</v>
      </c>
      <c r="CC2537" s="2" t="s">
        <v>246</v>
      </c>
      <c r="CD2537" s="2" t="s">
        <v>233</v>
      </c>
      <c r="CE2537" s="4">
        <v>124</v>
      </c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  <c r="DP2537" s="4"/>
      <c r="DQ2537" s="4"/>
      <c r="DR2537" s="4"/>
      <c r="DS2537" s="4"/>
      <c r="DT2537" s="4"/>
      <c r="DU2537" s="4"/>
      <c r="DV2537" s="4"/>
      <c r="DW2537" s="4"/>
      <c r="DX2537" s="4"/>
      <c r="DY2537" s="4"/>
      <c r="DZ2537" s="4"/>
      <c r="EA2537" s="4"/>
      <c r="EB2537" s="4"/>
      <c r="EC2537" s="4"/>
      <c r="ED2537" s="4"/>
      <c r="EE2537" s="4"/>
      <c r="EF2537" s="4"/>
      <c r="EG2537" s="4"/>
      <c r="EH2537" s="4"/>
      <c r="EI2537" s="4"/>
      <c r="EJ2537" s="4"/>
      <c r="EK2537" s="4"/>
      <c r="EL2537" s="4"/>
      <c r="EM2537" s="4"/>
      <c r="EN2537" s="4"/>
      <c r="EO2537" s="4"/>
      <c r="EP2537" s="4"/>
      <c r="EQ2537" s="4"/>
      <c r="ER2537" s="4"/>
      <c r="ES2537" s="4"/>
      <c r="ET2537" s="4"/>
      <c r="EU2537" s="4"/>
      <c r="EV2537" s="4"/>
      <c r="EW2537" s="4"/>
      <c r="EX2537" s="4"/>
      <c r="EY2537" s="4"/>
      <c r="EZ2537" s="4"/>
      <c r="FA2537" s="4"/>
      <c r="FB2537" s="4"/>
      <c r="FC2537" s="4"/>
      <c r="FD2537" s="4"/>
      <c r="FE2537" s="4"/>
      <c r="FF2537" s="4"/>
      <c r="FG2537" s="4"/>
      <c r="FH2537" s="4"/>
      <c r="FI2537" s="4"/>
      <c r="FJ2537" s="4"/>
      <c r="FK2537" s="4"/>
      <c r="FL2537" s="4"/>
      <c r="FM2537" s="4"/>
      <c r="FN2537" s="4"/>
      <c r="FO2537" s="4"/>
      <c r="FP2537" s="4"/>
      <c r="FQ2537" s="4"/>
      <c r="FR2537" s="4"/>
      <c r="FS2537" s="4"/>
      <c r="FT2537" s="4"/>
      <c r="FU2537" s="4"/>
      <c r="FV2537" s="4"/>
      <c r="FW2537" s="4"/>
      <c r="FX2537" s="4"/>
      <c r="FY2537" s="4"/>
      <c r="FZ2537" s="4"/>
      <c r="GA2537" s="4"/>
      <c r="GB2537" s="4"/>
      <c r="GC2537" s="4"/>
      <c r="GD2537" s="4"/>
      <c r="GE2537" s="4"/>
      <c r="GF2537" s="4"/>
      <c r="GG2537" s="4"/>
      <c r="GH2537" s="4"/>
      <c r="GI2537" s="4"/>
      <c r="GJ2537" s="4"/>
      <c r="GK2537" s="4"/>
      <c r="GL2537" s="4"/>
      <c r="GM2537" s="4"/>
      <c r="GN2537" s="4"/>
      <c r="GO2537" s="4"/>
      <c r="GP2537" s="4"/>
      <c r="GQ2537" s="4"/>
      <c r="GR2537" s="4"/>
      <c r="GS2537" s="4"/>
      <c r="GT2537" s="4"/>
      <c r="GU2537" s="4"/>
      <c r="GV2537" s="4"/>
      <c r="GW2537" s="4"/>
      <c r="GX2537" s="4"/>
      <c r="GY2537" s="4"/>
      <c r="GZ2537" s="4"/>
      <c r="HA2537" s="4"/>
      <c r="HB2537" s="4"/>
      <c r="HC2537" s="4"/>
      <c r="HD2537" s="4"/>
      <c r="HE2537" s="4"/>
      <c r="HF2537" s="4"/>
      <c r="HG2537" s="4"/>
      <c r="HH2537" s="4"/>
      <c r="HI2537" s="4"/>
      <c r="HJ2537" s="4"/>
      <c r="HK2537" s="4"/>
      <c r="HL2537" s="4"/>
      <c r="HM2537" s="4"/>
      <c r="HN2537" s="4"/>
      <c r="HO2537" s="4"/>
      <c r="HP2537" s="4"/>
      <c r="HQ2537" s="4"/>
      <c r="HR2537" s="4"/>
    </row>
    <row r="2538">
      <c r="A2538" s="2" t="s">
        <v>11213</v>
      </c>
      <c r="B2538" s="2" t="s">
        <v>886</v>
      </c>
      <c r="C2538" s="2" t="s">
        <v>901</v>
      </c>
      <c r="D2538" s="2" t="s">
        <v>1167</v>
      </c>
      <c r="E2538" s="2" t="s">
        <v>1168</v>
      </c>
      <c r="F2538" s="2" t="s">
        <v>11214</v>
      </c>
      <c r="G2538" s="2" t="s">
        <v>11214</v>
      </c>
      <c r="H2538" s="2" t="s">
        <v>11214</v>
      </c>
      <c r="I2538" s="2" t="s">
        <v>11215</v>
      </c>
      <c r="J2538" s="2" t="s">
        <v>892</v>
      </c>
      <c r="K2538" s="2" t="s">
        <v>645</v>
      </c>
      <c r="L2538" s="3">
        <v>55</v>
      </c>
      <c r="M2538" s="3">
        <v>57.75</v>
      </c>
      <c r="N2538" s="3">
        <v>119.99</v>
      </c>
      <c r="O2538" s="2" t="s">
        <v>245</v>
      </c>
      <c r="P2538" s="2" t="s">
        <v>311</v>
      </c>
      <c r="Q2538" s="2" t="s">
        <v>239</v>
      </c>
      <c r="R2538" s="2" t="s">
        <v>233</v>
      </c>
      <c r="S2538" s="2" t="s">
        <v>11216</v>
      </c>
      <c r="T2538" s="2" t="s">
        <v>233</v>
      </c>
      <c r="U2538" s="2" t="s">
        <v>233</v>
      </c>
      <c r="V2538" s="2" t="s">
        <v>921</v>
      </c>
      <c r="W2538" s="2" t="s">
        <v>2652</v>
      </c>
      <c r="X2538" s="2" t="s">
        <v>233</v>
      </c>
      <c r="Y2538" s="2" t="s">
        <v>276</v>
      </c>
      <c r="Z2538" s="4">
        <v>19</v>
      </c>
      <c r="AA2538" s="4">
        <f>=ROUNDDOWN(11.875,0)</f>
      </c>
      <c r="AB2538" s="5">
        <v>1.6</v>
      </c>
      <c r="AC2538" s="2" t="s">
        <v>233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233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/>
      <c r="BD2538" s="8"/>
      <c r="BE2538" s="4"/>
      <c r="BF2538" s="8"/>
      <c r="BG2538" s="7"/>
      <c r="BH2538" s="7"/>
      <c r="BI2538" s="7"/>
      <c r="BJ2538" s="4">
        <v>3</v>
      </c>
      <c r="BK2538" s="8">
        <v>192.33</v>
      </c>
      <c r="BL2538" s="2" t="s">
        <v>11217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11218</v>
      </c>
      <c r="BV2538" s="2" t="s">
        <v>233</v>
      </c>
      <c r="BW2538" s="2" t="s">
        <v>233</v>
      </c>
      <c r="BX2538" s="2" t="s">
        <v>233</v>
      </c>
      <c r="BY2538" s="2" t="s">
        <v>280</v>
      </c>
      <c r="BZ2538" s="2" t="s">
        <v>245</v>
      </c>
      <c r="CA2538" s="2" t="s">
        <v>281</v>
      </c>
      <c r="CB2538" s="2" t="s">
        <v>1639</v>
      </c>
      <c r="CC2538" s="2" t="s">
        <v>246</v>
      </c>
      <c r="CD2538" s="2" t="s">
        <v>233</v>
      </c>
      <c r="CE2538" s="4"/>
      <c r="CF2538" s="4">
        <v>19</v>
      </c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/>
      <c r="GA2538" s="4"/>
      <c r="GB2538" s="4"/>
      <c r="GC2538" s="4"/>
      <c r="GD2538" s="4"/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  <c r="GW2538" s="4"/>
      <c r="GX2538" s="4"/>
      <c r="GY2538" s="4"/>
      <c r="GZ2538" s="4"/>
      <c r="HA2538" s="4"/>
      <c r="HB2538" s="4"/>
      <c r="HC2538" s="4"/>
      <c r="HD2538" s="4"/>
      <c r="HE2538" s="4"/>
      <c r="HF2538" s="4"/>
      <c r="HG2538" s="4"/>
      <c r="HH2538" s="4"/>
      <c r="HI2538" s="4"/>
      <c r="HJ2538" s="4"/>
      <c r="HK2538" s="4"/>
      <c r="HL2538" s="4"/>
      <c r="HM2538" s="4"/>
      <c r="HN2538" s="4"/>
      <c r="HO2538" s="4"/>
      <c r="HP2538" s="4"/>
      <c r="HQ2538" s="4"/>
      <c r="HR2538" s="4"/>
    </row>
    <row r="2539">
      <c r="A2539" s="2" t="s">
        <v>11219</v>
      </c>
      <c r="B2539" s="2" t="s">
        <v>1066</v>
      </c>
      <c r="C2539" s="2" t="s">
        <v>901</v>
      </c>
      <c r="D2539" s="2" t="s">
        <v>1067</v>
      </c>
      <c r="E2539" s="2" t="s">
        <v>1068</v>
      </c>
      <c r="F2539" s="2" t="s">
        <v>11220</v>
      </c>
      <c r="G2539" s="2" t="s">
        <v>11220</v>
      </c>
      <c r="H2539" s="2" t="s">
        <v>11220</v>
      </c>
      <c r="I2539" s="2" t="s">
        <v>2650</v>
      </c>
      <c r="J2539" s="2" t="s">
        <v>892</v>
      </c>
      <c r="K2539" s="2" t="s">
        <v>255</v>
      </c>
      <c r="L2539" s="3">
        <v>172.98</v>
      </c>
      <c r="M2539" s="3">
        <v>181.63</v>
      </c>
      <c r="N2539" s="3">
        <v>369</v>
      </c>
      <c r="O2539" s="2" t="s">
        <v>245</v>
      </c>
      <c r="P2539" s="2" t="s">
        <v>272</v>
      </c>
      <c r="Q2539" s="2" t="s">
        <v>239</v>
      </c>
      <c r="R2539" s="2" t="s">
        <v>233</v>
      </c>
      <c r="S2539" s="2" t="s">
        <v>233</v>
      </c>
      <c r="T2539" s="2" t="s">
        <v>233</v>
      </c>
      <c r="U2539" s="2" t="s">
        <v>233</v>
      </c>
      <c r="V2539" s="2" t="s">
        <v>241</v>
      </c>
      <c r="W2539" s="2" t="s">
        <v>894</v>
      </c>
      <c r="X2539" s="2" t="s">
        <v>233</v>
      </c>
      <c r="Y2539" s="2" t="s">
        <v>11221</v>
      </c>
      <c r="Z2539" s="4">
        <v>117</v>
      </c>
      <c r="AA2539" s="4">
        <f>=ROUNDDOWN(40.3448275862069,0)</f>
      </c>
      <c r="AB2539" s="5">
        <v>2.9</v>
      </c>
      <c r="AC2539" s="2" t="s">
        <v>233</v>
      </c>
      <c r="AD2539" s="4"/>
      <c r="AE2539" s="4"/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233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/>
      <c r="BD2539" s="8"/>
      <c r="BE2539" s="4"/>
      <c r="BF2539" s="8"/>
      <c r="BG2539" s="7"/>
      <c r="BH2539" s="7"/>
      <c r="BI2539" s="7"/>
      <c r="BJ2539" s="4">
        <v>11</v>
      </c>
      <c r="BK2539" s="8">
        <v>1786.55</v>
      </c>
      <c r="BL2539" s="2" t="s">
        <v>1023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11222</v>
      </c>
      <c r="BV2539" s="2" t="s">
        <v>233</v>
      </c>
      <c r="BW2539" s="2" t="s">
        <v>233</v>
      </c>
      <c r="BX2539" s="2" t="s">
        <v>233</v>
      </c>
      <c r="BY2539" s="2" t="s">
        <v>280</v>
      </c>
      <c r="BZ2539" s="2" t="s">
        <v>245</v>
      </c>
      <c r="CA2539" s="2" t="s">
        <v>7190</v>
      </c>
      <c r="CB2539" s="2" t="s">
        <v>2657</v>
      </c>
      <c r="CC2539" s="2" t="s">
        <v>246</v>
      </c>
      <c r="CD2539" s="2" t="s">
        <v>233</v>
      </c>
      <c r="CE2539" s="4"/>
      <c r="CF2539" s="4">
        <v>117</v>
      </c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  <c r="DP2539" s="4"/>
      <c r="DQ2539" s="4"/>
      <c r="DR2539" s="4"/>
      <c r="DS2539" s="4"/>
      <c r="DT2539" s="4"/>
      <c r="DU2539" s="4"/>
      <c r="DV2539" s="4"/>
      <c r="DW2539" s="4"/>
      <c r="DX2539" s="4"/>
      <c r="DY2539" s="4"/>
      <c r="DZ2539" s="4"/>
      <c r="EA2539" s="4"/>
      <c r="EB2539" s="4"/>
      <c r="EC2539" s="4"/>
      <c r="ED2539" s="4"/>
      <c r="EE2539" s="4"/>
      <c r="EF2539" s="4"/>
      <c r="EG2539" s="4"/>
      <c r="EH2539" s="4"/>
      <c r="EI2539" s="4"/>
      <c r="EJ2539" s="4"/>
      <c r="EK2539" s="4"/>
      <c r="EL2539" s="4"/>
      <c r="EM2539" s="4"/>
      <c r="EN2539" s="4"/>
      <c r="EO2539" s="4"/>
      <c r="EP2539" s="4"/>
      <c r="EQ2539" s="4"/>
      <c r="ER2539" s="4"/>
      <c r="ES2539" s="4"/>
      <c r="ET2539" s="4"/>
      <c r="EU2539" s="4"/>
      <c r="EV2539" s="4"/>
      <c r="EW2539" s="4"/>
      <c r="EX2539" s="4"/>
      <c r="EY2539" s="4"/>
      <c r="EZ2539" s="4"/>
      <c r="FA2539" s="4"/>
      <c r="FB2539" s="4"/>
      <c r="FC2539" s="4"/>
      <c r="FD2539" s="4"/>
      <c r="FE2539" s="4"/>
      <c r="FF2539" s="4"/>
      <c r="FG2539" s="4"/>
      <c r="FH2539" s="4"/>
      <c r="FI2539" s="4"/>
      <c r="FJ2539" s="4"/>
      <c r="FK2539" s="4"/>
      <c r="FL2539" s="4"/>
      <c r="FM2539" s="4"/>
      <c r="FN2539" s="4"/>
      <c r="FO2539" s="4"/>
      <c r="FP2539" s="4"/>
      <c r="FQ2539" s="4"/>
      <c r="FR2539" s="4"/>
      <c r="FS2539" s="4"/>
      <c r="FT2539" s="4"/>
      <c r="FU2539" s="4"/>
      <c r="FV2539" s="4"/>
      <c r="FW2539" s="4"/>
      <c r="FX2539" s="4"/>
      <c r="FY2539" s="4"/>
      <c r="FZ2539" s="4"/>
      <c r="GA2539" s="4"/>
      <c r="GB2539" s="4"/>
      <c r="GC2539" s="4"/>
      <c r="GD2539" s="4"/>
      <c r="GE2539" s="4"/>
      <c r="GF2539" s="4"/>
      <c r="GG2539" s="4"/>
      <c r="GH2539" s="4"/>
      <c r="GI2539" s="4"/>
      <c r="GJ2539" s="4"/>
      <c r="GK2539" s="4"/>
      <c r="GL2539" s="4"/>
      <c r="GM2539" s="4"/>
      <c r="GN2539" s="4"/>
      <c r="GO2539" s="4"/>
      <c r="GP2539" s="4"/>
      <c r="GQ2539" s="4"/>
      <c r="GR2539" s="4"/>
      <c r="GS2539" s="4"/>
      <c r="GT2539" s="4"/>
      <c r="GU2539" s="4"/>
      <c r="GV2539" s="4"/>
      <c r="GW2539" s="4"/>
      <c r="GX2539" s="4"/>
      <c r="GY2539" s="4"/>
      <c r="GZ2539" s="4"/>
      <c r="HA2539" s="4"/>
      <c r="HB2539" s="4"/>
      <c r="HC2539" s="4"/>
      <c r="HD2539" s="4"/>
      <c r="HE2539" s="4"/>
      <c r="HF2539" s="4"/>
      <c r="HG2539" s="4"/>
      <c r="HH2539" s="4"/>
      <c r="HI2539" s="4"/>
      <c r="HJ2539" s="4"/>
      <c r="HK2539" s="4"/>
      <c r="HL2539" s="4"/>
      <c r="HM2539" s="4"/>
      <c r="HN2539" s="4"/>
      <c r="HO2539" s="4"/>
      <c r="HP2539" s="4"/>
      <c r="HQ2539" s="4"/>
      <c r="HR2539" s="4"/>
    </row>
    <row r="2540">
      <c r="A2540" s="2" t="s">
        <v>11223</v>
      </c>
      <c r="B2540" s="2" t="s">
        <v>1242</v>
      </c>
      <c r="C2540" s="2" t="s">
        <v>1986</v>
      </c>
      <c r="D2540" s="2" t="s">
        <v>1862</v>
      </c>
      <c r="E2540" s="2" t="s">
        <v>3734</v>
      </c>
      <c r="F2540" s="2" t="s">
        <v>11224</v>
      </c>
      <c r="G2540" s="2" t="s">
        <v>11224</v>
      </c>
      <c r="H2540" s="2" t="s">
        <v>11224</v>
      </c>
      <c r="I2540" s="2" t="s">
        <v>11225</v>
      </c>
      <c r="J2540" s="2" t="s">
        <v>348</v>
      </c>
      <c r="K2540" s="2" t="s">
        <v>1454</v>
      </c>
      <c r="L2540" s="3">
        <v>85.12</v>
      </c>
      <c r="M2540" s="3">
        <v>89.38</v>
      </c>
      <c r="N2540" s="3">
        <v>249.99</v>
      </c>
      <c r="O2540" s="2" t="s">
        <v>245</v>
      </c>
      <c r="P2540" s="2" t="s">
        <v>272</v>
      </c>
      <c r="Q2540" s="2" t="s">
        <v>239</v>
      </c>
      <c r="R2540" s="2" t="s">
        <v>233</v>
      </c>
      <c r="S2540" s="2" t="s">
        <v>233</v>
      </c>
      <c r="T2540" s="2" t="s">
        <v>233</v>
      </c>
      <c r="U2540" s="2" t="s">
        <v>475</v>
      </c>
      <c r="V2540" s="2" t="s">
        <v>241</v>
      </c>
      <c r="W2540" s="2" t="s">
        <v>776</v>
      </c>
      <c r="X2540" s="2" t="s">
        <v>233</v>
      </c>
      <c r="Y2540" s="2" t="s">
        <v>3744</v>
      </c>
      <c r="Z2540" s="4">
        <v>3</v>
      </c>
      <c r="AA2540" s="4">
        <f>=ROUNDDOWN(1.5,0)</f>
      </c>
      <c r="AB2540" s="5">
        <v>2</v>
      </c>
      <c r="AC2540" s="2" t="s">
        <v>1341</v>
      </c>
      <c r="AD2540" s="4">
        <v>130</v>
      </c>
      <c r="AE2540" s="4">
        <v>130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233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/>
      <c r="BD2540" s="8"/>
      <c r="BE2540" s="4"/>
      <c r="BF2540" s="8"/>
      <c r="BG2540" s="7"/>
      <c r="BH2540" s="7"/>
      <c r="BI2540" s="7"/>
      <c r="BJ2540" s="4">
        <v>2</v>
      </c>
      <c r="BK2540" s="8">
        <v>193.94</v>
      </c>
      <c r="BL2540" s="2" t="s">
        <v>713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11226</v>
      </c>
      <c r="BV2540" s="2" t="s">
        <v>233</v>
      </c>
      <c r="BW2540" s="2" t="s">
        <v>233</v>
      </c>
      <c r="BX2540" s="2" t="s">
        <v>233</v>
      </c>
      <c r="BY2540" s="2" t="s">
        <v>280</v>
      </c>
      <c r="BZ2540" s="2" t="s">
        <v>245</v>
      </c>
      <c r="CA2540" s="2" t="s">
        <v>5491</v>
      </c>
      <c r="CB2540" s="2" t="s">
        <v>2423</v>
      </c>
      <c r="CC2540" s="2" t="s">
        <v>246</v>
      </c>
      <c r="CD2540" s="2" t="s">
        <v>233</v>
      </c>
      <c r="CE2540" s="4">
        <v>3</v>
      </c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  <c r="EM2540" s="4"/>
      <c r="EN2540" s="4"/>
      <c r="EO2540" s="4"/>
      <c r="EP2540" s="4"/>
      <c r="EQ2540" s="4"/>
      <c r="ER2540" s="4"/>
      <c r="ES2540" s="4"/>
      <c r="ET2540" s="4"/>
      <c r="EU2540" s="4"/>
      <c r="EV2540" s="4"/>
      <c r="EW2540" s="4"/>
      <c r="EX2540" s="4"/>
      <c r="EY2540" s="4"/>
      <c r="EZ2540" s="4"/>
      <c r="FA2540" s="4"/>
      <c r="FB2540" s="4"/>
      <c r="FC2540" s="4"/>
      <c r="FD2540" s="4"/>
      <c r="FE2540" s="4"/>
      <c r="FF2540" s="4"/>
      <c r="FG2540" s="4"/>
      <c r="FH2540" s="4"/>
      <c r="FI2540" s="4"/>
      <c r="FJ2540" s="4"/>
      <c r="FK2540" s="4"/>
      <c r="FL2540" s="4"/>
      <c r="FM2540" s="4"/>
      <c r="FN2540" s="4"/>
      <c r="FO2540" s="4"/>
      <c r="FP2540" s="4"/>
      <c r="FQ2540" s="4"/>
      <c r="FR2540" s="4"/>
      <c r="FS2540" s="4"/>
      <c r="FT2540" s="4"/>
      <c r="FU2540" s="4"/>
      <c r="FV2540" s="4"/>
      <c r="FW2540" s="4"/>
      <c r="FX2540" s="4"/>
      <c r="FY2540" s="4"/>
      <c r="FZ2540" s="4">
        <v>130</v>
      </c>
      <c r="GA2540" s="4"/>
      <c r="GB2540" s="4"/>
      <c r="GC2540" s="4"/>
      <c r="GD2540" s="4"/>
      <c r="GE2540" s="4"/>
      <c r="GF2540" s="4"/>
      <c r="GG2540" s="4"/>
      <c r="GH2540" s="4"/>
      <c r="GI2540" s="4"/>
      <c r="GJ2540" s="4"/>
      <c r="GK2540" s="4"/>
      <c r="GL2540" s="4"/>
      <c r="GM2540" s="4"/>
      <c r="GN2540" s="4"/>
      <c r="GO2540" s="4"/>
      <c r="GP2540" s="4"/>
      <c r="GQ2540" s="4"/>
      <c r="GR2540" s="4"/>
      <c r="GS2540" s="4"/>
      <c r="GT2540" s="4"/>
      <c r="GU2540" s="4"/>
      <c r="GV2540" s="4"/>
      <c r="GW2540" s="4"/>
      <c r="GX2540" s="4"/>
      <c r="GY2540" s="4"/>
      <c r="GZ2540" s="4"/>
      <c r="HA2540" s="4"/>
      <c r="HB2540" s="4"/>
      <c r="HC2540" s="4"/>
      <c r="HD2540" s="4"/>
      <c r="HE2540" s="4"/>
      <c r="HF2540" s="4"/>
      <c r="HG2540" s="4"/>
      <c r="HH2540" s="4"/>
      <c r="HI2540" s="4"/>
      <c r="HJ2540" s="4"/>
      <c r="HK2540" s="4"/>
      <c r="HL2540" s="4"/>
      <c r="HM2540" s="4"/>
      <c r="HN2540" s="4"/>
      <c r="HO2540" s="4"/>
      <c r="HP2540" s="4"/>
      <c r="HQ2540" s="4"/>
      <c r="HR2540" s="4"/>
    </row>
    <row r="2541">
      <c r="A2541" s="2" t="s">
        <v>11227</v>
      </c>
      <c r="B2541" s="2" t="s">
        <v>1174</v>
      </c>
      <c r="C2541" s="2" t="s">
        <v>1986</v>
      </c>
      <c r="D2541" s="2" t="s">
        <v>1175</v>
      </c>
      <c r="E2541" s="2" t="s">
        <v>1448</v>
      </c>
      <c r="F2541" s="2" t="s">
        <v>11228</v>
      </c>
      <c r="G2541" s="2" t="s">
        <v>11228</v>
      </c>
      <c r="H2541" s="2" t="s">
        <v>11228</v>
      </c>
      <c r="I2541" s="2" t="s">
        <v>11229</v>
      </c>
      <c r="J2541" s="2" t="s">
        <v>2094</v>
      </c>
      <c r="K2541" s="2" t="s">
        <v>9756</v>
      </c>
      <c r="L2541" s="3">
        <v>20.43</v>
      </c>
      <c r="M2541" s="3">
        <v>21.45</v>
      </c>
      <c r="N2541" s="3">
        <v>59.99</v>
      </c>
      <c r="O2541" s="2" t="s">
        <v>245</v>
      </c>
      <c r="P2541" s="2" t="s">
        <v>311</v>
      </c>
      <c r="Q2541" s="2" t="s">
        <v>239</v>
      </c>
      <c r="R2541" s="2" t="s">
        <v>233</v>
      </c>
      <c r="S2541" s="2" t="s">
        <v>233</v>
      </c>
      <c r="T2541" s="2" t="s">
        <v>233</v>
      </c>
      <c r="U2541" s="2" t="s">
        <v>396</v>
      </c>
      <c r="V2541" s="2" t="s">
        <v>1483</v>
      </c>
      <c r="W2541" s="2" t="s">
        <v>705</v>
      </c>
      <c r="X2541" s="2" t="s">
        <v>233</v>
      </c>
      <c r="Y2541" s="2" t="s">
        <v>1610</v>
      </c>
      <c r="Z2541" s="4">
        <v>35</v>
      </c>
      <c r="AA2541" s="4">
        <f>=ROUNDDOWN({0},0)</f>
      </c>
      <c r="AB2541" s="5"/>
      <c r="AC2541" s="2" t="s">
        <v>233</v>
      </c>
      <c r="AD2541" s="4"/>
      <c r="AE2541" s="4"/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233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/>
      <c r="BD2541" s="8"/>
      <c r="BE2541" s="4"/>
      <c r="BF2541" s="8"/>
      <c r="BG2541" s="7"/>
      <c r="BH2541" s="7"/>
      <c r="BI2541" s="7"/>
      <c r="BJ2541" s="4"/>
      <c r="BK2541" s="8"/>
      <c r="BL2541" s="2" t="s">
        <v>233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11230</v>
      </c>
      <c r="BV2541" s="2" t="s">
        <v>233</v>
      </c>
      <c r="BW2541" s="2" t="s">
        <v>233</v>
      </c>
      <c r="BX2541" s="2" t="s">
        <v>233</v>
      </c>
      <c r="BY2541" s="2" t="s">
        <v>280</v>
      </c>
      <c r="BZ2541" s="2" t="s">
        <v>245</v>
      </c>
      <c r="CA2541" s="2" t="s">
        <v>2092</v>
      </c>
      <c r="CB2541" s="2" t="s">
        <v>3034</v>
      </c>
      <c r="CC2541" s="2" t="s">
        <v>246</v>
      </c>
      <c r="CD2541" s="2" t="s">
        <v>233</v>
      </c>
      <c r="CE2541" s="4">
        <v>35</v>
      </c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  <c r="DP2541" s="4"/>
      <c r="DQ2541" s="4"/>
      <c r="DR2541" s="4"/>
      <c r="DS2541" s="4"/>
      <c r="DT2541" s="4"/>
      <c r="DU2541" s="4"/>
      <c r="DV2541" s="4"/>
      <c r="DW2541" s="4"/>
      <c r="DX2541" s="4"/>
      <c r="DY2541" s="4"/>
      <c r="DZ2541" s="4"/>
      <c r="EA2541" s="4"/>
      <c r="EB2541" s="4"/>
      <c r="EC2541" s="4"/>
      <c r="ED2541" s="4"/>
      <c r="EE2541" s="4"/>
      <c r="EF2541" s="4"/>
      <c r="EG2541" s="4"/>
      <c r="EH2541" s="4"/>
      <c r="EI2541" s="4"/>
      <c r="EJ2541" s="4"/>
      <c r="EK2541" s="4"/>
      <c r="EL2541" s="4"/>
      <c r="EM2541" s="4"/>
      <c r="EN2541" s="4"/>
      <c r="EO2541" s="4"/>
      <c r="EP2541" s="4"/>
      <c r="EQ2541" s="4"/>
      <c r="ER2541" s="4"/>
      <c r="ES2541" s="4"/>
      <c r="ET2541" s="4"/>
      <c r="EU2541" s="4"/>
      <c r="EV2541" s="4"/>
      <c r="EW2541" s="4"/>
      <c r="EX2541" s="4"/>
      <c r="EY2541" s="4"/>
      <c r="EZ2541" s="4"/>
      <c r="FA2541" s="4"/>
      <c r="FB2541" s="4"/>
      <c r="FC2541" s="4"/>
      <c r="FD2541" s="4"/>
      <c r="FE2541" s="4"/>
      <c r="FF2541" s="4"/>
      <c r="FG2541" s="4"/>
      <c r="FH2541" s="4"/>
      <c r="FI2541" s="4"/>
      <c r="FJ2541" s="4"/>
      <c r="FK2541" s="4"/>
      <c r="FL2541" s="4"/>
      <c r="FM2541" s="4"/>
      <c r="FN2541" s="4"/>
      <c r="FO2541" s="4"/>
      <c r="FP2541" s="4"/>
      <c r="FQ2541" s="4"/>
      <c r="FR2541" s="4"/>
      <c r="FS2541" s="4"/>
      <c r="FT2541" s="4"/>
      <c r="FU2541" s="4"/>
      <c r="FV2541" s="4"/>
      <c r="FW2541" s="4"/>
      <c r="FX2541" s="4"/>
      <c r="FY2541" s="4"/>
      <c r="FZ2541" s="4"/>
      <c r="GA2541" s="4"/>
      <c r="GB2541" s="4"/>
      <c r="GC2541" s="4"/>
      <c r="GD2541" s="4"/>
      <c r="GE2541" s="4"/>
      <c r="GF2541" s="4"/>
      <c r="GG2541" s="4"/>
      <c r="GH2541" s="4"/>
      <c r="GI2541" s="4"/>
      <c r="GJ2541" s="4"/>
      <c r="GK2541" s="4"/>
      <c r="GL2541" s="4"/>
      <c r="GM2541" s="4"/>
      <c r="GN2541" s="4"/>
      <c r="GO2541" s="4"/>
      <c r="GP2541" s="4"/>
      <c r="GQ2541" s="4"/>
      <c r="GR2541" s="4"/>
      <c r="GS2541" s="4"/>
      <c r="GT2541" s="4"/>
      <c r="GU2541" s="4"/>
      <c r="GV2541" s="4"/>
      <c r="GW2541" s="4"/>
      <c r="GX2541" s="4"/>
      <c r="GY2541" s="4"/>
      <c r="GZ2541" s="4"/>
      <c r="HA2541" s="4"/>
      <c r="HB2541" s="4"/>
      <c r="HC2541" s="4"/>
      <c r="HD2541" s="4"/>
      <c r="HE2541" s="4"/>
      <c r="HF2541" s="4"/>
      <c r="HG2541" s="4"/>
      <c r="HH2541" s="4"/>
      <c r="HI2541" s="4"/>
      <c r="HJ2541" s="4"/>
      <c r="HK2541" s="4"/>
      <c r="HL2541" s="4"/>
      <c r="HM2541" s="4"/>
      <c r="HN2541" s="4"/>
      <c r="HO2541" s="4"/>
      <c r="HP2541" s="4"/>
      <c r="HQ2541" s="4"/>
      <c r="HR2541" s="4"/>
    </row>
    <row r="2542">
      <c r="A2542" s="2" t="s">
        <v>11231</v>
      </c>
      <c r="B2542" s="2" t="s">
        <v>1174</v>
      </c>
      <c r="C2542" s="2" t="s">
        <v>1447</v>
      </c>
      <c r="D2542" s="2" t="s">
        <v>1175</v>
      </c>
      <c r="E2542" s="2" t="s">
        <v>1448</v>
      </c>
      <c r="F2542" s="2" t="s">
        <v>11232</v>
      </c>
      <c r="G2542" s="2" t="s">
        <v>2366</v>
      </c>
      <c r="H2542" s="2" t="s">
        <v>11233</v>
      </c>
      <c r="I2542" s="2" t="s">
        <v>11234</v>
      </c>
      <c r="J2542" s="2" t="s">
        <v>1453</v>
      </c>
      <c r="K2542" s="2" t="s">
        <v>255</v>
      </c>
      <c r="L2542" s="3">
        <v>24.75</v>
      </c>
      <c r="M2542" s="3">
        <v>25.99</v>
      </c>
      <c r="N2542" s="3">
        <v>54.99</v>
      </c>
      <c r="O2542" s="2" t="s">
        <v>245</v>
      </c>
      <c r="P2542" s="2" t="s">
        <v>311</v>
      </c>
      <c r="Q2542" s="2" t="s">
        <v>239</v>
      </c>
      <c r="R2542" s="2" t="s">
        <v>233</v>
      </c>
      <c r="S2542" s="2" t="s">
        <v>11235</v>
      </c>
      <c r="T2542" s="2" t="s">
        <v>233</v>
      </c>
      <c r="U2542" s="2" t="s">
        <v>396</v>
      </c>
      <c r="V2542" s="2" t="s">
        <v>1658</v>
      </c>
      <c r="W2542" s="2" t="s">
        <v>233</v>
      </c>
      <c r="X2542" s="2" t="s">
        <v>1457</v>
      </c>
      <c r="Y2542" s="2" t="s">
        <v>4066</v>
      </c>
      <c r="Z2542" s="4">
        <v>66</v>
      </c>
      <c r="AA2542" s="4">
        <f>=ROUNDDOWN(9.42857142857143,0)</f>
      </c>
      <c r="AB2542" s="5">
        <v>7</v>
      </c>
      <c r="AC2542" s="2" t="s">
        <v>233</v>
      </c>
      <c r="AD2542" s="4"/>
      <c r="AE2542" s="4"/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233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/>
      <c r="BD2542" s="8"/>
      <c r="BE2542" s="4"/>
      <c r="BF2542" s="8"/>
      <c r="BG2542" s="7"/>
      <c r="BH2542" s="7"/>
      <c r="BI2542" s="7"/>
      <c r="BJ2542" s="4">
        <v>17</v>
      </c>
      <c r="BK2542" s="8">
        <v>484.46</v>
      </c>
      <c r="BL2542" s="2" t="s">
        <v>11236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11237</v>
      </c>
      <c r="BV2542" s="2" t="s">
        <v>233</v>
      </c>
      <c r="BW2542" s="2" t="s">
        <v>233</v>
      </c>
      <c r="BX2542" s="2" t="s">
        <v>233</v>
      </c>
      <c r="BY2542" s="2" t="s">
        <v>280</v>
      </c>
      <c r="BZ2542" s="2" t="s">
        <v>245</v>
      </c>
      <c r="CA2542" s="2" t="s">
        <v>7356</v>
      </c>
      <c r="CB2542" s="2" t="s">
        <v>1374</v>
      </c>
      <c r="CC2542" s="2" t="s">
        <v>246</v>
      </c>
      <c r="CD2542" s="2" t="s">
        <v>233</v>
      </c>
      <c r="CE2542" s="4">
        <v>66</v>
      </c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  <c r="DP2542" s="4"/>
      <c r="DQ2542" s="4"/>
      <c r="DR2542" s="4"/>
      <c r="DS2542" s="4"/>
      <c r="DT2542" s="4"/>
      <c r="DU2542" s="4"/>
      <c r="DV2542" s="4"/>
      <c r="DW2542" s="4"/>
      <c r="DX2542" s="4"/>
      <c r="DY2542" s="4"/>
      <c r="DZ2542" s="4"/>
      <c r="EA2542" s="4"/>
      <c r="EB2542" s="4"/>
      <c r="EC2542" s="4"/>
      <c r="ED2542" s="4"/>
      <c r="EE2542" s="4"/>
      <c r="EF2542" s="4"/>
      <c r="EG2542" s="4"/>
      <c r="EH2542" s="4"/>
      <c r="EI2542" s="4"/>
      <c r="EJ2542" s="4"/>
      <c r="EK2542" s="4"/>
      <c r="EL2542" s="4"/>
      <c r="EM2542" s="4"/>
      <c r="EN2542" s="4"/>
      <c r="EO2542" s="4"/>
      <c r="EP2542" s="4"/>
      <c r="EQ2542" s="4"/>
      <c r="ER2542" s="4"/>
      <c r="ES2542" s="4"/>
      <c r="ET2542" s="4"/>
      <c r="EU2542" s="4"/>
      <c r="EV2542" s="4"/>
      <c r="EW2542" s="4"/>
      <c r="EX2542" s="4"/>
      <c r="EY2542" s="4"/>
      <c r="EZ2542" s="4"/>
      <c r="FA2542" s="4"/>
      <c r="FB2542" s="4"/>
      <c r="FC2542" s="4"/>
      <c r="FD2542" s="4"/>
      <c r="FE2542" s="4"/>
      <c r="FF2542" s="4"/>
      <c r="FG2542" s="4"/>
      <c r="FH2542" s="4"/>
      <c r="FI2542" s="4"/>
      <c r="FJ2542" s="4"/>
      <c r="FK2542" s="4"/>
      <c r="FL2542" s="4"/>
      <c r="FM2542" s="4"/>
      <c r="FN2542" s="4"/>
      <c r="FO2542" s="4"/>
      <c r="FP2542" s="4"/>
      <c r="FQ2542" s="4"/>
      <c r="FR2542" s="4"/>
      <c r="FS2542" s="4"/>
      <c r="FT2542" s="4"/>
      <c r="FU2542" s="4"/>
      <c r="FV2542" s="4"/>
      <c r="FW2542" s="4"/>
      <c r="FX2542" s="4"/>
      <c r="FY2542" s="4"/>
      <c r="FZ2542" s="4"/>
      <c r="GA2542" s="4"/>
      <c r="GB2542" s="4"/>
      <c r="GC2542" s="4"/>
      <c r="GD2542" s="4"/>
      <c r="GE2542" s="4"/>
      <c r="GF2542" s="4"/>
      <c r="GG2542" s="4"/>
      <c r="GH2542" s="4"/>
      <c r="GI2542" s="4"/>
      <c r="GJ2542" s="4"/>
      <c r="GK2542" s="4"/>
      <c r="GL2542" s="4"/>
      <c r="GM2542" s="4"/>
      <c r="GN2542" s="4"/>
      <c r="GO2542" s="4"/>
      <c r="GP2542" s="4"/>
      <c r="GQ2542" s="4"/>
      <c r="GR2542" s="4"/>
      <c r="GS2542" s="4"/>
      <c r="GT2542" s="4"/>
      <c r="GU2542" s="4"/>
      <c r="GV2542" s="4"/>
      <c r="GW2542" s="4"/>
      <c r="GX2542" s="4"/>
      <c r="GY2542" s="4"/>
      <c r="GZ2542" s="4"/>
      <c r="HA2542" s="4"/>
      <c r="HB2542" s="4"/>
      <c r="HC2542" s="4"/>
      <c r="HD2542" s="4"/>
      <c r="HE2542" s="4"/>
      <c r="HF2542" s="4"/>
      <c r="HG2542" s="4"/>
      <c r="HH2542" s="4"/>
      <c r="HI2542" s="4"/>
      <c r="HJ2542" s="4"/>
      <c r="HK2542" s="4"/>
      <c r="HL2542" s="4"/>
      <c r="HM2542" s="4"/>
      <c r="HN2542" s="4"/>
      <c r="HO2542" s="4"/>
      <c r="HP2542" s="4"/>
      <c r="HQ2542" s="4"/>
      <c r="HR2542" s="4"/>
    </row>
    <row r="2543">
      <c r="A2543" s="2" t="s">
        <v>11238</v>
      </c>
      <c r="B2543" s="2" t="s">
        <v>1242</v>
      </c>
      <c r="C2543" s="2" t="s">
        <v>3135</v>
      </c>
      <c r="D2543" s="2" t="s">
        <v>912</v>
      </c>
      <c r="E2543" s="2" t="s">
        <v>913</v>
      </c>
      <c r="F2543" s="2" t="s">
        <v>11239</v>
      </c>
      <c r="G2543" s="2" t="s">
        <v>11239</v>
      </c>
      <c r="H2543" s="2" t="s">
        <v>11239</v>
      </c>
      <c r="I2543" s="2" t="s">
        <v>11240</v>
      </c>
      <c r="J2543" s="2" t="s">
        <v>981</v>
      </c>
      <c r="K2543" s="2" t="s">
        <v>1201</v>
      </c>
      <c r="L2543" s="3">
        <v>102.14</v>
      </c>
      <c r="M2543" s="3">
        <v>107.25</v>
      </c>
      <c r="N2543" s="3">
        <v>299.99</v>
      </c>
      <c r="O2543" s="2" t="s">
        <v>245</v>
      </c>
      <c r="P2543" s="2" t="s">
        <v>311</v>
      </c>
      <c r="Q2543" s="2" t="s">
        <v>239</v>
      </c>
      <c r="R2543" s="2" t="s">
        <v>233</v>
      </c>
      <c r="S2543" s="2" t="s">
        <v>233</v>
      </c>
      <c r="T2543" s="2" t="s">
        <v>4995</v>
      </c>
      <c r="U2543" s="2" t="s">
        <v>233</v>
      </c>
      <c r="V2543" s="2" t="s">
        <v>241</v>
      </c>
      <c r="W2543" s="2" t="s">
        <v>397</v>
      </c>
      <c r="X2543" s="2" t="s">
        <v>233</v>
      </c>
      <c r="Y2543" s="2" t="s">
        <v>3037</v>
      </c>
      <c r="Z2543" s="4">
        <v>43</v>
      </c>
      <c r="AA2543" s="4">
        <f>=ROUNDDOWN(43,0)</f>
      </c>
      <c r="AB2543" s="5">
        <v>1</v>
      </c>
      <c r="AC2543" s="2" t="s">
        <v>233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233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233</v>
      </c>
      <c r="AW2543" s="8" t="s">
        <v>233</v>
      </c>
      <c r="AX2543" s="4" t="s">
        <v>233</v>
      </c>
      <c r="AY2543" s="8" t="s">
        <v>233</v>
      </c>
      <c r="AZ2543" s="7" t="s">
        <v>233</v>
      </c>
      <c r="BA2543" s="7" t="s">
        <v>233</v>
      </c>
      <c r="BB2543" s="7"/>
      <c r="BC2543" s="4" t="s">
        <v>233</v>
      </c>
      <c r="BD2543" s="8" t="s">
        <v>233</v>
      </c>
      <c r="BE2543" s="4" t="s">
        <v>233</v>
      </c>
      <c r="BF2543" s="8" t="s">
        <v>233</v>
      </c>
      <c r="BG2543" s="7" t="s">
        <v>233</v>
      </c>
      <c r="BH2543" s="7" t="s">
        <v>233</v>
      </c>
      <c r="BI2543" s="7"/>
      <c r="BJ2543" s="4">
        <v>6</v>
      </c>
      <c r="BK2543" s="8">
        <v>727.96</v>
      </c>
      <c r="BL2543" s="2" t="s">
        <v>2246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11241</v>
      </c>
      <c r="BV2543" s="2" t="s">
        <v>233</v>
      </c>
      <c r="BW2543" s="2" t="s">
        <v>233</v>
      </c>
      <c r="BX2543" s="2" t="s">
        <v>233</v>
      </c>
      <c r="BY2543" s="2" t="s">
        <v>280</v>
      </c>
      <c r="BZ2543" s="2" t="s">
        <v>245</v>
      </c>
      <c r="CA2543" s="2" t="s">
        <v>1613</v>
      </c>
      <c r="CB2543" s="2" t="s">
        <v>747</v>
      </c>
      <c r="CC2543" s="2" t="s">
        <v>246</v>
      </c>
      <c r="CD2543" s="2" t="s">
        <v>233</v>
      </c>
      <c r="CE2543" s="4">
        <v>43</v>
      </c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  <c r="DP2543" s="4"/>
      <c r="DQ2543" s="4"/>
      <c r="DR2543" s="4"/>
      <c r="DS2543" s="4"/>
      <c r="DT2543" s="4"/>
      <c r="DU2543" s="4"/>
      <c r="DV2543" s="4"/>
      <c r="DW2543" s="4"/>
      <c r="DX2543" s="4"/>
      <c r="DY2543" s="4"/>
      <c r="DZ2543" s="4"/>
      <c r="EA2543" s="4"/>
      <c r="EB2543" s="4"/>
      <c r="EC2543" s="4"/>
      <c r="ED2543" s="4"/>
      <c r="EE2543" s="4"/>
      <c r="EF2543" s="4"/>
      <c r="EG2543" s="4"/>
      <c r="EH2543" s="4"/>
      <c r="EI2543" s="4"/>
      <c r="EJ2543" s="4"/>
      <c r="EK2543" s="4"/>
      <c r="EL2543" s="4"/>
      <c r="EM2543" s="4"/>
      <c r="EN2543" s="4"/>
      <c r="EO2543" s="4"/>
      <c r="EP2543" s="4"/>
      <c r="EQ2543" s="4"/>
      <c r="ER2543" s="4"/>
      <c r="ES2543" s="4"/>
      <c r="ET2543" s="4"/>
      <c r="EU2543" s="4"/>
      <c r="EV2543" s="4"/>
      <c r="EW2543" s="4"/>
      <c r="EX2543" s="4"/>
      <c r="EY2543" s="4"/>
      <c r="EZ2543" s="4"/>
      <c r="FA2543" s="4"/>
      <c r="FB2543" s="4"/>
      <c r="FC2543" s="4"/>
      <c r="FD2543" s="4"/>
      <c r="FE2543" s="4"/>
      <c r="FF2543" s="4"/>
      <c r="FG2543" s="4"/>
      <c r="FH2543" s="4"/>
      <c r="FI2543" s="4"/>
      <c r="FJ2543" s="4"/>
      <c r="FK2543" s="4"/>
      <c r="FL2543" s="4"/>
      <c r="FM2543" s="4"/>
      <c r="FN2543" s="4"/>
      <c r="FO2543" s="4"/>
      <c r="FP2543" s="4"/>
      <c r="FQ2543" s="4"/>
      <c r="FR2543" s="4"/>
      <c r="FS2543" s="4"/>
      <c r="FT2543" s="4"/>
      <c r="FU2543" s="4"/>
      <c r="FV2543" s="4"/>
      <c r="FW2543" s="4"/>
      <c r="FX2543" s="4"/>
      <c r="FY2543" s="4"/>
      <c r="FZ2543" s="4"/>
      <c r="GA2543" s="4"/>
      <c r="GB2543" s="4"/>
      <c r="GC2543" s="4"/>
      <c r="GD2543" s="4"/>
      <c r="GE2543" s="4"/>
      <c r="GF2543" s="4"/>
      <c r="GG2543" s="4"/>
      <c r="GH2543" s="4"/>
      <c r="GI2543" s="4"/>
      <c r="GJ2543" s="4"/>
      <c r="GK2543" s="4"/>
      <c r="GL2543" s="4"/>
      <c r="GM2543" s="4"/>
      <c r="GN2543" s="4"/>
      <c r="GO2543" s="4"/>
      <c r="GP2543" s="4"/>
      <c r="GQ2543" s="4"/>
      <c r="GR2543" s="4"/>
      <c r="GS2543" s="4"/>
      <c r="GT2543" s="4"/>
      <c r="GU2543" s="4"/>
      <c r="GV2543" s="4"/>
      <c r="GW2543" s="4"/>
      <c r="GX2543" s="4"/>
      <c r="GY2543" s="4"/>
      <c r="GZ2543" s="4"/>
      <c r="HA2543" s="4"/>
      <c r="HB2543" s="4"/>
      <c r="HC2543" s="4"/>
      <c r="HD2543" s="4"/>
      <c r="HE2543" s="4"/>
      <c r="HF2543" s="4"/>
      <c r="HG2543" s="4"/>
      <c r="HH2543" s="4"/>
      <c r="HI2543" s="4"/>
      <c r="HJ2543" s="4"/>
      <c r="HK2543" s="4"/>
      <c r="HL2543" s="4"/>
      <c r="HM2543" s="4"/>
      <c r="HN2543" s="4"/>
      <c r="HO2543" s="4"/>
      <c r="HP2543" s="4"/>
      <c r="HQ2543" s="4"/>
      <c r="HR2543" s="4"/>
    </row>
    <row r="2544">
      <c r="A2544" s="2" t="s">
        <v>11242</v>
      </c>
      <c r="B2544" s="2" t="s">
        <v>1242</v>
      </c>
      <c r="C2544" s="2" t="s">
        <v>3135</v>
      </c>
      <c r="D2544" s="2" t="s">
        <v>912</v>
      </c>
      <c r="E2544" s="2" t="s">
        <v>913</v>
      </c>
      <c r="F2544" s="2" t="s">
        <v>11239</v>
      </c>
      <c r="G2544" s="2" t="s">
        <v>11239</v>
      </c>
      <c r="H2544" s="2" t="s">
        <v>11239</v>
      </c>
      <c r="I2544" s="2" t="s">
        <v>11240</v>
      </c>
      <c r="J2544" s="2" t="s">
        <v>1142</v>
      </c>
      <c r="K2544" s="2" t="s">
        <v>1201</v>
      </c>
      <c r="L2544" s="3">
        <v>136.19</v>
      </c>
      <c r="M2544" s="3">
        <v>143</v>
      </c>
      <c r="N2544" s="3">
        <v>399.99</v>
      </c>
      <c r="O2544" s="2" t="s">
        <v>245</v>
      </c>
      <c r="P2544" s="2" t="s">
        <v>311</v>
      </c>
      <c r="Q2544" s="2" t="s">
        <v>239</v>
      </c>
      <c r="R2544" s="2" t="s">
        <v>233</v>
      </c>
      <c r="S2544" s="2" t="s">
        <v>233</v>
      </c>
      <c r="T2544" s="2" t="s">
        <v>4995</v>
      </c>
      <c r="U2544" s="2" t="s">
        <v>233</v>
      </c>
      <c r="V2544" s="2" t="s">
        <v>241</v>
      </c>
      <c r="W2544" s="2" t="s">
        <v>397</v>
      </c>
      <c r="X2544" s="2" t="s">
        <v>233</v>
      </c>
      <c r="Y2544" s="2" t="s">
        <v>3037</v>
      </c>
      <c r="Z2544" s="4">
        <v>68</v>
      </c>
      <c r="AA2544" s="4">
        <f>=ROUNDDOWN(34,0)</f>
      </c>
      <c r="AB2544" s="5">
        <v>2</v>
      </c>
      <c r="AC2544" s="2" t="s">
        <v>233</v>
      </c>
      <c r="AD2544" s="4"/>
      <c r="AE2544" s="4"/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233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233</v>
      </c>
      <c r="AW2544" s="8" t="s">
        <v>233</v>
      </c>
      <c r="AX2544" s="4" t="s">
        <v>233</v>
      </c>
      <c r="AY2544" s="8" t="s">
        <v>233</v>
      </c>
      <c r="AZ2544" s="7" t="s">
        <v>233</v>
      </c>
      <c r="BA2544" s="7" t="s">
        <v>233</v>
      </c>
      <c r="BB2544" s="7"/>
      <c r="BC2544" s="4" t="s">
        <v>233</v>
      </c>
      <c r="BD2544" s="8" t="s">
        <v>233</v>
      </c>
      <c r="BE2544" s="4" t="s">
        <v>233</v>
      </c>
      <c r="BF2544" s="8" t="s">
        <v>233</v>
      </c>
      <c r="BG2544" s="7" t="s">
        <v>233</v>
      </c>
      <c r="BH2544" s="7" t="s">
        <v>233</v>
      </c>
      <c r="BI2544" s="7"/>
      <c r="BJ2544" s="4">
        <v>1</v>
      </c>
      <c r="BK2544" s="8">
        <v>164.99</v>
      </c>
      <c r="BL2544" s="2" t="s">
        <v>744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11243</v>
      </c>
      <c r="BV2544" s="2" t="s">
        <v>233</v>
      </c>
      <c r="BW2544" s="2" t="s">
        <v>233</v>
      </c>
      <c r="BX2544" s="2" t="s">
        <v>233</v>
      </c>
      <c r="BY2544" s="2" t="s">
        <v>280</v>
      </c>
      <c r="BZ2544" s="2" t="s">
        <v>245</v>
      </c>
      <c r="CA2544" s="2" t="s">
        <v>1613</v>
      </c>
      <c r="CB2544" s="2" t="s">
        <v>3288</v>
      </c>
      <c r="CC2544" s="2" t="s">
        <v>246</v>
      </c>
      <c r="CD2544" s="2" t="s">
        <v>233</v>
      </c>
      <c r="CE2544" s="4">
        <v>68</v>
      </c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/>
      <c r="GE2544" s="4"/>
      <c r="GF2544" s="4"/>
      <c r="GG2544" s="4"/>
      <c r="GH2544" s="4"/>
      <c r="GI2544" s="4"/>
      <c r="GJ2544" s="4"/>
      <c r="GK2544" s="4"/>
      <c r="GL2544" s="4"/>
      <c r="GM2544" s="4"/>
      <c r="GN2544" s="4"/>
      <c r="GO2544" s="4"/>
      <c r="GP2544" s="4"/>
      <c r="GQ2544" s="4"/>
      <c r="GR2544" s="4"/>
      <c r="GS2544" s="4"/>
      <c r="GT2544" s="4"/>
      <c r="GU2544" s="4"/>
      <c r="GV2544" s="4"/>
      <c r="GW2544" s="4"/>
      <c r="GX2544" s="4"/>
      <c r="GY2544" s="4"/>
      <c r="GZ2544" s="4"/>
      <c r="HA2544" s="4"/>
      <c r="HB2544" s="4"/>
      <c r="HC2544" s="4"/>
      <c r="HD2544" s="4"/>
      <c r="HE2544" s="4"/>
      <c r="HF2544" s="4"/>
      <c r="HG2544" s="4"/>
      <c r="HH2544" s="4"/>
      <c r="HI2544" s="4"/>
      <c r="HJ2544" s="4"/>
      <c r="HK2544" s="4"/>
      <c r="HL2544" s="4"/>
      <c r="HM2544" s="4"/>
      <c r="HN2544" s="4"/>
      <c r="HO2544" s="4"/>
      <c r="HP2544" s="4"/>
      <c r="HQ2544" s="4"/>
      <c r="HR2544" s="4"/>
    </row>
    <row r="2545">
      <c r="A2545" s="2" t="s">
        <v>11244</v>
      </c>
      <c r="B2545" s="2" t="s">
        <v>928</v>
      </c>
      <c r="C2545" s="2" t="s">
        <v>911</v>
      </c>
      <c r="D2545" s="2" t="s">
        <v>6647</v>
      </c>
      <c r="E2545" s="2" t="s">
        <v>6648</v>
      </c>
      <c r="F2545" s="2" t="s">
        <v>11245</v>
      </c>
      <c r="G2545" s="2" t="s">
        <v>233</v>
      </c>
      <c r="H2545" s="2" t="s">
        <v>233</v>
      </c>
      <c r="I2545" s="2" t="s">
        <v>11246</v>
      </c>
      <c r="J2545" s="2" t="s">
        <v>892</v>
      </c>
      <c r="K2545" s="2" t="s">
        <v>645</v>
      </c>
      <c r="L2545" s="3">
        <v>20.77</v>
      </c>
      <c r="M2545" s="3">
        <v>21.81</v>
      </c>
      <c r="N2545" s="3">
        <v>47.49</v>
      </c>
      <c r="O2545" s="2" t="s">
        <v>245</v>
      </c>
      <c r="P2545" s="2" t="s">
        <v>311</v>
      </c>
      <c r="Q2545" s="2" t="s">
        <v>239</v>
      </c>
      <c r="R2545" s="2" t="s">
        <v>233</v>
      </c>
      <c r="S2545" s="2" t="s">
        <v>11247</v>
      </c>
      <c r="T2545" s="2" t="s">
        <v>233</v>
      </c>
      <c r="U2545" s="2" t="s">
        <v>475</v>
      </c>
      <c r="V2545" s="2" t="s">
        <v>3951</v>
      </c>
      <c r="W2545" s="2" t="s">
        <v>275</v>
      </c>
      <c r="X2545" s="2" t="s">
        <v>233</v>
      </c>
      <c r="Y2545" s="2" t="s">
        <v>8376</v>
      </c>
      <c r="Z2545" s="4">
        <v>103</v>
      </c>
      <c r="AA2545" s="4">
        <f>=ROUNDDOWN(34.3333333333333,0)</f>
      </c>
      <c r="AB2545" s="5">
        <v>3</v>
      </c>
      <c r="AC2545" s="2" t="s">
        <v>233</v>
      </c>
      <c r="AD2545" s="4"/>
      <c r="AE2545" s="4"/>
      <c r="AF2545" s="6">
        <v>63</v>
      </c>
      <c r="AG2545" s="6"/>
      <c r="AH2545" s="7">
        <v>1</v>
      </c>
      <c r="AI2545" s="4"/>
      <c r="AJ2545" s="4">
        <f>=ROUNDDOWN({0},0)</f>
      </c>
      <c r="AK2545" s="5"/>
      <c r="AL2545" s="2" t="s">
        <v>233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/>
      <c r="AW2545" s="8"/>
      <c r="AX2545" s="4"/>
      <c r="AY2545" s="8"/>
      <c r="AZ2545" s="7"/>
      <c r="BA2545" s="7"/>
      <c r="BB2545" s="7"/>
      <c r="BC2545" s="4"/>
      <c r="BD2545" s="8"/>
      <c r="BE2545" s="4"/>
      <c r="BF2545" s="8"/>
      <c r="BG2545" s="7"/>
      <c r="BH2545" s="7"/>
      <c r="BI2545" s="7"/>
      <c r="BJ2545" s="4">
        <v>9</v>
      </c>
      <c r="BK2545" s="8">
        <v>215.4</v>
      </c>
      <c r="BL2545" s="2" t="s">
        <v>11248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11249</v>
      </c>
      <c r="BV2545" s="2" t="s">
        <v>233</v>
      </c>
      <c r="BW2545" s="2" t="s">
        <v>233</v>
      </c>
      <c r="BX2545" s="2" t="s">
        <v>243</v>
      </c>
      <c r="BY2545" s="2" t="s">
        <v>280</v>
      </c>
      <c r="BZ2545" s="2" t="s">
        <v>245</v>
      </c>
      <c r="CA2545" s="2" t="s">
        <v>10259</v>
      </c>
      <c r="CB2545" s="2" t="s">
        <v>11250</v>
      </c>
      <c r="CC2545" s="2" t="s">
        <v>246</v>
      </c>
      <c r="CD2545" s="2" t="s">
        <v>233</v>
      </c>
      <c r="CE2545" s="4"/>
      <c r="CF2545" s="4">
        <v>103</v>
      </c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/>
      <c r="EH2545" s="4"/>
      <c r="EI2545" s="4"/>
      <c r="EJ2545" s="4"/>
      <c r="EK2545" s="4"/>
      <c r="EL2545" s="4"/>
      <c r="EM2545" s="4"/>
      <c r="EN2545" s="4"/>
      <c r="EO2545" s="4"/>
      <c r="EP2545" s="4"/>
      <c r="EQ2545" s="4"/>
      <c r="ER2545" s="4"/>
      <c r="ES2545" s="4"/>
      <c r="ET2545" s="4"/>
      <c r="EU2545" s="4"/>
      <c r="EV2545" s="4"/>
      <c r="EW2545" s="4"/>
      <c r="EX2545" s="4"/>
      <c r="EY2545" s="4"/>
      <c r="EZ2545" s="4"/>
      <c r="FA2545" s="4"/>
      <c r="FB2545" s="4"/>
      <c r="FC2545" s="4"/>
      <c r="FD2545" s="4"/>
      <c r="FE2545" s="4"/>
      <c r="FF2545" s="4"/>
      <c r="FG2545" s="4"/>
      <c r="FH2545" s="4"/>
      <c r="FI2545" s="4"/>
      <c r="FJ2545" s="4"/>
      <c r="FK2545" s="4"/>
      <c r="FL2545" s="4"/>
      <c r="FM2545" s="4"/>
      <c r="FN2545" s="4"/>
      <c r="FO2545" s="4"/>
      <c r="FP2545" s="4"/>
      <c r="FQ2545" s="4"/>
      <c r="FR2545" s="4"/>
      <c r="FS2545" s="4"/>
      <c r="FT2545" s="4"/>
      <c r="FU2545" s="4"/>
      <c r="FV2545" s="4"/>
      <c r="FW2545" s="4"/>
      <c r="FX2545" s="4"/>
      <c r="FY2545" s="4"/>
      <c r="FZ2545" s="4"/>
      <c r="GA2545" s="4"/>
      <c r="GB2545" s="4"/>
      <c r="GC2545" s="4"/>
      <c r="GD2545" s="4"/>
      <c r="GE2545" s="4"/>
      <c r="GF2545" s="4"/>
      <c r="GG2545" s="4"/>
      <c r="GH2545" s="4"/>
      <c r="GI2545" s="4"/>
      <c r="GJ2545" s="4"/>
      <c r="GK2545" s="4"/>
      <c r="GL2545" s="4"/>
      <c r="GM2545" s="4"/>
      <c r="GN2545" s="4"/>
      <c r="GO2545" s="4"/>
      <c r="GP2545" s="4"/>
      <c r="GQ2545" s="4"/>
      <c r="GR2545" s="4"/>
      <c r="GS2545" s="4"/>
      <c r="GT2545" s="4"/>
      <c r="GU2545" s="4"/>
      <c r="GV2545" s="4"/>
      <c r="GW2545" s="4"/>
      <c r="GX2545" s="4"/>
      <c r="GY2545" s="4"/>
      <c r="GZ2545" s="4"/>
      <c r="HA2545" s="4"/>
      <c r="HB2545" s="4"/>
      <c r="HC2545" s="4"/>
      <c r="HD2545" s="4"/>
      <c r="HE2545" s="4"/>
      <c r="HF2545" s="4"/>
      <c r="HG2545" s="4"/>
      <c r="HH2545" s="4"/>
      <c r="HI2545" s="4"/>
      <c r="HJ2545" s="4"/>
      <c r="HK2545" s="4"/>
      <c r="HL2545" s="4"/>
      <c r="HM2545" s="4"/>
      <c r="HN2545" s="4"/>
      <c r="HO2545" s="4"/>
      <c r="HP2545" s="4"/>
      <c r="HQ2545" s="4"/>
      <c r="HR2545" s="4"/>
    </row>
    <row r="2546">
      <c r="A2546" s="2" t="s">
        <v>11251</v>
      </c>
      <c r="B2546" s="2" t="s">
        <v>228</v>
      </c>
      <c r="C2546" s="2" t="s">
        <v>530</v>
      </c>
      <c r="D2546" s="2" t="s">
        <v>1616</v>
      </c>
      <c r="E2546" s="2" t="s">
        <v>2599</v>
      </c>
      <c r="F2546" s="2" t="s">
        <v>11252</v>
      </c>
      <c r="G2546" s="2" t="s">
        <v>3125</v>
      </c>
      <c r="H2546" s="2" t="s">
        <v>3125</v>
      </c>
      <c r="I2546" s="2" t="s">
        <v>11253</v>
      </c>
      <c r="J2546" s="2" t="s">
        <v>1736</v>
      </c>
      <c r="K2546" s="2" t="s">
        <v>569</v>
      </c>
      <c r="L2546" s="3">
        <v>20.57</v>
      </c>
      <c r="M2546" s="3">
        <v>21.6</v>
      </c>
      <c r="N2546" s="3">
        <v>44.99</v>
      </c>
      <c r="O2546" s="2" t="s">
        <v>245</v>
      </c>
      <c r="P2546" s="2" t="s">
        <v>272</v>
      </c>
      <c r="Q2546" s="2" t="s">
        <v>239</v>
      </c>
      <c r="R2546" s="2" t="s">
        <v>233</v>
      </c>
      <c r="S2546" s="2" t="s">
        <v>11254</v>
      </c>
      <c r="T2546" s="2" t="s">
        <v>976</v>
      </c>
      <c r="U2546" s="2" t="s">
        <v>396</v>
      </c>
      <c r="V2546" s="2" t="s">
        <v>241</v>
      </c>
      <c r="W2546" s="2" t="s">
        <v>705</v>
      </c>
      <c r="X2546" s="2" t="s">
        <v>233</v>
      </c>
      <c r="Y2546" s="2" t="s">
        <v>1025</v>
      </c>
      <c r="Z2546" s="4">
        <v>177</v>
      </c>
      <c r="AA2546" s="4">
        <f>=ROUNDDOWN(14.75,0)</f>
      </c>
      <c r="AB2546" s="5">
        <v>12</v>
      </c>
      <c r="AC2546" s="2" t="s">
        <v>2183</v>
      </c>
      <c r="AD2546" s="4">
        <v>300</v>
      </c>
      <c r="AE2546" s="4">
        <v>300</v>
      </c>
      <c r="AF2546" s="6">
        <v>64</v>
      </c>
      <c r="AG2546" s="6"/>
      <c r="AH2546" s="7">
        <v>0.0645</v>
      </c>
      <c r="AI2546" s="4"/>
      <c r="AJ2546" s="4">
        <f>=ROUNDDOWN({0},0)</f>
      </c>
      <c r="AK2546" s="5"/>
      <c r="AL2546" s="2" t="s">
        <v>233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/>
      <c r="AW2546" s="8"/>
      <c r="AX2546" s="4"/>
      <c r="AY2546" s="8"/>
      <c r="AZ2546" s="7"/>
      <c r="BA2546" s="7"/>
      <c r="BB2546" s="7"/>
      <c r="BC2546" s="4"/>
      <c r="BD2546" s="8"/>
      <c r="BE2546" s="4"/>
      <c r="BF2546" s="8"/>
      <c r="BG2546" s="7"/>
      <c r="BH2546" s="7"/>
      <c r="BI2546" s="7"/>
      <c r="BJ2546" s="4"/>
      <c r="BK2546" s="8"/>
      <c r="BL2546" s="2" t="s">
        <v>233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11255</v>
      </c>
      <c r="BV2546" s="2" t="s">
        <v>233</v>
      </c>
      <c r="BW2546" s="2" t="s">
        <v>233</v>
      </c>
      <c r="BX2546" s="2" t="s">
        <v>243</v>
      </c>
      <c r="BY2546" s="2" t="s">
        <v>280</v>
      </c>
      <c r="BZ2546" s="2" t="s">
        <v>245</v>
      </c>
      <c r="CA2546" s="2" t="s">
        <v>350</v>
      </c>
      <c r="CB2546" s="2" t="s">
        <v>233</v>
      </c>
      <c r="CC2546" s="2" t="s">
        <v>246</v>
      </c>
      <c r="CD2546" s="2" t="s">
        <v>233</v>
      </c>
      <c r="CE2546" s="4">
        <v>177</v>
      </c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  <c r="EM2546" s="4"/>
      <c r="EN2546" s="4"/>
      <c r="EO2546" s="4"/>
      <c r="EP2546" s="4"/>
      <c r="EQ2546" s="4"/>
      <c r="ER2546" s="4"/>
      <c r="ES2546" s="4"/>
      <c r="ET2546" s="4"/>
      <c r="EU2546" s="4"/>
      <c r="EV2546" s="4"/>
      <c r="EW2546" s="4"/>
      <c r="EX2546" s="4"/>
      <c r="EY2546" s="4"/>
      <c r="EZ2546" s="4"/>
      <c r="FA2546" s="4"/>
      <c r="FB2546" s="4"/>
      <c r="FC2546" s="4"/>
      <c r="FD2546" s="4"/>
      <c r="FE2546" s="4"/>
      <c r="FF2546" s="4"/>
      <c r="FG2546" s="4"/>
      <c r="FH2546" s="4"/>
      <c r="FI2546" s="4"/>
      <c r="FJ2546" s="4"/>
      <c r="FK2546" s="4"/>
      <c r="FL2546" s="4"/>
      <c r="FM2546" s="4"/>
      <c r="FN2546" s="4">
        <v>300</v>
      </c>
      <c r="FO2546" s="4"/>
      <c r="FP2546" s="4"/>
      <c r="FQ2546" s="4"/>
      <c r="FR2546" s="4"/>
      <c r="FS2546" s="4"/>
      <c r="FT2546" s="4"/>
      <c r="FU2546" s="4"/>
      <c r="FV2546" s="4"/>
      <c r="FW2546" s="4"/>
      <c r="FX2546" s="4"/>
      <c r="FY2546" s="4"/>
      <c r="FZ2546" s="4"/>
      <c r="GA2546" s="4"/>
      <c r="GB2546" s="4"/>
      <c r="GC2546" s="4"/>
      <c r="GD2546" s="4"/>
      <c r="GE2546" s="4"/>
      <c r="GF2546" s="4"/>
      <c r="GG2546" s="4"/>
      <c r="GH2546" s="4"/>
      <c r="GI2546" s="4"/>
      <c r="GJ2546" s="4"/>
      <c r="GK2546" s="4"/>
      <c r="GL2546" s="4"/>
      <c r="GM2546" s="4"/>
      <c r="GN2546" s="4"/>
      <c r="GO2546" s="4"/>
      <c r="GP2546" s="4"/>
      <c r="GQ2546" s="4"/>
      <c r="GR2546" s="4"/>
      <c r="GS2546" s="4"/>
      <c r="GT2546" s="4"/>
      <c r="GU2546" s="4"/>
      <c r="GV2546" s="4"/>
      <c r="GW2546" s="4"/>
      <c r="GX2546" s="4"/>
      <c r="GY2546" s="4"/>
      <c r="GZ2546" s="4"/>
      <c r="HA2546" s="4"/>
      <c r="HB2546" s="4"/>
      <c r="HC2546" s="4"/>
      <c r="HD2546" s="4"/>
      <c r="HE2546" s="4"/>
      <c r="HF2546" s="4"/>
      <c r="HG2546" s="4"/>
      <c r="HH2546" s="4"/>
      <c r="HI2546" s="4"/>
      <c r="HJ2546" s="4"/>
      <c r="HK2546" s="4"/>
      <c r="HL2546" s="4"/>
      <c r="HM2546" s="4"/>
      <c r="HN2546" s="4"/>
      <c r="HO2546" s="4"/>
      <c r="HP2546" s="4"/>
      <c r="HQ2546" s="4"/>
      <c r="HR2546" s="4"/>
    </row>
    <row r="2547">
      <c r="A2547" s="2" t="s">
        <v>11256</v>
      </c>
      <c r="B2547" s="2" t="s">
        <v>1066</v>
      </c>
      <c r="C2547" s="2" t="s">
        <v>530</v>
      </c>
      <c r="D2547" s="2" t="s">
        <v>2333</v>
      </c>
      <c r="E2547" s="2" t="s">
        <v>2334</v>
      </c>
      <c r="F2547" s="2" t="s">
        <v>2174</v>
      </c>
      <c r="G2547" s="2" t="s">
        <v>3565</v>
      </c>
      <c r="H2547" s="2" t="s">
        <v>11257</v>
      </c>
      <c r="I2547" s="2" t="s">
        <v>11258</v>
      </c>
      <c r="J2547" s="2" t="s">
        <v>892</v>
      </c>
      <c r="K2547" s="2" t="s">
        <v>984</v>
      </c>
      <c r="L2547" s="3">
        <v>380.97</v>
      </c>
      <c r="M2547" s="3">
        <v>400.02</v>
      </c>
      <c r="N2547" s="3">
        <v>799</v>
      </c>
      <c r="O2547" s="2" t="s">
        <v>245</v>
      </c>
      <c r="P2547" s="2" t="s">
        <v>393</v>
      </c>
      <c r="Q2547" s="2" t="s">
        <v>239</v>
      </c>
      <c r="R2547" s="2" t="s">
        <v>233</v>
      </c>
      <c r="S2547" s="2" t="s">
        <v>233</v>
      </c>
      <c r="T2547" s="2" t="s">
        <v>233</v>
      </c>
      <c r="U2547" s="2" t="s">
        <v>233</v>
      </c>
      <c r="V2547" s="2" t="s">
        <v>893</v>
      </c>
      <c r="W2547" s="2" t="s">
        <v>776</v>
      </c>
      <c r="X2547" s="2" t="s">
        <v>451</v>
      </c>
      <c r="Y2547" s="2" t="s">
        <v>2547</v>
      </c>
      <c r="Z2547" s="4">
        <v>88</v>
      </c>
      <c r="AA2547" s="4">
        <f>=ROUNDDOWN({0},0)</f>
      </c>
      <c r="AB2547" s="5"/>
      <c r="AC2547" s="2" t="s">
        <v>233</v>
      </c>
      <c r="AD2547" s="4"/>
      <c r="AE2547" s="4"/>
      <c r="AF2547" s="6">
        <v>74</v>
      </c>
      <c r="AG2547" s="6"/>
      <c r="AH2547" s="7">
        <v>1</v>
      </c>
      <c r="AI2547" s="4"/>
      <c r="AJ2547" s="4">
        <f>=ROUNDDOWN({0},0)</f>
      </c>
      <c r="AK2547" s="5"/>
      <c r="AL2547" s="2" t="s">
        <v>233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/>
      <c r="AW2547" s="8"/>
      <c r="AX2547" s="4"/>
      <c r="AY2547" s="8"/>
      <c r="AZ2547" s="7"/>
      <c r="BA2547" s="7"/>
      <c r="BB2547" s="7"/>
      <c r="BC2547" s="4"/>
      <c r="BD2547" s="8"/>
      <c r="BE2547" s="4"/>
      <c r="BF2547" s="8"/>
      <c r="BG2547" s="7"/>
      <c r="BH2547" s="7"/>
      <c r="BI2547" s="7"/>
      <c r="BJ2547" s="4"/>
      <c r="BK2547" s="8"/>
      <c r="BL2547" s="2" t="s">
        <v>233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11259</v>
      </c>
      <c r="BV2547" s="2" t="s">
        <v>233</v>
      </c>
      <c r="BW2547" s="2" t="s">
        <v>233</v>
      </c>
      <c r="BX2547" s="2" t="s">
        <v>243</v>
      </c>
      <c r="BY2547" s="2" t="s">
        <v>280</v>
      </c>
      <c r="BZ2547" s="2" t="s">
        <v>245</v>
      </c>
      <c r="CA2547" s="2" t="s">
        <v>3674</v>
      </c>
      <c r="CB2547" s="2" t="s">
        <v>233</v>
      </c>
      <c r="CC2547" s="2" t="s">
        <v>246</v>
      </c>
      <c r="CD2547" s="2" t="s">
        <v>233</v>
      </c>
      <c r="CE2547" s="4"/>
      <c r="CF2547" s="4">
        <v>88</v>
      </c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  <c r="DL2547" s="4"/>
      <c r="DM2547" s="4"/>
      <c r="DN2547" s="4"/>
      <c r="DO2547" s="4"/>
      <c r="DP2547" s="4"/>
      <c r="DQ2547" s="4"/>
      <c r="DR2547" s="4"/>
      <c r="DS2547" s="4"/>
      <c r="DT2547" s="4"/>
      <c r="DU2547" s="4"/>
      <c r="DV2547" s="4"/>
      <c r="DW2547" s="4"/>
      <c r="DX2547" s="4"/>
      <c r="DY2547" s="4"/>
      <c r="DZ2547" s="4"/>
      <c r="EA2547" s="4"/>
      <c r="EB2547" s="4"/>
      <c r="EC2547" s="4"/>
      <c r="ED2547" s="4"/>
      <c r="EE2547" s="4"/>
      <c r="EF2547" s="4"/>
      <c r="EG2547" s="4"/>
      <c r="EH2547" s="4"/>
      <c r="EI2547" s="4"/>
      <c r="EJ2547" s="4"/>
      <c r="EK2547" s="4"/>
      <c r="EL2547" s="4"/>
      <c r="EM2547" s="4"/>
      <c r="EN2547" s="4"/>
      <c r="EO2547" s="4"/>
      <c r="EP2547" s="4"/>
      <c r="EQ2547" s="4"/>
      <c r="ER2547" s="4"/>
      <c r="ES2547" s="4"/>
      <c r="ET2547" s="4"/>
      <c r="EU2547" s="4"/>
      <c r="EV2547" s="4"/>
      <c r="EW2547" s="4"/>
      <c r="EX2547" s="4"/>
      <c r="EY2547" s="4"/>
      <c r="EZ2547" s="4"/>
      <c r="FA2547" s="4"/>
      <c r="FB2547" s="4"/>
      <c r="FC2547" s="4"/>
      <c r="FD2547" s="4"/>
      <c r="FE2547" s="4"/>
      <c r="FF2547" s="4"/>
      <c r="FG2547" s="4"/>
      <c r="FH2547" s="4"/>
      <c r="FI2547" s="4"/>
      <c r="FJ2547" s="4"/>
      <c r="FK2547" s="4"/>
      <c r="FL2547" s="4"/>
      <c r="FM2547" s="4"/>
      <c r="FN2547" s="4"/>
      <c r="FO2547" s="4"/>
      <c r="FP2547" s="4"/>
      <c r="FQ2547" s="4"/>
      <c r="FR2547" s="4"/>
      <c r="FS2547" s="4"/>
      <c r="FT2547" s="4"/>
      <c r="FU2547" s="4"/>
      <c r="FV2547" s="4"/>
      <c r="FW2547" s="4"/>
      <c r="FX2547" s="4"/>
      <c r="FY2547" s="4"/>
      <c r="FZ2547" s="4"/>
      <c r="GA2547" s="4"/>
      <c r="GB2547" s="4"/>
      <c r="GC2547" s="4"/>
      <c r="GD2547" s="4"/>
      <c r="GE2547" s="4"/>
      <c r="GF2547" s="4"/>
      <c r="GG2547" s="4"/>
      <c r="GH2547" s="4"/>
      <c r="GI2547" s="4"/>
      <c r="GJ2547" s="4"/>
      <c r="GK2547" s="4"/>
      <c r="GL2547" s="4"/>
      <c r="GM2547" s="4"/>
      <c r="GN2547" s="4"/>
      <c r="GO2547" s="4"/>
      <c r="GP2547" s="4"/>
      <c r="GQ2547" s="4"/>
      <c r="GR2547" s="4"/>
      <c r="GS2547" s="4"/>
      <c r="GT2547" s="4"/>
      <c r="GU2547" s="4"/>
      <c r="GV2547" s="4"/>
      <c r="GW2547" s="4"/>
      <c r="GX2547" s="4"/>
      <c r="GY2547" s="4"/>
      <c r="GZ2547" s="4"/>
      <c r="HA2547" s="4"/>
      <c r="HB2547" s="4"/>
      <c r="HC2547" s="4"/>
      <c r="HD2547" s="4"/>
      <c r="HE2547" s="4"/>
      <c r="HF2547" s="4"/>
      <c r="HG2547" s="4"/>
      <c r="HH2547" s="4"/>
      <c r="HI2547" s="4"/>
      <c r="HJ2547" s="4"/>
      <c r="HK2547" s="4"/>
      <c r="HL2547" s="4"/>
      <c r="HM2547" s="4"/>
      <c r="HN2547" s="4"/>
      <c r="HO2547" s="4"/>
      <c r="HP2547" s="4"/>
      <c r="HQ2547" s="4"/>
      <c r="HR2547" s="4"/>
    </row>
    <row r="2548">
      <c r="A2548" s="2" t="s">
        <v>11260</v>
      </c>
      <c r="B2548" s="2" t="s">
        <v>1066</v>
      </c>
      <c r="C2548" s="2" t="s">
        <v>947</v>
      </c>
      <c r="D2548" s="2" t="s">
        <v>1919</v>
      </c>
      <c r="E2548" s="2" t="s">
        <v>1920</v>
      </c>
      <c r="F2548" s="2" t="s">
        <v>11261</v>
      </c>
      <c r="G2548" s="2" t="s">
        <v>11261</v>
      </c>
      <c r="H2548" s="2" t="s">
        <v>11261</v>
      </c>
      <c r="I2548" s="2" t="s">
        <v>11262</v>
      </c>
      <c r="J2548" s="2" t="s">
        <v>892</v>
      </c>
      <c r="K2548" s="2" t="s">
        <v>236</v>
      </c>
      <c r="L2548" s="3">
        <v>148.5</v>
      </c>
      <c r="M2548" s="3">
        <v>155.92</v>
      </c>
      <c r="N2548" s="3">
        <v>309</v>
      </c>
      <c r="O2548" s="2" t="s">
        <v>237</v>
      </c>
      <c r="P2548" s="2" t="s">
        <v>311</v>
      </c>
      <c r="Q2548" s="2" t="s">
        <v>239</v>
      </c>
      <c r="R2548" s="2" t="s">
        <v>233</v>
      </c>
      <c r="S2548" s="2" t="s">
        <v>233</v>
      </c>
      <c r="T2548" s="2" t="s">
        <v>233</v>
      </c>
      <c r="U2548" s="2" t="s">
        <v>396</v>
      </c>
      <c r="V2548" s="2" t="s">
        <v>893</v>
      </c>
      <c r="W2548" s="2" t="s">
        <v>233</v>
      </c>
      <c r="X2548" s="2" t="s">
        <v>1664</v>
      </c>
      <c r="Y2548" s="2" t="s">
        <v>7645</v>
      </c>
      <c r="Z2548" s="4">
        <v>34</v>
      </c>
      <c r="AA2548" s="4">
        <f>=ROUNDDOWN(56.6666666666667,0)</f>
      </c>
      <c r="AB2548" s="5">
        <v>0.6</v>
      </c>
      <c r="AC2548" s="2" t="s">
        <v>233</v>
      </c>
      <c r="AD2548" s="4"/>
      <c r="AE2548" s="4"/>
      <c r="AF2548" s="6">
        <v>74</v>
      </c>
      <c r="AG2548" s="6"/>
      <c r="AH2548" s="7">
        <v>1</v>
      </c>
      <c r="AI2548" s="4"/>
      <c r="AJ2548" s="4">
        <f>=ROUNDDOWN({0},0)</f>
      </c>
      <c r="AK2548" s="5"/>
      <c r="AL2548" s="2" t="s">
        <v>233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/>
      <c r="BD2548" s="8"/>
      <c r="BE2548" s="4"/>
      <c r="BF2548" s="8"/>
      <c r="BG2548" s="7"/>
      <c r="BH2548" s="7"/>
      <c r="BI2548" s="7"/>
      <c r="BJ2548" s="4">
        <v>2</v>
      </c>
      <c r="BK2548" s="8">
        <v>156.18</v>
      </c>
      <c r="BL2548" s="2" t="s">
        <v>1028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11263</v>
      </c>
      <c r="BV2548" s="2" t="s">
        <v>233</v>
      </c>
      <c r="BW2548" s="2" t="s">
        <v>233</v>
      </c>
      <c r="BX2548" s="2" t="s">
        <v>233</v>
      </c>
      <c r="BY2548" s="2" t="s">
        <v>280</v>
      </c>
      <c r="BZ2548" s="2" t="s">
        <v>245</v>
      </c>
      <c r="CA2548" s="2" t="s">
        <v>2509</v>
      </c>
      <c r="CB2548" s="2" t="s">
        <v>3637</v>
      </c>
      <c r="CC2548" s="2" t="s">
        <v>246</v>
      </c>
      <c r="CD2548" s="2" t="s">
        <v>233</v>
      </c>
      <c r="CE2548" s="4"/>
      <c r="CF2548" s="4">
        <v>34</v>
      </c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  <c r="DP2548" s="4"/>
      <c r="DQ2548" s="4"/>
      <c r="DR2548" s="4"/>
      <c r="DS2548" s="4"/>
      <c r="DT2548" s="4"/>
      <c r="DU2548" s="4"/>
      <c r="DV2548" s="4"/>
      <c r="DW2548" s="4"/>
      <c r="DX2548" s="4"/>
      <c r="DY2548" s="4"/>
      <c r="DZ2548" s="4"/>
      <c r="EA2548" s="4"/>
      <c r="EB2548" s="4"/>
      <c r="EC2548" s="4"/>
      <c r="ED2548" s="4"/>
      <c r="EE2548" s="4"/>
      <c r="EF2548" s="4"/>
      <c r="EG2548" s="4"/>
      <c r="EH2548" s="4"/>
      <c r="EI2548" s="4"/>
      <c r="EJ2548" s="4"/>
      <c r="EK2548" s="4"/>
      <c r="EL2548" s="4"/>
      <c r="EM2548" s="4"/>
      <c r="EN2548" s="4"/>
      <c r="EO2548" s="4"/>
      <c r="EP2548" s="4"/>
      <c r="EQ2548" s="4"/>
      <c r="ER2548" s="4"/>
      <c r="ES2548" s="4"/>
      <c r="ET2548" s="4"/>
      <c r="EU2548" s="4"/>
      <c r="EV2548" s="4"/>
      <c r="EW2548" s="4"/>
      <c r="EX2548" s="4"/>
      <c r="EY2548" s="4"/>
      <c r="EZ2548" s="4"/>
      <c r="FA2548" s="4"/>
      <c r="FB2548" s="4"/>
      <c r="FC2548" s="4"/>
      <c r="FD2548" s="4"/>
      <c r="FE2548" s="4"/>
      <c r="FF2548" s="4"/>
      <c r="FG2548" s="4"/>
      <c r="FH2548" s="4"/>
      <c r="FI2548" s="4"/>
      <c r="FJ2548" s="4"/>
      <c r="FK2548" s="4"/>
      <c r="FL2548" s="4"/>
      <c r="FM2548" s="4"/>
      <c r="FN2548" s="4"/>
      <c r="FO2548" s="4"/>
      <c r="FP2548" s="4"/>
      <c r="FQ2548" s="4"/>
      <c r="FR2548" s="4"/>
      <c r="FS2548" s="4"/>
      <c r="FT2548" s="4"/>
      <c r="FU2548" s="4"/>
      <c r="FV2548" s="4"/>
      <c r="FW2548" s="4"/>
      <c r="FX2548" s="4"/>
      <c r="FY2548" s="4"/>
      <c r="FZ2548" s="4"/>
      <c r="GA2548" s="4"/>
      <c r="GB2548" s="4"/>
      <c r="GC2548" s="4"/>
      <c r="GD2548" s="4"/>
      <c r="GE2548" s="4"/>
      <c r="GF2548" s="4"/>
      <c r="GG2548" s="4"/>
      <c r="GH2548" s="4"/>
      <c r="GI2548" s="4"/>
      <c r="GJ2548" s="4"/>
      <c r="GK2548" s="4"/>
      <c r="GL2548" s="4"/>
      <c r="GM2548" s="4"/>
      <c r="GN2548" s="4"/>
      <c r="GO2548" s="4"/>
      <c r="GP2548" s="4"/>
      <c r="GQ2548" s="4"/>
      <c r="GR2548" s="4"/>
      <c r="GS2548" s="4"/>
      <c r="GT2548" s="4"/>
      <c r="GU2548" s="4"/>
      <c r="GV2548" s="4"/>
      <c r="GW2548" s="4"/>
      <c r="GX2548" s="4"/>
      <c r="GY2548" s="4"/>
      <c r="GZ2548" s="4"/>
      <c r="HA2548" s="4"/>
      <c r="HB2548" s="4"/>
      <c r="HC2548" s="4"/>
      <c r="HD2548" s="4"/>
      <c r="HE2548" s="4"/>
      <c r="HF2548" s="4"/>
      <c r="HG2548" s="4"/>
      <c r="HH2548" s="4"/>
      <c r="HI2548" s="4"/>
      <c r="HJ2548" s="4"/>
      <c r="HK2548" s="4"/>
      <c r="HL2548" s="4"/>
      <c r="HM2548" s="4"/>
      <c r="HN2548" s="4"/>
      <c r="HO2548" s="4"/>
      <c r="HP2548" s="4"/>
      <c r="HQ2548" s="4"/>
      <c r="HR2548" s="4"/>
    </row>
    <row r="2549">
      <c r="A2549" s="2" t="s">
        <v>11264</v>
      </c>
      <c r="B2549" s="2" t="s">
        <v>1242</v>
      </c>
      <c r="C2549" s="2" t="s">
        <v>530</v>
      </c>
      <c r="D2549" s="2" t="s">
        <v>1862</v>
      </c>
      <c r="E2549" s="2" t="s">
        <v>7849</v>
      </c>
      <c r="F2549" s="2" t="s">
        <v>11265</v>
      </c>
      <c r="G2549" s="2" t="s">
        <v>11266</v>
      </c>
      <c r="H2549" s="2" t="s">
        <v>1450</v>
      </c>
      <c r="I2549" s="2" t="s">
        <v>11267</v>
      </c>
      <c r="J2549" s="2" t="s">
        <v>981</v>
      </c>
      <c r="K2549" s="2" t="s">
        <v>449</v>
      </c>
      <c r="L2549" s="3">
        <v>58.12</v>
      </c>
      <c r="M2549" s="3">
        <v>61.03</v>
      </c>
      <c r="N2549" s="3">
        <v>119.99</v>
      </c>
      <c r="O2549" s="2" t="s">
        <v>245</v>
      </c>
      <c r="P2549" s="2" t="s">
        <v>741</v>
      </c>
      <c r="Q2549" s="2" t="s">
        <v>239</v>
      </c>
      <c r="R2549" s="2" t="s">
        <v>233</v>
      </c>
      <c r="S2549" s="2" t="s">
        <v>11268</v>
      </c>
      <c r="T2549" s="2" t="s">
        <v>341</v>
      </c>
      <c r="U2549" s="2" t="s">
        <v>871</v>
      </c>
      <c r="V2549" s="2" t="s">
        <v>1272</v>
      </c>
      <c r="W2549" s="2" t="s">
        <v>1056</v>
      </c>
      <c r="X2549" s="2" t="s">
        <v>10337</v>
      </c>
      <c r="Y2549" s="2" t="s">
        <v>276</v>
      </c>
      <c r="Z2549" s="4">
        <v>551</v>
      </c>
      <c r="AA2549" s="4">
        <f>=ROUNDDOWN(22.9583333333333,0)</f>
      </c>
      <c r="AB2549" s="5">
        <v>24</v>
      </c>
      <c r="AC2549" s="2" t="s">
        <v>7818</v>
      </c>
      <c r="AD2549" s="4">
        <v>450</v>
      </c>
      <c r="AE2549" s="4">
        <v>450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233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/>
      <c r="AW2549" s="8"/>
      <c r="AX2549" s="4"/>
      <c r="AY2549" s="8"/>
      <c r="AZ2549" s="7"/>
      <c r="BA2549" s="7"/>
      <c r="BB2549" s="7"/>
      <c r="BC2549" s="4"/>
      <c r="BD2549" s="8"/>
      <c r="BE2549" s="4"/>
      <c r="BF2549" s="8"/>
      <c r="BG2549" s="7"/>
      <c r="BH2549" s="7"/>
      <c r="BI2549" s="7"/>
      <c r="BJ2549" s="4">
        <v>46</v>
      </c>
      <c r="BK2549" s="8">
        <v>2943.14</v>
      </c>
      <c r="BL2549" s="2" t="s">
        <v>11269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11270</v>
      </c>
      <c r="BV2549" s="2" t="s">
        <v>233</v>
      </c>
      <c r="BW2549" s="2" t="s">
        <v>233</v>
      </c>
      <c r="BX2549" s="2" t="s">
        <v>233</v>
      </c>
      <c r="BY2549" s="2" t="s">
        <v>280</v>
      </c>
      <c r="BZ2549" s="2" t="s">
        <v>245</v>
      </c>
      <c r="CA2549" s="2" t="s">
        <v>5636</v>
      </c>
      <c r="CB2549" s="2" t="s">
        <v>11271</v>
      </c>
      <c r="CC2549" s="2" t="s">
        <v>246</v>
      </c>
      <c r="CD2549" s="2" t="s">
        <v>233</v>
      </c>
      <c r="CE2549" s="4">
        <v>344</v>
      </c>
      <c r="CF2549" s="4">
        <v>18</v>
      </c>
      <c r="CG2549" s="4"/>
      <c r="CH2549" s="4"/>
      <c r="CI2549" s="4">
        <v>189</v>
      </c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  <c r="DP2549" s="4"/>
      <c r="DQ2549" s="4"/>
      <c r="DR2549" s="4"/>
      <c r="DS2549" s="4"/>
      <c r="DT2549" s="4"/>
      <c r="DU2549" s="4"/>
      <c r="DV2549" s="4"/>
      <c r="DW2549" s="4"/>
      <c r="DX2549" s="4"/>
      <c r="DY2549" s="4"/>
      <c r="DZ2549" s="4"/>
      <c r="EA2549" s="4"/>
      <c r="EB2549" s="4"/>
      <c r="EC2549" s="4"/>
      <c r="ED2549" s="4"/>
      <c r="EE2549" s="4"/>
      <c r="EF2549" s="4"/>
      <c r="EG2549" s="4"/>
      <c r="EH2549" s="4"/>
      <c r="EI2549" s="4"/>
      <c r="EJ2549" s="4"/>
      <c r="EK2549" s="4"/>
      <c r="EL2549" s="4"/>
      <c r="EM2549" s="4"/>
      <c r="EN2549" s="4"/>
      <c r="EO2549" s="4"/>
      <c r="EP2549" s="4"/>
      <c r="EQ2549" s="4"/>
      <c r="ER2549" s="4"/>
      <c r="ES2549" s="4"/>
      <c r="ET2549" s="4"/>
      <c r="EU2549" s="4"/>
      <c r="EV2549" s="4"/>
      <c r="EW2549" s="4"/>
      <c r="EX2549" s="4">
        <v>450</v>
      </c>
      <c r="EY2549" s="4"/>
      <c r="EZ2549" s="4"/>
      <c r="FA2549" s="4"/>
      <c r="FB2549" s="4"/>
      <c r="FC2549" s="4"/>
      <c r="FD2549" s="4"/>
      <c r="FE2549" s="4"/>
      <c r="FF2549" s="4"/>
      <c r="FG2549" s="4"/>
      <c r="FH2549" s="4"/>
      <c r="FI2549" s="4"/>
      <c r="FJ2549" s="4"/>
      <c r="FK2549" s="4"/>
      <c r="FL2549" s="4"/>
      <c r="FM2549" s="4"/>
      <c r="FN2549" s="4"/>
      <c r="FO2549" s="4"/>
      <c r="FP2549" s="4"/>
      <c r="FQ2549" s="4"/>
      <c r="FR2549" s="4"/>
      <c r="FS2549" s="4"/>
      <c r="FT2549" s="4"/>
      <c r="FU2549" s="4"/>
      <c r="FV2549" s="4"/>
      <c r="FW2549" s="4"/>
      <c r="FX2549" s="4"/>
      <c r="FY2549" s="4"/>
      <c r="FZ2549" s="4"/>
      <c r="GA2549" s="4"/>
      <c r="GB2549" s="4"/>
      <c r="GC2549" s="4"/>
      <c r="GD2549" s="4"/>
      <c r="GE2549" s="4"/>
      <c r="GF2549" s="4"/>
      <c r="GG2549" s="4"/>
      <c r="GH2549" s="4"/>
      <c r="GI2549" s="4"/>
      <c r="GJ2549" s="4"/>
      <c r="GK2549" s="4"/>
      <c r="GL2549" s="4"/>
      <c r="GM2549" s="4"/>
      <c r="GN2549" s="4"/>
      <c r="GO2549" s="4"/>
      <c r="GP2549" s="4"/>
      <c r="GQ2549" s="4"/>
      <c r="GR2549" s="4"/>
      <c r="GS2549" s="4"/>
      <c r="GT2549" s="4"/>
      <c r="GU2549" s="4"/>
      <c r="GV2549" s="4"/>
      <c r="GW2549" s="4"/>
      <c r="GX2549" s="4"/>
      <c r="GY2549" s="4"/>
      <c r="GZ2549" s="4"/>
      <c r="HA2549" s="4"/>
      <c r="HB2549" s="4"/>
      <c r="HC2549" s="4"/>
      <c r="HD2549" s="4"/>
      <c r="HE2549" s="4"/>
      <c r="HF2549" s="4"/>
      <c r="HG2549" s="4"/>
      <c r="HH2549" s="4"/>
      <c r="HI2549" s="4"/>
      <c r="HJ2549" s="4"/>
      <c r="HK2549" s="4"/>
      <c r="HL2549" s="4"/>
      <c r="HM2549" s="4"/>
      <c r="HN2549" s="4"/>
      <c r="HO2549" s="4"/>
      <c r="HP2549" s="4"/>
      <c r="HQ2549" s="4"/>
      <c r="HR2549" s="4"/>
    </row>
    <row r="2550">
      <c r="A2550" s="2" t="s">
        <v>11272</v>
      </c>
      <c r="B2550" s="2" t="s">
        <v>1066</v>
      </c>
      <c r="C2550" s="2" t="s">
        <v>530</v>
      </c>
      <c r="D2550" s="2" t="s">
        <v>1782</v>
      </c>
      <c r="E2550" s="2" t="s">
        <v>2131</v>
      </c>
      <c r="F2550" s="2" t="s">
        <v>1477</v>
      </c>
      <c r="G2550" s="2" t="s">
        <v>11273</v>
      </c>
      <c r="H2550" s="2" t="s">
        <v>7095</v>
      </c>
      <c r="I2550" s="2" t="s">
        <v>11274</v>
      </c>
      <c r="J2550" s="2" t="s">
        <v>892</v>
      </c>
      <c r="K2550" s="2" t="s">
        <v>1537</v>
      </c>
      <c r="L2550" s="3">
        <v>198</v>
      </c>
      <c r="M2550" s="3">
        <v>207.9</v>
      </c>
      <c r="N2550" s="3">
        <v>419</v>
      </c>
      <c r="O2550" s="2" t="s">
        <v>237</v>
      </c>
      <c r="P2550" s="2" t="s">
        <v>311</v>
      </c>
      <c r="Q2550" s="2" t="s">
        <v>239</v>
      </c>
      <c r="R2550" s="2" t="s">
        <v>233</v>
      </c>
      <c r="S2550" s="2" t="s">
        <v>233</v>
      </c>
      <c r="T2550" s="2" t="s">
        <v>233</v>
      </c>
      <c r="U2550" s="2" t="s">
        <v>233</v>
      </c>
      <c r="V2550" s="2" t="s">
        <v>893</v>
      </c>
      <c r="W2550" s="2" t="s">
        <v>2652</v>
      </c>
      <c r="X2550" s="2" t="s">
        <v>275</v>
      </c>
      <c r="Y2550" s="2" t="s">
        <v>11275</v>
      </c>
      <c r="Z2550" s="4">
        <v>18</v>
      </c>
      <c r="AA2550" s="4">
        <f>=ROUNDDOWN({0},0)</f>
      </c>
      <c r="AB2550" s="5"/>
      <c r="AC2550" s="2" t="s">
        <v>233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233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233</v>
      </c>
      <c r="AW2550" s="8" t="s">
        <v>233</v>
      </c>
      <c r="AX2550" s="4" t="s">
        <v>233</v>
      </c>
      <c r="AY2550" s="8" t="s">
        <v>233</v>
      </c>
      <c r="AZ2550" s="7" t="s">
        <v>233</v>
      </c>
      <c r="BA2550" s="7" t="s">
        <v>233</v>
      </c>
      <c r="BB2550" s="7" t="s">
        <v>233</v>
      </c>
      <c r="BC2550" s="4" t="s">
        <v>233</v>
      </c>
      <c r="BD2550" s="8" t="s">
        <v>233</v>
      </c>
      <c r="BE2550" s="4" t="s">
        <v>233</v>
      </c>
      <c r="BF2550" s="8" t="s">
        <v>233</v>
      </c>
      <c r="BG2550" s="7" t="s">
        <v>233</v>
      </c>
      <c r="BH2550" s="7" t="s">
        <v>233</v>
      </c>
      <c r="BI2550" s="7"/>
      <c r="BJ2550" s="4"/>
      <c r="BK2550" s="8"/>
      <c r="BL2550" s="2" t="s">
        <v>233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11276</v>
      </c>
      <c r="BV2550" s="2" t="s">
        <v>233</v>
      </c>
      <c r="BW2550" s="2" t="s">
        <v>233</v>
      </c>
      <c r="BX2550" s="2" t="s">
        <v>233</v>
      </c>
      <c r="BY2550" s="2" t="s">
        <v>280</v>
      </c>
      <c r="BZ2550" s="2" t="s">
        <v>245</v>
      </c>
      <c r="CA2550" s="2" t="s">
        <v>11277</v>
      </c>
      <c r="CB2550" s="2" t="s">
        <v>6403</v>
      </c>
      <c r="CC2550" s="2" t="s">
        <v>246</v>
      </c>
      <c r="CD2550" s="2" t="s">
        <v>233</v>
      </c>
      <c r="CE2550" s="4"/>
      <c r="CF2550" s="4">
        <v>18</v>
      </c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  <c r="DP2550" s="4"/>
      <c r="DQ2550" s="4"/>
      <c r="DR2550" s="4"/>
      <c r="DS2550" s="4"/>
      <c r="DT2550" s="4"/>
      <c r="DU2550" s="4"/>
      <c r="DV2550" s="4"/>
      <c r="DW2550" s="4"/>
      <c r="DX2550" s="4"/>
      <c r="DY2550" s="4"/>
      <c r="DZ2550" s="4"/>
      <c r="EA2550" s="4"/>
      <c r="EB2550" s="4"/>
      <c r="EC2550" s="4"/>
      <c r="ED2550" s="4"/>
      <c r="EE2550" s="4"/>
      <c r="EF2550" s="4"/>
      <c r="EG2550" s="4"/>
      <c r="EH2550" s="4"/>
      <c r="EI2550" s="4"/>
      <c r="EJ2550" s="4"/>
      <c r="EK2550" s="4"/>
      <c r="EL2550" s="4"/>
      <c r="EM2550" s="4"/>
      <c r="EN2550" s="4"/>
      <c r="EO2550" s="4"/>
      <c r="EP2550" s="4"/>
      <c r="EQ2550" s="4"/>
      <c r="ER2550" s="4"/>
      <c r="ES2550" s="4"/>
      <c r="ET2550" s="4"/>
      <c r="EU2550" s="4"/>
      <c r="EV2550" s="4"/>
      <c r="EW2550" s="4"/>
      <c r="EX2550" s="4"/>
      <c r="EY2550" s="4"/>
      <c r="EZ2550" s="4"/>
      <c r="FA2550" s="4"/>
      <c r="FB2550" s="4"/>
      <c r="FC2550" s="4"/>
      <c r="FD2550" s="4"/>
      <c r="FE2550" s="4"/>
      <c r="FF2550" s="4"/>
      <c r="FG2550" s="4"/>
      <c r="FH2550" s="4"/>
      <c r="FI2550" s="4"/>
      <c r="FJ2550" s="4"/>
      <c r="FK2550" s="4"/>
      <c r="FL2550" s="4"/>
      <c r="FM2550" s="4"/>
      <c r="FN2550" s="4"/>
      <c r="FO2550" s="4"/>
      <c r="FP2550" s="4"/>
      <c r="FQ2550" s="4"/>
      <c r="FR2550" s="4"/>
      <c r="FS2550" s="4"/>
      <c r="FT2550" s="4"/>
      <c r="FU2550" s="4"/>
      <c r="FV2550" s="4"/>
      <c r="FW2550" s="4"/>
      <c r="FX2550" s="4"/>
      <c r="FY2550" s="4"/>
      <c r="FZ2550" s="4"/>
      <c r="GA2550" s="4"/>
      <c r="GB2550" s="4"/>
      <c r="GC2550" s="4"/>
      <c r="GD2550" s="4"/>
      <c r="GE2550" s="4"/>
      <c r="GF2550" s="4"/>
      <c r="GG2550" s="4"/>
      <c r="GH2550" s="4"/>
      <c r="GI2550" s="4"/>
      <c r="GJ2550" s="4"/>
      <c r="GK2550" s="4"/>
      <c r="GL2550" s="4"/>
      <c r="GM2550" s="4"/>
      <c r="GN2550" s="4"/>
      <c r="GO2550" s="4"/>
      <c r="GP2550" s="4"/>
      <c r="GQ2550" s="4"/>
      <c r="GR2550" s="4"/>
      <c r="GS2550" s="4"/>
      <c r="GT2550" s="4"/>
      <c r="GU2550" s="4"/>
      <c r="GV2550" s="4"/>
      <c r="GW2550" s="4"/>
      <c r="GX2550" s="4"/>
      <c r="GY2550" s="4"/>
      <c r="GZ2550" s="4"/>
      <c r="HA2550" s="4"/>
      <c r="HB2550" s="4"/>
      <c r="HC2550" s="4"/>
      <c r="HD2550" s="4"/>
      <c r="HE2550" s="4"/>
      <c r="HF2550" s="4"/>
      <c r="HG2550" s="4"/>
      <c r="HH2550" s="4"/>
      <c r="HI2550" s="4"/>
      <c r="HJ2550" s="4"/>
      <c r="HK2550" s="4"/>
      <c r="HL2550" s="4"/>
      <c r="HM2550" s="4"/>
      <c r="HN2550" s="4"/>
      <c r="HO2550" s="4"/>
      <c r="HP2550" s="4"/>
      <c r="HQ2550" s="4"/>
      <c r="HR2550" s="4"/>
    </row>
    <row r="2551">
      <c r="A2551" s="2" t="s">
        <v>11278</v>
      </c>
      <c r="B2551" s="2" t="s">
        <v>1066</v>
      </c>
      <c r="C2551" s="2" t="s">
        <v>530</v>
      </c>
      <c r="D2551" s="2" t="s">
        <v>1782</v>
      </c>
      <c r="E2551" s="2" t="s">
        <v>1783</v>
      </c>
      <c r="F2551" s="2" t="s">
        <v>1477</v>
      </c>
      <c r="G2551" s="2" t="s">
        <v>11273</v>
      </c>
      <c r="H2551" s="2" t="s">
        <v>7095</v>
      </c>
      <c r="I2551" s="2" t="s">
        <v>1783</v>
      </c>
      <c r="J2551" s="2" t="s">
        <v>892</v>
      </c>
      <c r="K2551" s="2" t="s">
        <v>1537</v>
      </c>
      <c r="L2551" s="3">
        <v>118</v>
      </c>
      <c r="M2551" s="3">
        <v>123.9</v>
      </c>
      <c r="N2551" s="3">
        <v>249</v>
      </c>
      <c r="O2551" s="2" t="s">
        <v>237</v>
      </c>
      <c r="P2551" s="2" t="s">
        <v>311</v>
      </c>
      <c r="Q2551" s="2" t="s">
        <v>239</v>
      </c>
      <c r="R2551" s="2" t="s">
        <v>233</v>
      </c>
      <c r="S2551" s="2" t="s">
        <v>233</v>
      </c>
      <c r="T2551" s="2" t="s">
        <v>233</v>
      </c>
      <c r="U2551" s="2" t="s">
        <v>396</v>
      </c>
      <c r="V2551" s="2" t="s">
        <v>893</v>
      </c>
      <c r="W2551" s="2" t="s">
        <v>2652</v>
      </c>
      <c r="X2551" s="2" t="s">
        <v>275</v>
      </c>
      <c r="Y2551" s="2" t="s">
        <v>11275</v>
      </c>
      <c r="Z2551" s="4">
        <v>20</v>
      </c>
      <c r="AA2551" s="4">
        <f>=ROUNDDOWN(100,0)</f>
      </c>
      <c r="AB2551" s="5">
        <v>0.2</v>
      </c>
      <c r="AC2551" s="2" t="s">
        <v>233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233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233</v>
      </c>
      <c r="AW2551" s="8" t="s">
        <v>233</v>
      </c>
      <c r="AX2551" s="4" t="s">
        <v>233</v>
      </c>
      <c r="AY2551" s="8" t="s">
        <v>233</v>
      </c>
      <c r="AZ2551" s="7" t="s">
        <v>233</v>
      </c>
      <c r="BA2551" s="7" t="s">
        <v>233</v>
      </c>
      <c r="BB2551" s="7" t="s">
        <v>233</v>
      </c>
      <c r="BC2551" s="4" t="s">
        <v>233</v>
      </c>
      <c r="BD2551" s="8" t="s">
        <v>233</v>
      </c>
      <c r="BE2551" s="4" t="s">
        <v>233</v>
      </c>
      <c r="BF2551" s="8" t="s">
        <v>233</v>
      </c>
      <c r="BG2551" s="7" t="s">
        <v>233</v>
      </c>
      <c r="BH2551" s="7" t="s">
        <v>233</v>
      </c>
      <c r="BI2551" s="7"/>
      <c r="BJ2551" s="4">
        <v>1</v>
      </c>
      <c r="BK2551" s="8">
        <v>37.17</v>
      </c>
      <c r="BL2551" s="2" t="s">
        <v>1028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11279</v>
      </c>
      <c r="BV2551" s="2" t="s">
        <v>233</v>
      </c>
      <c r="BW2551" s="2" t="s">
        <v>233</v>
      </c>
      <c r="BX2551" s="2" t="s">
        <v>233</v>
      </c>
      <c r="BY2551" s="2" t="s">
        <v>280</v>
      </c>
      <c r="BZ2551" s="2" t="s">
        <v>245</v>
      </c>
      <c r="CA2551" s="2" t="s">
        <v>11277</v>
      </c>
      <c r="CB2551" s="2" t="s">
        <v>3693</v>
      </c>
      <c r="CC2551" s="2" t="s">
        <v>246</v>
      </c>
      <c r="CD2551" s="2" t="s">
        <v>233</v>
      </c>
      <c r="CE2551" s="4"/>
      <c r="CF2551" s="4">
        <v>20</v>
      </c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  <c r="DP2551" s="4"/>
      <c r="DQ2551" s="4"/>
      <c r="DR2551" s="4"/>
      <c r="DS2551" s="4"/>
      <c r="DT2551" s="4"/>
      <c r="DU2551" s="4"/>
      <c r="DV2551" s="4"/>
      <c r="DW2551" s="4"/>
      <c r="DX2551" s="4"/>
      <c r="DY2551" s="4"/>
      <c r="DZ2551" s="4"/>
      <c r="EA2551" s="4"/>
      <c r="EB2551" s="4"/>
      <c r="EC2551" s="4"/>
      <c r="ED2551" s="4"/>
      <c r="EE2551" s="4"/>
      <c r="EF2551" s="4"/>
      <c r="EG2551" s="4"/>
      <c r="EH2551" s="4"/>
      <c r="EI2551" s="4"/>
      <c r="EJ2551" s="4"/>
      <c r="EK2551" s="4"/>
      <c r="EL2551" s="4"/>
      <c r="EM2551" s="4"/>
      <c r="EN2551" s="4"/>
      <c r="EO2551" s="4"/>
      <c r="EP2551" s="4"/>
      <c r="EQ2551" s="4"/>
      <c r="ER2551" s="4"/>
      <c r="ES2551" s="4"/>
      <c r="ET2551" s="4"/>
      <c r="EU2551" s="4"/>
      <c r="EV2551" s="4"/>
      <c r="EW2551" s="4"/>
      <c r="EX2551" s="4"/>
      <c r="EY2551" s="4"/>
      <c r="EZ2551" s="4"/>
      <c r="FA2551" s="4"/>
      <c r="FB2551" s="4"/>
      <c r="FC2551" s="4"/>
      <c r="FD2551" s="4"/>
      <c r="FE2551" s="4"/>
      <c r="FF2551" s="4"/>
      <c r="FG2551" s="4"/>
      <c r="FH2551" s="4"/>
      <c r="FI2551" s="4"/>
      <c r="FJ2551" s="4"/>
      <c r="FK2551" s="4"/>
      <c r="FL2551" s="4"/>
      <c r="FM2551" s="4"/>
      <c r="FN2551" s="4"/>
      <c r="FO2551" s="4"/>
      <c r="FP2551" s="4"/>
      <c r="FQ2551" s="4"/>
      <c r="FR2551" s="4"/>
      <c r="FS2551" s="4"/>
      <c r="FT2551" s="4"/>
      <c r="FU2551" s="4"/>
      <c r="FV2551" s="4"/>
      <c r="FW2551" s="4"/>
      <c r="FX2551" s="4"/>
      <c r="FY2551" s="4"/>
      <c r="FZ2551" s="4"/>
      <c r="GA2551" s="4"/>
      <c r="GB2551" s="4"/>
      <c r="GC2551" s="4"/>
      <c r="GD2551" s="4"/>
      <c r="GE2551" s="4"/>
      <c r="GF2551" s="4"/>
      <c r="GG2551" s="4"/>
      <c r="GH2551" s="4"/>
      <c r="GI2551" s="4"/>
      <c r="GJ2551" s="4"/>
      <c r="GK2551" s="4"/>
      <c r="GL2551" s="4"/>
      <c r="GM2551" s="4"/>
      <c r="GN2551" s="4"/>
      <c r="GO2551" s="4"/>
      <c r="GP2551" s="4"/>
      <c r="GQ2551" s="4"/>
      <c r="GR2551" s="4"/>
      <c r="GS2551" s="4"/>
      <c r="GT2551" s="4"/>
      <c r="GU2551" s="4"/>
      <c r="GV2551" s="4"/>
      <c r="GW2551" s="4"/>
      <c r="GX2551" s="4"/>
      <c r="GY2551" s="4"/>
      <c r="GZ2551" s="4"/>
      <c r="HA2551" s="4"/>
      <c r="HB2551" s="4"/>
      <c r="HC2551" s="4"/>
      <c r="HD2551" s="4"/>
      <c r="HE2551" s="4"/>
      <c r="HF2551" s="4"/>
      <c r="HG2551" s="4"/>
      <c r="HH2551" s="4"/>
      <c r="HI2551" s="4"/>
      <c r="HJ2551" s="4"/>
      <c r="HK2551" s="4"/>
      <c r="HL2551" s="4"/>
      <c r="HM2551" s="4"/>
      <c r="HN2551" s="4"/>
      <c r="HO2551" s="4"/>
      <c r="HP2551" s="4"/>
      <c r="HQ2551" s="4"/>
      <c r="HR2551" s="4"/>
    </row>
    <row r="2552">
      <c r="A2552" s="2" t="s">
        <v>11280</v>
      </c>
      <c r="B2552" s="2" t="s">
        <v>1066</v>
      </c>
      <c r="C2552" s="2" t="s">
        <v>901</v>
      </c>
      <c r="D2552" s="2" t="s">
        <v>1782</v>
      </c>
      <c r="E2552" s="2" t="s">
        <v>2131</v>
      </c>
      <c r="F2552" s="2" t="s">
        <v>11281</v>
      </c>
      <c r="G2552" s="2" t="s">
        <v>11281</v>
      </c>
      <c r="H2552" s="2" t="s">
        <v>11281</v>
      </c>
      <c r="I2552" s="2" t="s">
        <v>2131</v>
      </c>
      <c r="J2552" s="2" t="s">
        <v>892</v>
      </c>
      <c r="K2552" s="2" t="s">
        <v>1125</v>
      </c>
      <c r="L2552" s="3">
        <v>157.3</v>
      </c>
      <c r="M2552" s="3">
        <v>165.16</v>
      </c>
      <c r="N2552" s="3">
        <v>329</v>
      </c>
      <c r="O2552" s="2" t="s">
        <v>237</v>
      </c>
      <c r="P2552" s="2" t="s">
        <v>311</v>
      </c>
      <c r="Q2552" s="2" t="s">
        <v>239</v>
      </c>
      <c r="R2552" s="2" t="s">
        <v>233</v>
      </c>
      <c r="S2552" s="2" t="s">
        <v>233</v>
      </c>
      <c r="T2552" s="2" t="s">
        <v>233</v>
      </c>
      <c r="U2552" s="2" t="s">
        <v>396</v>
      </c>
      <c r="V2552" s="2" t="s">
        <v>241</v>
      </c>
      <c r="W2552" s="2" t="s">
        <v>397</v>
      </c>
      <c r="X2552" s="2" t="s">
        <v>451</v>
      </c>
      <c r="Y2552" s="2" t="s">
        <v>1383</v>
      </c>
      <c r="Z2552" s="4">
        <v>78</v>
      </c>
      <c r="AA2552" s="4">
        <f>=ROUNDDOWN(130,0)</f>
      </c>
      <c r="AB2552" s="5">
        <v>0.6</v>
      </c>
      <c r="AC2552" s="2" t="s">
        <v>233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233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/>
      <c r="BD2552" s="8"/>
      <c r="BE2552" s="4"/>
      <c r="BF2552" s="8"/>
      <c r="BG2552" s="7"/>
      <c r="BH2552" s="7"/>
      <c r="BI2552" s="7"/>
      <c r="BJ2552" s="4">
        <v>1</v>
      </c>
      <c r="BK2552" s="8">
        <v>97.02</v>
      </c>
      <c r="BL2552" s="2" t="s">
        <v>11282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11283</v>
      </c>
      <c r="BV2552" s="2" t="s">
        <v>233</v>
      </c>
      <c r="BW2552" s="2" t="s">
        <v>233</v>
      </c>
      <c r="BX2552" s="2" t="s">
        <v>233</v>
      </c>
      <c r="BY2552" s="2" t="s">
        <v>280</v>
      </c>
      <c r="BZ2552" s="2" t="s">
        <v>245</v>
      </c>
      <c r="CA2552" s="2" t="s">
        <v>10118</v>
      </c>
      <c r="CB2552" s="2" t="s">
        <v>6402</v>
      </c>
      <c r="CC2552" s="2" t="s">
        <v>246</v>
      </c>
      <c r="CD2552" s="2" t="s">
        <v>233</v>
      </c>
      <c r="CE2552" s="4"/>
      <c r="CF2552" s="4">
        <v>78</v>
      </c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  <c r="DP2552" s="4"/>
      <c r="DQ2552" s="4"/>
      <c r="DR2552" s="4"/>
      <c r="DS2552" s="4"/>
      <c r="DT2552" s="4"/>
      <c r="DU2552" s="4"/>
      <c r="DV2552" s="4"/>
      <c r="DW2552" s="4"/>
      <c r="DX2552" s="4"/>
      <c r="DY2552" s="4"/>
      <c r="DZ2552" s="4"/>
      <c r="EA2552" s="4"/>
      <c r="EB2552" s="4"/>
      <c r="EC2552" s="4"/>
      <c r="ED2552" s="4"/>
      <c r="EE2552" s="4"/>
      <c r="EF2552" s="4"/>
      <c r="EG2552" s="4"/>
      <c r="EH2552" s="4"/>
      <c r="EI2552" s="4"/>
      <c r="EJ2552" s="4"/>
      <c r="EK2552" s="4"/>
      <c r="EL2552" s="4"/>
      <c r="EM2552" s="4"/>
      <c r="EN2552" s="4"/>
      <c r="EO2552" s="4"/>
      <c r="EP2552" s="4"/>
      <c r="EQ2552" s="4"/>
      <c r="ER2552" s="4"/>
      <c r="ES2552" s="4"/>
      <c r="ET2552" s="4"/>
      <c r="EU2552" s="4"/>
      <c r="EV2552" s="4"/>
      <c r="EW2552" s="4"/>
      <c r="EX2552" s="4"/>
      <c r="EY2552" s="4"/>
      <c r="EZ2552" s="4"/>
      <c r="FA2552" s="4"/>
      <c r="FB2552" s="4"/>
      <c r="FC2552" s="4"/>
      <c r="FD2552" s="4"/>
      <c r="FE2552" s="4"/>
      <c r="FF2552" s="4"/>
      <c r="FG2552" s="4"/>
      <c r="FH2552" s="4"/>
      <c r="FI2552" s="4"/>
      <c r="FJ2552" s="4"/>
      <c r="FK2552" s="4"/>
      <c r="FL2552" s="4"/>
      <c r="FM2552" s="4"/>
      <c r="FN2552" s="4"/>
      <c r="FO2552" s="4"/>
      <c r="FP2552" s="4"/>
      <c r="FQ2552" s="4"/>
      <c r="FR2552" s="4"/>
      <c r="FS2552" s="4"/>
      <c r="FT2552" s="4"/>
      <c r="FU2552" s="4"/>
      <c r="FV2552" s="4"/>
      <c r="FW2552" s="4"/>
      <c r="FX2552" s="4"/>
      <c r="FY2552" s="4"/>
      <c r="FZ2552" s="4"/>
      <c r="GA2552" s="4"/>
      <c r="GB2552" s="4"/>
      <c r="GC2552" s="4"/>
      <c r="GD2552" s="4"/>
      <c r="GE2552" s="4"/>
      <c r="GF2552" s="4"/>
      <c r="GG2552" s="4"/>
      <c r="GH2552" s="4"/>
      <c r="GI2552" s="4"/>
      <c r="GJ2552" s="4"/>
      <c r="GK2552" s="4"/>
      <c r="GL2552" s="4"/>
      <c r="GM2552" s="4"/>
      <c r="GN2552" s="4"/>
      <c r="GO2552" s="4"/>
      <c r="GP2552" s="4"/>
      <c r="GQ2552" s="4"/>
      <c r="GR2552" s="4"/>
      <c r="GS2552" s="4"/>
      <c r="GT2552" s="4"/>
      <c r="GU2552" s="4"/>
      <c r="GV2552" s="4"/>
      <c r="GW2552" s="4"/>
      <c r="GX2552" s="4"/>
      <c r="GY2552" s="4"/>
      <c r="GZ2552" s="4"/>
      <c r="HA2552" s="4"/>
      <c r="HB2552" s="4"/>
      <c r="HC2552" s="4"/>
      <c r="HD2552" s="4"/>
      <c r="HE2552" s="4"/>
      <c r="HF2552" s="4"/>
      <c r="HG2552" s="4"/>
      <c r="HH2552" s="4"/>
      <c r="HI2552" s="4"/>
      <c r="HJ2552" s="4"/>
      <c r="HK2552" s="4"/>
      <c r="HL2552" s="4"/>
      <c r="HM2552" s="4"/>
      <c r="HN2552" s="4"/>
      <c r="HO2552" s="4"/>
      <c r="HP2552" s="4"/>
      <c r="HQ2552" s="4"/>
      <c r="HR2552" s="4"/>
    </row>
    <row r="2553">
      <c r="A2553" s="2" t="s">
        <v>11284</v>
      </c>
      <c r="B2553" s="2" t="s">
        <v>1242</v>
      </c>
      <c r="C2553" s="2" t="s">
        <v>1986</v>
      </c>
      <c r="D2553" s="2" t="s">
        <v>1194</v>
      </c>
      <c r="E2553" s="2" t="s">
        <v>1987</v>
      </c>
      <c r="F2553" s="2" t="s">
        <v>11285</v>
      </c>
      <c r="G2553" s="2" t="s">
        <v>11285</v>
      </c>
      <c r="H2553" s="2" t="s">
        <v>11285</v>
      </c>
      <c r="I2553" s="2" t="s">
        <v>2497</v>
      </c>
      <c r="J2553" s="2" t="s">
        <v>1200</v>
      </c>
      <c r="K2553" s="2" t="s">
        <v>984</v>
      </c>
      <c r="L2553" s="3">
        <v>34.04</v>
      </c>
      <c r="M2553" s="3">
        <v>35.74</v>
      </c>
      <c r="N2553" s="3">
        <v>109.99</v>
      </c>
      <c r="O2553" s="2" t="s">
        <v>245</v>
      </c>
      <c r="P2553" s="2" t="s">
        <v>393</v>
      </c>
      <c r="Q2553" s="2" t="s">
        <v>239</v>
      </c>
      <c r="R2553" s="2" t="s">
        <v>233</v>
      </c>
      <c r="S2553" s="2" t="s">
        <v>233</v>
      </c>
      <c r="T2553" s="2" t="s">
        <v>233</v>
      </c>
      <c r="U2553" s="2" t="s">
        <v>396</v>
      </c>
      <c r="V2553" s="2" t="s">
        <v>241</v>
      </c>
      <c r="W2553" s="2" t="s">
        <v>776</v>
      </c>
      <c r="X2553" s="2" t="s">
        <v>233</v>
      </c>
      <c r="Y2553" s="2" t="s">
        <v>1669</v>
      </c>
      <c r="Z2553" s="4">
        <v>215</v>
      </c>
      <c r="AA2553" s="4">
        <f>=ROUNDDOWN(215,0)</f>
      </c>
      <c r="AB2553" s="5">
        <v>1</v>
      </c>
      <c r="AC2553" s="2" t="s">
        <v>233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233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233</v>
      </c>
      <c r="BD2553" s="8" t="s">
        <v>233</v>
      </c>
      <c r="BE2553" s="4" t="s">
        <v>233</v>
      </c>
      <c r="BF2553" s="8" t="s">
        <v>233</v>
      </c>
      <c r="BG2553" s="7" t="s">
        <v>233</v>
      </c>
      <c r="BH2553" s="7" t="s">
        <v>233</v>
      </c>
      <c r="BI2553" s="7"/>
      <c r="BJ2553" s="4">
        <v>2</v>
      </c>
      <c r="BK2553" s="8">
        <v>77.56</v>
      </c>
      <c r="BL2553" s="2" t="s">
        <v>5070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11286</v>
      </c>
      <c r="BV2553" s="2" t="s">
        <v>233</v>
      </c>
      <c r="BW2553" s="2" t="s">
        <v>233</v>
      </c>
      <c r="BX2553" s="2" t="s">
        <v>233</v>
      </c>
      <c r="BY2553" s="2" t="s">
        <v>280</v>
      </c>
      <c r="BZ2553" s="2" t="s">
        <v>245</v>
      </c>
      <c r="CA2553" s="2" t="s">
        <v>1613</v>
      </c>
      <c r="CB2553" s="2" t="s">
        <v>716</v>
      </c>
      <c r="CC2553" s="2" t="s">
        <v>246</v>
      </c>
      <c r="CD2553" s="2" t="s">
        <v>233</v>
      </c>
      <c r="CE2553" s="4">
        <v>215</v>
      </c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/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  <c r="DP2553" s="4"/>
      <c r="DQ2553" s="4"/>
      <c r="DR2553" s="4"/>
      <c r="DS2553" s="4"/>
      <c r="DT2553" s="4"/>
      <c r="DU2553" s="4"/>
      <c r="DV2553" s="4"/>
      <c r="DW2553" s="4"/>
      <c r="DX2553" s="4"/>
      <c r="DY2553" s="4"/>
      <c r="DZ2553" s="4"/>
      <c r="EA2553" s="4"/>
      <c r="EB2553" s="4"/>
      <c r="EC2553" s="4"/>
      <c r="ED2553" s="4"/>
      <c r="EE2553" s="4"/>
      <c r="EF2553" s="4"/>
      <c r="EG2553" s="4"/>
      <c r="EH2553" s="4"/>
      <c r="EI2553" s="4"/>
      <c r="EJ2553" s="4"/>
      <c r="EK2553" s="4"/>
      <c r="EL2553" s="4"/>
      <c r="EM2553" s="4"/>
      <c r="EN2553" s="4"/>
      <c r="EO2553" s="4"/>
      <c r="EP2553" s="4"/>
      <c r="EQ2553" s="4"/>
      <c r="ER2553" s="4"/>
      <c r="ES2553" s="4"/>
      <c r="ET2553" s="4"/>
      <c r="EU2553" s="4"/>
      <c r="EV2553" s="4"/>
      <c r="EW2553" s="4"/>
      <c r="EX2553" s="4"/>
      <c r="EY2553" s="4"/>
      <c r="EZ2553" s="4"/>
      <c r="FA2553" s="4"/>
      <c r="FB2553" s="4"/>
      <c r="FC2553" s="4"/>
      <c r="FD2553" s="4"/>
      <c r="FE2553" s="4"/>
      <c r="FF2553" s="4"/>
      <c r="FG2553" s="4"/>
      <c r="FH2553" s="4"/>
      <c r="FI2553" s="4"/>
      <c r="FJ2553" s="4"/>
      <c r="FK2553" s="4"/>
      <c r="FL2553" s="4"/>
      <c r="FM2553" s="4"/>
      <c r="FN2553" s="4"/>
      <c r="FO2553" s="4"/>
      <c r="FP2553" s="4"/>
      <c r="FQ2553" s="4"/>
      <c r="FR2553" s="4"/>
      <c r="FS2553" s="4"/>
      <c r="FT2553" s="4"/>
      <c r="FU2553" s="4"/>
      <c r="FV2553" s="4"/>
      <c r="FW2553" s="4"/>
      <c r="FX2553" s="4"/>
      <c r="FY2553" s="4"/>
      <c r="FZ2553" s="4"/>
      <c r="GA2553" s="4"/>
      <c r="GB2553" s="4"/>
      <c r="GC2553" s="4"/>
      <c r="GD2553" s="4"/>
      <c r="GE2553" s="4"/>
      <c r="GF2553" s="4"/>
      <c r="GG2553" s="4"/>
      <c r="GH2553" s="4"/>
      <c r="GI2553" s="4"/>
      <c r="GJ2553" s="4"/>
      <c r="GK2553" s="4"/>
      <c r="GL2553" s="4"/>
      <c r="GM2553" s="4"/>
      <c r="GN2553" s="4"/>
      <c r="GO2553" s="4"/>
      <c r="GP2553" s="4"/>
      <c r="GQ2553" s="4"/>
      <c r="GR2553" s="4"/>
      <c r="GS2553" s="4"/>
      <c r="GT2553" s="4"/>
      <c r="GU2553" s="4"/>
      <c r="GV2553" s="4"/>
      <c r="GW2553" s="4"/>
      <c r="GX2553" s="4"/>
      <c r="GY2553" s="4"/>
      <c r="GZ2553" s="4"/>
      <c r="HA2553" s="4"/>
      <c r="HB2553" s="4"/>
      <c r="HC2553" s="4"/>
      <c r="HD2553" s="4"/>
      <c r="HE2553" s="4"/>
      <c r="HF2553" s="4"/>
      <c r="HG2553" s="4"/>
      <c r="HH2553" s="4"/>
      <c r="HI2553" s="4"/>
      <c r="HJ2553" s="4"/>
      <c r="HK2553" s="4"/>
      <c r="HL2553" s="4"/>
      <c r="HM2553" s="4"/>
      <c r="HN2553" s="4"/>
      <c r="HO2553" s="4"/>
      <c r="HP2553" s="4"/>
      <c r="HQ2553" s="4"/>
      <c r="HR2553" s="4"/>
    </row>
    <row r="2554">
      <c r="A2554" s="2" t="s">
        <v>11287</v>
      </c>
      <c r="B2554" s="2" t="s">
        <v>1242</v>
      </c>
      <c r="C2554" s="2" t="s">
        <v>1986</v>
      </c>
      <c r="D2554" s="2" t="s">
        <v>1194</v>
      </c>
      <c r="E2554" s="2" t="s">
        <v>1987</v>
      </c>
      <c r="F2554" s="2" t="s">
        <v>11285</v>
      </c>
      <c r="G2554" s="2" t="s">
        <v>11285</v>
      </c>
      <c r="H2554" s="2" t="s">
        <v>11285</v>
      </c>
      <c r="I2554" s="2" t="s">
        <v>2497</v>
      </c>
      <c r="J2554" s="2" t="s">
        <v>1200</v>
      </c>
      <c r="K2554" s="2" t="s">
        <v>257</v>
      </c>
      <c r="L2554" s="3">
        <v>34.04</v>
      </c>
      <c r="M2554" s="3">
        <v>35.74</v>
      </c>
      <c r="N2554" s="3">
        <v>109.99</v>
      </c>
      <c r="O2554" s="2" t="s">
        <v>245</v>
      </c>
      <c r="P2554" s="2" t="s">
        <v>272</v>
      </c>
      <c r="Q2554" s="2" t="s">
        <v>239</v>
      </c>
      <c r="R2554" s="2" t="s">
        <v>233</v>
      </c>
      <c r="S2554" s="2" t="s">
        <v>233</v>
      </c>
      <c r="T2554" s="2" t="s">
        <v>233</v>
      </c>
      <c r="U2554" s="2" t="s">
        <v>396</v>
      </c>
      <c r="V2554" s="2" t="s">
        <v>241</v>
      </c>
      <c r="W2554" s="2" t="s">
        <v>776</v>
      </c>
      <c r="X2554" s="2" t="s">
        <v>233</v>
      </c>
      <c r="Y2554" s="2" t="s">
        <v>1669</v>
      </c>
      <c r="Z2554" s="4">
        <v>82</v>
      </c>
      <c r="AA2554" s="4">
        <f>=ROUNDDOWN(41,0)</f>
      </c>
      <c r="AB2554" s="5">
        <v>2</v>
      </c>
      <c r="AC2554" s="2" t="s">
        <v>825</v>
      </c>
      <c r="AD2554" s="4">
        <v>130</v>
      </c>
      <c r="AE2554" s="4">
        <v>130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233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233</v>
      </c>
      <c r="BD2554" s="8" t="s">
        <v>233</v>
      </c>
      <c r="BE2554" s="4" t="s">
        <v>233</v>
      </c>
      <c r="BF2554" s="8" t="s">
        <v>233</v>
      </c>
      <c r="BG2554" s="7" t="s">
        <v>233</v>
      </c>
      <c r="BH2554" s="7" t="s">
        <v>233</v>
      </c>
      <c r="BI2554" s="7"/>
      <c r="BJ2554" s="4">
        <v>2</v>
      </c>
      <c r="BK2554" s="8">
        <v>186.98</v>
      </c>
      <c r="BL2554" s="2" t="s">
        <v>1602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11288</v>
      </c>
      <c r="BV2554" s="2" t="s">
        <v>233</v>
      </c>
      <c r="BW2554" s="2" t="s">
        <v>233</v>
      </c>
      <c r="BX2554" s="2" t="s">
        <v>233</v>
      </c>
      <c r="BY2554" s="2" t="s">
        <v>280</v>
      </c>
      <c r="BZ2554" s="2" t="s">
        <v>245</v>
      </c>
      <c r="CA2554" s="2" t="s">
        <v>1613</v>
      </c>
      <c r="CB2554" s="2" t="s">
        <v>5074</v>
      </c>
      <c r="CC2554" s="2" t="s">
        <v>246</v>
      </c>
      <c r="CD2554" s="2" t="s">
        <v>233</v>
      </c>
      <c r="CE2554" s="4">
        <v>82</v>
      </c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  <c r="DP2554" s="4"/>
      <c r="DQ2554" s="4"/>
      <c r="DR2554" s="4"/>
      <c r="DS2554" s="4"/>
      <c r="DT2554" s="4"/>
      <c r="DU2554" s="4"/>
      <c r="DV2554" s="4"/>
      <c r="DW2554" s="4"/>
      <c r="DX2554" s="4"/>
      <c r="DY2554" s="4"/>
      <c r="DZ2554" s="4"/>
      <c r="EA2554" s="4"/>
      <c r="EB2554" s="4"/>
      <c r="EC2554" s="4"/>
      <c r="ED2554" s="4"/>
      <c r="EE2554" s="4"/>
      <c r="EF2554" s="4"/>
      <c r="EG2554" s="4"/>
      <c r="EH2554" s="4"/>
      <c r="EI2554" s="4"/>
      <c r="EJ2554" s="4"/>
      <c r="EK2554" s="4"/>
      <c r="EL2554" s="4"/>
      <c r="EM2554" s="4"/>
      <c r="EN2554" s="4"/>
      <c r="EO2554" s="4"/>
      <c r="EP2554" s="4"/>
      <c r="EQ2554" s="4"/>
      <c r="ER2554" s="4"/>
      <c r="ES2554" s="4"/>
      <c r="ET2554" s="4"/>
      <c r="EU2554" s="4"/>
      <c r="EV2554" s="4"/>
      <c r="EW2554" s="4"/>
      <c r="EX2554" s="4"/>
      <c r="EY2554" s="4"/>
      <c r="EZ2554" s="4"/>
      <c r="FA2554" s="4"/>
      <c r="FB2554" s="4"/>
      <c r="FC2554" s="4"/>
      <c r="FD2554" s="4"/>
      <c r="FE2554" s="4"/>
      <c r="FF2554" s="4"/>
      <c r="FG2554" s="4"/>
      <c r="FH2554" s="4"/>
      <c r="FI2554" s="4"/>
      <c r="FJ2554" s="4"/>
      <c r="FK2554" s="4"/>
      <c r="FL2554" s="4"/>
      <c r="FM2554" s="4"/>
      <c r="FN2554" s="4"/>
      <c r="FO2554" s="4"/>
      <c r="FP2554" s="4"/>
      <c r="FQ2554" s="4"/>
      <c r="FR2554" s="4"/>
      <c r="FS2554" s="4"/>
      <c r="FT2554" s="4"/>
      <c r="FU2554" s="4"/>
      <c r="FV2554" s="4"/>
      <c r="FW2554" s="4"/>
      <c r="FX2554" s="4"/>
      <c r="FY2554" s="4"/>
      <c r="FZ2554" s="4"/>
      <c r="GA2554" s="4"/>
      <c r="GB2554" s="4"/>
      <c r="GC2554" s="4"/>
      <c r="GD2554" s="4"/>
      <c r="GE2554" s="4">
        <v>130</v>
      </c>
      <c r="GF2554" s="4"/>
      <c r="GG2554" s="4"/>
      <c r="GH2554" s="4"/>
      <c r="GI2554" s="4"/>
      <c r="GJ2554" s="4"/>
      <c r="GK2554" s="4"/>
      <c r="GL2554" s="4"/>
      <c r="GM2554" s="4"/>
      <c r="GN2554" s="4"/>
      <c r="GO2554" s="4"/>
      <c r="GP2554" s="4"/>
      <c r="GQ2554" s="4"/>
      <c r="GR2554" s="4"/>
      <c r="GS2554" s="4"/>
      <c r="GT2554" s="4"/>
      <c r="GU2554" s="4"/>
      <c r="GV2554" s="4"/>
      <c r="GW2554" s="4"/>
      <c r="GX2554" s="4"/>
      <c r="GY2554" s="4"/>
      <c r="GZ2554" s="4"/>
      <c r="HA2554" s="4"/>
      <c r="HB2554" s="4"/>
      <c r="HC2554" s="4"/>
      <c r="HD2554" s="4"/>
      <c r="HE2554" s="4"/>
      <c r="HF2554" s="4"/>
      <c r="HG2554" s="4"/>
      <c r="HH2554" s="4"/>
      <c r="HI2554" s="4"/>
      <c r="HJ2554" s="4"/>
      <c r="HK2554" s="4"/>
      <c r="HL2554" s="4"/>
      <c r="HM2554" s="4"/>
      <c r="HN2554" s="4"/>
      <c r="HO2554" s="4"/>
      <c r="HP2554" s="4"/>
      <c r="HQ2554" s="4"/>
      <c r="HR2554" s="4"/>
    </row>
    <row r="2555">
      <c r="A2555" s="2" t="s">
        <v>11289</v>
      </c>
      <c r="B2555" s="2" t="s">
        <v>264</v>
      </c>
      <c r="C2555" s="2" t="s">
        <v>530</v>
      </c>
      <c r="D2555" s="2" t="s">
        <v>230</v>
      </c>
      <c r="E2555" s="2" t="s">
        <v>3058</v>
      </c>
      <c r="F2555" s="2" t="s">
        <v>11290</v>
      </c>
      <c r="G2555" s="2" t="s">
        <v>11291</v>
      </c>
      <c r="H2555" s="2" t="s">
        <v>11291</v>
      </c>
      <c r="I2555" s="2" t="s">
        <v>11292</v>
      </c>
      <c r="J2555" s="2" t="s">
        <v>270</v>
      </c>
      <c r="K2555" s="2" t="s">
        <v>1994</v>
      </c>
      <c r="L2555" s="3">
        <v>16.45</v>
      </c>
      <c r="M2555" s="3">
        <v>17.27</v>
      </c>
      <c r="N2555" s="3">
        <v>34.99</v>
      </c>
      <c r="O2555" s="2" t="s">
        <v>245</v>
      </c>
      <c r="P2555" s="2" t="s">
        <v>272</v>
      </c>
      <c r="Q2555" s="2" t="s">
        <v>239</v>
      </c>
      <c r="R2555" s="2" t="s">
        <v>233</v>
      </c>
      <c r="S2555" s="2" t="s">
        <v>11293</v>
      </c>
      <c r="T2555" s="2" t="s">
        <v>395</v>
      </c>
      <c r="U2555" s="2" t="s">
        <v>233</v>
      </c>
      <c r="V2555" s="2" t="s">
        <v>241</v>
      </c>
      <c r="W2555" s="2" t="s">
        <v>275</v>
      </c>
      <c r="X2555" s="2" t="s">
        <v>233</v>
      </c>
      <c r="Y2555" s="2" t="s">
        <v>11294</v>
      </c>
      <c r="Z2555" s="4">
        <v>1</v>
      </c>
      <c r="AA2555" s="4">
        <f>=ROUNDDOWN(0.142857142857143,0)</f>
      </c>
      <c r="AB2555" s="5">
        <v>7</v>
      </c>
      <c r="AC2555" s="2" t="s">
        <v>521</v>
      </c>
      <c r="AD2555" s="4">
        <v>150</v>
      </c>
      <c r="AE2555" s="4">
        <v>260</v>
      </c>
      <c r="AF2555" s="6">
        <v>65</v>
      </c>
      <c r="AG2555" s="6"/>
      <c r="AH2555" s="7">
        <v>0.3871</v>
      </c>
      <c r="AI2555" s="4"/>
      <c r="AJ2555" s="4">
        <f>=ROUNDDOWN({0},0)</f>
      </c>
      <c r="AK2555" s="5"/>
      <c r="AL2555" s="2" t="s">
        <v>233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/>
      <c r="BD2555" s="8"/>
      <c r="BE2555" s="4"/>
      <c r="BF2555" s="8"/>
      <c r="BG2555" s="7"/>
      <c r="BH2555" s="7"/>
      <c r="BI2555" s="7"/>
      <c r="BJ2555" s="4">
        <v>8</v>
      </c>
      <c r="BK2555" s="8">
        <v>179.69</v>
      </c>
      <c r="BL2555" s="2" t="s">
        <v>11295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11296</v>
      </c>
      <c r="BV2555" s="2" t="s">
        <v>233</v>
      </c>
      <c r="BW2555" s="2" t="s">
        <v>233</v>
      </c>
      <c r="BX2555" s="2" t="s">
        <v>798</v>
      </c>
      <c r="BY2555" s="2" t="s">
        <v>280</v>
      </c>
      <c r="BZ2555" s="2" t="s">
        <v>245</v>
      </c>
      <c r="CA2555" s="2" t="s">
        <v>8575</v>
      </c>
      <c r="CB2555" s="2" t="s">
        <v>1684</v>
      </c>
      <c r="CC2555" s="2" t="s">
        <v>246</v>
      </c>
      <c r="CD2555" s="2" t="s">
        <v>233</v>
      </c>
      <c r="CE2555" s="4">
        <v>1</v>
      </c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>
        <v>150</v>
      </c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  <c r="DP2555" s="4"/>
      <c r="DQ2555" s="4"/>
      <c r="DR2555" s="4"/>
      <c r="DS2555" s="4"/>
      <c r="DT2555" s="4"/>
      <c r="DU2555" s="4"/>
      <c r="DV2555" s="4"/>
      <c r="DW2555" s="4">
        <v>110</v>
      </c>
      <c r="DX2555" s="4"/>
      <c r="DY2555" s="4"/>
      <c r="DZ2555" s="4"/>
      <c r="EA2555" s="4"/>
      <c r="EB2555" s="4"/>
      <c r="EC2555" s="4"/>
      <c r="ED2555" s="4"/>
      <c r="EE2555" s="4"/>
      <c r="EF2555" s="4"/>
      <c r="EG2555" s="4"/>
      <c r="EH2555" s="4"/>
      <c r="EI2555" s="4"/>
      <c r="EJ2555" s="4"/>
      <c r="EK2555" s="4"/>
      <c r="EL2555" s="4"/>
      <c r="EM2555" s="4"/>
      <c r="EN2555" s="4"/>
      <c r="EO2555" s="4"/>
      <c r="EP2555" s="4"/>
      <c r="EQ2555" s="4"/>
      <c r="ER2555" s="4"/>
      <c r="ES2555" s="4"/>
      <c r="ET2555" s="4"/>
      <c r="EU2555" s="4"/>
      <c r="EV2555" s="4"/>
      <c r="EW2555" s="4"/>
      <c r="EX2555" s="4"/>
      <c r="EY2555" s="4"/>
      <c r="EZ2555" s="4"/>
      <c r="FA2555" s="4"/>
      <c r="FB2555" s="4"/>
      <c r="FC2555" s="4"/>
      <c r="FD2555" s="4"/>
      <c r="FE2555" s="4"/>
      <c r="FF2555" s="4"/>
      <c r="FG2555" s="4"/>
      <c r="FH2555" s="4"/>
      <c r="FI2555" s="4"/>
      <c r="FJ2555" s="4"/>
      <c r="FK2555" s="4"/>
      <c r="FL2555" s="4"/>
      <c r="FM2555" s="4"/>
      <c r="FN2555" s="4"/>
      <c r="FO2555" s="4"/>
      <c r="FP2555" s="4"/>
      <c r="FQ2555" s="4"/>
      <c r="FR2555" s="4"/>
      <c r="FS2555" s="4"/>
      <c r="FT2555" s="4"/>
      <c r="FU2555" s="4"/>
      <c r="FV2555" s="4"/>
      <c r="FW2555" s="4"/>
      <c r="FX2555" s="4"/>
      <c r="FY2555" s="4"/>
      <c r="FZ2555" s="4"/>
      <c r="GA2555" s="4"/>
      <c r="GB2555" s="4"/>
      <c r="GC2555" s="4"/>
      <c r="GD2555" s="4"/>
      <c r="GE2555" s="4"/>
      <c r="GF2555" s="4"/>
      <c r="GG2555" s="4"/>
      <c r="GH2555" s="4"/>
      <c r="GI2555" s="4"/>
      <c r="GJ2555" s="4"/>
      <c r="GK2555" s="4"/>
      <c r="GL2555" s="4"/>
      <c r="GM2555" s="4"/>
      <c r="GN2555" s="4"/>
      <c r="GO2555" s="4"/>
      <c r="GP2555" s="4"/>
      <c r="GQ2555" s="4"/>
      <c r="GR2555" s="4"/>
      <c r="GS2555" s="4"/>
      <c r="GT2555" s="4"/>
      <c r="GU2555" s="4"/>
      <c r="GV2555" s="4"/>
      <c r="GW2555" s="4"/>
      <c r="GX2555" s="4"/>
      <c r="GY2555" s="4"/>
      <c r="GZ2555" s="4"/>
      <c r="HA2555" s="4"/>
      <c r="HB2555" s="4"/>
      <c r="HC2555" s="4"/>
      <c r="HD2555" s="4"/>
      <c r="HE2555" s="4"/>
      <c r="HF2555" s="4"/>
      <c r="HG2555" s="4"/>
      <c r="HH2555" s="4"/>
      <c r="HI2555" s="4"/>
      <c r="HJ2555" s="4"/>
      <c r="HK2555" s="4"/>
      <c r="HL2555" s="4"/>
      <c r="HM2555" s="4"/>
      <c r="HN2555" s="4"/>
      <c r="HO2555" s="4"/>
      <c r="HP2555" s="4"/>
      <c r="HQ2555" s="4"/>
      <c r="HR2555" s="4"/>
    </row>
    <row r="2556">
      <c r="A2556" s="2" t="s">
        <v>11297</v>
      </c>
      <c r="B2556" s="2" t="s">
        <v>928</v>
      </c>
      <c r="C2556" s="2" t="s">
        <v>901</v>
      </c>
      <c r="D2556" s="2" t="s">
        <v>961</v>
      </c>
      <c r="E2556" s="2" t="s">
        <v>2028</v>
      </c>
      <c r="F2556" s="2" t="s">
        <v>11298</v>
      </c>
      <c r="G2556" s="2" t="s">
        <v>11298</v>
      </c>
      <c r="H2556" s="2" t="s">
        <v>11298</v>
      </c>
      <c r="I2556" s="2" t="s">
        <v>11299</v>
      </c>
      <c r="J2556" s="2" t="s">
        <v>892</v>
      </c>
      <c r="K2556" s="2" t="s">
        <v>984</v>
      </c>
      <c r="L2556" s="3">
        <v>27.85</v>
      </c>
      <c r="M2556" s="3">
        <v>29.24</v>
      </c>
      <c r="N2556" s="3">
        <v>64.99</v>
      </c>
      <c r="O2556" s="2" t="s">
        <v>245</v>
      </c>
      <c r="P2556" s="2" t="s">
        <v>238</v>
      </c>
      <c r="Q2556" s="2" t="s">
        <v>239</v>
      </c>
      <c r="R2556" s="2" t="s">
        <v>233</v>
      </c>
      <c r="S2556" s="2" t="s">
        <v>233</v>
      </c>
      <c r="T2556" s="2" t="s">
        <v>233</v>
      </c>
      <c r="U2556" s="2" t="s">
        <v>396</v>
      </c>
      <c r="V2556" s="2" t="s">
        <v>893</v>
      </c>
      <c r="W2556" s="2" t="s">
        <v>11300</v>
      </c>
      <c r="X2556" s="2" t="s">
        <v>978</v>
      </c>
      <c r="Y2556" s="2" t="s">
        <v>5534</v>
      </c>
      <c r="Z2556" s="4">
        <v>79</v>
      </c>
      <c r="AA2556" s="4">
        <f>=ROUNDDOWN(39.5,0)</f>
      </c>
      <c r="AB2556" s="5">
        <v>2</v>
      </c>
      <c r="AC2556" s="2" t="s">
        <v>233</v>
      </c>
      <c r="AD2556" s="4"/>
      <c r="AE2556" s="4"/>
      <c r="AF2556" s="6">
        <v>63</v>
      </c>
      <c r="AG2556" s="6"/>
      <c r="AH2556" s="7">
        <v>1</v>
      </c>
      <c r="AI2556" s="4"/>
      <c r="AJ2556" s="4">
        <f>=ROUNDDOWN({0},0)</f>
      </c>
      <c r="AK2556" s="5"/>
      <c r="AL2556" s="2" t="s">
        <v>233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/>
      <c r="BD2556" s="8"/>
      <c r="BE2556" s="4"/>
      <c r="BF2556" s="8"/>
      <c r="BG2556" s="7"/>
      <c r="BH2556" s="7"/>
      <c r="BI2556" s="7"/>
      <c r="BJ2556" s="4">
        <v>1</v>
      </c>
      <c r="BK2556" s="8">
        <v>29.24</v>
      </c>
      <c r="BL2556" s="2" t="s">
        <v>1028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11301</v>
      </c>
      <c r="BV2556" s="2" t="s">
        <v>233</v>
      </c>
      <c r="BW2556" s="2" t="s">
        <v>233</v>
      </c>
      <c r="BX2556" s="2" t="s">
        <v>243</v>
      </c>
      <c r="BY2556" s="2" t="s">
        <v>280</v>
      </c>
      <c r="BZ2556" s="2" t="s">
        <v>245</v>
      </c>
      <c r="CA2556" s="2" t="s">
        <v>1582</v>
      </c>
      <c r="CB2556" s="2" t="s">
        <v>233</v>
      </c>
      <c r="CC2556" s="2" t="s">
        <v>246</v>
      </c>
      <c r="CD2556" s="2" t="s">
        <v>233</v>
      </c>
      <c r="CE2556" s="4"/>
      <c r="CF2556" s="4">
        <v>79</v>
      </c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  <c r="DP2556" s="4"/>
      <c r="DQ2556" s="4"/>
      <c r="DR2556" s="4"/>
      <c r="DS2556" s="4"/>
      <c r="DT2556" s="4"/>
      <c r="DU2556" s="4"/>
      <c r="DV2556" s="4"/>
      <c r="DW2556" s="4"/>
      <c r="DX2556" s="4"/>
      <c r="DY2556" s="4"/>
      <c r="DZ2556" s="4"/>
      <c r="EA2556" s="4"/>
      <c r="EB2556" s="4"/>
      <c r="EC2556" s="4"/>
      <c r="ED2556" s="4"/>
      <c r="EE2556" s="4"/>
      <c r="EF2556" s="4"/>
      <c r="EG2556" s="4"/>
      <c r="EH2556" s="4"/>
      <c r="EI2556" s="4"/>
      <c r="EJ2556" s="4"/>
      <c r="EK2556" s="4"/>
      <c r="EL2556" s="4"/>
      <c r="EM2556" s="4"/>
      <c r="EN2556" s="4"/>
      <c r="EO2556" s="4"/>
      <c r="EP2556" s="4"/>
      <c r="EQ2556" s="4"/>
      <c r="ER2556" s="4"/>
      <c r="ES2556" s="4"/>
      <c r="ET2556" s="4"/>
      <c r="EU2556" s="4"/>
      <c r="EV2556" s="4"/>
      <c r="EW2556" s="4"/>
      <c r="EX2556" s="4"/>
      <c r="EY2556" s="4"/>
      <c r="EZ2556" s="4"/>
      <c r="FA2556" s="4"/>
      <c r="FB2556" s="4"/>
      <c r="FC2556" s="4"/>
      <c r="FD2556" s="4"/>
      <c r="FE2556" s="4"/>
      <c r="FF2556" s="4"/>
      <c r="FG2556" s="4"/>
      <c r="FH2556" s="4"/>
      <c r="FI2556" s="4"/>
      <c r="FJ2556" s="4"/>
      <c r="FK2556" s="4"/>
      <c r="FL2556" s="4"/>
      <c r="FM2556" s="4"/>
      <c r="FN2556" s="4"/>
      <c r="FO2556" s="4"/>
      <c r="FP2556" s="4"/>
      <c r="FQ2556" s="4"/>
      <c r="FR2556" s="4"/>
      <c r="FS2556" s="4"/>
      <c r="FT2556" s="4"/>
      <c r="FU2556" s="4"/>
      <c r="FV2556" s="4"/>
      <c r="FW2556" s="4"/>
      <c r="FX2556" s="4"/>
      <c r="FY2556" s="4"/>
      <c r="FZ2556" s="4"/>
      <c r="GA2556" s="4"/>
      <c r="GB2556" s="4"/>
      <c r="GC2556" s="4"/>
      <c r="GD2556" s="4"/>
      <c r="GE2556" s="4"/>
      <c r="GF2556" s="4"/>
      <c r="GG2556" s="4"/>
      <c r="GH2556" s="4"/>
      <c r="GI2556" s="4"/>
      <c r="GJ2556" s="4"/>
      <c r="GK2556" s="4"/>
      <c r="GL2556" s="4"/>
      <c r="GM2556" s="4"/>
      <c r="GN2556" s="4"/>
      <c r="GO2556" s="4"/>
      <c r="GP2556" s="4"/>
      <c r="GQ2556" s="4"/>
      <c r="GR2556" s="4"/>
      <c r="GS2556" s="4"/>
      <c r="GT2556" s="4"/>
      <c r="GU2556" s="4"/>
      <c r="GV2556" s="4"/>
      <c r="GW2556" s="4"/>
      <c r="GX2556" s="4"/>
      <c r="GY2556" s="4"/>
      <c r="GZ2556" s="4"/>
      <c r="HA2556" s="4"/>
      <c r="HB2556" s="4"/>
      <c r="HC2556" s="4"/>
      <c r="HD2556" s="4"/>
      <c r="HE2556" s="4"/>
      <c r="HF2556" s="4"/>
      <c r="HG2556" s="4"/>
      <c r="HH2556" s="4"/>
      <c r="HI2556" s="4"/>
      <c r="HJ2556" s="4"/>
      <c r="HK2556" s="4"/>
      <c r="HL2556" s="4"/>
      <c r="HM2556" s="4"/>
      <c r="HN2556" s="4"/>
      <c r="HO2556" s="4"/>
      <c r="HP2556" s="4"/>
      <c r="HQ2556" s="4"/>
      <c r="HR2556" s="4"/>
    </row>
    <row r="2557">
      <c r="A2557" s="2" t="s">
        <v>11302</v>
      </c>
      <c r="B2557" s="2" t="s">
        <v>1242</v>
      </c>
      <c r="C2557" s="2" t="s">
        <v>9503</v>
      </c>
      <c r="D2557" s="2" t="s">
        <v>969</v>
      </c>
      <c r="E2557" s="2" t="s">
        <v>1078</v>
      </c>
      <c r="F2557" s="2" t="s">
        <v>11303</v>
      </c>
      <c r="G2557" s="2" t="s">
        <v>233</v>
      </c>
      <c r="H2557" s="2" t="s">
        <v>233</v>
      </c>
      <c r="I2557" s="2" t="s">
        <v>11304</v>
      </c>
      <c r="J2557" s="2" t="s">
        <v>918</v>
      </c>
      <c r="K2557" s="2" t="s">
        <v>645</v>
      </c>
      <c r="L2557" s="3">
        <v>29.99</v>
      </c>
      <c r="M2557" s="3">
        <v>31.49</v>
      </c>
      <c r="N2557" s="3"/>
      <c r="O2557" s="2" t="s">
        <v>245</v>
      </c>
      <c r="P2557" s="2" t="s">
        <v>238</v>
      </c>
      <c r="Q2557" s="2" t="s">
        <v>239</v>
      </c>
      <c r="R2557" s="2" t="s">
        <v>9507</v>
      </c>
      <c r="S2557" s="2" t="s">
        <v>233</v>
      </c>
      <c r="T2557" s="2" t="s">
        <v>233</v>
      </c>
      <c r="U2557" s="2" t="s">
        <v>233</v>
      </c>
      <c r="V2557" s="2" t="s">
        <v>241</v>
      </c>
      <c r="W2557" s="2" t="s">
        <v>233</v>
      </c>
      <c r="X2557" s="2" t="s">
        <v>233</v>
      </c>
      <c r="Y2557" s="2" t="s">
        <v>3713</v>
      </c>
      <c r="Z2557" s="4"/>
      <c r="AA2557" s="4">
        <f>=ROUNDDOWN({0},0)</f>
      </c>
      <c r="AB2557" s="5"/>
      <c r="AC2557" s="2" t="s">
        <v>233</v>
      </c>
      <c r="AD2557" s="4"/>
      <c r="AE2557" s="4"/>
      <c r="AF2557" s="6"/>
      <c r="AG2557" s="6"/>
      <c r="AH2557" s="7">
        <v>0</v>
      </c>
      <c r="AI2557" s="4"/>
      <c r="AJ2557" s="4">
        <f>=ROUNDDOWN({0},0)</f>
      </c>
      <c r="AK2557" s="5"/>
      <c r="AL2557" s="2" t="s">
        <v>233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233</v>
      </c>
      <c r="AW2557" s="8" t="s">
        <v>233</v>
      </c>
      <c r="AX2557" s="4" t="s">
        <v>233</v>
      </c>
      <c r="AY2557" s="8" t="s">
        <v>233</v>
      </c>
      <c r="AZ2557" s="7" t="s">
        <v>233</v>
      </c>
      <c r="BA2557" s="7" t="s">
        <v>233</v>
      </c>
      <c r="BB2557" s="7"/>
      <c r="BC2557" s="4" t="s">
        <v>233</v>
      </c>
      <c r="BD2557" s="8" t="s">
        <v>233</v>
      </c>
      <c r="BE2557" s="4" t="s">
        <v>233</v>
      </c>
      <c r="BF2557" s="8" t="s">
        <v>233</v>
      </c>
      <c r="BG2557" s="7" t="s">
        <v>233</v>
      </c>
      <c r="BH2557" s="7" t="s">
        <v>233</v>
      </c>
      <c r="BI2557" s="7"/>
      <c r="BJ2557" s="4"/>
      <c r="BK2557" s="8"/>
      <c r="BL2557" s="2" t="s">
        <v>233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243</v>
      </c>
      <c r="BV2557" s="2" t="s">
        <v>233</v>
      </c>
      <c r="BW2557" s="2" t="s">
        <v>233</v>
      </c>
      <c r="BX2557" s="2" t="s">
        <v>233</v>
      </c>
      <c r="BY2557" s="2" t="s">
        <v>244</v>
      </c>
      <c r="BZ2557" s="2" t="s">
        <v>245</v>
      </c>
      <c r="CA2557" s="2" t="s">
        <v>233</v>
      </c>
      <c r="CB2557" s="2" t="s">
        <v>233</v>
      </c>
      <c r="CC2557" s="2" t="s">
        <v>246</v>
      </c>
      <c r="CD2557" s="2" t="s">
        <v>233</v>
      </c>
      <c r="CE2557" s="4"/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  <c r="DP2557" s="4"/>
      <c r="DQ2557" s="4"/>
      <c r="DR2557" s="4"/>
      <c r="DS2557" s="4"/>
      <c r="DT2557" s="4"/>
      <c r="DU2557" s="4"/>
      <c r="DV2557" s="4"/>
      <c r="DW2557" s="4"/>
      <c r="DX2557" s="4"/>
      <c r="DY2557" s="4"/>
      <c r="DZ2557" s="4"/>
      <c r="EA2557" s="4"/>
      <c r="EB2557" s="4"/>
      <c r="EC2557" s="4"/>
      <c r="ED2557" s="4"/>
      <c r="EE2557" s="4"/>
      <c r="EF2557" s="4"/>
      <c r="EG2557" s="4"/>
      <c r="EH2557" s="4"/>
      <c r="EI2557" s="4"/>
      <c r="EJ2557" s="4"/>
      <c r="EK2557" s="4"/>
      <c r="EL2557" s="4"/>
      <c r="EM2557" s="4"/>
      <c r="EN2557" s="4"/>
      <c r="EO2557" s="4"/>
      <c r="EP2557" s="4"/>
      <c r="EQ2557" s="4"/>
      <c r="ER2557" s="4"/>
      <c r="ES2557" s="4"/>
      <c r="ET2557" s="4"/>
      <c r="EU2557" s="4"/>
      <c r="EV2557" s="4"/>
      <c r="EW2557" s="4"/>
      <c r="EX2557" s="4"/>
      <c r="EY2557" s="4"/>
      <c r="EZ2557" s="4"/>
      <c r="FA2557" s="4"/>
      <c r="FB2557" s="4"/>
      <c r="FC2557" s="4"/>
      <c r="FD2557" s="4"/>
      <c r="FE2557" s="4"/>
      <c r="FF2557" s="4"/>
      <c r="FG2557" s="4"/>
      <c r="FH2557" s="4"/>
      <c r="FI2557" s="4"/>
      <c r="FJ2557" s="4"/>
      <c r="FK2557" s="4"/>
      <c r="FL2557" s="4"/>
      <c r="FM2557" s="4"/>
      <c r="FN2557" s="4"/>
      <c r="FO2557" s="4"/>
      <c r="FP2557" s="4"/>
      <c r="FQ2557" s="4"/>
      <c r="FR2557" s="4"/>
      <c r="FS2557" s="4"/>
      <c r="FT2557" s="4"/>
      <c r="FU2557" s="4"/>
      <c r="FV2557" s="4"/>
      <c r="FW2557" s="4"/>
      <c r="FX2557" s="4"/>
      <c r="FY2557" s="4"/>
      <c r="FZ2557" s="4"/>
      <c r="GA2557" s="4"/>
      <c r="GB2557" s="4"/>
      <c r="GC2557" s="4"/>
      <c r="GD2557" s="4"/>
      <c r="GE2557" s="4"/>
      <c r="GF2557" s="4"/>
      <c r="GG2557" s="4"/>
      <c r="GH2557" s="4"/>
      <c r="GI2557" s="4"/>
      <c r="GJ2557" s="4"/>
      <c r="GK2557" s="4"/>
      <c r="GL2557" s="4"/>
      <c r="GM2557" s="4"/>
      <c r="GN2557" s="4"/>
      <c r="GO2557" s="4"/>
      <c r="GP2557" s="4"/>
      <c r="GQ2557" s="4"/>
      <c r="GR2557" s="4"/>
      <c r="GS2557" s="4"/>
      <c r="GT2557" s="4"/>
      <c r="GU2557" s="4"/>
      <c r="GV2557" s="4"/>
      <c r="GW2557" s="4"/>
      <c r="GX2557" s="4"/>
      <c r="GY2557" s="4"/>
      <c r="GZ2557" s="4"/>
      <c r="HA2557" s="4"/>
      <c r="HB2557" s="4"/>
      <c r="HC2557" s="4"/>
      <c r="HD2557" s="4"/>
      <c r="HE2557" s="4"/>
      <c r="HF2557" s="4"/>
      <c r="HG2557" s="4"/>
      <c r="HH2557" s="4"/>
      <c r="HI2557" s="4"/>
      <c r="HJ2557" s="4"/>
      <c r="HK2557" s="4"/>
      <c r="HL2557" s="4"/>
      <c r="HM2557" s="4"/>
      <c r="HN2557" s="4"/>
      <c r="HO2557" s="4"/>
      <c r="HP2557" s="4"/>
      <c r="HQ2557" s="4"/>
      <c r="HR2557" s="4"/>
    </row>
    <row r="2558">
      <c r="A2558" s="2" t="s">
        <v>11305</v>
      </c>
      <c r="B2558" s="2" t="s">
        <v>1242</v>
      </c>
      <c r="C2558" s="2" t="s">
        <v>9503</v>
      </c>
      <c r="D2558" s="2" t="s">
        <v>969</v>
      </c>
      <c r="E2558" s="2" t="s">
        <v>1078</v>
      </c>
      <c r="F2558" s="2" t="s">
        <v>11303</v>
      </c>
      <c r="G2558" s="2" t="s">
        <v>233</v>
      </c>
      <c r="H2558" s="2" t="s">
        <v>233</v>
      </c>
      <c r="I2558" s="2" t="s">
        <v>11304</v>
      </c>
      <c r="J2558" s="2" t="s">
        <v>981</v>
      </c>
      <c r="K2558" s="2" t="s">
        <v>645</v>
      </c>
      <c r="L2558" s="3">
        <v>39.99</v>
      </c>
      <c r="M2558" s="3">
        <v>41.99</v>
      </c>
      <c r="N2558" s="3"/>
      <c r="O2558" s="2" t="s">
        <v>237</v>
      </c>
      <c r="P2558" s="2" t="s">
        <v>238</v>
      </c>
      <c r="Q2558" s="2" t="s">
        <v>239</v>
      </c>
      <c r="R2558" s="2" t="s">
        <v>9507</v>
      </c>
      <c r="S2558" s="2" t="s">
        <v>233</v>
      </c>
      <c r="T2558" s="2" t="s">
        <v>233</v>
      </c>
      <c r="U2558" s="2" t="s">
        <v>233</v>
      </c>
      <c r="V2558" s="2" t="s">
        <v>241</v>
      </c>
      <c r="W2558" s="2" t="s">
        <v>233</v>
      </c>
      <c r="X2558" s="2" t="s">
        <v>233</v>
      </c>
      <c r="Y2558" s="2" t="s">
        <v>3713</v>
      </c>
      <c r="Z2558" s="4"/>
      <c r="AA2558" s="4">
        <f>=ROUNDDOWN({0},0)</f>
      </c>
      <c r="AB2558" s="5"/>
      <c r="AC2558" s="2" t="s">
        <v>233</v>
      </c>
      <c r="AD2558" s="4"/>
      <c r="AE2558" s="4"/>
      <c r="AF2558" s="6"/>
      <c r="AG2558" s="6"/>
      <c r="AH2558" s="7">
        <v>0</v>
      </c>
      <c r="AI2558" s="4"/>
      <c r="AJ2558" s="4">
        <f>=ROUNDDOWN({0},0)</f>
      </c>
      <c r="AK2558" s="5"/>
      <c r="AL2558" s="2" t="s">
        <v>233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233</v>
      </c>
      <c r="AW2558" s="8" t="s">
        <v>233</v>
      </c>
      <c r="AX2558" s="4" t="s">
        <v>233</v>
      </c>
      <c r="AY2558" s="8" t="s">
        <v>233</v>
      </c>
      <c r="AZ2558" s="7" t="s">
        <v>233</v>
      </c>
      <c r="BA2558" s="7" t="s">
        <v>233</v>
      </c>
      <c r="BB2558" s="7"/>
      <c r="BC2558" s="4" t="s">
        <v>233</v>
      </c>
      <c r="BD2558" s="8" t="s">
        <v>233</v>
      </c>
      <c r="BE2558" s="4" t="s">
        <v>233</v>
      </c>
      <c r="BF2558" s="8" t="s">
        <v>233</v>
      </c>
      <c r="BG2558" s="7" t="s">
        <v>233</v>
      </c>
      <c r="BH2558" s="7" t="s">
        <v>233</v>
      </c>
      <c r="BI2558" s="7"/>
      <c r="BJ2558" s="4"/>
      <c r="BK2558" s="8"/>
      <c r="BL2558" s="2" t="s">
        <v>233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243</v>
      </c>
      <c r="BV2558" s="2" t="s">
        <v>233</v>
      </c>
      <c r="BW2558" s="2" t="s">
        <v>233</v>
      </c>
      <c r="BX2558" s="2" t="s">
        <v>233</v>
      </c>
      <c r="BY2558" s="2" t="s">
        <v>244</v>
      </c>
      <c r="BZ2558" s="2" t="s">
        <v>245</v>
      </c>
      <c r="CA2558" s="2" t="s">
        <v>233</v>
      </c>
      <c r="CB2558" s="2" t="s">
        <v>233</v>
      </c>
      <c r="CC2558" s="2" t="s">
        <v>246</v>
      </c>
      <c r="CD2558" s="2" t="s">
        <v>233</v>
      </c>
      <c r="CE2558" s="4"/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  <c r="DP2558" s="4"/>
      <c r="DQ2558" s="4"/>
      <c r="DR2558" s="4"/>
      <c r="DS2558" s="4"/>
      <c r="DT2558" s="4"/>
      <c r="DU2558" s="4"/>
      <c r="DV2558" s="4"/>
      <c r="DW2558" s="4"/>
      <c r="DX2558" s="4"/>
      <c r="DY2558" s="4"/>
      <c r="DZ2558" s="4"/>
      <c r="EA2558" s="4"/>
      <c r="EB2558" s="4"/>
      <c r="EC2558" s="4"/>
      <c r="ED2558" s="4"/>
      <c r="EE2558" s="4"/>
      <c r="EF2558" s="4"/>
      <c r="EG2558" s="4"/>
      <c r="EH2558" s="4"/>
      <c r="EI2558" s="4"/>
      <c r="EJ2558" s="4"/>
      <c r="EK2558" s="4"/>
      <c r="EL2558" s="4"/>
      <c r="EM2558" s="4"/>
      <c r="EN2558" s="4"/>
      <c r="EO2558" s="4"/>
      <c r="EP2558" s="4"/>
      <c r="EQ2558" s="4"/>
      <c r="ER2558" s="4"/>
      <c r="ES2558" s="4"/>
      <c r="ET2558" s="4"/>
      <c r="EU2558" s="4"/>
      <c r="EV2558" s="4"/>
      <c r="EW2558" s="4"/>
      <c r="EX2558" s="4"/>
      <c r="EY2558" s="4"/>
      <c r="EZ2558" s="4"/>
      <c r="FA2558" s="4"/>
      <c r="FB2558" s="4"/>
      <c r="FC2558" s="4"/>
      <c r="FD2558" s="4"/>
      <c r="FE2558" s="4"/>
      <c r="FF2558" s="4"/>
      <c r="FG2558" s="4"/>
      <c r="FH2558" s="4"/>
      <c r="FI2558" s="4"/>
      <c r="FJ2558" s="4"/>
      <c r="FK2558" s="4"/>
      <c r="FL2558" s="4"/>
      <c r="FM2558" s="4"/>
      <c r="FN2558" s="4"/>
      <c r="FO2558" s="4"/>
      <c r="FP2558" s="4"/>
      <c r="FQ2558" s="4"/>
      <c r="FR2558" s="4"/>
      <c r="FS2558" s="4"/>
      <c r="FT2558" s="4"/>
      <c r="FU2558" s="4"/>
      <c r="FV2558" s="4"/>
      <c r="FW2558" s="4"/>
      <c r="FX2558" s="4"/>
      <c r="FY2558" s="4"/>
      <c r="FZ2558" s="4"/>
      <c r="GA2558" s="4"/>
      <c r="GB2558" s="4"/>
      <c r="GC2558" s="4"/>
      <c r="GD2558" s="4"/>
      <c r="GE2558" s="4"/>
      <c r="GF2558" s="4"/>
      <c r="GG2558" s="4"/>
      <c r="GH2558" s="4"/>
      <c r="GI2558" s="4"/>
      <c r="GJ2558" s="4"/>
      <c r="GK2558" s="4"/>
      <c r="GL2558" s="4"/>
      <c r="GM2558" s="4"/>
      <c r="GN2558" s="4"/>
      <c r="GO2558" s="4"/>
      <c r="GP2558" s="4"/>
      <c r="GQ2558" s="4"/>
      <c r="GR2558" s="4"/>
      <c r="GS2558" s="4"/>
      <c r="GT2558" s="4"/>
      <c r="GU2558" s="4"/>
      <c r="GV2558" s="4"/>
      <c r="GW2558" s="4"/>
      <c r="GX2558" s="4"/>
      <c r="GY2558" s="4"/>
      <c r="GZ2558" s="4"/>
      <c r="HA2558" s="4"/>
      <c r="HB2558" s="4"/>
      <c r="HC2558" s="4"/>
      <c r="HD2558" s="4"/>
      <c r="HE2558" s="4"/>
      <c r="HF2558" s="4"/>
      <c r="HG2558" s="4"/>
      <c r="HH2558" s="4"/>
      <c r="HI2558" s="4"/>
      <c r="HJ2558" s="4"/>
      <c r="HK2558" s="4"/>
      <c r="HL2558" s="4"/>
      <c r="HM2558" s="4"/>
      <c r="HN2558" s="4"/>
      <c r="HO2558" s="4"/>
      <c r="HP2558" s="4"/>
      <c r="HQ2558" s="4"/>
      <c r="HR2558" s="4"/>
    </row>
    <row r="2559">
      <c r="A2559" s="2" t="s">
        <v>11306</v>
      </c>
      <c r="B2559" s="2" t="s">
        <v>1242</v>
      </c>
      <c r="C2559" s="2" t="s">
        <v>9503</v>
      </c>
      <c r="D2559" s="2" t="s">
        <v>969</v>
      </c>
      <c r="E2559" s="2" t="s">
        <v>1078</v>
      </c>
      <c r="F2559" s="2" t="s">
        <v>11303</v>
      </c>
      <c r="G2559" s="2" t="s">
        <v>233</v>
      </c>
      <c r="H2559" s="2" t="s">
        <v>233</v>
      </c>
      <c r="I2559" s="2" t="s">
        <v>11304</v>
      </c>
      <c r="J2559" s="2" t="s">
        <v>328</v>
      </c>
      <c r="K2559" s="2" t="s">
        <v>645</v>
      </c>
      <c r="L2559" s="3">
        <v>44.99</v>
      </c>
      <c r="M2559" s="3">
        <v>47.24</v>
      </c>
      <c r="N2559" s="3"/>
      <c r="O2559" s="2" t="s">
        <v>252</v>
      </c>
      <c r="P2559" s="2" t="s">
        <v>238</v>
      </c>
      <c r="Q2559" s="2" t="s">
        <v>239</v>
      </c>
      <c r="R2559" s="2" t="s">
        <v>9507</v>
      </c>
      <c r="S2559" s="2" t="s">
        <v>233</v>
      </c>
      <c r="T2559" s="2" t="s">
        <v>233</v>
      </c>
      <c r="U2559" s="2" t="s">
        <v>233</v>
      </c>
      <c r="V2559" s="2" t="s">
        <v>241</v>
      </c>
      <c r="W2559" s="2" t="s">
        <v>233</v>
      </c>
      <c r="X2559" s="2" t="s">
        <v>233</v>
      </c>
      <c r="Y2559" s="2" t="s">
        <v>3713</v>
      </c>
      <c r="Z2559" s="4"/>
      <c r="AA2559" s="4">
        <f>=ROUNDDOWN({0},0)</f>
      </c>
      <c r="AB2559" s="5"/>
      <c r="AC2559" s="2" t="s">
        <v>233</v>
      </c>
      <c r="AD2559" s="4"/>
      <c r="AE2559" s="4"/>
      <c r="AF2559" s="6"/>
      <c r="AG2559" s="6"/>
      <c r="AH2559" s="7">
        <v>0</v>
      </c>
      <c r="AI2559" s="4"/>
      <c r="AJ2559" s="4">
        <f>=ROUNDDOWN({0},0)</f>
      </c>
      <c r="AK2559" s="5"/>
      <c r="AL2559" s="2" t="s">
        <v>233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233</v>
      </c>
      <c r="AW2559" s="8" t="s">
        <v>233</v>
      </c>
      <c r="AX2559" s="4" t="s">
        <v>233</v>
      </c>
      <c r="AY2559" s="8" t="s">
        <v>233</v>
      </c>
      <c r="AZ2559" s="7" t="s">
        <v>233</v>
      </c>
      <c r="BA2559" s="7" t="s">
        <v>233</v>
      </c>
      <c r="BB2559" s="7"/>
      <c r="BC2559" s="4" t="s">
        <v>233</v>
      </c>
      <c r="BD2559" s="8" t="s">
        <v>233</v>
      </c>
      <c r="BE2559" s="4" t="s">
        <v>233</v>
      </c>
      <c r="BF2559" s="8" t="s">
        <v>233</v>
      </c>
      <c r="BG2559" s="7" t="s">
        <v>233</v>
      </c>
      <c r="BH2559" s="7" t="s">
        <v>233</v>
      </c>
      <c r="BI2559" s="7"/>
      <c r="BJ2559" s="4"/>
      <c r="BK2559" s="8"/>
      <c r="BL2559" s="2" t="s">
        <v>233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243</v>
      </c>
      <c r="BV2559" s="2" t="s">
        <v>233</v>
      </c>
      <c r="BW2559" s="2" t="s">
        <v>233</v>
      </c>
      <c r="BX2559" s="2" t="s">
        <v>233</v>
      </c>
      <c r="BY2559" s="2" t="s">
        <v>244</v>
      </c>
      <c r="BZ2559" s="2" t="s">
        <v>245</v>
      </c>
      <c r="CA2559" s="2" t="s">
        <v>233</v>
      </c>
      <c r="CB2559" s="2" t="s">
        <v>233</v>
      </c>
      <c r="CC2559" s="2" t="s">
        <v>246</v>
      </c>
      <c r="CD2559" s="2" t="s">
        <v>233</v>
      </c>
      <c r="CE2559" s="4"/>
      <c r="CF2559" s="4"/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  <c r="DP2559" s="4"/>
      <c r="DQ2559" s="4"/>
      <c r="DR2559" s="4"/>
      <c r="DS2559" s="4"/>
      <c r="DT2559" s="4"/>
      <c r="DU2559" s="4"/>
      <c r="DV2559" s="4"/>
      <c r="DW2559" s="4"/>
      <c r="DX2559" s="4"/>
      <c r="DY2559" s="4"/>
      <c r="DZ2559" s="4"/>
      <c r="EA2559" s="4"/>
      <c r="EB2559" s="4"/>
      <c r="EC2559" s="4"/>
      <c r="ED2559" s="4"/>
      <c r="EE2559" s="4"/>
      <c r="EF2559" s="4"/>
      <c r="EG2559" s="4"/>
      <c r="EH2559" s="4"/>
      <c r="EI2559" s="4"/>
      <c r="EJ2559" s="4"/>
      <c r="EK2559" s="4"/>
      <c r="EL2559" s="4"/>
      <c r="EM2559" s="4"/>
      <c r="EN2559" s="4"/>
      <c r="EO2559" s="4"/>
      <c r="EP2559" s="4"/>
      <c r="EQ2559" s="4"/>
      <c r="ER2559" s="4"/>
      <c r="ES2559" s="4"/>
      <c r="ET2559" s="4"/>
      <c r="EU2559" s="4"/>
      <c r="EV2559" s="4"/>
      <c r="EW2559" s="4"/>
      <c r="EX2559" s="4"/>
      <c r="EY2559" s="4"/>
      <c r="EZ2559" s="4"/>
      <c r="FA2559" s="4"/>
      <c r="FB2559" s="4"/>
      <c r="FC2559" s="4"/>
      <c r="FD2559" s="4"/>
      <c r="FE2559" s="4"/>
      <c r="FF2559" s="4"/>
      <c r="FG2559" s="4"/>
      <c r="FH2559" s="4"/>
      <c r="FI2559" s="4"/>
      <c r="FJ2559" s="4"/>
      <c r="FK2559" s="4"/>
      <c r="FL2559" s="4"/>
      <c r="FM2559" s="4"/>
      <c r="FN2559" s="4"/>
      <c r="FO2559" s="4"/>
      <c r="FP2559" s="4"/>
      <c r="FQ2559" s="4"/>
      <c r="FR2559" s="4"/>
      <c r="FS2559" s="4"/>
      <c r="FT2559" s="4"/>
      <c r="FU2559" s="4"/>
      <c r="FV2559" s="4"/>
      <c r="FW2559" s="4"/>
      <c r="FX2559" s="4"/>
      <c r="FY2559" s="4"/>
      <c r="FZ2559" s="4"/>
      <c r="GA2559" s="4"/>
      <c r="GB2559" s="4"/>
      <c r="GC2559" s="4"/>
      <c r="GD2559" s="4"/>
      <c r="GE2559" s="4"/>
      <c r="GF2559" s="4"/>
      <c r="GG2559" s="4"/>
      <c r="GH2559" s="4"/>
      <c r="GI2559" s="4"/>
      <c r="GJ2559" s="4"/>
      <c r="GK2559" s="4"/>
      <c r="GL2559" s="4"/>
      <c r="GM2559" s="4"/>
      <c r="GN2559" s="4"/>
      <c r="GO2559" s="4"/>
      <c r="GP2559" s="4"/>
      <c r="GQ2559" s="4"/>
      <c r="GR2559" s="4"/>
      <c r="GS2559" s="4"/>
      <c r="GT2559" s="4"/>
      <c r="GU2559" s="4"/>
      <c r="GV2559" s="4"/>
      <c r="GW2559" s="4"/>
      <c r="GX2559" s="4"/>
      <c r="GY2559" s="4"/>
      <c r="GZ2559" s="4"/>
      <c r="HA2559" s="4"/>
      <c r="HB2559" s="4"/>
      <c r="HC2559" s="4"/>
      <c r="HD2559" s="4"/>
      <c r="HE2559" s="4"/>
      <c r="HF2559" s="4"/>
      <c r="HG2559" s="4"/>
      <c r="HH2559" s="4"/>
      <c r="HI2559" s="4"/>
      <c r="HJ2559" s="4"/>
      <c r="HK2559" s="4"/>
      <c r="HL2559" s="4"/>
      <c r="HM2559" s="4"/>
      <c r="HN2559" s="4"/>
      <c r="HO2559" s="4"/>
      <c r="HP2559" s="4"/>
      <c r="HQ2559" s="4"/>
      <c r="HR2559" s="4"/>
    </row>
    <row r="2560">
      <c r="A2560" s="2" t="s">
        <v>11307</v>
      </c>
      <c r="B2560" s="2" t="s">
        <v>1242</v>
      </c>
      <c r="C2560" s="2" t="s">
        <v>9503</v>
      </c>
      <c r="D2560" s="2" t="s">
        <v>969</v>
      </c>
      <c r="E2560" s="2" t="s">
        <v>1078</v>
      </c>
      <c r="F2560" s="2" t="s">
        <v>11303</v>
      </c>
      <c r="G2560" s="2" t="s">
        <v>233</v>
      </c>
      <c r="H2560" s="2" t="s">
        <v>233</v>
      </c>
      <c r="I2560" s="2" t="s">
        <v>11304</v>
      </c>
      <c r="J2560" s="2" t="s">
        <v>918</v>
      </c>
      <c r="K2560" s="2" t="s">
        <v>236</v>
      </c>
      <c r="L2560" s="3">
        <v>29.99</v>
      </c>
      <c r="M2560" s="3">
        <v>31.49</v>
      </c>
      <c r="N2560" s="3"/>
      <c r="O2560" s="2" t="s">
        <v>245</v>
      </c>
      <c r="P2560" s="2" t="s">
        <v>238</v>
      </c>
      <c r="Q2560" s="2" t="s">
        <v>239</v>
      </c>
      <c r="R2560" s="2" t="s">
        <v>9507</v>
      </c>
      <c r="S2560" s="2" t="s">
        <v>233</v>
      </c>
      <c r="T2560" s="2" t="s">
        <v>233</v>
      </c>
      <c r="U2560" s="2" t="s">
        <v>233</v>
      </c>
      <c r="V2560" s="2" t="s">
        <v>241</v>
      </c>
      <c r="W2560" s="2" t="s">
        <v>233</v>
      </c>
      <c r="X2560" s="2" t="s">
        <v>233</v>
      </c>
      <c r="Y2560" s="2" t="s">
        <v>3713</v>
      </c>
      <c r="Z2560" s="4"/>
      <c r="AA2560" s="4">
        <f>=ROUNDDOWN({0},0)</f>
      </c>
      <c r="AB2560" s="5"/>
      <c r="AC2560" s="2" t="s">
        <v>233</v>
      </c>
      <c r="AD2560" s="4"/>
      <c r="AE2560" s="4"/>
      <c r="AF2560" s="6"/>
      <c r="AG2560" s="6"/>
      <c r="AH2560" s="7">
        <v>0</v>
      </c>
      <c r="AI2560" s="4"/>
      <c r="AJ2560" s="4">
        <f>=ROUNDDOWN({0},0)</f>
      </c>
      <c r="AK2560" s="5"/>
      <c r="AL2560" s="2" t="s">
        <v>233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233</v>
      </c>
      <c r="AW2560" s="8" t="s">
        <v>233</v>
      </c>
      <c r="AX2560" s="4" t="s">
        <v>233</v>
      </c>
      <c r="AY2560" s="8" t="s">
        <v>233</v>
      </c>
      <c r="AZ2560" s="7" t="s">
        <v>233</v>
      </c>
      <c r="BA2560" s="7" t="s">
        <v>233</v>
      </c>
      <c r="BB2560" s="7"/>
      <c r="BC2560" s="4" t="s">
        <v>233</v>
      </c>
      <c r="BD2560" s="8" t="s">
        <v>233</v>
      </c>
      <c r="BE2560" s="4" t="s">
        <v>233</v>
      </c>
      <c r="BF2560" s="8" t="s">
        <v>233</v>
      </c>
      <c r="BG2560" s="7" t="s">
        <v>233</v>
      </c>
      <c r="BH2560" s="7" t="s">
        <v>233</v>
      </c>
      <c r="BI2560" s="7"/>
      <c r="BJ2560" s="4"/>
      <c r="BK2560" s="8"/>
      <c r="BL2560" s="2" t="s">
        <v>233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243</v>
      </c>
      <c r="BV2560" s="2" t="s">
        <v>233</v>
      </c>
      <c r="BW2560" s="2" t="s">
        <v>233</v>
      </c>
      <c r="BX2560" s="2" t="s">
        <v>233</v>
      </c>
      <c r="BY2560" s="2" t="s">
        <v>244</v>
      </c>
      <c r="BZ2560" s="2" t="s">
        <v>245</v>
      </c>
      <c r="CA2560" s="2" t="s">
        <v>233</v>
      </c>
      <c r="CB2560" s="2" t="s">
        <v>233</v>
      </c>
      <c r="CC2560" s="2" t="s">
        <v>246</v>
      </c>
      <c r="CD2560" s="2" t="s">
        <v>233</v>
      </c>
      <c r="CE2560" s="4"/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  <c r="DP2560" s="4"/>
      <c r="DQ2560" s="4"/>
      <c r="DR2560" s="4"/>
      <c r="DS2560" s="4"/>
      <c r="DT2560" s="4"/>
      <c r="DU2560" s="4"/>
      <c r="DV2560" s="4"/>
      <c r="DW2560" s="4"/>
      <c r="DX2560" s="4"/>
      <c r="DY2560" s="4"/>
      <c r="DZ2560" s="4"/>
      <c r="EA2560" s="4"/>
      <c r="EB2560" s="4"/>
      <c r="EC2560" s="4"/>
      <c r="ED2560" s="4"/>
      <c r="EE2560" s="4"/>
      <c r="EF2560" s="4"/>
      <c r="EG2560" s="4"/>
      <c r="EH2560" s="4"/>
      <c r="EI2560" s="4"/>
      <c r="EJ2560" s="4"/>
      <c r="EK2560" s="4"/>
      <c r="EL2560" s="4"/>
      <c r="EM2560" s="4"/>
      <c r="EN2560" s="4"/>
      <c r="EO2560" s="4"/>
      <c r="EP2560" s="4"/>
      <c r="EQ2560" s="4"/>
      <c r="ER2560" s="4"/>
      <c r="ES2560" s="4"/>
      <c r="ET2560" s="4"/>
      <c r="EU2560" s="4"/>
      <c r="EV2560" s="4"/>
      <c r="EW2560" s="4"/>
      <c r="EX2560" s="4"/>
      <c r="EY2560" s="4"/>
      <c r="EZ2560" s="4"/>
      <c r="FA2560" s="4"/>
      <c r="FB2560" s="4"/>
      <c r="FC2560" s="4"/>
      <c r="FD2560" s="4"/>
      <c r="FE2560" s="4"/>
      <c r="FF2560" s="4"/>
      <c r="FG2560" s="4"/>
      <c r="FH2560" s="4"/>
      <c r="FI2560" s="4"/>
      <c r="FJ2560" s="4"/>
      <c r="FK2560" s="4"/>
      <c r="FL2560" s="4"/>
      <c r="FM2560" s="4"/>
      <c r="FN2560" s="4"/>
      <c r="FO2560" s="4"/>
      <c r="FP2560" s="4"/>
      <c r="FQ2560" s="4"/>
      <c r="FR2560" s="4"/>
      <c r="FS2560" s="4"/>
      <c r="FT2560" s="4"/>
      <c r="FU2560" s="4"/>
      <c r="FV2560" s="4"/>
      <c r="FW2560" s="4"/>
      <c r="FX2560" s="4"/>
      <c r="FY2560" s="4"/>
      <c r="FZ2560" s="4"/>
      <c r="GA2560" s="4"/>
      <c r="GB2560" s="4"/>
      <c r="GC2560" s="4"/>
      <c r="GD2560" s="4"/>
      <c r="GE2560" s="4"/>
      <c r="GF2560" s="4"/>
      <c r="GG2560" s="4"/>
      <c r="GH2560" s="4"/>
      <c r="GI2560" s="4"/>
      <c r="GJ2560" s="4"/>
      <c r="GK2560" s="4"/>
      <c r="GL2560" s="4"/>
      <c r="GM2560" s="4"/>
      <c r="GN2560" s="4"/>
      <c r="GO2560" s="4"/>
      <c r="GP2560" s="4"/>
      <c r="GQ2560" s="4"/>
      <c r="GR2560" s="4"/>
      <c r="GS2560" s="4"/>
      <c r="GT2560" s="4"/>
      <c r="GU2560" s="4"/>
      <c r="GV2560" s="4"/>
      <c r="GW2560" s="4"/>
      <c r="GX2560" s="4"/>
      <c r="GY2560" s="4"/>
      <c r="GZ2560" s="4"/>
      <c r="HA2560" s="4"/>
      <c r="HB2560" s="4"/>
      <c r="HC2560" s="4"/>
      <c r="HD2560" s="4"/>
      <c r="HE2560" s="4"/>
      <c r="HF2560" s="4"/>
      <c r="HG2560" s="4"/>
      <c r="HH2560" s="4"/>
      <c r="HI2560" s="4"/>
      <c r="HJ2560" s="4"/>
      <c r="HK2560" s="4"/>
      <c r="HL2560" s="4"/>
      <c r="HM2560" s="4"/>
      <c r="HN2560" s="4"/>
      <c r="HO2560" s="4"/>
      <c r="HP2560" s="4"/>
      <c r="HQ2560" s="4"/>
      <c r="HR2560" s="4"/>
    </row>
    <row r="2561">
      <c r="A2561" s="2" t="s">
        <v>11308</v>
      </c>
      <c r="B2561" s="2" t="s">
        <v>1242</v>
      </c>
      <c r="C2561" s="2" t="s">
        <v>9503</v>
      </c>
      <c r="D2561" s="2" t="s">
        <v>969</v>
      </c>
      <c r="E2561" s="2" t="s">
        <v>1078</v>
      </c>
      <c r="F2561" s="2" t="s">
        <v>11303</v>
      </c>
      <c r="G2561" s="2" t="s">
        <v>233</v>
      </c>
      <c r="H2561" s="2" t="s">
        <v>233</v>
      </c>
      <c r="I2561" s="2" t="s">
        <v>11304</v>
      </c>
      <c r="J2561" s="2" t="s">
        <v>981</v>
      </c>
      <c r="K2561" s="2" t="s">
        <v>236</v>
      </c>
      <c r="L2561" s="3">
        <v>39.99</v>
      </c>
      <c r="M2561" s="3">
        <v>41.99</v>
      </c>
      <c r="N2561" s="3"/>
      <c r="O2561" s="2" t="s">
        <v>245</v>
      </c>
      <c r="P2561" s="2" t="s">
        <v>238</v>
      </c>
      <c r="Q2561" s="2" t="s">
        <v>239</v>
      </c>
      <c r="R2561" s="2" t="s">
        <v>9507</v>
      </c>
      <c r="S2561" s="2" t="s">
        <v>233</v>
      </c>
      <c r="T2561" s="2" t="s">
        <v>233</v>
      </c>
      <c r="U2561" s="2" t="s">
        <v>233</v>
      </c>
      <c r="V2561" s="2" t="s">
        <v>241</v>
      </c>
      <c r="W2561" s="2" t="s">
        <v>233</v>
      </c>
      <c r="X2561" s="2" t="s">
        <v>233</v>
      </c>
      <c r="Y2561" s="2" t="s">
        <v>3713</v>
      </c>
      <c r="Z2561" s="4"/>
      <c r="AA2561" s="4">
        <f>=ROUNDDOWN({0},0)</f>
      </c>
      <c r="AB2561" s="5"/>
      <c r="AC2561" s="2" t="s">
        <v>233</v>
      </c>
      <c r="AD2561" s="4"/>
      <c r="AE2561" s="4"/>
      <c r="AF2561" s="6"/>
      <c r="AG2561" s="6"/>
      <c r="AH2561" s="7">
        <v>0</v>
      </c>
      <c r="AI2561" s="4"/>
      <c r="AJ2561" s="4">
        <f>=ROUNDDOWN({0},0)</f>
      </c>
      <c r="AK2561" s="5"/>
      <c r="AL2561" s="2" t="s">
        <v>233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233</v>
      </c>
      <c r="AW2561" s="8" t="s">
        <v>233</v>
      </c>
      <c r="AX2561" s="4" t="s">
        <v>233</v>
      </c>
      <c r="AY2561" s="8" t="s">
        <v>233</v>
      </c>
      <c r="AZ2561" s="7" t="s">
        <v>233</v>
      </c>
      <c r="BA2561" s="7" t="s">
        <v>233</v>
      </c>
      <c r="BB2561" s="7"/>
      <c r="BC2561" s="4" t="s">
        <v>233</v>
      </c>
      <c r="BD2561" s="8" t="s">
        <v>233</v>
      </c>
      <c r="BE2561" s="4" t="s">
        <v>233</v>
      </c>
      <c r="BF2561" s="8" t="s">
        <v>233</v>
      </c>
      <c r="BG2561" s="7" t="s">
        <v>233</v>
      </c>
      <c r="BH2561" s="7" t="s">
        <v>233</v>
      </c>
      <c r="BI2561" s="7"/>
      <c r="BJ2561" s="4"/>
      <c r="BK2561" s="8"/>
      <c r="BL2561" s="2" t="s">
        <v>233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243</v>
      </c>
      <c r="BV2561" s="2" t="s">
        <v>233</v>
      </c>
      <c r="BW2561" s="2" t="s">
        <v>233</v>
      </c>
      <c r="BX2561" s="2" t="s">
        <v>233</v>
      </c>
      <c r="BY2561" s="2" t="s">
        <v>244</v>
      </c>
      <c r="BZ2561" s="2" t="s">
        <v>245</v>
      </c>
      <c r="CA2561" s="2" t="s">
        <v>233</v>
      </c>
      <c r="CB2561" s="2" t="s">
        <v>233</v>
      </c>
      <c r="CC2561" s="2" t="s">
        <v>246</v>
      </c>
      <c r="CD2561" s="2" t="s">
        <v>233</v>
      </c>
      <c r="CE2561" s="4"/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  <c r="DP2561" s="4"/>
      <c r="DQ2561" s="4"/>
      <c r="DR2561" s="4"/>
      <c r="DS2561" s="4"/>
      <c r="DT2561" s="4"/>
      <c r="DU2561" s="4"/>
      <c r="DV2561" s="4"/>
      <c r="DW2561" s="4"/>
      <c r="DX2561" s="4"/>
      <c r="DY2561" s="4"/>
      <c r="DZ2561" s="4"/>
      <c r="EA2561" s="4"/>
      <c r="EB2561" s="4"/>
      <c r="EC2561" s="4"/>
      <c r="ED2561" s="4"/>
      <c r="EE2561" s="4"/>
      <c r="EF2561" s="4"/>
      <c r="EG2561" s="4"/>
      <c r="EH2561" s="4"/>
      <c r="EI2561" s="4"/>
      <c r="EJ2561" s="4"/>
      <c r="EK2561" s="4"/>
      <c r="EL2561" s="4"/>
      <c r="EM2561" s="4"/>
      <c r="EN2561" s="4"/>
      <c r="EO2561" s="4"/>
      <c r="EP2561" s="4"/>
      <c r="EQ2561" s="4"/>
      <c r="ER2561" s="4"/>
      <c r="ES2561" s="4"/>
      <c r="ET2561" s="4"/>
      <c r="EU2561" s="4"/>
      <c r="EV2561" s="4"/>
      <c r="EW2561" s="4"/>
      <c r="EX2561" s="4"/>
      <c r="EY2561" s="4"/>
      <c r="EZ2561" s="4"/>
      <c r="FA2561" s="4"/>
      <c r="FB2561" s="4"/>
      <c r="FC2561" s="4"/>
      <c r="FD2561" s="4"/>
      <c r="FE2561" s="4"/>
      <c r="FF2561" s="4"/>
      <c r="FG2561" s="4"/>
      <c r="FH2561" s="4"/>
      <c r="FI2561" s="4"/>
      <c r="FJ2561" s="4"/>
      <c r="FK2561" s="4"/>
      <c r="FL2561" s="4"/>
      <c r="FM2561" s="4"/>
      <c r="FN2561" s="4"/>
      <c r="FO2561" s="4"/>
      <c r="FP2561" s="4"/>
      <c r="FQ2561" s="4"/>
      <c r="FR2561" s="4"/>
      <c r="FS2561" s="4"/>
      <c r="FT2561" s="4"/>
      <c r="FU2561" s="4"/>
      <c r="FV2561" s="4"/>
      <c r="FW2561" s="4"/>
      <c r="FX2561" s="4"/>
      <c r="FY2561" s="4"/>
      <c r="FZ2561" s="4"/>
      <c r="GA2561" s="4"/>
      <c r="GB2561" s="4"/>
      <c r="GC2561" s="4"/>
      <c r="GD2561" s="4"/>
      <c r="GE2561" s="4"/>
      <c r="GF2561" s="4"/>
      <c r="GG2561" s="4"/>
      <c r="GH2561" s="4"/>
      <c r="GI2561" s="4"/>
      <c r="GJ2561" s="4"/>
      <c r="GK2561" s="4"/>
      <c r="GL2561" s="4"/>
      <c r="GM2561" s="4"/>
      <c r="GN2561" s="4"/>
      <c r="GO2561" s="4"/>
      <c r="GP2561" s="4"/>
      <c r="GQ2561" s="4"/>
      <c r="GR2561" s="4"/>
      <c r="GS2561" s="4"/>
      <c r="GT2561" s="4"/>
      <c r="GU2561" s="4"/>
      <c r="GV2561" s="4"/>
      <c r="GW2561" s="4"/>
      <c r="GX2561" s="4"/>
      <c r="GY2561" s="4"/>
      <c r="GZ2561" s="4"/>
      <c r="HA2561" s="4"/>
      <c r="HB2561" s="4"/>
      <c r="HC2561" s="4"/>
      <c r="HD2561" s="4"/>
      <c r="HE2561" s="4"/>
      <c r="HF2561" s="4"/>
      <c r="HG2561" s="4"/>
      <c r="HH2561" s="4"/>
      <c r="HI2561" s="4"/>
      <c r="HJ2561" s="4"/>
      <c r="HK2561" s="4"/>
      <c r="HL2561" s="4"/>
      <c r="HM2561" s="4"/>
      <c r="HN2561" s="4"/>
      <c r="HO2561" s="4"/>
      <c r="HP2561" s="4"/>
      <c r="HQ2561" s="4"/>
      <c r="HR2561" s="4"/>
    </row>
    <row r="2562">
      <c r="A2562" s="2" t="s">
        <v>11309</v>
      </c>
      <c r="B2562" s="2" t="s">
        <v>1242</v>
      </c>
      <c r="C2562" s="2" t="s">
        <v>9503</v>
      </c>
      <c r="D2562" s="2" t="s">
        <v>969</v>
      </c>
      <c r="E2562" s="2" t="s">
        <v>1078</v>
      </c>
      <c r="F2562" s="2" t="s">
        <v>11303</v>
      </c>
      <c r="G2562" s="2" t="s">
        <v>233</v>
      </c>
      <c r="H2562" s="2" t="s">
        <v>233</v>
      </c>
      <c r="I2562" s="2" t="s">
        <v>11304</v>
      </c>
      <c r="J2562" s="2" t="s">
        <v>328</v>
      </c>
      <c r="K2562" s="2" t="s">
        <v>236</v>
      </c>
      <c r="L2562" s="3">
        <v>44.99</v>
      </c>
      <c r="M2562" s="3">
        <v>47.24</v>
      </c>
      <c r="N2562" s="3"/>
      <c r="O2562" s="2" t="s">
        <v>252</v>
      </c>
      <c r="P2562" s="2" t="s">
        <v>238</v>
      </c>
      <c r="Q2562" s="2" t="s">
        <v>239</v>
      </c>
      <c r="R2562" s="2" t="s">
        <v>9507</v>
      </c>
      <c r="S2562" s="2" t="s">
        <v>233</v>
      </c>
      <c r="T2562" s="2" t="s">
        <v>233</v>
      </c>
      <c r="U2562" s="2" t="s">
        <v>233</v>
      </c>
      <c r="V2562" s="2" t="s">
        <v>241</v>
      </c>
      <c r="W2562" s="2" t="s">
        <v>233</v>
      </c>
      <c r="X2562" s="2" t="s">
        <v>233</v>
      </c>
      <c r="Y2562" s="2" t="s">
        <v>3713</v>
      </c>
      <c r="Z2562" s="4"/>
      <c r="AA2562" s="4">
        <f>=ROUNDDOWN({0},0)</f>
      </c>
      <c r="AB2562" s="5"/>
      <c r="AC2562" s="2" t="s">
        <v>233</v>
      </c>
      <c r="AD2562" s="4"/>
      <c r="AE2562" s="4"/>
      <c r="AF2562" s="6"/>
      <c r="AG2562" s="6"/>
      <c r="AH2562" s="7">
        <v>0</v>
      </c>
      <c r="AI2562" s="4"/>
      <c r="AJ2562" s="4">
        <f>=ROUNDDOWN({0},0)</f>
      </c>
      <c r="AK2562" s="5"/>
      <c r="AL2562" s="2" t="s">
        <v>233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233</v>
      </c>
      <c r="AW2562" s="8" t="s">
        <v>233</v>
      </c>
      <c r="AX2562" s="4" t="s">
        <v>233</v>
      </c>
      <c r="AY2562" s="8" t="s">
        <v>233</v>
      </c>
      <c r="AZ2562" s="7" t="s">
        <v>233</v>
      </c>
      <c r="BA2562" s="7" t="s">
        <v>233</v>
      </c>
      <c r="BB2562" s="7"/>
      <c r="BC2562" s="4" t="s">
        <v>233</v>
      </c>
      <c r="BD2562" s="8" t="s">
        <v>233</v>
      </c>
      <c r="BE2562" s="4" t="s">
        <v>233</v>
      </c>
      <c r="BF2562" s="8" t="s">
        <v>233</v>
      </c>
      <c r="BG2562" s="7" t="s">
        <v>233</v>
      </c>
      <c r="BH2562" s="7" t="s">
        <v>233</v>
      </c>
      <c r="BI2562" s="7"/>
      <c r="BJ2562" s="4"/>
      <c r="BK2562" s="8"/>
      <c r="BL2562" s="2" t="s">
        <v>233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243</v>
      </c>
      <c r="BV2562" s="2" t="s">
        <v>233</v>
      </c>
      <c r="BW2562" s="2" t="s">
        <v>233</v>
      </c>
      <c r="BX2562" s="2" t="s">
        <v>233</v>
      </c>
      <c r="BY2562" s="2" t="s">
        <v>244</v>
      </c>
      <c r="BZ2562" s="2" t="s">
        <v>245</v>
      </c>
      <c r="CA2562" s="2" t="s">
        <v>233</v>
      </c>
      <c r="CB2562" s="2" t="s">
        <v>233</v>
      </c>
      <c r="CC2562" s="2" t="s">
        <v>246</v>
      </c>
      <c r="CD2562" s="2" t="s">
        <v>233</v>
      </c>
      <c r="CE2562" s="4"/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  <c r="DP2562" s="4"/>
      <c r="DQ2562" s="4"/>
      <c r="DR2562" s="4"/>
      <c r="DS2562" s="4"/>
      <c r="DT2562" s="4"/>
      <c r="DU2562" s="4"/>
      <c r="DV2562" s="4"/>
      <c r="DW2562" s="4"/>
      <c r="DX2562" s="4"/>
      <c r="DY2562" s="4"/>
      <c r="DZ2562" s="4"/>
      <c r="EA2562" s="4"/>
      <c r="EB2562" s="4"/>
      <c r="EC2562" s="4"/>
      <c r="ED2562" s="4"/>
      <c r="EE2562" s="4"/>
      <c r="EF2562" s="4"/>
      <c r="EG2562" s="4"/>
      <c r="EH2562" s="4"/>
      <c r="EI2562" s="4"/>
      <c r="EJ2562" s="4"/>
      <c r="EK2562" s="4"/>
      <c r="EL2562" s="4"/>
      <c r="EM2562" s="4"/>
      <c r="EN2562" s="4"/>
      <c r="EO2562" s="4"/>
      <c r="EP2562" s="4"/>
      <c r="EQ2562" s="4"/>
      <c r="ER2562" s="4"/>
      <c r="ES2562" s="4"/>
      <c r="ET2562" s="4"/>
      <c r="EU2562" s="4"/>
      <c r="EV2562" s="4"/>
      <c r="EW2562" s="4"/>
      <c r="EX2562" s="4"/>
      <c r="EY2562" s="4"/>
      <c r="EZ2562" s="4"/>
      <c r="FA2562" s="4"/>
      <c r="FB2562" s="4"/>
      <c r="FC2562" s="4"/>
      <c r="FD2562" s="4"/>
      <c r="FE2562" s="4"/>
      <c r="FF2562" s="4"/>
      <c r="FG2562" s="4"/>
      <c r="FH2562" s="4"/>
      <c r="FI2562" s="4"/>
      <c r="FJ2562" s="4"/>
      <c r="FK2562" s="4"/>
      <c r="FL2562" s="4"/>
      <c r="FM2562" s="4"/>
      <c r="FN2562" s="4"/>
      <c r="FO2562" s="4"/>
      <c r="FP2562" s="4"/>
      <c r="FQ2562" s="4"/>
      <c r="FR2562" s="4"/>
      <c r="FS2562" s="4"/>
      <c r="FT2562" s="4"/>
      <c r="FU2562" s="4"/>
      <c r="FV2562" s="4"/>
      <c r="FW2562" s="4"/>
      <c r="FX2562" s="4"/>
      <c r="FY2562" s="4"/>
      <c r="FZ2562" s="4"/>
      <c r="GA2562" s="4"/>
      <c r="GB2562" s="4"/>
      <c r="GC2562" s="4"/>
      <c r="GD2562" s="4"/>
      <c r="GE2562" s="4"/>
      <c r="GF2562" s="4"/>
      <c r="GG2562" s="4"/>
      <c r="GH2562" s="4"/>
      <c r="GI2562" s="4"/>
      <c r="GJ2562" s="4"/>
      <c r="GK2562" s="4"/>
      <c r="GL2562" s="4"/>
      <c r="GM2562" s="4"/>
      <c r="GN2562" s="4"/>
      <c r="GO2562" s="4"/>
      <c r="GP2562" s="4"/>
      <c r="GQ2562" s="4"/>
      <c r="GR2562" s="4"/>
      <c r="GS2562" s="4"/>
      <c r="GT2562" s="4"/>
      <c r="GU2562" s="4"/>
      <c r="GV2562" s="4"/>
      <c r="GW2562" s="4"/>
      <c r="GX2562" s="4"/>
      <c r="GY2562" s="4"/>
      <c r="GZ2562" s="4"/>
      <c r="HA2562" s="4"/>
      <c r="HB2562" s="4"/>
      <c r="HC2562" s="4"/>
      <c r="HD2562" s="4"/>
      <c r="HE2562" s="4"/>
      <c r="HF2562" s="4"/>
      <c r="HG2562" s="4"/>
      <c r="HH2562" s="4"/>
      <c r="HI2562" s="4"/>
      <c r="HJ2562" s="4"/>
      <c r="HK2562" s="4"/>
      <c r="HL2562" s="4"/>
      <c r="HM2562" s="4"/>
      <c r="HN2562" s="4"/>
      <c r="HO2562" s="4"/>
      <c r="HP2562" s="4"/>
      <c r="HQ2562" s="4"/>
      <c r="HR2562" s="4"/>
    </row>
    <row r="2563">
      <c r="A2563" s="2" t="s">
        <v>11310</v>
      </c>
      <c r="B2563" s="2" t="s">
        <v>1242</v>
      </c>
      <c r="C2563" s="2" t="s">
        <v>9503</v>
      </c>
      <c r="D2563" s="2" t="s">
        <v>969</v>
      </c>
      <c r="E2563" s="2" t="s">
        <v>1078</v>
      </c>
      <c r="F2563" s="2" t="s">
        <v>11303</v>
      </c>
      <c r="G2563" s="2" t="s">
        <v>233</v>
      </c>
      <c r="H2563" s="2" t="s">
        <v>233</v>
      </c>
      <c r="I2563" s="2" t="s">
        <v>11304</v>
      </c>
      <c r="J2563" s="2" t="s">
        <v>918</v>
      </c>
      <c r="K2563" s="2" t="s">
        <v>257</v>
      </c>
      <c r="L2563" s="3">
        <v>29.99</v>
      </c>
      <c r="M2563" s="3">
        <v>31.49</v>
      </c>
      <c r="N2563" s="3"/>
      <c r="O2563" s="2" t="s">
        <v>245</v>
      </c>
      <c r="P2563" s="2" t="s">
        <v>238</v>
      </c>
      <c r="Q2563" s="2" t="s">
        <v>239</v>
      </c>
      <c r="R2563" s="2" t="s">
        <v>9507</v>
      </c>
      <c r="S2563" s="2" t="s">
        <v>233</v>
      </c>
      <c r="T2563" s="2" t="s">
        <v>233</v>
      </c>
      <c r="U2563" s="2" t="s">
        <v>233</v>
      </c>
      <c r="V2563" s="2" t="s">
        <v>241</v>
      </c>
      <c r="W2563" s="2" t="s">
        <v>233</v>
      </c>
      <c r="X2563" s="2" t="s">
        <v>233</v>
      </c>
      <c r="Y2563" s="2" t="s">
        <v>3713</v>
      </c>
      <c r="Z2563" s="4"/>
      <c r="AA2563" s="4">
        <f>=ROUNDDOWN({0},0)</f>
      </c>
      <c r="AB2563" s="5"/>
      <c r="AC2563" s="2" t="s">
        <v>233</v>
      </c>
      <c r="AD2563" s="4"/>
      <c r="AE2563" s="4"/>
      <c r="AF2563" s="6"/>
      <c r="AG2563" s="6"/>
      <c r="AH2563" s="7">
        <v>0</v>
      </c>
      <c r="AI2563" s="4"/>
      <c r="AJ2563" s="4">
        <f>=ROUNDDOWN({0},0)</f>
      </c>
      <c r="AK2563" s="5"/>
      <c r="AL2563" s="2" t="s">
        <v>233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233</v>
      </c>
      <c r="AW2563" s="8" t="s">
        <v>233</v>
      </c>
      <c r="AX2563" s="4" t="s">
        <v>233</v>
      </c>
      <c r="AY2563" s="8" t="s">
        <v>233</v>
      </c>
      <c r="AZ2563" s="7" t="s">
        <v>233</v>
      </c>
      <c r="BA2563" s="7" t="s">
        <v>233</v>
      </c>
      <c r="BB2563" s="7"/>
      <c r="BC2563" s="4" t="s">
        <v>233</v>
      </c>
      <c r="BD2563" s="8" t="s">
        <v>233</v>
      </c>
      <c r="BE2563" s="4" t="s">
        <v>233</v>
      </c>
      <c r="BF2563" s="8" t="s">
        <v>233</v>
      </c>
      <c r="BG2563" s="7" t="s">
        <v>233</v>
      </c>
      <c r="BH2563" s="7" t="s">
        <v>233</v>
      </c>
      <c r="BI2563" s="7"/>
      <c r="BJ2563" s="4"/>
      <c r="BK2563" s="8"/>
      <c r="BL2563" s="2" t="s">
        <v>233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243</v>
      </c>
      <c r="BV2563" s="2" t="s">
        <v>233</v>
      </c>
      <c r="BW2563" s="2" t="s">
        <v>233</v>
      </c>
      <c r="BX2563" s="2" t="s">
        <v>233</v>
      </c>
      <c r="BY2563" s="2" t="s">
        <v>244</v>
      </c>
      <c r="BZ2563" s="2" t="s">
        <v>245</v>
      </c>
      <c r="CA2563" s="2" t="s">
        <v>233</v>
      </c>
      <c r="CB2563" s="2" t="s">
        <v>233</v>
      </c>
      <c r="CC2563" s="2" t="s">
        <v>246</v>
      </c>
      <c r="CD2563" s="2" t="s">
        <v>233</v>
      </c>
      <c r="CE2563" s="4"/>
      <c r="CF2563" s="4"/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  <c r="DP2563" s="4"/>
      <c r="DQ2563" s="4"/>
      <c r="DR2563" s="4"/>
      <c r="DS2563" s="4"/>
      <c r="DT2563" s="4"/>
      <c r="DU2563" s="4"/>
      <c r="DV2563" s="4"/>
      <c r="DW2563" s="4"/>
      <c r="DX2563" s="4"/>
      <c r="DY2563" s="4"/>
      <c r="DZ2563" s="4"/>
      <c r="EA2563" s="4"/>
      <c r="EB2563" s="4"/>
      <c r="EC2563" s="4"/>
      <c r="ED2563" s="4"/>
      <c r="EE2563" s="4"/>
      <c r="EF2563" s="4"/>
      <c r="EG2563" s="4"/>
      <c r="EH2563" s="4"/>
      <c r="EI2563" s="4"/>
      <c r="EJ2563" s="4"/>
      <c r="EK2563" s="4"/>
      <c r="EL2563" s="4"/>
      <c r="EM2563" s="4"/>
      <c r="EN2563" s="4"/>
      <c r="EO2563" s="4"/>
      <c r="EP2563" s="4"/>
      <c r="EQ2563" s="4"/>
      <c r="ER2563" s="4"/>
      <c r="ES2563" s="4"/>
      <c r="ET2563" s="4"/>
      <c r="EU2563" s="4"/>
      <c r="EV2563" s="4"/>
      <c r="EW2563" s="4"/>
      <c r="EX2563" s="4"/>
      <c r="EY2563" s="4"/>
      <c r="EZ2563" s="4"/>
      <c r="FA2563" s="4"/>
      <c r="FB2563" s="4"/>
      <c r="FC2563" s="4"/>
      <c r="FD2563" s="4"/>
      <c r="FE2563" s="4"/>
      <c r="FF2563" s="4"/>
      <c r="FG2563" s="4"/>
      <c r="FH2563" s="4"/>
      <c r="FI2563" s="4"/>
      <c r="FJ2563" s="4"/>
      <c r="FK2563" s="4"/>
      <c r="FL2563" s="4"/>
      <c r="FM2563" s="4"/>
      <c r="FN2563" s="4"/>
      <c r="FO2563" s="4"/>
      <c r="FP2563" s="4"/>
      <c r="FQ2563" s="4"/>
      <c r="FR2563" s="4"/>
      <c r="FS2563" s="4"/>
      <c r="FT2563" s="4"/>
      <c r="FU2563" s="4"/>
      <c r="FV2563" s="4"/>
      <c r="FW2563" s="4"/>
      <c r="FX2563" s="4"/>
      <c r="FY2563" s="4"/>
      <c r="FZ2563" s="4"/>
      <c r="GA2563" s="4"/>
      <c r="GB2563" s="4"/>
      <c r="GC2563" s="4"/>
      <c r="GD2563" s="4"/>
      <c r="GE2563" s="4"/>
      <c r="GF2563" s="4"/>
      <c r="GG2563" s="4"/>
      <c r="GH2563" s="4"/>
      <c r="GI2563" s="4"/>
      <c r="GJ2563" s="4"/>
      <c r="GK2563" s="4"/>
      <c r="GL2563" s="4"/>
      <c r="GM2563" s="4"/>
      <c r="GN2563" s="4"/>
      <c r="GO2563" s="4"/>
      <c r="GP2563" s="4"/>
      <c r="GQ2563" s="4"/>
      <c r="GR2563" s="4"/>
      <c r="GS2563" s="4"/>
      <c r="GT2563" s="4"/>
      <c r="GU2563" s="4"/>
      <c r="GV2563" s="4"/>
      <c r="GW2563" s="4"/>
      <c r="GX2563" s="4"/>
      <c r="GY2563" s="4"/>
      <c r="GZ2563" s="4"/>
      <c r="HA2563" s="4"/>
      <c r="HB2563" s="4"/>
      <c r="HC2563" s="4"/>
      <c r="HD2563" s="4"/>
      <c r="HE2563" s="4"/>
      <c r="HF2563" s="4"/>
      <c r="HG2563" s="4"/>
      <c r="HH2563" s="4"/>
      <c r="HI2563" s="4"/>
      <c r="HJ2563" s="4"/>
      <c r="HK2563" s="4"/>
      <c r="HL2563" s="4"/>
      <c r="HM2563" s="4"/>
      <c r="HN2563" s="4"/>
      <c r="HO2563" s="4"/>
      <c r="HP2563" s="4"/>
      <c r="HQ2563" s="4"/>
      <c r="HR2563" s="4"/>
    </row>
    <row r="2564">
      <c r="A2564" s="2" t="s">
        <v>11311</v>
      </c>
      <c r="B2564" s="2" t="s">
        <v>1242</v>
      </c>
      <c r="C2564" s="2" t="s">
        <v>9503</v>
      </c>
      <c r="D2564" s="2" t="s">
        <v>969</v>
      </c>
      <c r="E2564" s="2" t="s">
        <v>1078</v>
      </c>
      <c r="F2564" s="2" t="s">
        <v>11303</v>
      </c>
      <c r="G2564" s="2" t="s">
        <v>233</v>
      </c>
      <c r="H2564" s="2" t="s">
        <v>233</v>
      </c>
      <c r="I2564" s="2" t="s">
        <v>11304</v>
      </c>
      <c r="J2564" s="2" t="s">
        <v>981</v>
      </c>
      <c r="K2564" s="2" t="s">
        <v>257</v>
      </c>
      <c r="L2564" s="3">
        <v>39.99</v>
      </c>
      <c r="M2564" s="3">
        <v>41.99</v>
      </c>
      <c r="N2564" s="3"/>
      <c r="O2564" s="2" t="s">
        <v>252</v>
      </c>
      <c r="P2564" s="2" t="s">
        <v>238</v>
      </c>
      <c r="Q2564" s="2" t="s">
        <v>239</v>
      </c>
      <c r="R2564" s="2" t="s">
        <v>9507</v>
      </c>
      <c r="S2564" s="2" t="s">
        <v>233</v>
      </c>
      <c r="T2564" s="2" t="s">
        <v>233</v>
      </c>
      <c r="U2564" s="2" t="s">
        <v>233</v>
      </c>
      <c r="V2564" s="2" t="s">
        <v>241</v>
      </c>
      <c r="W2564" s="2" t="s">
        <v>233</v>
      </c>
      <c r="X2564" s="2" t="s">
        <v>233</v>
      </c>
      <c r="Y2564" s="2" t="s">
        <v>3713</v>
      </c>
      <c r="Z2564" s="4"/>
      <c r="AA2564" s="4">
        <f>=ROUNDDOWN({0},0)</f>
      </c>
      <c r="AB2564" s="5"/>
      <c r="AC2564" s="2" t="s">
        <v>233</v>
      </c>
      <c r="AD2564" s="4"/>
      <c r="AE2564" s="4"/>
      <c r="AF2564" s="6"/>
      <c r="AG2564" s="6"/>
      <c r="AH2564" s="7">
        <v>0</v>
      </c>
      <c r="AI2564" s="4"/>
      <c r="AJ2564" s="4">
        <f>=ROUNDDOWN({0},0)</f>
      </c>
      <c r="AK2564" s="5"/>
      <c r="AL2564" s="2" t="s">
        <v>233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233</v>
      </c>
      <c r="AW2564" s="8" t="s">
        <v>233</v>
      </c>
      <c r="AX2564" s="4" t="s">
        <v>233</v>
      </c>
      <c r="AY2564" s="8" t="s">
        <v>233</v>
      </c>
      <c r="AZ2564" s="7" t="s">
        <v>233</v>
      </c>
      <c r="BA2564" s="7" t="s">
        <v>233</v>
      </c>
      <c r="BB2564" s="7"/>
      <c r="BC2564" s="4" t="s">
        <v>233</v>
      </c>
      <c r="BD2564" s="8" t="s">
        <v>233</v>
      </c>
      <c r="BE2564" s="4" t="s">
        <v>233</v>
      </c>
      <c r="BF2564" s="8" t="s">
        <v>233</v>
      </c>
      <c r="BG2564" s="7" t="s">
        <v>233</v>
      </c>
      <c r="BH2564" s="7" t="s">
        <v>233</v>
      </c>
      <c r="BI2564" s="7"/>
      <c r="BJ2564" s="4"/>
      <c r="BK2564" s="8"/>
      <c r="BL2564" s="2" t="s">
        <v>233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243</v>
      </c>
      <c r="BV2564" s="2" t="s">
        <v>233</v>
      </c>
      <c r="BW2564" s="2" t="s">
        <v>233</v>
      </c>
      <c r="BX2564" s="2" t="s">
        <v>233</v>
      </c>
      <c r="BY2564" s="2" t="s">
        <v>244</v>
      </c>
      <c r="BZ2564" s="2" t="s">
        <v>245</v>
      </c>
      <c r="CA2564" s="2" t="s">
        <v>233</v>
      </c>
      <c r="CB2564" s="2" t="s">
        <v>233</v>
      </c>
      <c r="CC2564" s="2" t="s">
        <v>246</v>
      </c>
      <c r="CD2564" s="2" t="s">
        <v>233</v>
      </c>
      <c r="CE2564" s="4"/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  <c r="DP2564" s="4"/>
      <c r="DQ2564" s="4"/>
      <c r="DR2564" s="4"/>
      <c r="DS2564" s="4"/>
      <c r="DT2564" s="4"/>
      <c r="DU2564" s="4"/>
      <c r="DV2564" s="4"/>
      <c r="DW2564" s="4"/>
      <c r="DX2564" s="4"/>
      <c r="DY2564" s="4"/>
      <c r="DZ2564" s="4"/>
      <c r="EA2564" s="4"/>
      <c r="EB2564" s="4"/>
      <c r="EC2564" s="4"/>
      <c r="ED2564" s="4"/>
      <c r="EE2564" s="4"/>
      <c r="EF2564" s="4"/>
      <c r="EG2564" s="4"/>
      <c r="EH2564" s="4"/>
      <c r="EI2564" s="4"/>
      <c r="EJ2564" s="4"/>
      <c r="EK2564" s="4"/>
      <c r="EL2564" s="4"/>
      <c r="EM2564" s="4"/>
      <c r="EN2564" s="4"/>
      <c r="EO2564" s="4"/>
      <c r="EP2564" s="4"/>
      <c r="EQ2564" s="4"/>
      <c r="ER2564" s="4"/>
      <c r="ES2564" s="4"/>
      <c r="ET2564" s="4"/>
      <c r="EU2564" s="4"/>
      <c r="EV2564" s="4"/>
      <c r="EW2564" s="4"/>
      <c r="EX2564" s="4"/>
      <c r="EY2564" s="4"/>
      <c r="EZ2564" s="4"/>
      <c r="FA2564" s="4"/>
      <c r="FB2564" s="4"/>
      <c r="FC2564" s="4"/>
      <c r="FD2564" s="4"/>
      <c r="FE2564" s="4"/>
      <c r="FF2564" s="4"/>
      <c r="FG2564" s="4"/>
      <c r="FH2564" s="4"/>
      <c r="FI2564" s="4"/>
      <c r="FJ2564" s="4"/>
      <c r="FK2564" s="4"/>
      <c r="FL2564" s="4"/>
      <c r="FM2564" s="4"/>
      <c r="FN2564" s="4"/>
      <c r="FO2564" s="4"/>
      <c r="FP2564" s="4"/>
      <c r="FQ2564" s="4"/>
      <c r="FR2564" s="4"/>
      <c r="FS2564" s="4"/>
      <c r="FT2564" s="4"/>
      <c r="FU2564" s="4"/>
      <c r="FV2564" s="4"/>
      <c r="FW2564" s="4"/>
      <c r="FX2564" s="4"/>
      <c r="FY2564" s="4"/>
      <c r="FZ2564" s="4"/>
      <c r="GA2564" s="4"/>
      <c r="GB2564" s="4"/>
      <c r="GC2564" s="4"/>
      <c r="GD2564" s="4"/>
      <c r="GE2564" s="4"/>
      <c r="GF2564" s="4"/>
      <c r="GG2564" s="4"/>
      <c r="GH2564" s="4"/>
      <c r="GI2564" s="4"/>
      <c r="GJ2564" s="4"/>
      <c r="GK2564" s="4"/>
      <c r="GL2564" s="4"/>
      <c r="GM2564" s="4"/>
      <c r="GN2564" s="4"/>
      <c r="GO2564" s="4"/>
      <c r="GP2564" s="4"/>
      <c r="GQ2564" s="4"/>
      <c r="GR2564" s="4"/>
      <c r="GS2564" s="4"/>
      <c r="GT2564" s="4"/>
      <c r="GU2564" s="4"/>
      <c r="GV2564" s="4"/>
      <c r="GW2564" s="4"/>
      <c r="GX2564" s="4"/>
      <c r="GY2564" s="4"/>
      <c r="GZ2564" s="4"/>
      <c r="HA2564" s="4"/>
      <c r="HB2564" s="4"/>
      <c r="HC2564" s="4"/>
      <c r="HD2564" s="4"/>
      <c r="HE2564" s="4"/>
      <c r="HF2564" s="4"/>
      <c r="HG2564" s="4"/>
      <c r="HH2564" s="4"/>
      <c r="HI2564" s="4"/>
      <c r="HJ2564" s="4"/>
      <c r="HK2564" s="4"/>
      <c r="HL2564" s="4"/>
      <c r="HM2564" s="4"/>
      <c r="HN2564" s="4"/>
      <c r="HO2564" s="4"/>
      <c r="HP2564" s="4"/>
      <c r="HQ2564" s="4"/>
      <c r="HR2564" s="4"/>
    </row>
    <row r="2565">
      <c r="A2565" s="2" t="s">
        <v>11312</v>
      </c>
      <c r="B2565" s="2" t="s">
        <v>1242</v>
      </c>
      <c r="C2565" s="2" t="s">
        <v>9503</v>
      </c>
      <c r="D2565" s="2" t="s">
        <v>969</v>
      </c>
      <c r="E2565" s="2" t="s">
        <v>1078</v>
      </c>
      <c r="F2565" s="2" t="s">
        <v>11303</v>
      </c>
      <c r="G2565" s="2" t="s">
        <v>233</v>
      </c>
      <c r="H2565" s="2" t="s">
        <v>233</v>
      </c>
      <c r="I2565" s="2" t="s">
        <v>11304</v>
      </c>
      <c r="J2565" s="2" t="s">
        <v>328</v>
      </c>
      <c r="K2565" s="2" t="s">
        <v>257</v>
      </c>
      <c r="L2565" s="3">
        <v>44.99</v>
      </c>
      <c r="M2565" s="3">
        <v>47.24</v>
      </c>
      <c r="N2565" s="3"/>
      <c r="O2565" s="2" t="s">
        <v>252</v>
      </c>
      <c r="P2565" s="2" t="s">
        <v>238</v>
      </c>
      <c r="Q2565" s="2" t="s">
        <v>239</v>
      </c>
      <c r="R2565" s="2" t="s">
        <v>9507</v>
      </c>
      <c r="S2565" s="2" t="s">
        <v>233</v>
      </c>
      <c r="T2565" s="2" t="s">
        <v>233</v>
      </c>
      <c r="U2565" s="2" t="s">
        <v>233</v>
      </c>
      <c r="V2565" s="2" t="s">
        <v>241</v>
      </c>
      <c r="W2565" s="2" t="s">
        <v>233</v>
      </c>
      <c r="X2565" s="2" t="s">
        <v>233</v>
      </c>
      <c r="Y2565" s="2" t="s">
        <v>3713</v>
      </c>
      <c r="Z2565" s="4"/>
      <c r="AA2565" s="4">
        <f>=ROUNDDOWN({0},0)</f>
      </c>
      <c r="AB2565" s="5"/>
      <c r="AC2565" s="2" t="s">
        <v>233</v>
      </c>
      <c r="AD2565" s="4"/>
      <c r="AE2565" s="4"/>
      <c r="AF2565" s="6"/>
      <c r="AG2565" s="6"/>
      <c r="AH2565" s="7">
        <v>0</v>
      </c>
      <c r="AI2565" s="4"/>
      <c r="AJ2565" s="4">
        <f>=ROUNDDOWN({0},0)</f>
      </c>
      <c r="AK2565" s="5"/>
      <c r="AL2565" s="2" t="s">
        <v>233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233</v>
      </c>
      <c r="AW2565" s="8" t="s">
        <v>233</v>
      </c>
      <c r="AX2565" s="4" t="s">
        <v>233</v>
      </c>
      <c r="AY2565" s="8" t="s">
        <v>233</v>
      </c>
      <c r="AZ2565" s="7" t="s">
        <v>233</v>
      </c>
      <c r="BA2565" s="7" t="s">
        <v>233</v>
      </c>
      <c r="BB2565" s="7"/>
      <c r="BC2565" s="4" t="s">
        <v>233</v>
      </c>
      <c r="BD2565" s="8" t="s">
        <v>233</v>
      </c>
      <c r="BE2565" s="4" t="s">
        <v>233</v>
      </c>
      <c r="BF2565" s="8" t="s">
        <v>233</v>
      </c>
      <c r="BG2565" s="7" t="s">
        <v>233</v>
      </c>
      <c r="BH2565" s="7" t="s">
        <v>233</v>
      </c>
      <c r="BI2565" s="7"/>
      <c r="BJ2565" s="4"/>
      <c r="BK2565" s="8"/>
      <c r="BL2565" s="2" t="s">
        <v>233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243</v>
      </c>
      <c r="BV2565" s="2" t="s">
        <v>233</v>
      </c>
      <c r="BW2565" s="2" t="s">
        <v>233</v>
      </c>
      <c r="BX2565" s="2" t="s">
        <v>233</v>
      </c>
      <c r="BY2565" s="2" t="s">
        <v>244</v>
      </c>
      <c r="BZ2565" s="2" t="s">
        <v>245</v>
      </c>
      <c r="CA2565" s="2" t="s">
        <v>233</v>
      </c>
      <c r="CB2565" s="2" t="s">
        <v>233</v>
      </c>
      <c r="CC2565" s="2" t="s">
        <v>246</v>
      </c>
      <c r="CD2565" s="2" t="s">
        <v>233</v>
      </c>
      <c r="CE2565" s="4"/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  <c r="DP2565" s="4"/>
      <c r="DQ2565" s="4"/>
      <c r="DR2565" s="4"/>
      <c r="DS2565" s="4"/>
      <c r="DT2565" s="4"/>
      <c r="DU2565" s="4"/>
      <c r="DV2565" s="4"/>
      <c r="DW2565" s="4"/>
      <c r="DX2565" s="4"/>
      <c r="DY2565" s="4"/>
      <c r="DZ2565" s="4"/>
      <c r="EA2565" s="4"/>
      <c r="EB2565" s="4"/>
      <c r="EC2565" s="4"/>
      <c r="ED2565" s="4"/>
      <c r="EE2565" s="4"/>
      <c r="EF2565" s="4"/>
      <c r="EG2565" s="4"/>
      <c r="EH2565" s="4"/>
      <c r="EI2565" s="4"/>
      <c r="EJ2565" s="4"/>
      <c r="EK2565" s="4"/>
      <c r="EL2565" s="4"/>
      <c r="EM2565" s="4"/>
      <c r="EN2565" s="4"/>
      <c r="EO2565" s="4"/>
      <c r="EP2565" s="4"/>
      <c r="EQ2565" s="4"/>
      <c r="ER2565" s="4"/>
      <c r="ES2565" s="4"/>
      <c r="ET2565" s="4"/>
      <c r="EU2565" s="4"/>
      <c r="EV2565" s="4"/>
      <c r="EW2565" s="4"/>
      <c r="EX2565" s="4"/>
      <c r="EY2565" s="4"/>
      <c r="EZ2565" s="4"/>
      <c r="FA2565" s="4"/>
      <c r="FB2565" s="4"/>
      <c r="FC2565" s="4"/>
      <c r="FD2565" s="4"/>
      <c r="FE2565" s="4"/>
      <c r="FF2565" s="4"/>
      <c r="FG2565" s="4"/>
      <c r="FH2565" s="4"/>
      <c r="FI2565" s="4"/>
      <c r="FJ2565" s="4"/>
      <c r="FK2565" s="4"/>
      <c r="FL2565" s="4"/>
      <c r="FM2565" s="4"/>
      <c r="FN2565" s="4"/>
      <c r="FO2565" s="4"/>
      <c r="FP2565" s="4"/>
      <c r="FQ2565" s="4"/>
      <c r="FR2565" s="4"/>
      <c r="FS2565" s="4"/>
      <c r="FT2565" s="4"/>
      <c r="FU2565" s="4"/>
      <c r="FV2565" s="4"/>
      <c r="FW2565" s="4"/>
      <c r="FX2565" s="4"/>
      <c r="FY2565" s="4"/>
      <c r="FZ2565" s="4"/>
      <c r="GA2565" s="4"/>
      <c r="GB2565" s="4"/>
      <c r="GC2565" s="4"/>
      <c r="GD2565" s="4"/>
      <c r="GE2565" s="4"/>
      <c r="GF2565" s="4"/>
      <c r="GG2565" s="4"/>
      <c r="GH2565" s="4"/>
      <c r="GI2565" s="4"/>
      <c r="GJ2565" s="4"/>
      <c r="GK2565" s="4"/>
      <c r="GL2565" s="4"/>
      <c r="GM2565" s="4"/>
      <c r="GN2565" s="4"/>
      <c r="GO2565" s="4"/>
      <c r="GP2565" s="4"/>
      <c r="GQ2565" s="4"/>
      <c r="GR2565" s="4"/>
      <c r="GS2565" s="4"/>
      <c r="GT2565" s="4"/>
      <c r="GU2565" s="4"/>
      <c r="GV2565" s="4"/>
      <c r="GW2565" s="4"/>
      <c r="GX2565" s="4"/>
      <c r="GY2565" s="4"/>
      <c r="GZ2565" s="4"/>
      <c r="HA2565" s="4"/>
      <c r="HB2565" s="4"/>
      <c r="HC2565" s="4"/>
      <c r="HD2565" s="4"/>
      <c r="HE2565" s="4"/>
      <c r="HF2565" s="4"/>
      <c r="HG2565" s="4"/>
      <c r="HH2565" s="4"/>
      <c r="HI2565" s="4"/>
      <c r="HJ2565" s="4"/>
      <c r="HK2565" s="4"/>
      <c r="HL2565" s="4"/>
      <c r="HM2565" s="4"/>
      <c r="HN2565" s="4"/>
      <c r="HO2565" s="4"/>
      <c r="HP2565" s="4"/>
      <c r="HQ2565" s="4"/>
      <c r="HR2565" s="4"/>
    </row>
    <row r="2566">
      <c r="A2566" s="2" t="s">
        <v>11313</v>
      </c>
      <c r="B2566" s="2" t="s">
        <v>1242</v>
      </c>
      <c r="C2566" s="2" t="s">
        <v>9503</v>
      </c>
      <c r="D2566" s="2" t="s">
        <v>969</v>
      </c>
      <c r="E2566" s="2" t="s">
        <v>1078</v>
      </c>
      <c r="F2566" s="2" t="s">
        <v>11303</v>
      </c>
      <c r="G2566" s="2" t="s">
        <v>233</v>
      </c>
      <c r="H2566" s="2" t="s">
        <v>233</v>
      </c>
      <c r="I2566" s="2" t="s">
        <v>11304</v>
      </c>
      <c r="J2566" s="2" t="s">
        <v>918</v>
      </c>
      <c r="K2566" s="2" t="s">
        <v>823</v>
      </c>
      <c r="L2566" s="3">
        <v>29.99</v>
      </c>
      <c r="M2566" s="3">
        <v>31.49</v>
      </c>
      <c r="N2566" s="3"/>
      <c r="O2566" s="2" t="s">
        <v>245</v>
      </c>
      <c r="P2566" s="2" t="s">
        <v>238</v>
      </c>
      <c r="Q2566" s="2" t="s">
        <v>239</v>
      </c>
      <c r="R2566" s="2" t="s">
        <v>9507</v>
      </c>
      <c r="S2566" s="2" t="s">
        <v>233</v>
      </c>
      <c r="T2566" s="2" t="s">
        <v>233</v>
      </c>
      <c r="U2566" s="2" t="s">
        <v>233</v>
      </c>
      <c r="V2566" s="2" t="s">
        <v>241</v>
      </c>
      <c r="W2566" s="2" t="s">
        <v>233</v>
      </c>
      <c r="X2566" s="2" t="s">
        <v>233</v>
      </c>
      <c r="Y2566" s="2" t="s">
        <v>3713</v>
      </c>
      <c r="Z2566" s="4"/>
      <c r="AA2566" s="4">
        <f>=ROUNDDOWN({0},0)</f>
      </c>
      <c r="AB2566" s="5"/>
      <c r="AC2566" s="2" t="s">
        <v>233</v>
      </c>
      <c r="AD2566" s="4"/>
      <c r="AE2566" s="4"/>
      <c r="AF2566" s="6"/>
      <c r="AG2566" s="6"/>
      <c r="AH2566" s="7">
        <v>0</v>
      </c>
      <c r="AI2566" s="4"/>
      <c r="AJ2566" s="4">
        <f>=ROUNDDOWN({0},0)</f>
      </c>
      <c r="AK2566" s="5"/>
      <c r="AL2566" s="2" t="s">
        <v>233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233</v>
      </c>
      <c r="AW2566" s="8" t="s">
        <v>233</v>
      </c>
      <c r="AX2566" s="4" t="s">
        <v>233</v>
      </c>
      <c r="AY2566" s="8" t="s">
        <v>233</v>
      </c>
      <c r="AZ2566" s="7" t="s">
        <v>233</v>
      </c>
      <c r="BA2566" s="7" t="s">
        <v>233</v>
      </c>
      <c r="BB2566" s="7"/>
      <c r="BC2566" s="4" t="s">
        <v>233</v>
      </c>
      <c r="BD2566" s="8" t="s">
        <v>233</v>
      </c>
      <c r="BE2566" s="4" t="s">
        <v>233</v>
      </c>
      <c r="BF2566" s="8" t="s">
        <v>233</v>
      </c>
      <c r="BG2566" s="7" t="s">
        <v>233</v>
      </c>
      <c r="BH2566" s="7" t="s">
        <v>233</v>
      </c>
      <c r="BI2566" s="7"/>
      <c r="BJ2566" s="4"/>
      <c r="BK2566" s="8"/>
      <c r="BL2566" s="2" t="s">
        <v>233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243</v>
      </c>
      <c r="BV2566" s="2" t="s">
        <v>233</v>
      </c>
      <c r="BW2566" s="2" t="s">
        <v>233</v>
      </c>
      <c r="BX2566" s="2" t="s">
        <v>233</v>
      </c>
      <c r="BY2566" s="2" t="s">
        <v>244</v>
      </c>
      <c r="BZ2566" s="2" t="s">
        <v>245</v>
      </c>
      <c r="CA2566" s="2" t="s">
        <v>233</v>
      </c>
      <c r="CB2566" s="2" t="s">
        <v>233</v>
      </c>
      <c r="CC2566" s="2" t="s">
        <v>246</v>
      </c>
      <c r="CD2566" s="2" t="s">
        <v>233</v>
      </c>
      <c r="CE2566" s="4"/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  <c r="DL2566" s="4"/>
      <c r="DM2566" s="4"/>
      <c r="DN2566" s="4"/>
      <c r="DO2566" s="4"/>
      <c r="DP2566" s="4"/>
      <c r="DQ2566" s="4"/>
      <c r="DR2566" s="4"/>
      <c r="DS2566" s="4"/>
      <c r="DT2566" s="4"/>
      <c r="DU2566" s="4"/>
      <c r="DV2566" s="4"/>
      <c r="DW2566" s="4"/>
      <c r="DX2566" s="4"/>
      <c r="DY2566" s="4"/>
      <c r="DZ2566" s="4"/>
      <c r="EA2566" s="4"/>
      <c r="EB2566" s="4"/>
      <c r="EC2566" s="4"/>
      <c r="ED2566" s="4"/>
      <c r="EE2566" s="4"/>
      <c r="EF2566" s="4"/>
      <c r="EG2566" s="4"/>
      <c r="EH2566" s="4"/>
      <c r="EI2566" s="4"/>
      <c r="EJ2566" s="4"/>
      <c r="EK2566" s="4"/>
      <c r="EL2566" s="4"/>
      <c r="EM2566" s="4"/>
      <c r="EN2566" s="4"/>
      <c r="EO2566" s="4"/>
      <c r="EP2566" s="4"/>
      <c r="EQ2566" s="4"/>
      <c r="ER2566" s="4"/>
      <c r="ES2566" s="4"/>
      <c r="ET2566" s="4"/>
      <c r="EU2566" s="4"/>
      <c r="EV2566" s="4"/>
      <c r="EW2566" s="4"/>
      <c r="EX2566" s="4"/>
      <c r="EY2566" s="4"/>
      <c r="EZ2566" s="4"/>
      <c r="FA2566" s="4"/>
      <c r="FB2566" s="4"/>
      <c r="FC2566" s="4"/>
      <c r="FD2566" s="4"/>
      <c r="FE2566" s="4"/>
      <c r="FF2566" s="4"/>
      <c r="FG2566" s="4"/>
      <c r="FH2566" s="4"/>
      <c r="FI2566" s="4"/>
      <c r="FJ2566" s="4"/>
      <c r="FK2566" s="4"/>
      <c r="FL2566" s="4"/>
      <c r="FM2566" s="4"/>
      <c r="FN2566" s="4"/>
      <c r="FO2566" s="4"/>
      <c r="FP2566" s="4"/>
      <c r="FQ2566" s="4"/>
      <c r="FR2566" s="4"/>
      <c r="FS2566" s="4"/>
      <c r="FT2566" s="4"/>
      <c r="FU2566" s="4"/>
      <c r="FV2566" s="4"/>
      <c r="FW2566" s="4"/>
      <c r="FX2566" s="4"/>
      <c r="FY2566" s="4"/>
      <c r="FZ2566" s="4"/>
      <c r="GA2566" s="4"/>
      <c r="GB2566" s="4"/>
      <c r="GC2566" s="4"/>
      <c r="GD2566" s="4"/>
      <c r="GE2566" s="4"/>
      <c r="GF2566" s="4"/>
      <c r="GG2566" s="4"/>
      <c r="GH2566" s="4"/>
      <c r="GI2566" s="4"/>
      <c r="GJ2566" s="4"/>
      <c r="GK2566" s="4"/>
      <c r="GL2566" s="4"/>
      <c r="GM2566" s="4"/>
      <c r="GN2566" s="4"/>
      <c r="GO2566" s="4"/>
      <c r="GP2566" s="4"/>
      <c r="GQ2566" s="4"/>
      <c r="GR2566" s="4"/>
      <c r="GS2566" s="4"/>
      <c r="GT2566" s="4"/>
      <c r="GU2566" s="4"/>
      <c r="GV2566" s="4"/>
      <c r="GW2566" s="4"/>
      <c r="GX2566" s="4"/>
      <c r="GY2566" s="4"/>
      <c r="GZ2566" s="4"/>
      <c r="HA2566" s="4"/>
      <c r="HB2566" s="4"/>
      <c r="HC2566" s="4"/>
      <c r="HD2566" s="4"/>
      <c r="HE2566" s="4"/>
      <c r="HF2566" s="4"/>
      <c r="HG2566" s="4"/>
      <c r="HH2566" s="4"/>
      <c r="HI2566" s="4"/>
      <c r="HJ2566" s="4"/>
      <c r="HK2566" s="4"/>
      <c r="HL2566" s="4"/>
      <c r="HM2566" s="4"/>
      <c r="HN2566" s="4"/>
      <c r="HO2566" s="4"/>
      <c r="HP2566" s="4"/>
      <c r="HQ2566" s="4"/>
      <c r="HR2566" s="4"/>
    </row>
    <row r="2567">
      <c r="A2567" s="2" t="s">
        <v>11314</v>
      </c>
      <c r="B2567" s="2" t="s">
        <v>1242</v>
      </c>
      <c r="C2567" s="2" t="s">
        <v>9503</v>
      </c>
      <c r="D2567" s="2" t="s">
        <v>969</v>
      </c>
      <c r="E2567" s="2" t="s">
        <v>1078</v>
      </c>
      <c r="F2567" s="2" t="s">
        <v>11303</v>
      </c>
      <c r="G2567" s="2" t="s">
        <v>233</v>
      </c>
      <c r="H2567" s="2" t="s">
        <v>233</v>
      </c>
      <c r="I2567" s="2" t="s">
        <v>11304</v>
      </c>
      <c r="J2567" s="2" t="s">
        <v>981</v>
      </c>
      <c r="K2567" s="2" t="s">
        <v>823</v>
      </c>
      <c r="L2567" s="3">
        <v>39.99</v>
      </c>
      <c r="M2567" s="3">
        <v>41.99</v>
      </c>
      <c r="N2567" s="3"/>
      <c r="O2567" s="2" t="s">
        <v>245</v>
      </c>
      <c r="P2567" s="2" t="s">
        <v>238</v>
      </c>
      <c r="Q2567" s="2" t="s">
        <v>239</v>
      </c>
      <c r="R2567" s="2" t="s">
        <v>9507</v>
      </c>
      <c r="S2567" s="2" t="s">
        <v>233</v>
      </c>
      <c r="T2567" s="2" t="s">
        <v>233</v>
      </c>
      <c r="U2567" s="2" t="s">
        <v>233</v>
      </c>
      <c r="V2567" s="2" t="s">
        <v>241</v>
      </c>
      <c r="W2567" s="2" t="s">
        <v>233</v>
      </c>
      <c r="X2567" s="2" t="s">
        <v>233</v>
      </c>
      <c r="Y2567" s="2" t="s">
        <v>3713</v>
      </c>
      <c r="Z2567" s="4"/>
      <c r="AA2567" s="4">
        <f>=ROUNDDOWN({0},0)</f>
      </c>
      <c r="AB2567" s="5"/>
      <c r="AC2567" s="2" t="s">
        <v>233</v>
      </c>
      <c r="AD2567" s="4"/>
      <c r="AE2567" s="4"/>
      <c r="AF2567" s="6"/>
      <c r="AG2567" s="6"/>
      <c r="AH2567" s="7">
        <v>0</v>
      </c>
      <c r="AI2567" s="4"/>
      <c r="AJ2567" s="4">
        <f>=ROUNDDOWN({0},0)</f>
      </c>
      <c r="AK2567" s="5"/>
      <c r="AL2567" s="2" t="s">
        <v>233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233</v>
      </c>
      <c r="AW2567" s="8" t="s">
        <v>233</v>
      </c>
      <c r="AX2567" s="4" t="s">
        <v>233</v>
      </c>
      <c r="AY2567" s="8" t="s">
        <v>233</v>
      </c>
      <c r="AZ2567" s="7" t="s">
        <v>233</v>
      </c>
      <c r="BA2567" s="7" t="s">
        <v>233</v>
      </c>
      <c r="BB2567" s="7"/>
      <c r="BC2567" s="4" t="s">
        <v>233</v>
      </c>
      <c r="BD2567" s="8" t="s">
        <v>233</v>
      </c>
      <c r="BE2567" s="4" t="s">
        <v>233</v>
      </c>
      <c r="BF2567" s="8" t="s">
        <v>233</v>
      </c>
      <c r="BG2567" s="7" t="s">
        <v>233</v>
      </c>
      <c r="BH2567" s="7" t="s">
        <v>233</v>
      </c>
      <c r="BI2567" s="7"/>
      <c r="BJ2567" s="4"/>
      <c r="BK2567" s="8"/>
      <c r="BL2567" s="2" t="s">
        <v>233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243</v>
      </c>
      <c r="BV2567" s="2" t="s">
        <v>233</v>
      </c>
      <c r="BW2567" s="2" t="s">
        <v>233</v>
      </c>
      <c r="BX2567" s="2" t="s">
        <v>233</v>
      </c>
      <c r="BY2567" s="2" t="s">
        <v>244</v>
      </c>
      <c r="BZ2567" s="2" t="s">
        <v>245</v>
      </c>
      <c r="CA2567" s="2" t="s">
        <v>233</v>
      </c>
      <c r="CB2567" s="2" t="s">
        <v>233</v>
      </c>
      <c r="CC2567" s="2" t="s">
        <v>246</v>
      </c>
      <c r="CD2567" s="2" t="s">
        <v>233</v>
      </c>
      <c r="CE2567" s="4"/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/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  <c r="DL2567" s="4"/>
      <c r="DM2567" s="4"/>
      <c r="DN2567" s="4"/>
      <c r="DO2567" s="4"/>
      <c r="DP2567" s="4"/>
      <c r="DQ2567" s="4"/>
      <c r="DR2567" s="4"/>
      <c r="DS2567" s="4"/>
      <c r="DT2567" s="4"/>
      <c r="DU2567" s="4"/>
      <c r="DV2567" s="4"/>
      <c r="DW2567" s="4"/>
      <c r="DX2567" s="4"/>
      <c r="DY2567" s="4"/>
      <c r="DZ2567" s="4"/>
      <c r="EA2567" s="4"/>
      <c r="EB2567" s="4"/>
      <c r="EC2567" s="4"/>
      <c r="ED2567" s="4"/>
      <c r="EE2567" s="4"/>
      <c r="EF2567" s="4"/>
      <c r="EG2567" s="4"/>
      <c r="EH2567" s="4"/>
      <c r="EI2567" s="4"/>
      <c r="EJ2567" s="4"/>
      <c r="EK2567" s="4"/>
      <c r="EL2567" s="4"/>
      <c r="EM2567" s="4"/>
      <c r="EN2567" s="4"/>
      <c r="EO2567" s="4"/>
      <c r="EP2567" s="4"/>
      <c r="EQ2567" s="4"/>
      <c r="ER2567" s="4"/>
      <c r="ES2567" s="4"/>
      <c r="ET2567" s="4"/>
      <c r="EU2567" s="4"/>
      <c r="EV2567" s="4"/>
      <c r="EW2567" s="4"/>
      <c r="EX2567" s="4"/>
      <c r="EY2567" s="4"/>
      <c r="EZ2567" s="4"/>
      <c r="FA2567" s="4"/>
      <c r="FB2567" s="4"/>
      <c r="FC2567" s="4"/>
      <c r="FD2567" s="4"/>
      <c r="FE2567" s="4"/>
      <c r="FF2567" s="4"/>
      <c r="FG2567" s="4"/>
      <c r="FH2567" s="4"/>
      <c r="FI2567" s="4"/>
      <c r="FJ2567" s="4"/>
      <c r="FK2567" s="4"/>
      <c r="FL2567" s="4"/>
      <c r="FM2567" s="4"/>
      <c r="FN2567" s="4"/>
      <c r="FO2567" s="4"/>
      <c r="FP2567" s="4"/>
      <c r="FQ2567" s="4"/>
      <c r="FR2567" s="4"/>
      <c r="FS2567" s="4"/>
      <c r="FT2567" s="4"/>
      <c r="FU2567" s="4"/>
      <c r="FV2567" s="4"/>
      <c r="FW2567" s="4"/>
      <c r="FX2567" s="4"/>
      <c r="FY2567" s="4"/>
      <c r="FZ2567" s="4"/>
      <c r="GA2567" s="4"/>
      <c r="GB2567" s="4"/>
      <c r="GC2567" s="4"/>
      <c r="GD2567" s="4"/>
      <c r="GE2567" s="4"/>
      <c r="GF2567" s="4"/>
      <c r="GG2567" s="4"/>
      <c r="GH2567" s="4"/>
      <c r="GI2567" s="4"/>
      <c r="GJ2567" s="4"/>
      <c r="GK2567" s="4"/>
      <c r="GL2567" s="4"/>
      <c r="GM2567" s="4"/>
      <c r="GN2567" s="4"/>
      <c r="GO2567" s="4"/>
      <c r="GP2567" s="4"/>
      <c r="GQ2567" s="4"/>
      <c r="GR2567" s="4"/>
      <c r="GS2567" s="4"/>
      <c r="GT2567" s="4"/>
      <c r="GU2567" s="4"/>
      <c r="GV2567" s="4"/>
      <c r="GW2567" s="4"/>
      <c r="GX2567" s="4"/>
      <c r="GY2567" s="4"/>
      <c r="GZ2567" s="4"/>
      <c r="HA2567" s="4"/>
      <c r="HB2567" s="4"/>
      <c r="HC2567" s="4"/>
      <c r="HD2567" s="4"/>
      <c r="HE2567" s="4"/>
      <c r="HF2567" s="4"/>
      <c r="HG2567" s="4"/>
      <c r="HH2567" s="4"/>
      <c r="HI2567" s="4"/>
      <c r="HJ2567" s="4"/>
      <c r="HK2567" s="4"/>
      <c r="HL2567" s="4"/>
      <c r="HM2567" s="4"/>
      <c r="HN2567" s="4"/>
      <c r="HO2567" s="4"/>
      <c r="HP2567" s="4"/>
      <c r="HQ2567" s="4"/>
      <c r="HR2567" s="4"/>
    </row>
    <row r="2568">
      <c r="A2568" s="2" t="s">
        <v>11315</v>
      </c>
      <c r="B2568" s="2" t="s">
        <v>1242</v>
      </c>
      <c r="C2568" s="2" t="s">
        <v>9503</v>
      </c>
      <c r="D2568" s="2" t="s">
        <v>969</v>
      </c>
      <c r="E2568" s="2" t="s">
        <v>1078</v>
      </c>
      <c r="F2568" s="2" t="s">
        <v>11303</v>
      </c>
      <c r="G2568" s="2" t="s">
        <v>233</v>
      </c>
      <c r="H2568" s="2" t="s">
        <v>233</v>
      </c>
      <c r="I2568" s="2" t="s">
        <v>11304</v>
      </c>
      <c r="J2568" s="2" t="s">
        <v>328</v>
      </c>
      <c r="K2568" s="2" t="s">
        <v>823</v>
      </c>
      <c r="L2568" s="3">
        <v>44.99</v>
      </c>
      <c r="M2568" s="3">
        <v>47.24</v>
      </c>
      <c r="N2568" s="3"/>
      <c r="O2568" s="2" t="s">
        <v>245</v>
      </c>
      <c r="P2568" s="2" t="s">
        <v>238</v>
      </c>
      <c r="Q2568" s="2" t="s">
        <v>239</v>
      </c>
      <c r="R2568" s="2" t="s">
        <v>9507</v>
      </c>
      <c r="S2568" s="2" t="s">
        <v>233</v>
      </c>
      <c r="T2568" s="2" t="s">
        <v>233</v>
      </c>
      <c r="U2568" s="2" t="s">
        <v>233</v>
      </c>
      <c r="V2568" s="2" t="s">
        <v>241</v>
      </c>
      <c r="W2568" s="2" t="s">
        <v>233</v>
      </c>
      <c r="X2568" s="2" t="s">
        <v>233</v>
      </c>
      <c r="Y2568" s="2" t="s">
        <v>3713</v>
      </c>
      <c r="Z2568" s="4"/>
      <c r="AA2568" s="4">
        <f>=ROUNDDOWN({0},0)</f>
      </c>
      <c r="AB2568" s="5"/>
      <c r="AC2568" s="2" t="s">
        <v>233</v>
      </c>
      <c r="AD2568" s="4"/>
      <c r="AE2568" s="4"/>
      <c r="AF2568" s="6"/>
      <c r="AG2568" s="6"/>
      <c r="AH2568" s="7">
        <v>0</v>
      </c>
      <c r="AI2568" s="4"/>
      <c r="AJ2568" s="4">
        <f>=ROUNDDOWN({0},0)</f>
      </c>
      <c r="AK2568" s="5"/>
      <c r="AL2568" s="2" t="s">
        <v>233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233</v>
      </c>
      <c r="AW2568" s="8" t="s">
        <v>233</v>
      </c>
      <c r="AX2568" s="4" t="s">
        <v>233</v>
      </c>
      <c r="AY2568" s="8" t="s">
        <v>233</v>
      </c>
      <c r="AZ2568" s="7" t="s">
        <v>233</v>
      </c>
      <c r="BA2568" s="7" t="s">
        <v>233</v>
      </c>
      <c r="BB2568" s="7"/>
      <c r="BC2568" s="4" t="s">
        <v>233</v>
      </c>
      <c r="BD2568" s="8" t="s">
        <v>233</v>
      </c>
      <c r="BE2568" s="4" t="s">
        <v>233</v>
      </c>
      <c r="BF2568" s="8" t="s">
        <v>233</v>
      </c>
      <c r="BG2568" s="7" t="s">
        <v>233</v>
      </c>
      <c r="BH2568" s="7" t="s">
        <v>233</v>
      </c>
      <c r="BI2568" s="7"/>
      <c r="BJ2568" s="4"/>
      <c r="BK2568" s="8"/>
      <c r="BL2568" s="2" t="s">
        <v>233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243</v>
      </c>
      <c r="BV2568" s="2" t="s">
        <v>233</v>
      </c>
      <c r="BW2568" s="2" t="s">
        <v>233</v>
      </c>
      <c r="BX2568" s="2" t="s">
        <v>233</v>
      </c>
      <c r="BY2568" s="2" t="s">
        <v>244</v>
      </c>
      <c r="BZ2568" s="2" t="s">
        <v>245</v>
      </c>
      <c r="CA2568" s="2" t="s">
        <v>233</v>
      </c>
      <c r="CB2568" s="2" t="s">
        <v>233</v>
      </c>
      <c r="CC2568" s="2" t="s">
        <v>246</v>
      </c>
      <c r="CD2568" s="2" t="s">
        <v>233</v>
      </c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  <c r="DL2568" s="4"/>
      <c r="DM2568" s="4"/>
      <c r="DN2568" s="4"/>
      <c r="DO2568" s="4"/>
      <c r="DP2568" s="4"/>
      <c r="DQ2568" s="4"/>
      <c r="DR2568" s="4"/>
      <c r="DS2568" s="4"/>
      <c r="DT2568" s="4"/>
      <c r="DU2568" s="4"/>
      <c r="DV2568" s="4"/>
      <c r="DW2568" s="4"/>
      <c r="DX2568" s="4"/>
      <c r="DY2568" s="4"/>
      <c r="DZ2568" s="4"/>
      <c r="EA2568" s="4"/>
      <c r="EB2568" s="4"/>
      <c r="EC2568" s="4"/>
      <c r="ED2568" s="4"/>
      <c r="EE2568" s="4"/>
      <c r="EF2568" s="4"/>
      <c r="EG2568" s="4"/>
      <c r="EH2568" s="4"/>
      <c r="EI2568" s="4"/>
      <c r="EJ2568" s="4"/>
      <c r="EK2568" s="4"/>
      <c r="EL2568" s="4"/>
      <c r="EM2568" s="4"/>
      <c r="EN2568" s="4"/>
      <c r="EO2568" s="4"/>
      <c r="EP2568" s="4"/>
      <c r="EQ2568" s="4"/>
      <c r="ER2568" s="4"/>
      <c r="ES2568" s="4"/>
      <c r="ET2568" s="4"/>
      <c r="EU2568" s="4"/>
      <c r="EV2568" s="4"/>
      <c r="EW2568" s="4"/>
      <c r="EX2568" s="4"/>
      <c r="EY2568" s="4"/>
      <c r="EZ2568" s="4"/>
      <c r="FA2568" s="4"/>
      <c r="FB2568" s="4"/>
      <c r="FC2568" s="4"/>
      <c r="FD2568" s="4"/>
      <c r="FE2568" s="4"/>
      <c r="FF2568" s="4"/>
      <c r="FG2568" s="4"/>
      <c r="FH2568" s="4"/>
      <c r="FI2568" s="4"/>
      <c r="FJ2568" s="4"/>
      <c r="FK2568" s="4"/>
      <c r="FL2568" s="4"/>
      <c r="FM2568" s="4"/>
      <c r="FN2568" s="4"/>
      <c r="FO2568" s="4"/>
      <c r="FP2568" s="4"/>
      <c r="FQ2568" s="4"/>
      <c r="FR2568" s="4"/>
      <c r="FS2568" s="4"/>
      <c r="FT2568" s="4"/>
      <c r="FU2568" s="4"/>
      <c r="FV2568" s="4"/>
      <c r="FW2568" s="4"/>
      <c r="FX2568" s="4"/>
      <c r="FY2568" s="4"/>
      <c r="FZ2568" s="4"/>
      <c r="GA2568" s="4"/>
      <c r="GB2568" s="4"/>
      <c r="GC2568" s="4"/>
      <c r="GD2568" s="4"/>
      <c r="GE2568" s="4"/>
      <c r="GF2568" s="4"/>
      <c r="GG2568" s="4"/>
      <c r="GH2568" s="4"/>
      <c r="GI2568" s="4"/>
      <c r="GJ2568" s="4"/>
      <c r="GK2568" s="4"/>
      <c r="GL2568" s="4"/>
      <c r="GM2568" s="4"/>
      <c r="GN2568" s="4"/>
      <c r="GO2568" s="4"/>
      <c r="GP2568" s="4"/>
      <c r="GQ2568" s="4"/>
      <c r="GR2568" s="4"/>
      <c r="GS2568" s="4"/>
      <c r="GT2568" s="4"/>
      <c r="GU2568" s="4"/>
      <c r="GV2568" s="4"/>
      <c r="GW2568" s="4"/>
      <c r="GX2568" s="4"/>
      <c r="GY2568" s="4"/>
      <c r="GZ2568" s="4"/>
      <c r="HA2568" s="4"/>
      <c r="HB2568" s="4"/>
      <c r="HC2568" s="4"/>
      <c r="HD2568" s="4"/>
      <c r="HE2568" s="4"/>
      <c r="HF2568" s="4"/>
      <c r="HG2568" s="4"/>
      <c r="HH2568" s="4"/>
      <c r="HI2568" s="4"/>
      <c r="HJ2568" s="4"/>
      <c r="HK2568" s="4"/>
      <c r="HL2568" s="4"/>
      <c r="HM2568" s="4"/>
      <c r="HN2568" s="4"/>
      <c r="HO2568" s="4"/>
      <c r="HP2568" s="4"/>
      <c r="HQ2568" s="4"/>
      <c r="HR2568" s="4"/>
    </row>
    <row r="2569">
      <c r="A2569" s="2" t="s">
        <v>11316</v>
      </c>
      <c r="B2569" s="2" t="s">
        <v>264</v>
      </c>
      <c r="C2569" s="2" t="s">
        <v>530</v>
      </c>
      <c r="D2569" s="2" t="s">
        <v>969</v>
      </c>
      <c r="E2569" s="2" t="s">
        <v>2383</v>
      </c>
      <c r="F2569" s="2" t="s">
        <v>11303</v>
      </c>
      <c r="G2569" s="2" t="s">
        <v>11317</v>
      </c>
      <c r="H2569" s="2" t="s">
        <v>11317</v>
      </c>
      <c r="I2569" s="2" t="s">
        <v>11318</v>
      </c>
      <c r="J2569" s="2" t="s">
        <v>918</v>
      </c>
      <c r="K2569" s="2" t="s">
        <v>1201</v>
      </c>
      <c r="L2569" s="3">
        <v>26.5</v>
      </c>
      <c r="M2569" s="3">
        <v>27.82</v>
      </c>
      <c r="N2569" s="3">
        <v>52.99</v>
      </c>
      <c r="O2569" s="2" t="s">
        <v>245</v>
      </c>
      <c r="P2569" s="2" t="s">
        <v>238</v>
      </c>
      <c r="Q2569" s="2" t="s">
        <v>239</v>
      </c>
      <c r="R2569" s="2" t="s">
        <v>233</v>
      </c>
      <c r="S2569" s="2" t="s">
        <v>11319</v>
      </c>
      <c r="T2569" s="2" t="s">
        <v>341</v>
      </c>
      <c r="U2569" s="2" t="s">
        <v>396</v>
      </c>
      <c r="V2569" s="2" t="s">
        <v>241</v>
      </c>
      <c r="W2569" s="2" t="s">
        <v>275</v>
      </c>
      <c r="X2569" s="2" t="s">
        <v>705</v>
      </c>
      <c r="Y2569" s="2" t="s">
        <v>10479</v>
      </c>
      <c r="Z2569" s="4">
        <v>393</v>
      </c>
      <c r="AA2569" s="4">
        <f>=ROUNDDOWN(65.5,0)</f>
      </c>
      <c r="AB2569" s="5">
        <v>6</v>
      </c>
      <c r="AC2569" s="2" t="s">
        <v>233</v>
      </c>
      <c r="AD2569" s="4"/>
      <c r="AE2569" s="4"/>
      <c r="AF2569" s="6">
        <v>68</v>
      </c>
      <c r="AG2569" s="6"/>
      <c r="AH2569" s="7">
        <v>1</v>
      </c>
      <c r="AI2569" s="4"/>
      <c r="AJ2569" s="4">
        <f>=ROUNDDOWN({0},0)</f>
      </c>
      <c r="AK2569" s="5"/>
      <c r="AL2569" s="2" t="s">
        <v>233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 t="s">
        <v>233</v>
      </c>
      <c r="BD2569" s="8" t="s">
        <v>233</v>
      </c>
      <c r="BE2569" s="4" t="s">
        <v>233</v>
      </c>
      <c r="BF2569" s="8" t="s">
        <v>233</v>
      </c>
      <c r="BG2569" s="7" t="s">
        <v>233</v>
      </c>
      <c r="BH2569" s="7" t="s">
        <v>233</v>
      </c>
      <c r="BI2569" s="7"/>
      <c r="BJ2569" s="4">
        <v>4</v>
      </c>
      <c r="BK2569" s="8">
        <v>121.92</v>
      </c>
      <c r="BL2569" s="2" t="s">
        <v>5625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11320</v>
      </c>
      <c r="BV2569" s="2" t="s">
        <v>233</v>
      </c>
      <c r="BW2569" s="2" t="s">
        <v>233</v>
      </c>
      <c r="BX2569" s="2" t="s">
        <v>243</v>
      </c>
      <c r="BY2569" s="2" t="s">
        <v>280</v>
      </c>
      <c r="BZ2569" s="2" t="s">
        <v>245</v>
      </c>
      <c r="CA2569" s="2" t="s">
        <v>2762</v>
      </c>
      <c r="CB2569" s="2" t="s">
        <v>11321</v>
      </c>
      <c r="CC2569" s="2" t="s">
        <v>246</v>
      </c>
      <c r="CD2569" s="2" t="s">
        <v>233</v>
      </c>
      <c r="CE2569" s="4">
        <v>393</v>
      </c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  <c r="DP2569" s="4"/>
      <c r="DQ2569" s="4"/>
      <c r="DR2569" s="4"/>
      <c r="DS2569" s="4"/>
      <c r="DT2569" s="4"/>
      <c r="DU2569" s="4"/>
      <c r="DV2569" s="4"/>
      <c r="DW2569" s="4"/>
      <c r="DX2569" s="4"/>
      <c r="DY2569" s="4"/>
      <c r="DZ2569" s="4"/>
      <c r="EA2569" s="4"/>
      <c r="EB2569" s="4"/>
      <c r="EC2569" s="4"/>
      <c r="ED2569" s="4"/>
      <c r="EE2569" s="4"/>
      <c r="EF2569" s="4"/>
      <c r="EG2569" s="4"/>
      <c r="EH2569" s="4"/>
      <c r="EI2569" s="4"/>
      <c r="EJ2569" s="4"/>
      <c r="EK2569" s="4"/>
      <c r="EL2569" s="4"/>
      <c r="EM2569" s="4"/>
      <c r="EN2569" s="4"/>
      <c r="EO2569" s="4"/>
      <c r="EP2569" s="4"/>
      <c r="EQ2569" s="4"/>
      <c r="ER2569" s="4"/>
      <c r="ES2569" s="4"/>
      <c r="ET2569" s="4"/>
      <c r="EU2569" s="4"/>
      <c r="EV2569" s="4"/>
      <c r="EW2569" s="4"/>
      <c r="EX2569" s="4"/>
      <c r="EY2569" s="4"/>
      <c r="EZ2569" s="4"/>
      <c r="FA2569" s="4"/>
      <c r="FB2569" s="4"/>
      <c r="FC2569" s="4"/>
      <c r="FD2569" s="4"/>
      <c r="FE2569" s="4"/>
      <c r="FF2569" s="4"/>
      <c r="FG2569" s="4"/>
      <c r="FH2569" s="4"/>
      <c r="FI2569" s="4"/>
      <c r="FJ2569" s="4"/>
      <c r="FK2569" s="4"/>
      <c r="FL2569" s="4"/>
      <c r="FM2569" s="4"/>
      <c r="FN2569" s="4"/>
      <c r="FO2569" s="4"/>
      <c r="FP2569" s="4"/>
      <c r="FQ2569" s="4"/>
      <c r="FR2569" s="4"/>
      <c r="FS2569" s="4"/>
      <c r="FT2569" s="4"/>
      <c r="FU2569" s="4"/>
      <c r="FV2569" s="4"/>
      <c r="FW2569" s="4"/>
      <c r="FX2569" s="4"/>
      <c r="FY2569" s="4"/>
      <c r="FZ2569" s="4"/>
      <c r="GA2569" s="4"/>
      <c r="GB2569" s="4"/>
      <c r="GC2569" s="4"/>
      <c r="GD2569" s="4"/>
      <c r="GE2569" s="4"/>
      <c r="GF2569" s="4"/>
      <c r="GG2569" s="4"/>
      <c r="GH2569" s="4"/>
      <c r="GI2569" s="4"/>
      <c r="GJ2569" s="4"/>
      <c r="GK2569" s="4"/>
      <c r="GL2569" s="4"/>
      <c r="GM2569" s="4"/>
      <c r="GN2569" s="4"/>
      <c r="GO2569" s="4"/>
      <c r="GP2569" s="4"/>
      <c r="GQ2569" s="4"/>
      <c r="GR2569" s="4"/>
      <c r="GS2569" s="4"/>
      <c r="GT2569" s="4"/>
      <c r="GU2569" s="4"/>
      <c r="GV2569" s="4"/>
      <c r="GW2569" s="4"/>
      <c r="GX2569" s="4"/>
      <c r="GY2569" s="4"/>
      <c r="GZ2569" s="4"/>
      <c r="HA2569" s="4"/>
      <c r="HB2569" s="4"/>
      <c r="HC2569" s="4"/>
      <c r="HD2569" s="4"/>
      <c r="HE2569" s="4"/>
      <c r="HF2569" s="4"/>
      <c r="HG2569" s="4"/>
      <c r="HH2569" s="4"/>
      <c r="HI2569" s="4"/>
      <c r="HJ2569" s="4"/>
      <c r="HK2569" s="4"/>
      <c r="HL2569" s="4"/>
      <c r="HM2569" s="4"/>
      <c r="HN2569" s="4"/>
      <c r="HO2569" s="4"/>
      <c r="HP2569" s="4"/>
      <c r="HQ2569" s="4"/>
      <c r="HR2569" s="4"/>
    </row>
    <row r="2570">
      <c r="A2570" s="2" t="s">
        <v>11322</v>
      </c>
      <c r="B2570" s="2" t="s">
        <v>264</v>
      </c>
      <c r="C2570" s="2" t="s">
        <v>530</v>
      </c>
      <c r="D2570" s="2" t="s">
        <v>969</v>
      </c>
      <c r="E2570" s="2" t="s">
        <v>2383</v>
      </c>
      <c r="F2570" s="2" t="s">
        <v>11303</v>
      </c>
      <c r="G2570" s="2" t="s">
        <v>11317</v>
      </c>
      <c r="H2570" s="2" t="s">
        <v>11317</v>
      </c>
      <c r="I2570" s="2" t="s">
        <v>11318</v>
      </c>
      <c r="J2570" s="2" t="s">
        <v>1142</v>
      </c>
      <c r="K2570" s="2" t="s">
        <v>620</v>
      </c>
      <c r="L2570" s="3">
        <v>42.5</v>
      </c>
      <c r="M2570" s="3">
        <v>44.62</v>
      </c>
      <c r="N2570" s="3">
        <v>84.99</v>
      </c>
      <c r="O2570" s="2" t="s">
        <v>245</v>
      </c>
      <c r="P2570" s="2" t="s">
        <v>238</v>
      </c>
      <c r="Q2570" s="2" t="s">
        <v>239</v>
      </c>
      <c r="R2570" s="2" t="s">
        <v>233</v>
      </c>
      <c r="S2570" s="2" t="s">
        <v>11323</v>
      </c>
      <c r="T2570" s="2" t="s">
        <v>341</v>
      </c>
      <c r="U2570" s="2" t="s">
        <v>396</v>
      </c>
      <c r="V2570" s="2" t="s">
        <v>241</v>
      </c>
      <c r="W2570" s="2" t="s">
        <v>275</v>
      </c>
      <c r="X2570" s="2" t="s">
        <v>705</v>
      </c>
      <c r="Y2570" s="2" t="s">
        <v>10479</v>
      </c>
      <c r="Z2570" s="4">
        <v>486</v>
      </c>
      <c r="AA2570" s="4">
        <f>=ROUNDDOWN(44.1818181818182,0)</f>
      </c>
      <c r="AB2570" s="5">
        <v>11</v>
      </c>
      <c r="AC2570" s="2" t="s">
        <v>233</v>
      </c>
      <c r="AD2570" s="4"/>
      <c r="AE2570" s="4"/>
      <c r="AF2570" s="6">
        <v>68</v>
      </c>
      <c r="AG2570" s="6"/>
      <c r="AH2570" s="7">
        <v>1</v>
      </c>
      <c r="AI2570" s="4"/>
      <c r="AJ2570" s="4">
        <f>=ROUNDDOWN({0},0)</f>
      </c>
      <c r="AK2570" s="5"/>
      <c r="AL2570" s="2" t="s">
        <v>233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233</v>
      </c>
      <c r="BD2570" s="8" t="s">
        <v>233</v>
      </c>
      <c r="BE2570" s="4" t="s">
        <v>233</v>
      </c>
      <c r="BF2570" s="8" t="s">
        <v>233</v>
      </c>
      <c r="BG2570" s="7" t="s">
        <v>233</v>
      </c>
      <c r="BH2570" s="7" t="s">
        <v>233</v>
      </c>
      <c r="BI2570" s="7"/>
      <c r="BJ2570" s="4"/>
      <c r="BK2570" s="8"/>
      <c r="BL2570" s="2" t="s">
        <v>233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11324</v>
      </c>
      <c r="BV2570" s="2" t="s">
        <v>233</v>
      </c>
      <c r="BW2570" s="2" t="s">
        <v>233</v>
      </c>
      <c r="BX2570" s="2" t="s">
        <v>243</v>
      </c>
      <c r="BY2570" s="2" t="s">
        <v>280</v>
      </c>
      <c r="BZ2570" s="2" t="s">
        <v>245</v>
      </c>
      <c r="CA2570" s="2" t="s">
        <v>2762</v>
      </c>
      <c r="CB2570" s="2" t="s">
        <v>233</v>
      </c>
      <c r="CC2570" s="2" t="s">
        <v>246</v>
      </c>
      <c r="CD2570" s="2" t="s">
        <v>233</v>
      </c>
      <c r="CE2570" s="4">
        <v>486</v>
      </c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/>
      <c r="DB2570" s="4"/>
      <c r="DC2570" s="4"/>
      <c r="DD2570" s="4"/>
      <c r="DE2570" s="4"/>
      <c r="DF2570" s="4"/>
      <c r="DG2570" s="4"/>
      <c r="DH2570" s="4"/>
      <c r="DI2570" s="4"/>
      <c r="DJ2570" s="4"/>
      <c r="DK2570" s="4"/>
      <c r="DL2570" s="4"/>
      <c r="DM2570" s="4"/>
      <c r="DN2570" s="4"/>
      <c r="DO2570" s="4"/>
      <c r="DP2570" s="4"/>
      <c r="DQ2570" s="4"/>
      <c r="DR2570" s="4"/>
      <c r="DS2570" s="4"/>
      <c r="DT2570" s="4"/>
      <c r="DU2570" s="4"/>
      <c r="DV2570" s="4"/>
      <c r="DW2570" s="4"/>
      <c r="DX2570" s="4"/>
      <c r="DY2570" s="4"/>
      <c r="DZ2570" s="4"/>
      <c r="EA2570" s="4"/>
      <c r="EB2570" s="4"/>
      <c r="EC2570" s="4"/>
      <c r="ED2570" s="4"/>
      <c r="EE2570" s="4"/>
      <c r="EF2570" s="4"/>
      <c r="EG2570" s="4"/>
      <c r="EH2570" s="4"/>
      <c r="EI2570" s="4"/>
      <c r="EJ2570" s="4"/>
      <c r="EK2570" s="4"/>
      <c r="EL2570" s="4"/>
      <c r="EM2570" s="4"/>
      <c r="EN2570" s="4"/>
      <c r="EO2570" s="4"/>
      <c r="EP2570" s="4"/>
      <c r="EQ2570" s="4"/>
      <c r="ER2570" s="4"/>
      <c r="ES2570" s="4"/>
      <c r="ET2570" s="4"/>
      <c r="EU2570" s="4"/>
      <c r="EV2570" s="4"/>
      <c r="EW2570" s="4"/>
      <c r="EX2570" s="4"/>
      <c r="EY2570" s="4"/>
      <c r="EZ2570" s="4"/>
      <c r="FA2570" s="4"/>
      <c r="FB2570" s="4"/>
      <c r="FC2570" s="4"/>
      <c r="FD2570" s="4"/>
      <c r="FE2570" s="4"/>
      <c r="FF2570" s="4"/>
      <c r="FG2570" s="4"/>
      <c r="FH2570" s="4"/>
      <c r="FI2570" s="4"/>
      <c r="FJ2570" s="4"/>
      <c r="FK2570" s="4"/>
      <c r="FL2570" s="4"/>
      <c r="FM2570" s="4"/>
      <c r="FN2570" s="4"/>
      <c r="FO2570" s="4"/>
      <c r="FP2570" s="4"/>
      <c r="FQ2570" s="4"/>
      <c r="FR2570" s="4"/>
      <c r="FS2570" s="4"/>
      <c r="FT2570" s="4"/>
      <c r="FU2570" s="4"/>
      <c r="FV2570" s="4"/>
      <c r="FW2570" s="4"/>
      <c r="FX2570" s="4"/>
      <c r="FY2570" s="4"/>
      <c r="FZ2570" s="4"/>
      <c r="GA2570" s="4"/>
      <c r="GB2570" s="4"/>
      <c r="GC2570" s="4"/>
      <c r="GD2570" s="4"/>
      <c r="GE2570" s="4"/>
      <c r="GF2570" s="4"/>
      <c r="GG2570" s="4"/>
      <c r="GH2570" s="4"/>
      <c r="GI2570" s="4"/>
      <c r="GJ2570" s="4"/>
      <c r="GK2570" s="4"/>
      <c r="GL2570" s="4"/>
      <c r="GM2570" s="4"/>
      <c r="GN2570" s="4"/>
      <c r="GO2570" s="4"/>
      <c r="GP2570" s="4"/>
      <c r="GQ2570" s="4"/>
      <c r="GR2570" s="4"/>
      <c r="GS2570" s="4"/>
      <c r="GT2570" s="4"/>
      <c r="GU2570" s="4"/>
      <c r="GV2570" s="4"/>
      <c r="GW2570" s="4"/>
      <c r="GX2570" s="4"/>
      <c r="GY2570" s="4"/>
      <c r="GZ2570" s="4"/>
      <c r="HA2570" s="4"/>
      <c r="HB2570" s="4"/>
      <c r="HC2570" s="4"/>
      <c r="HD2570" s="4"/>
      <c r="HE2570" s="4"/>
      <c r="HF2570" s="4"/>
      <c r="HG2570" s="4"/>
      <c r="HH2570" s="4"/>
      <c r="HI2570" s="4"/>
      <c r="HJ2570" s="4"/>
      <c r="HK2570" s="4"/>
      <c r="HL2570" s="4"/>
      <c r="HM2570" s="4"/>
      <c r="HN2570" s="4"/>
      <c r="HO2570" s="4"/>
      <c r="HP2570" s="4"/>
      <c r="HQ2570" s="4"/>
      <c r="HR2570" s="4"/>
    </row>
    <row r="2571">
      <c r="A2571" s="2" t="s">
        <v>11325</v>
      </c>
      <c r="B2571" s="2" t="s">
        <v>1174</v>
      </c>
      <c r="C2571" s="2" t="s">
        <v>3135</v>
      </c>
      <c r="D2571" s="2" t="s">
        <v>1175</v>
      </c>
      <c r="E2571" s="2" t="s">
        <v>1448</v>
      </c>
      <c r="F2571" s="2" t="s">
        <v>11326</v>
      </c>
      <c r="G2571" s="2" t="s">
        <v>11326</v>
      </c>
      <c r="H2571" s="2" t="s">
        <v>11326</v>
      </c>
      <c r="I2571" s="2" t="s">
        <v>11327</v>
      </c>
      <c r="J2571" s="2" t="s">
        <v>2089</v>
      </c>
      <c r="K2571" s="2" t="s">
        <v>271</v>
      </c>
      <c r="L2571" s="3">
        <v>27.23</v>
      </c>
      <c r="M2571" s="3">
        <v>28.59</v>
      </c>
      <c r="N2571" s="3">
        <v>79.99</v>
      </c>
      <c r="O2571" s="2" t="s">
        <v>245</v>
      </c>
      <c r="P2571" s="2" t="s">
        <v>393</v>
      </c>
      <c r="Q2571" s="2" t="s">
        <v>239</v>
      </c>
      <c r="R2571" s="2" t="s">
        <v>233</v>
      </c>
      <c r="S2571" s="2" t="s">
        <v>233</v>
      </c>
      <c r="T2571" s="2" t="s">
        <v>233</v>
      </c>
      <c r="U2571" s="2" t="s">
        <v>396</v>
      </c>
      <c r="V2571" s="2" t="s">
        <v>1272</v>
      </c>
      <c r="W2571" s="2" t="s">
        <v>397</v>
      </c>
      <c r="X2571" s="2" t="s">
        <v>233</v>
      </c>
      <c r="Y2571" s="2" t="s">
        <v>3032</v>
      </c>
      <c r="Z2571" s="4">
        <v>17</v>
      </c>
      <c r="AA2571" s="4">
        <f>=ROUNDDOWN(8.5,0)</f>
      </c>
      <c r="AB2571" s="5">
        <v>2</v>
      </c>
      <c r="AC2571" s="2" t="s">
        <v>233</v>
      </c>
      <c r="AD2571" s="4"/>
      <c r="AE2571" s="4"/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233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233</v>
      </c>
      <c r="AW2571" s="8" t="s">
        <v>233</v>
      </c>
      <c r="AX2571" s="4" t="s">
        <v>233</v>
      </c>
      <c r="AY2571" s="8" t="s">
        <v>233</v>
      </c>
      <c r="AZ2571" s="7" t="s">
        <v>233</v>
      </c>
      <c r="BA2571" s="7" t="s">
        <v>233</v>
      </c>
      <c r="BB2571" s="7"/>
      <c r="BC2571" s="4" t="s">
        <v>233</v>
      </c>
      <c r="BD2571" s="8" t="s">
        <v>233</v>
      </c>
      <c r="BE2571" s="4" t="s">
        <v>233</v>
      </c>
      <c r="BF2571" s="8" t="s">
        <v>233</v>
      </c>
      <c r="BG2571" s="7" t="s">
        <v>233</v>
      </c>
      <c r="BH2571" s="7" t="s">
        <v>233</v>
      </c>
      <c r="BI2571" s="7"/>
      <c r="BJ2571" s="4"/>
      <c r="BK2571" s="8"/>
      <c r="BL2571" s="2" t="s">
        <v>233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11328</v>
      </c>
      <c r="BV2571" s="2" t="s">
        <v>233</v>
      </c>
      <c r="BW2571" s="2" t="s">
        <v>233</v>
      </c>
      <c r="BX2571" s="2" t="s">
        <v>233</v>
      </c>
      <c r="BY2571" s="2" t="s">
        <v>280</v>
      </c>
      <c r="BZ2571" s="2" t="s">
        <v>245</v>
      </c>
      <c r="CA2571" s="2" t="s">
        <v>2092</v>
      </c>
      <c r="CB2571" s="2" t="s">
        <v>908</v>
      </c>
      <c r="CC2571" s="2" t="s">
        <v>246</v>
      </c>
      <c r="CD2571" s="2" t="s">
        <v>233</v>
      </c>
      <c r="CE2571" s="4">
        <v>17</v>
      </c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/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  <c r="DL2571" s="4"/>
      <c r="DM2571" s="4"/>
      <c r="DN2571" s="4"/>
      <c r="DO2571" s="4"/>
      <c r="DP2571" s="4"/>
      <c r="DQ2571" s="4"/>
      <c r="DR2571" s="4"/>
      <c r="DS2571" s="4"/>
      <c r="DT2571" s="4"/>
      <c r="DU2571" s="4"/>
      <c r="DV2571" s="4"/>
      <c r="DW2571" s="4"/>
      <c r="DX2571" s="4"/>
      <c r="DY2571" s="4"/>
      <c r="DZ2571" s="4"/>
      <c r="EA2571" s="4"/>
      <c r="EB2571" s="4"/>
      <c r="EC2571" s="4"/>
      <c r="ED2571" s="4"/>
      <c r="EE2571" s="4"/>
      <c r="EF2571" s="4"/>
      <c r="EG2571" s="4"/>
      <c r="EH2571" s="4"/>
      <c r="EI2571" s="4"/>
      <c r="EJ2571" s="4"/>
      <c r="EK2571" s="4"/>
      <c r="EL2571" s="4"/>
      <c r="EM2571" s="4"/>
      <c r="EN2571" s="4"/>
      <c r="EO2571" s="4"/>
      <c r="EP2571" s="4"/>
      <c r="EQ2571" s="4"/>
      <c r="ER2571" s="4"/>
      <c r="ES2571" s="4"/>
      <c r="ET2571" s="4"/>
      <c r="EU2571" s="4"/>
      <c r="EV2571" s="4"/>
      <c r="EW2571" s="4"/>
      <c r="EX2571" s="4"/>
      <c r="EY2571" s="4"/>
      <c r="EZ2571" s="4"/>
      <c r="FA2571" s="4"/>
      <c r="FB2571" s="4"/>
      <c r="FC2571" s="4"/>
      <c r="FD2571" s="4"/>
      <c r="FE2571" s="4"/>
      <c r="FF2571" s="4"/>
      <c r="FG2571" s="4"/>
      <c r="FH2571" s="4"/>
      <c r="FI2571" s="4"/>
      <c r="FJ2571" s="4"/>
      <c r="FK2571" s="4"/>
      <c r="FL2571" s="4"/>
      <c r="FM2571" s="4"/>
      <c r="FN2571" s="4"/>
      <c r="FO2571" s="4"/>
      <c r="FP2571" s="4"/>
      <c r="FQ2571" s="4"/>
      <c r="FR2571" s="4"/>
      <c r="FS2571" s="4"/>
      <c r="FT2571" s="4"/>
      <c r="FU2571" s="4"/>
      <c r="FV2571" s="4"/>
      <c r="FW2571" s="4"/>
      <c r="FX2571" s="4"/>
      <c r="FY2571" s="4"/>
      <c r="FZ2571" s="4"/>
      <c r="GA2571" s="4"/>
      <c r="GB2571" s="4"/>
      <c r="GC2571" s="4"/>
      <c r="GD2571" s="4"/>
      <c r="GE2571" s="4"/>
      <c r="GF2571" s="4"/>
      <c r="GG2571" s="4"/>
      <c r="GH2571" s="4"/>
      <c r="GI2571" s="4"/>
      <c r="GJ2571" s="4"/>
      <c r="GK2571" s="4"/>
      <c r="GL2571" s="4"/>
      <c r="GM2571" s="4"/>
      <c r="GN2571" s="4"/>
      <c r="GO2571" s="4"/>
      <c r="GP2571" s="4"/>
      <c r="GQ2571" s="4"/>
      <c r="GR2571" s="4"/>
      <c r="GS2571" s="4"/>
      <c r="GT2571" s="4"/>
      <c r="GU2571" s="4"/>
      <c r="GV2571" s="4"/>
      <c r="GW2571" s="4"/>
      <c r="GX2571" s="4"/>
      <c r="GY2571" s="4"/>
      <c r="GZ2571" s="4"/>
      <c r="HA2571" s="4"/>
      <c r="HB2571" s="4"/>
      <c r="HC2571" s="4"/>
      <c r="HD2571" s="4"/>
      <c r="HE2571" s="4"/>
      <c r="HF2571" s="4"/>
      <c r="HG2571" s="4"/>
      <c r="HH2571" s="4"/>
      <c r="HI2571" s="4"/>
      <c r="HJ2571" s="4"/>
      <c r="HK2571" s="4"/>
      <c r="HL2571" s="4"/>
      <c r="HM2571" s="4"/>
      <c r="HN2571" s="4"/>
      <c r="HO2571" s="4"/>
      <c r="HP2571" s="4"/>
      <c r="HQ2571" s="4"/>
      <c r="HR2571" s="4"/>
    </row>
    <row r="2572">
      <c r="A2572" s="2" t="s">
        <v>11329</v>
      </c>
      <c r="B2572" s="2" t="s">
        <v>1174</v>
      </c>
      <c r="C2572" s="2" t="s">
        <v>3135</v>
      </c>
      <c r="D2572" s="2" t="s">
        <v>1175</v>
      </c>
      <c r="E2572" s="2" t="s">
        <v>1448</v>
      </c>
      <c r="F2572" s="2" t="s">
        <v>11326</v>
      </c>
      <c r="G2572" s="2" t="s">
        <v>11326</v>
      </c>
      <c r="H2572" s="2" t="s">
        <v>11326</v>
      </c>
      <c r="I2572" s="2" t="s">
        <v>11327</v>
      </c>
      <c r="J2572" s="2" t="s">
        <v>2094</v>
      </c>
      <c r="K2572" s="2" t="s">
        <v>271</v>
      </c>
      <c r="L2572" s="3">
        <v>23.83</v>
      </c>
      <c r="M2572" s="3">
        <v>25.02</v>
      </c>
      <c r="N2572" s="3">
        <v>69.99</v>
      </c>
      <c r="O2572" s="2" t="s">
        <v>245</v>
      </c>
      <c r="P2572" s="2" t="s">
        <v>393</v>
      </c>
      <c r="Q2572" s="2" t="s">
        <v>239</v>
      </c>
      <c r="R2572" s="2" t="s">
        <v>233</v>
      </c>
      <c r="S2572" s="2" t="s">
        <v>233</v>
      </c>
      <c r="T2572" s="2" t="s">
        <v>233</v>
      </c>
      <c r="U2572" s="2" t="s">
        <v>396</v>
      </c>
      <c r="V2572" s="2" t="s">
        <v>1272</v>
      </c>
      <c r="W2572" s="2" t="s">
        <v>397</v>
      </c>
      <c r="X2572" s="2" t="s">
        <v>233</v>
      </c>
      <c r="Y2572" s="2" t="s">
        <v>3032</v>
      </c>
      <c r="Z2572" s="4">
        <v>9</v>
      </c>
      <c r="AA2572" s="4">
        <f>=ROUNDDOWN(1.8,0)</f>
      </c>
      <c r="AB2572" s="5">
        <v>5</v>
      </c>
      <c r="AC2572" s="2" t="s">
        <v>233</v>
      </c>
      <c r="AD2572" s="4"/>
      <c r="AE2572" s="4"/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233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233</v>
      </c>
      <c r="AW2572" s="8" t="s">
        <v>233</v>
      </c>
      <c r="AX2572" s="4" t="s">
        <v>233</v>
      </c>
      <c r="AY2572" s="8" t="s">
        <v>233</v>
      </c>
      <c r="AZ2572" s="7" t="s">
        <v>233</v>
      </c>
      <c r="BA2572" s="7" t="s">
        <v>233</v>
      </c>
      <c r="BB2572" s="7"/>
      <c r="BC2572" s="4" t="s">
        <v>233</v>
      </c>
      <c r="BD2572" s="8" t="s">
        <v>233</v>
      </c>
      <c r="BE2572" s="4" t="s">
        <v>233</v>
      </c>
      <c r="BF2572" s="8" t="s">
        <v>233</v>
      </c>
      <c r="BG2572" s="7" t="s">
        <v>233</v>
      </c>
      <c r="BH2572" s="7" t="s">
        <v>233</v>
      </c>
      <c r="BI2572" s="7"/>
      <c r="BJ2572" s="4">
        <v>24</v>
      </c>
      <c r="BK2572" s="8">
        <v>627.98</v>
      </c>
      <c r="BL2572" s="2" t="s">
        <v>1588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11330</v>
      </c>
      <c r="BV2572" s="2" t="s">
        <v>233</v>
      </c>
      <c r="BW2572" s="2" t="s">
        <v>233</v>
      </c>
      <c r="BX2572" s="2" t="s">
        <v>233</v>
      </c>
      <c r="BY2572" s="2" t="s">
        <v>280</v>
      </c>
      <c r="BZ2572" s="2" t="s">
        <v>245</v>
      </c>
      <c r="CA2572" s="2" t="s">
        <v>2092</v>
      </c>
      <c r="CB2572" s="2" t="s">
        <v>2115</v>
      </c>
      <c r="CC2572" s="2" t="s">
        <v>246</v>
      </c>
      <c r="CD2572" s="2" t="s">
        <v>233</v>
      </c>
      <c r="CE2572" s="4">
        <v>9</v>
      </c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/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  <c r="DL2572" s="4"/>
      <c r="DM2572" s="4"/>
      <c r="DN2572" s="4"/>
      <c r="DO2572" s="4"/>
      <c r="DP2572" s="4"/>
      <c r="DQ2572" s="4"/>
      <c r="DR2572" s="4"/>
      <c r="DS2572" s="4"/>
      <c r="DT2572" s="4"/>
      <c r="DU2572" s="4"/>
      <c r="DV2572" s="4"/>
      <c r="DW2572" s="4"/>
      <c r="DX2572" s="4"/>
      <c r="DY2572" s="4"/>
      <c r="DZ2572" s="4"/>
      <c r="EA2572" s="4"/>
      <c r="EB2572" s="4"/>
      <c r="EC2572" s="4"/>
      <c r="ED2572" s="4"/>
      <c r="EE2572" s="4"/>
      <c r="EF2572" s="4"/>
      <c r="EG2572" s="4"/>
      <c r="EH2572" s="4"/>
      <c r="EI2572" s="4"/>
      <c r="EJ2572" s="4"/>
      <c r="EK2572" s="4"/>
      <c r="EL2572" s="4"/>
      <c r="EM2572" s="4"/>
      <c r="EN2572" s="4"/>
      <c r="EO2572" s="4"/>
      <c r="EP2572" s="4"/>
      <c r="EQ2572" s="4"/>
      <c r="ER2572" s="4"/>
      <c r="ES2572" s="4"/>
      <c r="ET2572" s="4"/>
      <c r="EU2572" s="4"/>
      <c r="EV2572" s="4"/>
      <c r="EW2572" s="4"/>
      <c r="EX2572" s="4"/>
      <c r="EY2572" s="4"/>
      <c r="EZ2572" s="4"/>
      <c r="FA2572" s="4"/>
      <c r="FB2572" s="4"/>
      <c r="FC2572" s="4"/>
      <c r="FD2572" s="4"/>
      <c r="FE2572" s="4"/>
      <c r="FF2572" s="4"/>
      <c r="FG2572" s="4"/>
      <c r="FH2572" s="4"/>
      <c r="FI2572" s="4"/>
      <c r="FJ2572" s="4"/>
      <c r="FK2572" s="4"/>
      <c r="FL2572" s="4"/>
      <c r="FM2572" s="4"/>
      <c r="FN2572" s="4"/>
      <c r="FO2572" s="4"/>
      <c r="FP2572" s="4"/>
      <c r="FQ2572" s="4"/>
      <c r="FR2572" s="4"/>
      <c r="FS2572" s="4"/>
      <c r="FT2572" s="4"/>
      <c r="FU2572" s="4"/>
      <c r="FV2572" s="4"/>
      <c r="FW2572" s="4"/>
      <c r="FX2572" s="4"/>
      <c r="FY2572" s="4"/>
      <c r="FZ2572" s="4"/>
      <c r="GA2572" s="4"/>
      <c r="GB2572" s="4"/>
      <c r="GC2572" s="4"/>
      <c r="GD2572" s="4"/>
      <c r="GE2572" s="4"/>
      <c r="GF2572" s="4"/>
      <c r="GG2572" s="4"/>
      <c r="GH2572" s="4"/>
      <c r="GI2572" s="4"/>
      <c r="GJ2572" s="4"/>
      <c r="GK2572" s="4"/>
      <c r="GL2572" s="4"/>
      <c r="GM2572" s="4"/>
      <c r="GN2572" s="4"/>
      <c r="GO2572" s="4"/>
      <c r="GP2572" s="4"/>
      <c r="GQ2572" s="4"/>
      <c r="GR2572" s="4"/>
      <c r="GS2572" s="4"/>
      <c r="GT2572" s="4"/>
      <c r="GU2572" s="4"/>
      <c r="GV2572" s="4"/>
      <c r="GW2572" s="4"/>
      <c r="GX2572" s="4"/>
      <c r="GY2572" s="4"/>
      <c r="GZ2572" s="4"/>
      <c r="HA2572" s="4"/>
      <c r="HB2572" s="4"/>
      <c r="HC2572" s="4"/>
      <c r="HD2572" s="4"/>
      <c r="HE2572" s="4"/>
      <c r="HF2572" s="4"/>
      <c r="HG2572" s="4"/>
      <c r="HH2572" s="4"/>
      <c r="HI2572" s="4"/>
      <c r="HJ2572" s="4"/>
      <c r="HK2572" s="4"/>
      <c r="HL2572" s="4"/>
      <c r="HM2572" s="4"/>
      <c r="HN2572" s="4"/>
      <c r="HO2572" s="4"/>
      <c r="HP2572" s="4"/>
      <c r="HQ2572" s="4"/>
      <c r="HR2572" s="4"/>
    </row>
    <row r="2573">
      <c r="A2573" s="2" t="s">
        <v>11331</v>
      </c>
      <c r="B2573" s="2" t="s">
        <v>1017</v>
      </c>
      <c r="C2573" s="2" t="s">
        <v>3135</v>
      </c>
      <c r="D2573" s="2" t="s">
        <v>1565</v>
      </c>
      <c r="E2573" s="2" t="s">
        <v>1566</v>
      </c>
      <c r="F2573" s="2" t="s">
        <v>11326</v>
      </c>
      <c r="G2573" s="2" t="s">
        <v>11326</v>
      </c>
      <c r="H2573" s="2" t="s">
        <v>11326</v>
      </c>
      <c r="I2573" s="2" t="s">
        <v>11332</v>
      </c>
      <c r="J2573" s="2" t="s">
        <v>3031</v>
      </c>
      <c r="K2573" s="2" t="s">
        <v>2197</v>
      </c>
      <c r="L2573" s="3">
        <v>27.23</v>
      </c>
      <c r="M2573" s="3">
        <v>28.59</v>
      </c>
      <c r="N2573" s="3">
        <v>79.99</v>
      </c>
      <c r="O2573" s="2" t="s">
        <v>245</v>
      </c>
      <c r="P2573" s="2" t="s">
        <v>311</v>
      </c>
      <c r="Q2573" s="2" t="s">
        <v>239</v>
      </c>
      <c r="R2573" s="2" t="s">
        <v>233</v>
      </c>
      <c r="S2573" s="2" t="s">
        <v>233</v>
      </c>
      <c r="T2573" s="2" t="s">
        <v>233</v>
      </c>
      <c r="U2573" s="2" t="s">
        <v>233</v>
      </c>
      <c r="V2573" s="2" t="s">
        <v>379</v>
      </c>
      <c r="W2573" s="2" t="s">
        <v>397</v>
      </c>
      <c r="X2573" s="2" t="s">
        <v>233</v>
      </c>
      <c r="Y2573" s="2" t="s">
        <v>3032</v>
      </c>
      <c r="Z2573" s="4">
        <v>226</v>
      </c>
      <c r="AA2573" s="4">
        <f>=ROUNDDOWN(113,0)</f>
      </c>
      <c r="AB2573" s="5">
        <v>2</v>
      </c>
      <c r="AC2573" s="2" t="s">
        <v>233</v>
      </c>
      <c r="AD2573" s="4"/>
      <c r="AE2573" s="4"/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233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233</v>
      </c>
      <c r="BD2573" s="8" t="s">
        <v>233</v>
      </c>
      <c r="BE2573" s="4" t="s">
        <v>233</v>
      </c>
      <c r="BF2573" s="8" t="s">
        <v>233</v>
      </c>
      <c r="BG2573" s="7" t="s">
        <v>233</v>
      </c>
      <c r="BH2573" s="7" t="s">
        <v>233</v>
      </c>
      <c r="BI2573" s="7"/>
      <c r="BJ2573" s="4">
        <v>5</v>
      </c>
      <c r="BK2573" s="8">
        <v>245.29</v>
      </c>
      <c r="BL2573" s="2" t="s">
        <v>10343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11333</v>
      </c>
      <c r="BV2573" s="2" t="s">
        <v>233</v>
      </c>
      <c r="BW2573" s="2" t="s">
        <v>233</v>
      </c>
      <c r="BX2573" s="2" t="s">
        <v>243</v>
      </c>
      <c r="BY2573" s="2" t="s">
        <v>280</v>
      </c>
      <c r="BZ2573" s="2" t="s">
        <v>245</v>
      </c>
      <c r="CA2573" s="2" t="s">
        <v>1025</v>
      </c>
      <c r="CB2573" s="2" t="s">
        <v>2434</v>
      </c>
      <c r="CC2573" s="2" t="s">
        <v>246</v>
      </c>
      <c r="CD2573" s="2" t="s">
        <v>233</v>
      </c>
      <c r="CE2573" s="4">
        <v>226</v>
      </c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  <c r="DL2573" s="4"/>
      <c r="DM2573" s="4"/>
      <c r="DN2573" s="4"/>
      <c r="DO2573" s="4"/>
      <c r="DP2573" s="4"/>
      <c r="DQ2573" s="4"/>
      <c r="DR2573" s="4"/>
      <c r="DS2573" s="4"/>
      <c r="DT2573" s="4"/>
      <c r="DU2573" s="4"/>
      <c r="DV2573" s="4"/>
      <c r="DW2573" s="4"/>
      <c r="DX2573" s="4"/>
      <c r="DY2573" s="4"/>
      <c r="DZ2573" s="4"/>
      <c r="EA2573" s="4"/>
      <c r="EB2573" s="4"/>
      <c r="EC2573" s="4"/>
      <c r="ED2573" s="4"/>
      <c r="EE2573" s="4"/>
      <c r="EF2573" s="4"/>
      <c r="EG2573" s="4"/>
      <c r="EH2573" s="4"/>
      <c r="EI2573" s="4"/>
      <c r="EJ2573" s="4"/>
      <c r="EK2573" s="4"/>
      <c r="EL2573" s="4"/>
      <c r="EM2573" s="4"/>
      <c r="EN2573" s="4"/>
      <c r="EO2573" s="4"/>
      <c r="EP2573" s="4"/>
      <c r="EQ2573" s="4"/>
      <c r="ER2573" s="4"/>
      <c r="ES2573" s="4"/>
      <c r="ET2573" s="4"/>
      <c r="EU2573" s="4"/>
      <c r="EV2573" s="4"/>
      <c r="EW2573" s="4"/>
      <c r="EX2573" s="4"/>
      <c r="EY2573" s="4"/>
      <c r="EZ2573" s="4"/>
      <c r="FA2573" s="4"/>
      <c r="FB2573" s="4"/>
      <c r="FC2573" s="4"/>
      <c r="FD2573" s="4"/>
      <c r="FE2573" s="4"/>
      <c r="FF2573" s="4"/>
      <c r="FG2573" s="4"/>
      <c r="FH2573" s="4"/>
      <c r="FI2573" s="4"/>
      <c r="FJ2573" s="4"/>
      <c r="FK2573" s="4"/>
      <c r="FL2573" s="4"/>
      <c r="FM2573" s="4"/>
      <c r="FN2573" s="4"/>
      <c r="FO2573" s="4"/>
      <c r="FP2573" s="4"/>
      <c r="FQ2573" s="4"/>
      <c r="FR2573" s="4"/>
      <c r="FS2573" s="4"/>
      <c r="FT2573" s="4"/>
      <c r="FU2573" s="4"/>
      <c r="FV2573" s="4"/>
      <c r="FW2573" s="4"/>
      <c r="FX2573" s="4"/>
      <c r="FY2573" s="4"/>
      <c r="FZ2573" s="4"/>
      <c r="GA2573" s="4"/>
      <c r="GB2573" s="4"/>
      <c r="GC2573" s="4"/>
      <c r="GD2573" s="4"/>
      <c r="GE2573" s="4"/>
      <c r="GF2573" s="4"/>
      <c r="GG2573" s="4"/>
      <c r="GH2573" s="4"/>
      <c r="GI2573" s="4"/>
      <c r="GJ2573" s="4"/>
      <c r="GK2573" s="4"/>
      <c r="GL2573" s="4"/>
      <c r="GM2573" s="4"/>
      <c r="GN2573" s="4"/>
      <c r="GO2573" s="4"/>
      <c r="GP2573" s="4"/>
      <c r="GQ2573" s="4"/>
      <c r="GR2573" s="4"/>
      <c r="GS2573" s="4"/>
      <c r="GT2573" s="4"/>
      <c r="GU2573" s="4"/>
      <c r="GV2573" s="4"/>
      <c r="GW2573" s="4"/>
      <c r="GX2573" s="4"/>
      <c r="GY2573" s="4"/>
      <c r="GZ2573" s="4"/>
      <c r="HA2573" s="4"/>
      <c r="HB2573" s="4"/>
      <c r="HC2573" s="4"/>
      <c r="HD2573" s="4"/>
      <c r="HE2573" s="4"/>
      <c r="HF2573" s="4"/>
      <c r="HG2573" s="4"/>
      <c r="HH2573" s="4"/>
      <c r="HI2573" s="4"/>
      <c r="HJ2573" s="4"/>
      <c r="HK2573" s="4"/>
      <c r="HL2573" s="4"/>
      <c r="HM2573" s="4"/>
      <c r="HN2573" s="4"/>
      <c r="HO2573" s="4"/>
      <c r="HP2573" s="4"/>
      <c r="HQ2573" s="4"/>
      <c r="HR2573" s="4"/>
    </row>
    <row r="2574">
      <c r="A2574" s="2" t="s">
        <v>11334</v>
      </c>
      <c r="B2574" s="2" t="s">
        <v>1242</v>
      </c>
      <c r="C2574" s="2" t="s">
        <v>1335</v>
      </c>
      <c r="D2574" s="2" t="s">
        <v>1862</v>
      </c>
      <c r="E2574" s="2" t="s">
        <v>1863</v>
      </c>
      <c r="F2574" s="2" t="s">
        <v>11335</v>
      </c>
      <c r="G2574" s="2" t="s">
        <v>11335</v>
      </c>
      <c r="H2574" s="2" t="s">
        <v>11335</v>
      </c>
      <c r="I2574" s="2" t="s">
        <v>11336</v>
      </c>
      <c r="J2574" s="2" t="s">
        <v>981</v>
      </c>
      <c r="K2574" s="2" t="s">
        <v>11337</v>
      </c>
      <c r="L2574" s="3">
        <v>42</v>
      </c>
      <c r="M2574" s="3">
        <v>44.1</v>
      </c>
      <c r="N2574" s="3">
        <v>89.99</v>
      </c>
      <c r="O2574" s="2" t="s">
        <v>245</v>
      </c>
      <c r="P2574" s="2" t="s">
        <v>311</v>
      </c>
      <c r="Q2574" s="2" t="s">
        <v>239</v>
      </c>
      <c r="R2574" s="2" t="s">
        <v>233</v>
      </c>
      <c r="S2574" s="2" t="s">
        <v>11338</v>
      </c>
      <c r="T2574" s="2" t="s">
        <v>395</v>
      </c>
      <c r="U2574" s="2" t="s">
        <v>475</v>
      </c>
      <c r="V2574" s="2" t="s">
        <v>1340</v>
      </c>
      <c r="W2574" s="2" t="s">
        <v>978</v>
      </c>
      <c r="X2574" s="2" t="s">
        <v>1056</v>
      </c>
      <c r="Y2574" s="2" t="s">
        <v>5069</v>
      </c>
      <c r="Z2574" s="4">
        <v>117</v>
      </c>
      <c r="AA2574" s="4">
        <f>=ROUNDDOWN(39,0)</f>
      </c>
      <c r="AB2574" s="5">
        <v>3</v>
      </c>
      <c r="AC2574" s="2" t="s">
        <v>233</v>
      </c>
      <c r="AD2574" s="4"/>
      <c r="AE2574" s="4"/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233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/>
      <c r="BD2574" s="8"/>
      <c r="BE2574" s="4"/>
      <c r="BF2574" s="8"/>
      <c r="BG2574" s="7"/>
      <c r="BH2574" s="7"/>
      <c r="BI2574" s="7"/>
      <c r="BJ2574" s="4">
        <v>10</v>
      </c>
      <c r="BK2574" s="8">
        <v>430.25</v>
      </c>
      <c r="BL2574" s="2" t="s">
        <v>11339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11340</v>
      </c>
      <c r="BV2574" s="2" t="s">
        <v>233</v>
      </c>
      <c r="BW2574" s="2" t="s">
        <v>233</v>
      </c>
      <c r="BX2574" s="2" t="s">
        <v>233</v>
      </c>
      <c r="BY2574" s="2" t="s">
        <v>280</v>
      </c>
      <c r="BZ2574" s="2" t="s">
        <v>245</v>
      </c>
      <c r="CA2574" s="2" t="s">
        <v>2090</v>
      </c>
      <c r="CB2574" s="2" t="s">
        <v>5722</v>
      </c>
      <c r="CC2574" s="2" t="s">
        <v>246</v>
      </c>
      <c r="CD2574" s="2" t="s">
        <v>233</v>
      </c>
      <c r="CE2574" s="4">
        <v>85</v>
      </c>
      <c r="CF2574" s="4">
        <v>32</v>
      </c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  <c r="DL2574" s="4"/>
      <c r="DM2574" s="4"/>
      <c r="DN2574" s="4"/>
      <c r="DO2574" s="4"/>
      <c r="DP2574" s="4"/>
      <c r="DQ2574" s="4"/>
      <c r="DR2574" s="4"/>
      <c r="DS2574" s="4"/>
      <c r="DT2574" s="4"/>
      <c r="DU2574" s="4"/>
      <c r="DV2574" s="4"/>
      <c r="DW2574" s="4"/>
      <c r="DX2574" s="4"/>
      <c r="DY2574" s="4"/>
      <c r="DZ2574" s="4"/>
      <c r="EA2574" s="4"/>
      <c r="EB2574" s="4"/>
      <c r="EC2574" s="4"/>
      <c r="ED2574" s="4"/>
      <c r="EE2574" s="4"/>
      <c r="EF2574" s="4"/>
      <c r="EG2574" s="4"/>
      <c r="EH2574" s="4"/>
      <c r="EI2574" s="4"/>
      <c r="EJ2574" s="4"/>
      <c r="EK2574" s="4"/>
      <c r="EL2574" s="4"/>
      <c r="EM2574" s="4"/>
      <c r="EN2574" s="4"/>
      <c r="EO2574" s="4"/>
      <c r="EP2574" s="4"/>
      <c r="EQ2574" s="4"/>
      <c r="ER2574" s="4"/>
      <c r="ES2574" s="4"/>
      <c r="ET2574" s="4"/>
      <c r="EU2574" s="4"/>
      <c r="EV2574" s="4"/>
      <c r="EW2574" s="4"/>
      <c r="EX2574" s="4"/>
      <c r="EY2574" s="4"/>
      <c r="EZ2574" s="4"/>
      <c r="FA2574" s="4"/>
      <c r="FB2574" s="4"/>
      <c r="FC2574" s="4"/>
      <c r="FD2574" s="4"/>
      <c r="FE2574" s="4"/>
      <c r="FF2574" s="4"/>
      <c r="FG2574" s="4"/>
      <c r="FH2574" s="4"/>
      <c r="FI2574" s="4"/>
      <c r="FJ2574" s="4"/>
      <c r="FK2574" s="4"/>
      <c r="FL2574" s="4"/>
      <c r="FM2574" s="4"/>
      <c r="FN2574" s="4"/>
      <c r="FO2574" s="4"/>
      <c r="FP2574" s="4"/>
      <c r="FQ2574" s="4"/>
      <c r="FR2574" s="4"/>
      <c r="FS2574" s="4"/>
      <c r="FT2574" s="4"/>
      <c r="FU2574" s="4"/>
      <c r="FV2574" s="4"/>
      <c r="FW2574" s="4"/>
      <c r="FX2574" s="4"/>
      <c r="FY2574" s="4"/>
      <c r="FZ2574" s="4"/>
      <c r="GA2574" s="4"/>
      <c r="GB2574" s="4"/>
      <c r="GC2574" s="4"/>
      <c r="GD2574" s="4"/>
      <c r="GE2574" s="4"/>
      <c r="GF2574" s="4"/>
      <c r="GG2574" s="4"/>
      <c r="GH2574" s="4"/>
      <c r="GI2574" s="4"/>
      <c r="GJ2574" s="4"/>
      <c r="GK2574" s="4"/>
      <c r="GL2574" s="4"/>
      <c r="GM2574" s="4"/>
      <c r="GN2574" s="4"/>
      <c r="GO2574" s="4"/>
      <c r="GP2574" s="4"/>
      <c r="GQ2574" s="4"/>
      <c r="GR2574" s="4"/>
      <c r="GS2574" s="4"/>
      <c r="GT2574" s="4"/>
      <c r="GU2574" s="4"/>
      <c r="GV2574" s="4"/>
      <c r="GW2574" s="4"/>
      <c r="GX2574" s="4"/>
      <c r="GY2574" s="4"/>
      <c r="GZ2574" s="4"/>
      <c r="HA2574" s="4"/>
      <c r="HB2574" s="4"/>
      <c r="HC2574" s="4"/>
      <c r="HD2574" s="4"/>
      <c r="HE2574" s="4"/>
      <c r="HF2574" s="4"/>
      <c r="HG2574" s="4"/>
      <c r="HH2574" s="4"/>
      <c r="HI2574" s="4"/>
      <c r="HJ2574" s="4"/>
      <c r="HK2574" s="4"/>
      <c r="HL2574" s="4"/>
      <c r="HM2574" s="4"/>
      <c r="HN2574" s="4"/>
      <c r="HO2574" s="4"/>
      <c r="HP2574" s="4"/>
      <c r="HQ2574" s="4"/>
      <c r="HR2574" s="4"/>
    </row>
    <row r="2575">
      <c r="A2575" s="2" t="s">
        <v>11341</v>
      </c>
      <c r="B2575" s="2" t="s">
        <v>886</v>
      </c>
      <c r="C2575" s="2" t="s">
        <v>901</v>
      </c>
      <c r="D2575" s="2" t="s">
        <v>1122</v>
      </c>
      <c r="E2575" s="2" t="s">
        <v>1123</v>
      </c>
      <c r="F2575" s="2" t="s">
        <v>4991</v>
      </c>
      <c r="G2575" s="2" t="s">
        <v>4991</v>
      </c>
      <c r="H2575" s="2" t="s">
        <v>4991</v>
      </c>
      <c r="I2575" s="2" t="s">
        <v>11342</v>
      </c>
      <c r="J2575" s="2" t="s">
        <v>892</v>
      </c>
      <c r="K2575" s="2" t="s">
        <v>1537</v>
      </c>
      <c r="L2575" s="3">
        <v>81</v>
      </c>
      <c r="M2575" s="3">
        <v>85.05</v>
      </c>
      <c r="N2575" s="3">
        <v>189.99</v>
      </c>
      <c r="O2575" s="2" t="s">
        <v>245</v>
      </c>
      <c r="P2575" s="2" t="s">
        <v>311</v>
      </c>
      <c r="Q2575" s="2" t="s">
        <v>239</v>
      </c>
      <c r="R2575" s="2" t="s">
        <v>233</v>
      </c>
      <c r="S2575" s="2" t="s">
        <v>233</v>
      </c>
      <c r="T2575" s="2" t="s">
        <v>233</v>
      </c>
      <c r="U2575" s="2" t="s">
        <v>396</v>
      </c>
      <c r="V2575" s="2" t="s">
        <v>893</v>
      </c>
      <c r="W2575" s="2" t="s">
        <v>397</v>
      </c>
      <c r="X2575" s="2" t="s">
        <v>1813</v>
      </c>
      <c r="Y2575" s="2" t="s">
        <v>1610</v>
      </c>
      <c r="Z2575" s="4">
        <v>81</v>
      </c>
      <c r="AA2575" s="4">
        <f>=ROUNDDOWN(40.5,0)</f>
      </c>
      <c r="AB2575" s="5">
        <v>2</v>
      </c>
      <c r="AC2575" s="2" t="s">
        <v>233</v>
      </c>
      <c r="AD2575" s="4"/>
      <c r="AE2575" s="4"/>
      <c r="AF2575" s="6">
        <v>63</v>
      </c>
      <c r="AG2575" s="6"/>
      <c r="AH2575" s="7">
        <v>1</v>
      </c>
      <c r="AI2575" s="4"/>
      <c r="AJ2575" s="4">
        <f>=ROUNDDOWN({0},0)</f>
      </c>
      <c r="AK2575" s="5"/>
      <c r="AL2575" s="2" t="s">
        <v>233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/>
      <c r="BD2575" s="8"/>
      <c r="BE2575" s="4"/>
      <c r="BF2575" s="8"/>
      <c r="BG2575" s="7"/>
      <c r="BH2575" s="7"/>
      <c r="BI2575" s="7"/>
      <c r="BJ2575" s="4"/>
      <c r="BK2575" s="8"/>
      <c r="BL2575" s="2" t="s">
        <v>233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11343</v>
      </c>
      <c r="BV2575" s="2" t="s">
        <v>233</v>
      </c>
      <c r="BW2575" s="2" t="s">
        <v>233</v>
      </c>
      <c r="BX2575" s="2" t="s">
        <v>233</v>
      </c>
      <c r="BY2575" s="2" t="s">
        <v>280</v>
      </c>
      <c r="BZ2575" s="2" t="s">
        <v>245</v>
      </c>
      <c r="CA2575" s="2" t="s">
        <v>1816</v>
      </c>
      <c r="CB2575" s="2" t="s">
        <v>233</v>
      </c>
      <c r="CC2575" s="2" t="s">
        <v>246</v>
      </c>
      <c r="CD2575" s="2" t="s">
        <v>233</v>
      </c>
      <c r="CE2575" s="4"/>
      <c r="CF2575" s="4">
        <v>81</v>
      </c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  <c r="DL2575" s="4"/>
      <c r="DM2575" s="4"/>
      <c r="DN2575" s="4"/>
      <c r="DO2575" s="4"/>
      <c r="DP2575" s="4"/>
      <c r="DQ2575" s="4"/>
      <c r="DR2575" s="4"/>
      <c r="DS2575" s="4"/>
      <c r="DT2575" s="4"/>
      <c r="DU2575" s="4"/>
      <c r="DV2575" s="4"/>
      <c r="DW2575" s="4"/>
      <c r="DX2575" s="4"/>
      <c r="DY2575" s="4"/>
      <c r="DZ2575" s="4"/>
      <c r="EA2575" s="4"/>
      <c r="EB2575" s="4"/>
      <c r="EC2575" s="4"/>
      <c r="ED2575" s="4"/>
      <c r="EE2575" s="4"/>
      <c r="EF2575" s="4"/>
      <c r="EG2575" s="4"/>
      <c r="EH2575" s="4"/>
      <c r="EI2575" s="4"/>
      <c r="EJ2575" s="4"/>
      <c r="EK2575" s="4"/>
      <c r="EL2575" s="4"/>
      <c r="EM2575" s="4"/>
      <c r="EN2575" s="4"/>
      <c r="EO2575" s="4"/>
      <c r="EP2575" s="4"/>
      <c r="EQ2575" s="4"/>
      <c r="ER2575" s="4"/>
      <c r="ES2575" s="4"/>
      <c r="ET2575" s="4"/>
      <c r="EU2575" s="4"/>
      <c r="EV2575" s="4"/>
      <c r="EW2575" s="4"/>
      <c r="EX2575" s="4"/>
      <c r="EY2575" s="4"/>
      <c r="EZ2575" s="4"/>
      <c r="FA2575" s="4"/>
      <c r="FB2575" s="4"/>
      <c r="FC2575" s="4"/>
      <c r="FD2575" s="4"/>
      <c r="FE2575" s="4"/>
      <c r="FF2575" s="4"/>
      <c r="FG2575" s="4"/>
      <c r="FH2575" s="4"/>
      <c r="FI2575" s="4"/>
      <c r="FJ2575" s="4"/>
      <c r="FK2575" s="4"/>
      <c r="FL2575" s="4"/>
      <c r="FM2575" s="4"/>
      <c r="FN2575" s="4"/>
      <c r="FO2575" s="4"/>
      <c r="FP2575" s="4"/>
      <c r="FQ2575" s="4"/>
      <c r="FR2575" s="4"/>
      <c r="FS2575" s="4"/>
      <c r="FT2575" s="4"/>
      <c r="FU2575" s="4"/>
      <c r="FV2575" s="4"/>
      <c r="FW2575" s="4"/>
      <c r="FX2575" s="4"/>
      <c r="FY2575" s="4"/>
      <c r="FZ2575" s="4"/>
      <c r="GA2575" s="4"/>
      <c r="GB2575" s="4"/>
      <c r="GC2575" s="4"/>
      <c r="GD2575" s="4"/>
      <c r="GE2575" s="4"/>
      <c r="GF2575" s="4"/>
      <c r="GG2575" s="4"/>
      <c r="GH2575" s="4"/>
      <c r="GI2575" s="4"/>
      <c r="GJ2575" s="4"/>
      <c r="GK2575" s="4"/>
      <c r="GL2575" s="4"/>
      <c r="GM2575" s="4"/>
      <c r="GN2575" s="4"/>
      <c r="GO2575" s="4"/>
      <c r="GP2575" s="4"/>
      <c r="GQ2575" s="4"/>
      <c r="GR2575" s="4"/>
      <c r="GS2575" s="4"/>
      <c r="GT2575" s="4"/>
      <c r="GU2575" s="4"/>
      <c r="GV2575" s="4"/>
      <c r="GW2575" s="4"/>
      <c r="GX2575" s="4"/>
      <c r="GY2575" s="4"/>
      <c r="GZ2575" s="4"/>
      <c r="HA2575" s="4"/>
      <c r="HB2575" s="4"/>
      <c r="HC2575" s="4"/>
      <c r="HD2575" s="4"/>
      <c r="HE2575" s="4"/>
      <c r="HF2575" s="4"/>
      <c r="HG2575" s="4"/>
      <c r="HH2575" s="4"/>
      <c r="HI2575" s="4"/>
      <c r="HJ2575" s="4"/>
      <c r="HK2575" s="4"/>
      <c r="HL2575" s="4"/>
      <c r="HM2575" s="4"/>
      <c r="HN2575" s="4"/>
      <c r="HO2575" s="4"/>
      <c r="HP2575" s="4"/>
      <c r="HQ2575" s="4"/>
      <c r="HR2575" s="4"/>
    </row>
    <row r="2576">
      <c r="A2576" s="2" t="s">
        <v>11344</v>
      </c>
      <c r="B2576" s="2" t="s">
        <v>228</v>
      </c>
      <c r="C2576" s="2" t="s">
        <v>530</v>
      </c>
      <c r="D2576" s="2" t="s">
        <v>969</v>
      </c>
      <c r="E2576" s="2" t="s">
        <v>970</v>
      </c>
      <c r="F2576" s="2" t="s">
        <v>11345</v>
      </c>
      <c r="G2576" s="2" t="s">
        <v>11346</v>
      </c>
      <c r="H2576" s="2" t="s">
        <v>11346</v>
      </c>
      <c r="I2576" s="2" t="s">
        <v>1082</v>
      </c>
      <c r="J2576" s="2" t="s">
        <v>270</v>
      </c>
      <c r="K2576" s="2" t="s">
        <v>255</v>
      </c>
      <c r="L2576" s="3">
        <v>28.57</v>
      </c>
      <c r="M2576" s="3">
        <v>30</v>
      </c>
      <c r="N2576" s="3">
        <v>59.99</v>
      </c>
      <c r="O2576" s="2" t="s">
        <v>245</v>
      </c>
      <c r="P2576" s="2" t="s">
        <v>974</v>
      </c>
      <c r="Q2576" s="2" t="s">
        <v>239</v>
      </c>
      <c r="R2576" s="2" t="s">
        <v>233</v>
      </c>
      <c r="S2576" s="2" t="s">
        <v>11347</v>
      </c>
      <c r="T2576" s="2" t="s">
        <v>1481</v>
      </c>
      <c r="U2576" s="2" t="s">
        <v>491</v>
      </c>
      <c r="V2576" s="2" t="s">
        <v>241</v>
      </c>
      <c r="W2576" s="2" t="s">
        <v>275</v>
      </c>
      <c r="X2576" s="2" t="s">
        <v>977</v>
      </c>
      <c r="Y2576" s="2" t="s">
        <v>233</v>
      </c>
      <c r="Z2576" s="4"/>
      <c r="AA2576" s="4">
        <f>=ROUNDDOWN({0},0)</f>
      </c>
      <c r="AB2576" s="5"/>
      <c r="AC2576" s="2" t="s">
        <v>979</v>
      </c>
      <c r="AD2576" s="4">
        <v>60</v>
      </c>
      <c r="AE2576" s="4">
        <v>60</v>
      </c>
      <c r="AF2576" s="6">
        <v>65</v>
      </c>
      <c r="AG2576" s="6"/>
      <c r="AH2576" s="7">
        <v>0</v>
      </c>
      <c r="AI2576" s="4"/>
      <c r="AJ2576" s="4">
        <f>=ROUNDDOWN({0},0)</f>
      </c>
      <c r="AK2576" s="5"/>
      <c r="AL2576" s="2" t="s">
        <v>233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 t="s">
        <v>233</v>
      </c>
      <c r="AW2576" s="8" t="s">
        <v>233</v>
      </c>
      <c r="AX2576" s="4" t="s">
        <v>233</v>
      </c>
      <c r="AY2576" s="8" t="s">
        <v>233</v>
      </c>
      <c r="AZ2576" s="7" t="s">
        <v>233</v>
      </c>
      <c r="BA2576" s="7" t="s">
        <v>233</v>
      </c>
      <c r="BB2576" s="7"/>
      <c r="BC2576" s="4" t="s">
        <v>233</v>
      </c>
      <c r="BD2576" s="8" t="s">
        <v>233</v>
      </c>
      <c r="BE2576" s="4" t="s">
        <v>233</v>
      </c>
      <c r="BF2576" s="8" t="s">
        <v>233</v>
      </c>
      <c r="BG2576" s="7" t="s">
        <v>233</v>
      </c>
      <c r="BH2576" s="7" t="s">
        <v>233</v>
      </c>
      <c r="BI2576" s="7"/>
      <c r="BJ2576" s="4"/>
      <c r="BK2576" s="8"/>
      <c r="BL2576" s="2" t="s">
        <v>233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243</v>
      </c>
      <c r="BV2576" s="2" t="s">
        <v>233</v>
      </c>
      <c r="BW2576" s="2" t="s">
        <v>233</v>
      </c>
      <c r="BX2576" s="2" t="s">
        <v>243</v>
      </c>
      <c r="BY2576" s="2" t="s">
        <v>244</v>
      </c>
      <c r="BZ2576" s="2" t="s">
        <v>245</v>
      </c>
      <c r="CA2576" s="2" t="s">
        <v>233</v>
      </c>
      <c r="CB2576" s="2" t="s">
        <v>233</v>
      </c>
      <c r="CC2576" s="2" t="s">
        <v>246</v>
      </c>
      <c r="CD2576" s="2" t="s">
        <v>233</v>
      </c>
      <c r="CE2576" s="4"/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  <c r="DL2576" s="4"/>
      <c r="DM2576" s="4"/>
      <c r="DN2576" s="4"/>
      <c r="DO2576" s="4"/>
      <c r="DP2576" s="4"/>
      <c r="DQ2576" s="4"/>
      <c r="DR2576" s="4"/>
      <c r="DS2576" s="4"/>
      <c r="DT2576" s="4"/>
      <c r="DU2576" s="4"/>
      <c r="DV2576" s="4"/>
      <c r="DW2576" s="4"/>
      <c r="DX2576" s="4"/>
      <c r="DY2576" s="4"/>
      <c r="DZ2576" s="4"/>
      <c r="EA2576" s="4"/>
      <c r="EB2576" s="4"/>
      <c r="EC2576" s="4"/>
      <c r="ED2576" s="4"/>
      <c r="EE2576" s="4"/>
      <c r="EF2576" s="4"/>
      <c r="EG2576" s="4"/>
      <c r="EH2576" s="4"/>
      <c r="EI2576" s="4"/>
      <c r="EJ2576" s="4"/>
      <c r="EK2576" s="4"/>
      <c r="EL2576" s="4"/>
      <c r="EM2576" s="4"/>
      <c r="EN2576" s="4"/>
      <c r="EO2576" s="4"/>
      <c r="EP2576" s="4"/>
      <c r="EQ2576" s="4"/>
      <c r="ER2576" s="4"/>
      <c r="ES2576" s="4"/>
      <c r="ET2576" s="4"/>
      <c r="EU2576" s="4"/>
      <c r="EV2576" s="4"/>
      <c r="EW2576" s="4"/>
      <c r="EX2576" s="4"/>
      <c r="EY2576" s="4"/>
      <c r="EZ2576" s="4"/>
      <c r="FA2576" s="4"/>
      <c r="FB2576" s="4"/>
      <c r="FC2576" s="4"/>
      <c r="FD2576" s="4"/>
      <c r="FE2576" s="4"/>
      <c r="FF2576" s="4"/>
      <c r="FG2576" s="4"/>
      <c r="FH2576" s="4"/>
      <c r="FI2576" s="4"/>
      <c r="FJ2576" s="4"/>
      <c r="FK2576" s="4"/>
      <c r="FL2576" s="4"/>
      <c r="FM2576" s="4"/>
      <c r="FN2576" s="4"/>
      <c r="FO2576" s="4"/>
      <c r="FP2576" s="4"/>
      <c r="FQ2576" s="4"/>
      <c r="FR2576" s="4"/>
      <c r="FS2576" s="4"/>
      <c r="FT2576" s="4"/>
      <c r="FU2576" s="4"/>
      <c r="FV2576" s="4"/>
      <c r="FW2576" s="4"/>
      <c r="FX2576" s="4"/>
      <c r="FY2576" s="4"/>
      <c r="FZ2576" s="4"/>
      <c r="GA2576" s="4"/>
      <c r="GB2576" s="4"/>
      <c r="GC2576" s="4"/>
      <c r="GD2576" s="4"/>
      <c r="GE2576" s="4"/>
      <c r="GF2576" s="4"/>
      <c r="GG2576" s="4"/>
      <c r="GH2576" s="4"/>
      <c r="GI2576" s="4">
        <v>60</v>
      </c>
      <c r="GJ2576" s="4"/>
      <c r="GK2576" s="4"/>
      <c r="GL2576" s="4"/>
      <c r="GM2576" s="4"/>
      <c r="GN2576" s="4"/>
      <c r="GO2576" s="4"/>
      <c r="GP2576" s="4"/>
      <c r="GQ2576" s="4"/>
      <c r="GR2576" s="4"/>
      <c r="GS2576" s="4"/>
      <c r="GT2576" s="4"/>
      <c r="GU2576" s="4"/>
      <c r="GV2576" s="4"/>
      <c r="GW2576" s="4"/>
      <c r="GX2576" s="4"/>
      <c r="GY2576" s="4"/>
      <c r="GZ2576" s="4"/>
      <c r="HA2576" s="4"/>
      <c r="HB2576" s="4"/>
      <c r="HC2576" s="4"/>
      <c r="HD2576" s="4"/>
      <c r="HE2576" s="4"/>
      <c r="HF2576" s="4"/>
      <c r="HG2576" s="4"/>
      <c r="HH2576" s="4"/>
      <c r="HI2576" s="4"/>
      <c r="HJ2576" s="4"/>
      <c r="HK2576" s="4"/>
      <c r="HL2576" s="4"/>
      <c r="HM2576" s="4"/>
      <c r="HN2576" s="4"/>
      <c r="HO2576" s="4"/>
      <c r="HP2576" s="4"/>
      <c r="HQ2576" s="4"/>
      <c r="HR2576" s="4"/>
    </row>
    <row r="2577">
      <c r="A2577" s="2" t="s">
        <v>11348</v>
      </c>
      <c r="B2577" s="2" t="s">
        <v>228</v>
      </c>
      <c r="C2577" s="2" t="s">
        <v>530</v>
      </c>
      <c r="D2577" s="2" t="s">
        <v>969</v>
      </c>
      <c r="E2577" s="2" t="s">
        <v>970</v>
      </c>
      <c r="F2577" s="2" t="s">
        <v>11345</v>
      </c>
      <c r="G2577" s="2" t="s">
        <v>11346</v>
      </c>
      <c r="H2577" s="2" t="s">
        <v>11346</v>
      </c>
      <c r="I2577" s="2" t="s">
        <v>1082</v>
      </c>
      <c r="J2577" s="2" t="s">
        <v>981</v>
      </c>
      <c r="K2577" s="2" t="s">
        <v>255</v>
      </c>
      <c r="L2577" s="3">
        <v>33.33</v>
      </c>
      <c r="M2577" s="3">
        <v>35</v>
      </c>
      <c r="N2577" s="3">
        <v>69.99</v>
      </c>
      <c r="O2577" s="2" t="s">
        <v>245</v>
      </c>
      <c r="P2577" s="2" t="s">
        <v>974</v>
      </c>
      <c r="Q2577" s="2" t="s">
        <v>239</v>
      </c>
      <c r="R2577" s="2" t="s">
        <v>233</v>
      </c>
      <c r="S2577" s="2" t="s">
        <v>11347</v>
      </c>
      <c r="T2577" s="2" t="s">
        <v>1481</v>
      </c>
      <c r="U2577" s="2" t="s">
        <v>475</v>
      </c>
      <c r="V2577" s="2" t="s">
        <v>241</v>
      </c>
      <c r="W2577" s="2" t="s">
        <v>275</v>
      </c>
      <c r="X2577" s="2" t="s">
        <v>977</v>
      </c>
      <c r="Y2577" s="2" t="s">
        <v>233</v>
      </c>
      <c r="Z2577" s="4"/>
      <c r="AA2577" s="4">
        <f>=ROUNDDOWN({0},0)</f>
      </c>
      <c r="AB2577" s="5"/>
      <c r="AC2577" s="2" t="s">
        <v>979</v>
      </c>
      <c r="AD2577" s="4">
        <v>170</v>
      </c>
      <c r="AE2577" s="4">
        <v>170</v>
      </c>
      <c r="AF2577" s="6">
        <v>65</v>
      </c>
      <c r="AG2577" s="6"/>
      <c r="AH2577" s="7">
        <v>0</v>
      </c>
      <c r="AI2577" s="4"/>
      <c r="AJ2577" s="4">
        <f>=ROUNDDOWN({0},0)</f>
      </c>
      <c r="AK2577" s="5"/>
      <c r="AL2577" s="2" t="s">
        <v>233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 t="s">
        <v>233</v>
      </c>
      <c r="AW2577" s="8" t="s">
        <v>233</v>
      </c>
      <c r="AX2577" s="4" t="s">
        <v>233</v>
      </c>
      <c r="AY2577" s="8" t="s">
        <v>233</v>
      </c>
      <c r="AZ2577" s="7" t="s">
        <v>233</v>
      </c>
      <c r="BA2577" s="7" t="s">
        <v>233</v>
      </c>
      <c r="BB2577" s="7"/>
      <c r="BC2577" s="4" t="s">
        <v>233</v>
      </c>
      <c r="BD2577" s="8" t="s">
        <v>233</v>
      </c>
      <c r="BE2577" s="4" t="s">
        <v>233</v>
      </c>
      <c r="BF2577" s="8" t="s">
        <v>233</v>
      </c>
      <c r="BG2577" s="7" t="s">
        <v>233</v>
      </c>
      <c r="BH2577" s="7" t="s">
        <v>233</v>
      </c>
      <c r="BI2577" s="7"/>
      <c r="BJ2577" s="4"/>
      <c r="BK2577" s="8"/>
      <c r="BL2577" s="2" t="s">
        <v>233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243</v>
      </c>
      <c r="BV2577" s="2" t="s">
        <v>233</v>
      </c>
      <c r="BW2577" s="2" t="s">
        <v>233</v>
      </c>
      <c r="BX2577" s="2" t="s">
        <v>243</v>
      </c>
      <c r="BY2577" s="2" t="s">
        <v>244</v>
      </c>
      <c r="BZ2577" s="2" t="s">
        <v>245</v>
      </c>
      <c r="CA2577" s="2" t="s">
        <v>233</v>
      </c>
      <c r="CB2577" s="2" t="s">
        <v>233</v>
      </c>
      <c r="CC2577" s="2" t="s">
        <v>246</v>
      </c>
      <c r="CD2577" s="2" t="s">
        <v>233</v>
      </c>
      <c r="CE2577" s="4"/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  <c r="DL2577" s="4"/>
      <c r="DM2577" s="4"/>
      <c r="DN2577" s="4"/>
      <c r="DO2577" s="4"/>
      <c r="DP2577" s="4"/>
      <c r="DQ2577" s="4"/>
      <c r="DR2577" s="4"/>
      <c r="DS2577" s="4"/>
      <c r="DT2577" s="4"/>
      <c r="DU2577" s="4"/>
      <c r="DV2577" s="4"/>
      <c r="DW2577" s="4"/>
      <c r="DX2577" s="4"/>
      <c r="DY2577" s="4"/>
      <c r="DZ2577" s="4"/>
      <c r="EA2577" s="4"/>
      <c r="EB2577" s="4"/>
      <c r="EC2577" s="4"/>
      <c r="ED2577" s="4"/>
      <c r="EE2577" s="4"/>
      <c r="EF2577" s="4"/>
      <c r="EG2577" s="4"/>
      <c r="EH2577" s="4"/>
      <c r="EI2577" s="4"/>
      <c r="EJ2577" s="4"/>
      <c r="EK2577" s="4"/>
      <c r="EL2577" s="4"/>
      <c r="EM2577" s="4"/>
      <c r="EN2577" s="4"/>
      <c r="EO2577" s="4"/>
      <c r="EP2577" s="4"/>
      <c r="EQ2577" s="4"/>
      <c r="ER2577" s="4"/>
      <c r="ES2577" s="4"/>
      <c r="ET2577" s="4"/>
      <c r="EU2577" s="4"/>
      <c r="EV2577" s="4"/>
      <c r="EW2577" s="4"/>
      <c r="EX2577" s="4"/>
      <c r="EY2577" s="4"/>
      <c r="EZ2577" s="4"/>
      <c r="FA2577" s="4"/>
      <c r="FB2577" s="4"/>
      <c r="FC2577" s="4"/>
      <c r="FD2577" s="4"/>
      <c r="FE2577" s="4"/>
      <c r="FF2577" s="4"/>
      <c r="FG2577" s="4"/>
      <c r="FH2577" s="4"/>
      <c r="FI2577" s="4"/>
      <c r="FJ2577" s="4"/>
      <c r="FK2577" s="4"/>
      <c r="FL2577" s="4"/>
      <c r="FM2577" s="4"/>
      <c r="FN2577" s="4"/>
      <c r="FO2577" s="4"/>
      <c r="FP2577" s="4"/>
      <c r="FQ2577" s="4"/>
      <c r="FR2577" s="4"/>
      <c r="FS2577" s="4"/>
      <c r="FT2577" s="4"/>
      <c r="FU2577" s="4"/>
      <c r="FV2577" s="4"/>
      <c r="FW2577" s="4"/>
      <c r="FX2577" s="4"/>
      <c r="FY2577" s="4"/>
      <c r="FZ2577" s="4"/>
      <c r="GA2577" s="4"/>
      <c r="GB2577" s="4"/>
      <c r="GC2577" s="4"/>
      <c r="GD2577" s="4"/>
      <c r="GE2577" s="4"/>
      <c r="GF2577" s="4"/>
      <c r="GG2577" s="4"/>
      <c r="GH2577" s="4"/>
      <c r="GI2577" s="4">
        <v>170</v>
      </c>
      <c r="GJ2577" s="4"/>
      <c r="GK2577" s="4"/>
      <c r="GL2577" s="4"/>
      <c r="GM2577" s="4"/>
      <c r="GN2577" s="4"/>
      <c r="GO2577" s="4"/>
      <c r="GP2577" s="4"/>
      <c r="GQ2577" s="4"/>
      <c r="GR2577" s="4"/>
      <c r="GS2577" s="4"/>
      <c r="GT2577" s="4"/>
      <c r="GU2577" s="4"/>
      <c r="GV2577" s="4"/>
      <c r="GW2577" s="4"/>
      <c r="GX2577" s="4"/>
      <c r="GY2577" s="4"/>
      <c r="GZ2577" s="4"/>
      <c r="HA2577" s="4"/>
      <c r="HB2577" s="4"/>
      <c r="HC2577" s="4"/>
      <c r="HD2577" s="4"/>
      <c r="HE2577" s="4"/>
      <c r="HF2577" s="4"/>
      <c r="HG2577" s="4"/>
      <c r="HH2577" s="4"/>
      <c r="HI2577" s="4"/>
      <c r="HJ2577" s="4"/>
      <c r="HK2577" s="4"/>
      <c r="HL2577" s="4"/>
      <c r="HM2577" s="4"/>
      <c r="HN2577" s="4"/>
      <c r="HO2577" s="4"/>
      <c r="HP2577" s="4"/>
      <c r="HQ2577" s="4"/>
      <c r="HR2577" s="4"/>
    </row>
    <row r="2578">
      <c r="A2578" s="2" t="s">
        <v>11349</v>
      </c>
      <c r="B2578" s="2" t="s">
        <v>228</v>
      </c>
      <c r="C2578" s="2" t="s">
        <v>530</v>
      </c>
      <c r="D2578" s="2" t="s">
        <v>969</v>
      </c>
      <c r="E2578" s="2" t="s">
        <v>970</v>
      </c>
      <c r="F2578" s="2" t="s">
        <v>11345</v>
      </c>
      <c r="G2578" s="2" t="s">
        <v>11346</v>
      </c>
      <c r="H2578" s="2" t="s">
        <v>11346</v>
      </c>
      <c r="I2578" s="2" t="s">
        <v>1082</v>
      </c>
      <c r="J2578" s="2" t="s">
        <v>328</v>
      </c>
      <c r="K2578" s="2" t="s">
        <v>255</v>
      </c>
      <c r="L2578" s="3">
        <v>38.09</v>
      </c>
      <c r="M2578" s="3">
        <v>39.99</v>
      </c>
      <c r="N2578" s="3">
        <v>79.99</v>
      </c>
      <c r="O2578" s="2" t="s">
        <v>245</v>
      </c>
      <c r="P2578" s="2" t="s">
        <v>974</v>
      </c>
      <c r="Q2578" s="2" t="s">
        <v>239</v>
      </c>
      <c r="R2578" s="2" t="s">
        <v>233</v>
      </c>
      <c r="S2578" s="2" t="s">
        <v>11347</v>
      </c>
      <c r="T2578" s="2" t="s">
        <v>1481</v>
      </c>
      <c r="U2578" s="2" t="s">
        <v>475</v>
      </c>
      <c r="V2578" s="2" t="s">
        <v>241</v>
      </c>
      <c r="W2578" s="2" t="s">
        <v>275</v>
      </c>
      <c r="X2578" s="2" t="s">
        <v>977</v>
      </c>
      <c r="Y2578" s="2" t="s">
        <v>233</v>
      </c>
      <c r="Z2578" s="4"/>
      <c r="AA2578" s="4">
        <f>=ROUNDDOWN({0},0)</f>
      </c>
      <c r="AB2578" s="5"/>
      <c r="AC2578" s="2" t="s">
        <v>979</v>
      </c>
      <c r="AD2578" s="4">
        <v>160</v>
      </c>
      <c r="AE2578" s="4">
        <v>160</v>
      </c>
      <c r="AF2578" s="6">
        <v>65</v>
      </c>
      <c r="AG2578" s="6"/>
      <c r="AH2578" s="7">
        <v>0</v>
      </c>
      <c r="AI2578" s="4"/>
      <c r="AJ2578" s="4">
        <f>=ROUNDDOWN({0},0)</f>
      </c>
      <c r="AK2578" s="5"/>
      <c r="AL2578" s="2" t="s">
        <v>233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233</v>
      </c>
      <c r="AW2578" s="8" t="s">
        <v>233</v>
      </c>
      <c r="AX2578" s="4" t="s">
        <v>233</v>
      </c>
      <c r="AY2578" s="8" t="s">
        <v>233</v>
      </c>
      <c r="AZ2578" s="7" t="s">
        <v>233</v>
      </c>
      <c r="BA2578" s="7" t="s">
        <v>233</v>
      </c>
      <c r="BB2578" s="7"/>
      <c r="BC2578" s="4" t="s">
        <v>233</v>
      </c>
      <c r="BD2578" s="8" t="s">
        <v>233</v>
      </c>
      <c r="BE2578" s="4" t="s">
        <v>233</v>
      </c>
      <c r="BF2578" s="8" t="s">
        <v>233</v>
      </c>
      <c r="BG2578" s="7" t="s">
        <v>233</v>
      </c>
      <c r="BH2578" s="7" t="s">
        <v>233</v>
      </c>
      <c r="BI2578" s="7"/>
      <c r="BJ2578" s="4"/>
      <c r="BK2578" s="8"/>
      <c r="BL2578" s="2" t="s">
        <v>233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243</v>
      </c>
      <c r="BV2578" s="2" t="s">
        <v>233</v>
      </c>
      <c r="BW2578" s="2" t="s">
        <v>233</v>
      </c>
      <c r="BX2578" s="2" t="s">
        <v>243</v>
      </c>
      <c r="BY2578" s="2" t="s">
        <v>244</v>
      </c>
      <c r="BZ2578" s="2" t="s">
        <v>245</v>
      </c>
      <c r="CA2578" s="2" t="s">
        <v>233</v>
      </c>
      <c r="CB2578" s="2" t="s">
        <v>233</v>
      </c>
      <c r="CC2578" s="2" t="s">
        <v>246</v>
      </c>
      <c r="CD2578" s="2" t="s">
        <v>233</v>
      </c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  <c r="DP2578" s="4"/>
      <c r="DQ2578" s="4"/>
      <c r="DR2578" s="4"/>
      <c r="DS2578" s="4"/>
      <c r="DT2578" s="4"/>
      <c r="DU2578" s="4"/>
      <c r="DV2578" s="4"/>
      <c r="DW2578" s="4"/>
      <c r="DX2578" s="4"/>
      <c r="DY2578" s="4"/>
      <c r="DZ2578" s="4"/>
      <c r="EA2578" s="4"/>
      <c r="EB2578" s="4"/>
      <c r="EC2578" s="4"/>
      <c r="ED2578" s="4"/>
      <c r="EE2578" s="4"/>
      <c r="EF2578" s="4"/>
      <c r="EG2578" s="4"/>
      <c r="EH2578" s="4"/>
      <c r="EI2578" s="4"/>
      <c r="EJ2578" s="4"/>
      <c r="EK2578" s="4"/>
      <c r="EL2578" s="4"/>
      <c r="EM2578" s="4"/>
      <c r="EN2578" s="4"/>
      <c r="EO2578" s="4"/>
      <c r="EP2578" s="4"/>
      <c r="EQ2578" s="4"/>
      <c r="ER2578" s="4"/>
      <c r="ES2578" s="4"/>
      <c r="ET2578" s="4"/>
      <c r="EU2578" s="4"/>
      <c r="EV2578" s="4"/>
      <c r="EW2578" s="4"/>
      <c r="EX2578" s="4"/>
      <c r="EY2578" s="4"/>
      <c r="EZ2578" s="4"/>
      <c r="FA2578" s="4"/>
      <c r="FB2578" s="4"/>
      <c r="FC2578" s="4"/>
      <c r="FD2578" s="4"/>
      <c r="FE2578" s="4"/>
      <c r="FF2578" s="4"/>
      <c r="FG2578" s="4"/>
      <c r="FH2578" s="4"/>
      <c r="FI2578" s="4"/>
      <c r="FJ2578" s="4"/>
      <c r="FK2578" s="4"/>
      <c r="FL2578" s="4"/>
      <c r="FM2578" s="4"/>
      <c r="FN2578" s="4"/>
      <c r="FO2578" s="4"/>
      <c r="FP2578" s="4"/>
      <c r="FQ2578" s="4"/>
      <c r="FR2578" s="4"/>
      <c r="FS2578" s="4"/>
      <c r="FT2578" s="4"/>
      <c r="FU2578" s="4"/>
      <c r="FV2578" s="4"/>
      <c r="FW2578" s="4"/>
      <c r="FX2578" s="4"/>
      <c r="FY2578" s="4"/>
      <c r="FZ2578" s="4"/>
      <c r="GA2578" s="4"/>
      <c r="GB2578" s="4"/>
      <c r="GC2578" s="4"/>
      <c r="GD2578" s="4"/>
      <c r="GE2578" s="4"/>
      <c r="GF2578" s="4"/>
      <c r="GG2578" s="4"/>
      <c r="GH2578" s="4"/>
      <c r="GI2578" s="4">
        <v>160</v>
      </c>
      <c r="GJ2578" s="4"/>
      <c r="GK2578" s="4"/>
      <c r="GL2578" s="4"/>
      <c r="GM2578" s="4"/>
      <c r="GN2578" s="4"/>
      <c r="GO2578" s="4"/>
      <c r="GP2578" s="4"/>
      <c r="GQ2578" s="4"/>
      <c r="GR2578" s="4"/>
      <c r="GS2578" s="4"/>
      <c r="GT2578" s="4"/>
      <c r="GU2578" s="4"/>
      <c r="GV2578" s="4"/>
      <c r="GW2578" s="4"/>
      <c r="GX2578" s="4"/>
      <c r="GY2578" s="4"/>
      <c r="GZ2578" s="4"/>
      <c r="HA2578" s="4"/>
      <c r="HB2578" s="4"/>
      <c r="HC2578" s="4"/>
      <c r="HD2578" s="4"/>
      <c r="HE2578" s="4"/>
      <c r="HF2578" s="4"/>
      <c r="HG2578" s="4"/>
      <c r="HH2578" s="4"/>
      <c r="HI2578" s="4"/>
      <c r="HJ2578" s="4"/>
      <c r="HK2578" s="4"/>
      <c r="HL2578" s="4"/>
      <c r="HM2578" s="4"/>
      <c r="HN2578" s="4"/>
      <c r="HO2578" s="4"/>
      <c r="HP2578" s="4"/>
      <c r="HQ2578" s="4"/>
      <c r="HR2578" s="4"/>
    </row>
    <row r="2579">
      <c r="A2579" s="2" t="s">
        <v>11350</v>
      </c>
      <c r="B2579" s="2" t="s">
        <v>1174</v>
      </c>
      <c r="C2579" s="2" t="s">
        <v>530</v>
      </c>
      <c r="D2579" s="2" t="s">
        <v>1175</v>
      </c>
      <c r="E2579" s="2" t="s">
        <v>1176</v>
      </c>
      <c r="F2579" s="2" t="s">
        <v>11351</v>
      </c>
      <c r="G2579" s="2" t="s">
        <v>11352</v>
      </c>
      <c r="H2579" s="2" t="s">
        <v>11353</v>
      </c>
      <c r="I2579" s="2" t="s">
        <v>11354</v>
      </c>
      <c r="J2579" s="2" t="s">
        <v>11355</v>
      </c>
      <c r="K2579" s="2" t="s">
        <v>6366</v>
      </c>
      <c r="L2579" s="3">
        <v>13.25</v>
      </c>
      <c r="M2579" s="3">
        <v>13.91</v>
      </c>
      <c r="N2579" s="3">
        <v>33.99</v>
      </c>
      <c r="O2579" s="2" t="s">
        <v>245</v>
      </c>
      <c r="P2579" s="2" t="s">
        <v>311</v>
      </c>
      <c r="Q2579" s="2" t="s">
        <v>239</v>
      </c>
      <c r="R2579" s="2" t="s">
        <v>233</v>
      </c>
      <c r="S2579" s="2" t="s">
        <v>11356</v>
      </c>
      <c r="T2579" s="2" t="s">
        <v>233</v>
      </c>
      <c r="U2579" s="2" t="s">
        <v>491</v>
      </c>
      <c r="V2579" s="2" t="s">
        <v>379</v>
      </c>
      <c r="W2579" s="2" t="s">
        <v>275</v>
      </c>
      <c r="X2579" s="2" t="s">
        <v>2069</v>
      </c>
      <c r="Y2579" s="2" t="s">
        <v>5458</v>
      </c>
      <c r="Z2579" s="4">
        <v>28</v>
      </c>
      <c r="AA2579" s="4">
        <f>=ROUNDDOWN(14,0)</f>
      </c>
      <c r="AB2579" s="5">
        <v>2</v>
      </c>
      <c r="AC2579" s="2" t="s">
        <v>233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233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/>
      <c r="BD2579" s="8"/>
      <c r="BE2579" s="4"/>
      <c r="BF2579" s="8"/>
      <c r="BG2579" s="7"/>
      <c r="BH2579" s="7"/>
      <c r="BI2579" s="7"/>
      <c r="BJ2579" s="4">
        <v>1</v>
      </c>
      <c r="BK2579" s="8">
        <v>12</v>
      </c>
      <c r="BL2579" s="2" t="s">
        <v>496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11357</v>
      </c>
      <c r="BV2579" s="2" t="s">
        <v>233</v>
      </c>
      <c r="BW2579" s="2" t="s">
        <v>233</v>
      </c>
      <c r="BX2579" s="2" t="s">
        <v>233</v>
      </c>
      <c r="BY2579" s="2" t="s">
        <v>280</v>
      </c>
      <c r="BZ2579" s="2" t="s">
        <v>245</v>
      </c>
      <c r="CA2579" s="2" t="s">
        <v>997</v>
      </c>
      <c r="CB2579" s="2" t="s">
        <v>4049</v>
      </c>
      <c r="CC2579" s="2" t="s">
        <v>246</v>
      </c>
      <c r="CD2579" s="2" t="s">
        <v>233</v>
      </c>
      <c r="CE2579" s="4">
        <v>28</v>
      </c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  <c r="DL2579" s="4"/>
      <c r="DM2579" s="4"/>
      <c r="DN2579" s="4"/>
      <c r="DO2579" s="4"/>
      <c r="DP2579" s="4"/>
      <c r="DQ2579" s="4"/>
      <c r="DR2579" s="4"/>
      <c r="DS2579" s="4"/>
      <c r="DT2579" s="4"/>
      <c r="DU2579" s="4"/>
      <c r="DV2579" s="4"/>
      <c r="DW2579" s="4"/>
      <c r="DX2579" s="4"/>
      <c r="DY2579" s="4"/>
      <c r="DZ2579" s="4"/>
      <c r="EA2579" s="4"/>
      <c r="EB2579" s="4"/>
      <c r="EC2579" s="4"/>
      <c r="ED2579" s="4"/>
      <c r="EE2579" s="4"/>
      <c r="EF2579" s="4"/>
      <c r="EG2579" s="4"/>
      <c r="EH2579" s="4"/>
      <c r="EI2579" s="4"/>
      <c r="EJ2579" s="4"/>
      <c r="EK2579" s="4"/>
      <c r="EL2579" s="4"/>
      <c r="EM2579" s="4"/>
      <c r="EN2579" s="4"/>
      <c r="EO2579" s="4"/>
      <c r="EP2579" s="4"/>
      <c r="EQ2579" s="4"/>
      <c r="ER2579" s="4"/>
      <c r="ES2579" s="4"/>
      <c r="ET2579" s="4"/>
      <c r="EU2579" s="4"/>
      <c r="EV2579" s="4"/>
      <c r="EW2579" s="4"/>
      <c r="EX2579" s="4"/>
      <c r="EY2579" s="4"/>
      <c r="EZ2579" s="4"/>
      <c r="FA2579" s="4"/>
      <c r="FB2579" s="4"/>
      <c r="FC2579" s="4"/>
      <c r="FD2579" s="4"/>
      <c r="FE2579" s="4"/>
      <c r="FF2579" s="4"/>
      <c r="FG2579" s="4"/>
      <c r="FH2579" s="4"/>
      <c r="FI2579" s="4"/>
      <c r="FJ2579" s="4"/>
      <c r="FK2579" s="4"/>
      <c r="FL2579" s="4"/>
      <c r="FM2579" s="4"/>
      <c r="FN2579" s="4"/>
      <c r="FO2579" s="4"/>
      <c r="FP2579" s="4"/>
      <c r="FQ2579" s="4"/>
      <c r="FR2579" s="4"/>
      <c r="FS2579" s="4"/>
      <c r="FT2579" s="4"/>
      <c r="FU2579" s="4"/>
      <c r="FV2579" s="4"/>
      <c r="FW2579" s="4"/>
      <c r="FX2579" s="4"/>
      <c r="FY2579" s="4"/>
      <c r="FZ2579" s="4"/>
      <c r="GA2579" s="4"/>
      <c r="GB2579" s="4"/>
      <c r="GC2579" s="4"/>
      <c r="GD2579" s="4"/>
      <c r="GE2579" s="4"/>
      <c r="GF2579" s="4"/>
      <c r="GG2579" s="4"/>
      <c r="GH2579" s="4"/>
      <c r="GI2579" s="4"/>
      <c r="GJ2579" s="4"/>
      <c r="GK2579" s="4"/>
      <c r="GL2579" s="4"/>
      <c r="GM2579" s="4"/>
      <c r="GN2579" s="4"/>
      <c r="GO2579" s="4"/>
      <c r="GP2579" s="4"/>
      <c r="GQ2579" s="4"/>
      <c r="GR2579" s="4"/>
      <c r="GS2579" s="4"/>
      <c r="GT2579" s="4"/>
      <c r="GU2579" s="4"/>
      <c r="GV2579" s="4"/>
      <c r="GW2579" s="4"/>
      <c r="GX2579" s="4"/>
      <c r="GY2579" s="4"/>
      <c r="GZ2579" s="4"/>
      <c r="HA2579" s="4"/>
      <c r="HB2579" s="4"/>
      <c r="HC2579" s="4"/>
      <c r="HD2579" s="4"/>
      <c r="HE2579" s="4"/>
      <c r="HF2579" s="4"/>
      <c r="HG2579" s="4"/>
      <c r="HH2579" s="4"/>
      <c r="HI2579" s="4"/>
      <c r="HJ2579" s="4"/>
      <c r="HK2579" s="4"/>
      <c r="HL2579" s="4"/>
      <c r="HM2579" s="4"/>
      <c r="HN2579" s="4"/>
      <c r="HO2579" s="4"/>
      <c r="HP2579" s="4"/>
      <c r="HQ2579" s="4"/>
      <c r="HR2579" s="4"/>
    </row>
    <row r="2580">
      <c r="A2580" s="2" t="s">
        <v>11358</v>
      </c>
      <c r="B2580" s="2" t="s">
        <v>928</v>
      </c>
      <c r="C2580" s="2" t="s">
        <v>901</v>
      </c>
      <c r="D2580" s="2" t="s">
        <v>961</v>
      </c>
      <c r="E2580" s="2" t="s">
        <v>2028</v>
      </c>
      <c r="F2580" s="2" t="s">
        <v>11359</v>
      </c>
      <c r="G2580" s="2" t="s">
        <v>233</v>
      </c>
      <c r="H2580" s="2" t="s">
        <v>233</v>
      </c>
      <c r="I2580" s="2" t="s">
        <v>11360</v>
      </c>
      <c r="J2580" s="2" t="s">
        <v>892</v>
      </c>
      <c r="K2580" s="2" t="s">
        <v>1218</v>
      </c>
      <c r="L2580" s="3">
        <v>30</v>
      </c>
      <c r="M2580" s="3">
        <v>31.49</v>
      </c>
      <c r="N2580" s="3">
        <v>59.99</v>
      </c>
      <c r="O2580" s="2" t="s">
        <v>252</v>
      </c>
      <c r="P2580" s="2" t="s">
        <v>311</v>
      </c>
      <c r="Q2580" s="2" t="s">
        <v>239</v>
      </c>
      <c r="R2580" s="2" t="s">
        <v>233</v>
      </c>
      <c r="S2580" s="2" t="s">
        <v>11361</v>
      </c>
      <c r="T2580" s="2" t="s">
        <v>233</v>
      </c>
      <c r="U2580" s="2" t="s">
        <v>475</v>
      </c>
      <c r="V2580" s="2" t="s">
        <v>1085</v>
      </c>
      <c r="W2580" s="2" t="s">
        <v>397</v>
      </c>
      <c r="X2580" s="2" t="s">
        <v>233</v>
      </c>
      <c r="Y2580" s="2" t="s">
        <v>276</v>
      </c>
      <c r="Z2580" s="4"/>
      <c r="AA2580" s="4">
        <f>=ROUNDDOWN({0},0)</f>
      </c>
      <c r="AB2580" s="5"/>
      <c r="AC2580" s="2" t="s">
        <v>233</v>
      </c>
      <c r="AD2580" s="4"/>
      <c r="AE2580" s="4"/>
      <c r="AF2580" s="6"/>
      <c r="AG2580" s="6"/>
      <c r="AH2580" s="7">
        <v>0</v>
      </c>
      <c r="AI2580" s="4"/>
      <c r="AJ2580" s="4">
        <f>=ROUNDDOWN({0},0)</f>
      </c>
      <c r="AK2580" s="5"/>
      <c r="AL2580" s="2" t="s">
        <v>233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/>
      <c r="AW2580" s="8"/>
      <c r="AX2580" s="4"/>
      <c r="AY2580" s="8"/>
      <c r="AZ2580" s="7"/>
      <c r="BA2580" s="7"/>
      <c r="BB2580" s="7"/>
      <c r="BC2580" s="4"/>
      <c r="BD2580" s="8"/>
      <c r="BE2580" s="4"/>
      <c r="BF2580" s="8"/>
      <c r="BG2580" s="7"/>
      <c r="BH2580" s="7"/>
      <c r="BI2580" s="7"/>
      <c r="BJ2580" s="4"/>
      <c r="BK2580" s="8"/>
      <c r="BL2580" s="2" t="s">
        <v>233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11362</v>
      </c>
      <c r="BV2580" s="2" t="s">
        <v>233</v>
      </c>
      <c r="BW2580" s="2" t="s">
        <v>233</v>
      </c>
      <c r="BX2580" s="2" t="s">
        <v>233</v>
      </c>
      <c r="BY2580" s="2" t="s">
        <v>280</v>
      </c>
      <c r="BZ2580" s="2" t="s">
        <v>245</v>
      </c>
      <c r="CA2580" s="2" t="s">
        <v>281</v>
      </c>
      <c r="CB2580" s="2" t="s">
        <v>11363</v>
      </c>
      <c r="CC2580" s="2" t="s">
        <v>246</v>
      </c>
      <c r="CD2580" s="2" t="s">
        <v>233</v>
      </c>
      <c r="CE2580" s="4"/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  <c r="DL2580" s="4"/>
      <c r="DM2580" s="4"/>
      <c r="DN2580" s="4"/>
      <c r="DO2580" s="4"/>
      <c r="DP2580" s="4"/>
      <c r="DQ2580" s="4"/>
      <c r="DR2580" s="4"/>
      <c r="DS2580" s="4"/>
      <c r="DT2580" s="4"/>
      <c r="DU2580" s="4"/>
      <c r="DV2580" s="4"/>
      <c r="DW2580" s="4"/>
      <c r="DX2580" s="4"/>
      <c r="DY2580" s="4"/>
      <c r="DZ2580" s="4"/>
      <c r="EA2580" s="4"/>
      <c r="EB2580" s="4"/>
      <c r="EC2580" s="4"/>
      <c r="ED2580" s="4"/>
      <c r="EE2580" s="4"/>
      <c r="EF2580" s="4"/>
      <c r="EG2580" s="4"/>
      <c r="EH2580" s="4"/>
      <c r="EI2580" s="4"/>
      <c r="EJ2580" s="4"/>
      <c r="EK2580" s="4"/>
      <c r="EL2580" s="4"/>
      <c r="EM2580" s="4"/>
      <c r="EN2580" s="4"/>
      <c r="EO2580" s="4"/>
      <c r="EP2580" s="4"/>
      <c r="EQ2580" s="4"/>
      <c r="ER2580" s="4"/>
      <c r="ES2580" s="4"/>
      <c r="ET2580" s="4"/>
      <c r="EU2580" s="4"/>
      <c r="EV2580" s="4"/>
      <c r="EW2580" s="4"/>
      <c r="EX2580" s="4"/>
      <c r="EY2580" s="4"/>
      <c r="EZ2580" s="4"/>
      <c r="FA2580" s="4"/>
      <c r="FB2580" s="4"/>
      <c r="FC2580" s="4"/>
      <c r="FD2580" s="4"/>
      <c r="FE2580" s="4"/>
      <c r="FF2580" s="4"/>
      <c r="FG2580" s="4"/>
      <c r="FH2580" s="4"/>
      <c r="FI2580" s="4"/>
      <c r="FJ2580" s="4"/>
      <c r="FK2580" s="4"/>
      <c r="FL2580" s="4"/>
      <c r="FM2580" s="4"/>
      <c r="FN2580" s="4"/>
      <c r="FO2580" s="4"/>
      <c r="FP2580" s="4"/>
      <c r="FQ2580" s="4"/>
      <c r="FR2580" s="4"/>
      <c r="FS2580" s="4"/>
      <c r="FT2580" s="4"/>
      <c r="FU2580" s="4"/>
      <c r="FV2580" s="4"/>
      <c r="FW2580" s="4"/>
      <c r="FX2580" s="4"/>
      <c r="FY2580" s="4"/>
      <c r="FZ2580" s="4"/>
      <c r="GA2580" s="4"/>
      <c r="GB2580" s="4"/>
      <c r="GC2580" s="4"/>
      <c r="GD2580" s="4"/>
      <c r="GE2580" s="4"/>
      <c r="GF2580" s="4"/>
      <c r="GG2580" s="4"/>
      <c r="GH2580" s="4"/>
      <c r="GI2580" s="4"/>
      <c r="GJ2580" s="4"/>
      <c r="GK2580" s="4"/>
      <c r="GL2580" s="4"/>
      <c r="GM2580" s="4"/>
      <c r="GN2580" s="4"/>
      <c r="GO2580" s="4"/>
      <c r="GP2580" s="4"/>
      <c r="GQ2580" s="4"/>
      <c r="GR2580" s="4"/>
      <c r="GS2580" s="4"/>
      <c r="GT2580" s="4"/>
      <c r="GU2580" s="4"/>
      <c r="GV2580" s="4"/>
      <c r="GW2580" s="4"/>
      <c r="GX2580" s="4"/>
      <c r="GY2580" s="4"/>
      <c r="GZ2580" s="4"/>
      <c r="HA2580" s="4"/>
      <c r="HB2580" s="4"/>
      <c r="HC2580" s="4"/>
      <c r="HD2580" s="4"/>
      <c r="HE2580" s="4"/>
      <c r="HF2580" s="4"/>
      <c r="HG2580" s="4"/>
      <c r="HH2580" s="4"/>
      <c r="HI2580" s="4"/>
      <c r="HJ2580" s="4"/>
      <c r="HK2580" s="4"/>
      <c r="HL2580" s="4"/>
      <c r="HM2580" s="4"/>
      <c r="HN2580" s="4"/>
      <c r="HO2580" s="4"/>
      <c r="HP2580" s="4"/>
      <c r="HQ2580" s="4"/>
      <c r="HR2580" s="4"/>
    </row>
    <row r="2581">
      <c r="A2581" s="2" t="s">
        <v>11364</v>
      </c>
      <c r="B2581" s="2" t="s">
        <v>910</v>
      </c>
      <c r="C2581" s="2" t="s">
        <v>911</v>
      </c>
      <c r="D2581" s="2" t="s">
        <v>969</v>
      </c>
      <c r="E2581" s="2" t="s">
        <v>1078</v>
      </c>
      <c r="F2581" s="2" t="s">
        <v>11365</v>
      </c>
      <c r="G2581" s="2" t="s">
        <v>11366</v>
      </c>
      <c r="H2581" s="2" t="s">
        <v>11367</v>
      </c>
      <c r="I2581" s="2" t="s">
        <v>1082</v>
      </c>
      <c r="J2581" s="2" t="s">
        <v>918</v>
      </c>
      <c r="K2581" s="2" t="s">
        <v>1083</v>
      </c>
      <c r="L2581" s="3">
        <v>28.8</v>
      </c>
      <c r="M2581" s="3">
        <v>30.24</v>
      </c>
      <c r="N2581" s="3">
        <v>59.99</v>
      </c>
      <c r="O2581" s="2" t="s">
        <v>252</v>
      </c>
      <c r="P2581" s="2" t="s">
        <v>996</v>
      </c>
      <c r="Q2581" s="2" t="s">
        <v>239</v>
      </c>
      <c r="R2581" s="2" t="s">
        <v>233</v>
      </c>
      <c r="S2581" s="2" t="s">
        <v>11368</v>
      </c>
      <c r="T2581" s="2" t="s">
        <v>233</v>
      </c>
      <c r="U2581" s="2" t="s">
        <v>342</v>
      </c>
      <c r="V2581" s="2" t="s">
        <v>1932</v>
      </c>
      <c r="W2581" s="2" t="s">
        <v>1763</v>
      </c>
      <c r="X2581" s="2" t="s">
        <v>1303</v>
      </c>
      <c r="Y2581" s="2" t="s">
        <v>276</v>
      </c>
      <c r="Z2581" s="4"/>
      <c r="AA2581" s="4">
        <f>=ROUNDDOWN({0},0)</f>
      </c>
      <c r="AB2581" s="5"/>
      <c r="AC2581" s="2" t="s">
        <v>233</v>
      </c>
      <c r="AD2581" s="4"/>
      <c r="AE2581" s="4"/>
      <c r="AF2581" s="6"/>
      <c r="AG2581" s="6"/>
      <c r="AH2581" s="7">
        <v>0</v>
      </c>
      <c r="AI2581" s="4"/>
      <c r="AJ2581" s="4">
        <f>=ROUNDDOWN({0},0)</f>
      </c>
      <c r="AK2581" s="5"/>
      <c r="AL2581" s="2" t="s">
        <v>233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/>
      <c r="AW2581" s="8"/>
      <c r="AX2581" s="4"/>
      <c r="AY2581" s="8"/>
      <c r="AZ2581" s="7"/>
      <c r="BA2581" s="7"/>
      <c r="BB2581" s="7"/>
      <c r="BC2581" s="4"/>
      <c r="BD2581" s="8"/>
      <c r="BE2581" s="4"/>
      <c r="BF2581" s="8"/>
      <c r="BG2581" s="7"/>
      <c r="BH2581" s="7"/>
      <c r="BI2581" s="7"/>
      <c r="BJ2581" s="4"/>
      <c r="BK2581" s="8"/>
      <c r="BL2581" s="2" t="s">
        <v>233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11369</v>
      </c>
      <c r="BV2581" s="2" t="s">
        <v>233</v>
      </c>
      <c r="BW2581" s="2" t="s">
        <v>233</v>
      </c>
      <c r="BX2581" s="2" t="s">
        <v>233</v>
      </c>
      <c r="BY2581" s="2" t="s">
        <v>280</v>
      </c>
      <c r="BZ2581" s="2" t="s">
        <v>245</v>
      </c>
      <c r="CA2581" s="2" t="s">
        <v>281</v>
      </c>
      <c r="CB2581" s="2" t="s">
        <v>11370</v>
      </c>
      <c r="CC2581" s="2" t="s">
        <v>246</v>
      </c>
      <c r="CD2581" s="2" t="s">
        <v>233</v>
      </c>
      <c r="CE2581" s="4"/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/>
      <c r="DD2581" s="4"/>
      <c r="DE2581" s="4"/>
      <c r="DF2581" s="4"/>
      <c r="DG2581" s="4"/>
      <c r="DH2581" s="4"/>
      <c r="DI2581" s="4"/>
      <c r="DJ2581" s="4"/>
      <c r="DK2581" s="4"/>
      <c r="DL2581" s="4"/>
      <c r="DM2581" s="4"/>
      <c r="DN2581" s="4"/>
      <c r="DO2581" s="4"/>
      <c r="DP2581" s="4"/>
      <c r="DQ2581" s="4"/>
      <c r="DR2581" s="4"/>
      <c r="DS2581" s="4"/>
      <c r="DT2581" s="4"/>
      <c r="DU2581" s="4"/>
      <c r="DV2581" s="4"/>
      <c r="DW2581" s="4"/>
      <c r="DX2581" s="4"/>
      <c r="DY2581" s="4"/>
      <c r="DZ2581" s="4"/>
      <c r="EA2581" s="4"/>
      <c r="EB2581" s="4"/>
      <c r="EC2581" s="4"/>
      <c r="ED2581" s="4"/>
      <c r="EE2581" s="4"/>
      <c r="EF2581" s="4"/>
      <c r="EG2581" s="4"/>
      <c r="EH2581" s="4"/>
      <c r="EI2581" s="4"/>
      <c r="EJ2581" s="4"/>
      <c r="EK2581" s="4"/>
      <c r="EL2581" s="4"/>
      <c r="EM2581" s="4"/>
      <c r="EN2581" s="4"/>
      <c r="EO2581" s="4"/>
      <c r="EP2581" s="4"/>
      <c r="EQ2581" s="4"/>
      <c r="ER2581" s="4"/>
      <c r="ES2581" s="4"/>
      <c r="ET2581" s="4"/>
      <c r="EU2581" s="4"/>
      <c r="EV2581" s="4"/>
      <c r="EW2581" s="4"/>
      <c r="EX2581" s="4"/>
      <c r="EY2581" s="4"/>
      <c r="EZ2581" s="4"/>
      <c r="FA2581" s="4"/>
      <c r="FB2581" s="4"/>
      <c r="FC2581" s="4"/>
      <c r="FD2581" s="4"/>
      <c r="FE2581" s="4"/>
      <c r="FF2581" s="4"/>
      <c r="FG2581" s="4"/>
      <c r="FH2581" s="4"/>
      <c r="FI2581" s="4"/>
      <c r="FJ2581" s="4"/>
      <c r="FK2581" s="4"/>
      <c r="FL2581" s="4"/>
      <c r="FM2581" s="4"/>
      <c r="FN2581" s="4"/>
      <c r="FO2581" s="4"/>
      <c r="FP2581" s="4"/>
      <c r="FQ2581" s="4"/>
      <c r="FR2581" s="4"/>
      <c r="FS2581" s="4"/>
      <c r="FT2581" s="4"/>
      <c r="FU2581" s="4"/>
      <c r="FV2581" s="4"/>
      <c r="FW2581" s="4"/>
      <c r="FX2581" s="4"/>
      <c r="FY2581" s="4"/>
      <c r="FZ2581" s="4"/>
      <c r="GA2581" s="4"/>
      <c r="GB2581" s="4"/>
      <c r="GC2581" s="4"/>
      <c r="GD2581" s="4"/>
      <c r="GE2581" s="4"/>
      <c r="GF2581" s="4"/>
      <c r="GG2581" s="4"/>
      <c r="GH2581" s="4"/>
      <c r="GI2581" s="4"/>
      <c r="GJ2581" s="4"/>
      <c r="GK2581" s="4"/>
      <c r="GL2581" s="4"/>
      <c r="GM2581" s="4"/>
      <c r="GN2581" s="4"/>
      <c r="GO2581" s="4"/>
      <c r="GP2581" s="4"/>
      <c r="GQ2581" s="4"/>
      <c r="GR2581" s="4"/>
      <c r="GS2581" s="4"/>
      <c r="GT2581" s="4"/>
      <c r="GU2581" s="4"/>
      <c r="GV2581" s="4"/>
      <c r="GW2581" s="4"/>
      <c r="GX2581" s="4"/>
      <c r="GY2581" s="4"/>
      <c r="GZ2581" s="4"/>
      <c r="HA2581" s="4"/>
      <c r="HB2581" s="4"/>
      <c r="HC2581" s="4"/>
      <c r="HD2581" s="4"/>
      <c r="HE2581" s="4"/>
      <c r="HF2581" s="4"/>
      <c r="HG2581" s="4"/>
      <c r="HH2581" s="4"/>
      <c r="HI2581" s="4"/>
      <c r="HJ2581" s="4"/>
      <c r="HK2581" s="4"/>
      <c r="HL2581" s="4"/>
      <c r="HM2581" s="4"/>
      <c r="HN2581" s="4"/>
      <c r="HO2581" s="4"/>
      <c r="HP2581" s="4"/>
      <c r="HQ2581" s="4"/>
      <c r="HR2581" s="4"/>
    </row>
    <row r="2582">
      <c r="A2582" s="2" t="s">
        <v>11371</v>
      </c>
      <c r="B2582" s="2" t="s">
        <v>886</v>
      </c>
      <c r="C2582" s="2" t="s">
        <v>887</v>
      </c>
      <c r="D2582" s="2" t="s">
        <v>1167</v>
      </c>
      <c r="E2582" s="2" t="s">
        <v>1168</v>
      </c>
      <c r="F2582" s="2" t="s">
        <v>11372</v>
      </c>
      <c r="G2582" s="2" t="s">
        <v>11372</v>
      </c>
      <c r="H2582" s="2" t="s">
        <v>11372</v>
      </c>
      <c r="I2582" s="2" t="s">
        <v>11373</v>
      </c>
      <c r="J2582" s="2" t="s">
        <v>892</v>
      </c>
      <c r="K2582" s="2" t="s">
        <v>271</v>
      </c>
      <c r="L2582" s="3">
        <v>53</v>
      </c>
      <c r="M2582" s="3">
        <v>55.65</v>
      </c>
      <c r="N2582" s="3">
        <v>109.99</v>
      </c>
      <c r="O2582" s="2" t="s">
        <v>245</v>
      </c>
      <c r="P2582" s="2" t="s">
        <v>238</v>
      </c>
      <c r="Q2582" s="2" t="s">
        <v>239</v>
      </c>
      <c r="R2582" s="2" t="s">
        <v>233</v>
      </c>
      <c r="S2582" s="2" t="s">
        <v>233</v>
      </c>
      <c r="T2582" s="2" t="s">
        <v>233</v>
      </c>
      <c r="U2582" s="2" t="s">
        <v>396</v>
      </c>
      <c r="V2582" s="2" t="s">
        <v>893</v>
      </c>
      <c r="W2582" s="2" t="s">
        <v>451</v>
      </c>
      <c r="X2582" s="2" t="s">
        <v>705</v>
      </c>
      <c r="Y2582" s="2" t="s">
        <v>233</v>
      </c>
      <c r="Z2582" s="4"/>
      <c r="AA2582" s="4">
        <f>=ROUNDDOWN({0},0)</f>
      </c>
      <c r="AB2582" s="5">
        <v>1</v>
      </c>
      <c r="AC2582" s="2" t="s">
        <v>1172</v>
      </c>
      <c r="AD2582" s="4">
        <v>50</v>
      </c>
      <c r="AE2582" s="4">
        <v>80</v>
      </c>
      <c r="AF2582" s="6">
        <v>65</v>
      </c>
      <c r="AG2582" s="6"/>
      <c r="AH2582" s="7">
        <v>0</v>
      </c>
      <c r="AI2582" s="4"/>
      <c r="AJ2582" s="4">
        <f>=ROUNDDOWN({0},0)</f>
      </c>
      <c r="AK2582" s="5"/>
      <c r="AL2582" s="2" t="s">
        <v>233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 t="s">
        <v>233</v>
      </c>
      <c r="BD2582" s="8" t="s">
        <v>233</v>
      </c>
      <c r="BE2582" s="4" t="s">
        <v>233</v>
      </c>
      <c r="BF2582" s="8" t="s">
        <v>233</v>
      </c>
      <c r="BG2582" s="7" t="s">
        <v>233</v>
      </c>
      <c r="BH2582" s="7" t="s">
        <v>233</v>
      </c>
      <c r="BI2582" s="7"/>
      <c r="BJ2582" s="4"/>
      <c r="BK2582" s="8"/>
      <c r="BL2582" s="2" t="s">
        <v>233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243</v>
      </c>
      <c r="BV2582" s="2" t="s">
        <v>233</v>
      </c>
      <c r="BW2582" s="2" t="s">
        <v>233</v>
      </c>
      <c r="BX2582" s="2" t="s">
        <v>243</v>
      </c>
      <c r="BY2582" s="2" t="s">
        <v>244</v>
      </c>
      <c r="BZ2582" s="2" t="s">
        <v>245</v>
      </c>
      <c r="CA2582" s="2" t="s">
        <v>233</v>
      </c>
      <c r="CB2582" s="2" t="s">
        <v>233</v>
      </c>
      <c r="CC2582" s="2" t="s">
        <v>246</v>
      </c>
      <c r="CD2582" s="2" t="s">
        <v>233</v>
      </c>
      <c r="CE2582" s="4"/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/>
      <c r="DF2582" s="4"/>
      <c r="DG2582" s="4"/>
      <c r="DH2582" s="4"/>
      <c r="DI2582" s="4"/>
      <c r="DJ2582" s="4"/>
      <c r="DK2582" s="4"/>
      <c r="DL2582" s="4"/>
      <c r="DM2582" s="4"/>
      <c r="DN2582" s="4"/>
      <c r="DO2582" s="4"/>
      <c r="DP2582" s="4">
        <v>50</v>
      </c>
      <c r="DQ2582" s="4"/>
      <c r="DR2582" s="4"/>
      <c r="DS2582" s="4"/>
      <c r="DT2582" s="4"/>
      <c r="DU2582" s="4"/>
      <c r="DV2582" s="4"/>
      <c r="DW2582" s="4"/>
      <c r="DX2582" s="4"/>
      <c r="DY2582" s="4"/>
      <c r="DZ2582" s="4"/>
      <c r="EA2582" s="4"/>
      <c r="EB2582" s="4"/>
      <c r="EC2582" s="4"/>
      <c r="ED2582" s="4"/>
      <c r="EE2582" s="4"/>
      <c r="EF2582" s="4"/>
      <c r="EG2582" s="4"/>
      <c r="EH2582" s="4"/>
      <c r="EI2582" s="4"/>
      <c r="EJ2582" s="4"/>
      <c r="EK2582" s="4"/>
      <c r="EL2582" s="4"/>
      <c r="EM2582" s="4"/>
      <c r="EN2582" s="4"/>
      <c r="EO2582" s="4"/>
      <c r="EP2582" s="4"/>
      <c r="EQ2582" s="4"/>
      <c r="ER2582" s="4"/>
      <c r="ES2582" s="4">
        <v>30</v>
      </c>
      <c r="ET2582" s="4"/>
      <c r="EU2582" s="4"/>
      <c r="EV2582" s="4"/>
      <c r="EW2582" s="4"/>
      <c r="EX2582" s="4"/>
      <c r="EY2582" s="4"/>
      <c r="EZ2582" s="4"/>
      <c r="FA2582" s="4"/>
      <c r="FB2582" s="4"/>
      <c r="FC2582" s="4"/>
      <c r="FD2582" s="4"/>
      <c r="FE2582" s="4"/>
      <c r="FF2582" s="4"/>
      <c r="FG2582" s="4"/>
      <c r="FH2582" s="4"/>
      <c r="FI2582" s="4"/>
      <c r="FJ2582" s="4"/>
      <c r="FK2582" s="4"/>
      <c r="FL2582" s="4"/>
      <c r="FM2582" s="4"/>
      <c r="FN2582" s="4"/>
      <c r="FO2582" s="4"/>
      <c r="FP2582" s="4"/>
      <c r="FQ2582" s="4"/>
      <c r="FR2582" s="4"/>
      <c r="FS2582" s="4"/>
      <c r="FT2582" s="4"/>
      <c r="FU2582" s="4"/>
      <c r="FV2582" s="4"/>
      <c r="FW2582" s="4"/>
      <c r="FX2582" s="4"/>
      <c r="FY2582" s="4"/>
      <c r="FZ2582" s="4"/>
      <c r="GA2582" s="4"/>
      <c r="GB2582" s="4"/>
      <c r="GC2582" s="4"/>
      <c r="GD2582" s="4"/>
      <c r="GE2582" s="4"/>
      <c r="GF2582" s="4"/>
      <c r="GG2582" s="4"/>
      <c r="GH2582" s="4"/>
      <c r="GI2582" s="4"/>
      <c r="GJ2582" s="4"/>
      <c r="GK2582" s="4"/>
      <c r="GL2582" s="4"/>
      <c r="GM2582" s="4"/>
      <c r="GN2582" s="4"/>
      <c r="GO2582" s="4"/>
      <c r="GP2582" s="4"/>
      <c r="GQ2582" s="4"/>
      <c r="GR2582" s="4"/>
      <c r="GS2582" s="4"/>
      <c r="GT2582" s="4"/>
      <c r="GU2582" s="4"/>
      <c r="GV2582" s="4"/>
      <c r="GW2582" s="4"/>
      <c r="GX2582" s="4"/>
      <c r="GY2582" s="4"/>
      <c r="GZ2582" s="4"/>
      <c r="HA2582" s="4"/>
      <c r="HB2582" s="4"/>
      <c r="HC2582" s="4"/>
      <c r="HD2582" s="4"/>
      <c r="HE2582" s="4"/>
      <c r="HF2582" s="4"/>
      <c r="HG2582" s="4"/>
      <c r="HH2582" s="4"/>
      <c r="HI2582" s="4"/>
      <c r="HJ2582" s="4"/>
      <c r="HK2582" s="4"/>
      <c r="HL2582" s="4"/>
      <c r="HM2582" s="4"/>
      <c r="HN2582" s="4"/>
      <c r="HO2582" s="4"/>
      <c r="HP2582" s="4"/>
      <c r="HQ2582" s="4"/>
      <c r="HR2582" s="4"/>
    </row>
    <row r="2583">
      <c r="A2583" s="2" t="s">
        <v>11374</v>
      </c>
      <c r="B2583" s="2" t="s">
        <v>886</v>
      </c>
      <c r="C2583" s="2" t="s">
        <v>887</v>
      </c>
      <c r="D2583" s="2" t="s">
        <v>1167</v>
      </c>
      <c r="E2583" s="2" t="s">
        <v>1168</v>
      </c>
      <c r="F2583" s="2" t="s">
        <v>11372</v>
      </c>
      <c r="G2583" s="2" t="s">
        <v>11372</v>
      </c>
      <c r="H2583" s="2" t="s">
        <v>11372</v>
      </c>
      <c r="I2583" s="2" t="s">
        <v>11373</v>
      </c>
      <c r="J2583" s="2" t="s">
        <v>892</v>
      </c>
      <c r="K2583" s="2" t="s">
        <v>449</v>
      </c>
      <c r="L2583" s="3">
        <v>53</v>
      </c>
      <c r="M2583" s="3">
        <v>55.65</v>
      </c>
      <c r="N2583" s="3">
        <v>109.99</v>
      </c>
      <c r="O2583" s="2" t="s">
        <v>245</v>
      </c>
      <c r="P2583" s="2" t="s">
        <v>238</v>
      </c>
      <c r="Q2583" s="2" t="s">
        <v>239</v>
      </c>
      <c r="R2583" s="2" t="s">
        <v>233</v>
      </c>
      <c r="S2583" s="2" t="s">
        <v>233</v>
      </c>
      <c r="T2583" s="2" t="s">
        <v>233</v>
      </c>
      <c r="U2583" s="2" t="s">
        <v>396</v>
      </c>
      <c r="V2583" s="2" t="s">
        <v>893</v>
      </c>
      <c r="W2583" s="2" t="s">
        <v>451</v>
      </c>
      <c r="X2583" s="2" t="s">
        <v>705</v>
      </c>
      <c r="Y2583" s="2" t="s">
        <v>233</v>
      </c>
      <c r="Z2583" s="4"/>
      <c r="AA2583" s="4">
        <f>=ROUNDDOWN({0},0)</f>
      </c>
      <c r="AB2583" s="5">
        <v>1</v>
      </c>
      <c r="AC2583" s="2" t="s">
        <v>1172</v>
      </c>
      <c r="AD2583" s="4">
        <v>35</v>
      </c>
      <c r="AE2583" s="4">
        <v>50</v>
      </c>
      <c r="AF2583" s="6">
        <v>65</v>
      </c>
      <c r="AG2583" s="6"/>
      <c r="AH2583" s="7">
        <v>0</v>
      </c>
      <c r="AI2583" s="4"/>
      <c r="AJ2583" s="4">
        <f>=ROUNDDOWN({0},0)</f>
      </c>
      <c r="AK2583" s="5"/>
      <c r="AL2583" s="2" t="s">
        <v>233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233</v>
      </c>
      <c r="BD2583" s="8" t="s">
        <v>233</v>
      </c>
      <c r="BE2583" s="4" t="s">
        <v>233</v>
      </c>
      <c r="BF2583" s="8" t="s">
        <v>233</v>
      </c>
      <c r="BG2583" s="7" t="s">
        <v>233</v>
      </c>
      <c r="BH2583" s="7" t="s">
        <v>233</v>
      </c>
      <c r="BI2583" s="7"/>
      <c r="BJ2583" s="4"/>
      <c r="BK2583" s="8"/>
      <c r="BL2583" s="2" t="s">
        <v>233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243</v>
      </c>
      <c r="BV2583" s="2" t="s">
        <v>233</v>
      </c>
      <c r="BW2583" s="2" t="s">
        <v>233</v>
      </c>
      <c r="BX2583" s="2" t="s">
        <v>243</v>
      </c>
      <c r="BY2583" s="2" t="s">
        <v>244</v>
      </c>
      <c r="BZ2583" s="2" t="s">
        <v>245</v>
      </c>
      <c r="CA2583" s="2" t="s">
        <v>233</v>
      </c>
      <c r="CB2583" s="2" t="s">
        <v>233</v>
      </c>
      <c r="CC2583" s="2" t="s">
        <v>246</v>
      </c>
      <c r="CD2583" s="2" t="s">
        <v>233</v>
      </c>
      <c r="CE2583" s="4"/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/>
      <c r="DF2583" s="4"/>
      <c r="DG2583" s="4"/>
      <c r="DH2583" s="4"/>
      <c r="DI2583" s="4"/>
      <c r="DJ2583" s="4"/>
      <c r="DK2583" s="4"/>
      <c r="DL2583" s="4"/>
      <c r="DM2583" s="4"/>
      <c r="DN2583" s="4"/>
      <c r="DO2583" s="4"/>
      <c r="DP2583" s="4">
        <v>35</v>
      </c>
      <c r="DQ2583" s="4"/>
      <c r="DR2583" s="4"/>
      <c r="DS2583" s="4"/>
      <c r="DT2583" s="4"/>
      <c r="DU2583" s="4"/>
      <c r="DV2583" s="4"/>
      <c r="DW2583" s="4"/>
      <c r="DX2583" s="4"/>
      <c r="DY2583" s="4"/>
      <c r="DZ2583" s="4"/>
      <c r="EA2583" s="4"/>
      <c r="EB2583" s="4"/>
      <c r="EC2583" s="4"/>
      <c r="ED2583" s="4"/>
      <c r="EE2583" s="4"/>
      <c r="EF2583" s="4"/>
      <c r="EG2583" s="4"/>
      <c r="EH2583" s="4"/>
      <c r="EI2583" s="4"/>
      <c r="EJ2583" s="4"/>
      <c r="EK2583" s="4"/>
      <c r="EL2583" s="4"/>
      <c r="EM2583" s="4"/>
      <c r="EN2583" s="4"/>
      <c r="EO2583" s="4"/>
      <c r="EP2583" s="4"/>
      <c r="EQ2583" s="4"/>
      <c r="ER2583" s="4"/>
      <c r="ES2583" s="4">
        <v>15</v>
      </c>
      <c r="ET2583" s="4"/>
      <c r="EU2583" s="4"/>
      <c r="EV2583" s="4"/>
      <c r="EW2583" s="4"/>
      <c r="EX2583" s="4"/>
      <c r="EY2583" s="4"/>
      <c r="EZ2583" s="4"/>
      <c r="FA2583" s="4"/>
      <c r="FB2583" s="4"/>
      <c r="FC2583" s="4"/>
      <c r="FD2583" s="4"/>
      <c r="FE2583" s="4"/>
      <c r="FF2583" s="4"/>
      <c r="FG2583" s="4"/>
      <c r="FH2583" s="4"/>
      <c r="FI2583" s="4"/>
      <c r="FJ2583" s="4"/>
      <c r="FK2583" s="4"/>
      <c r="FL2583" s="4"/>
      <c r="FM2583" s="4"/>
      <c r="FN2583" s="4"/>
      <c r="FO2583" s="4"/>
      <c r="FP2583" s="4"/>
      <c r="FQ2583" s="4"/>
      <c r="FR2583" s="4"/>
      <c r="FS2583" s="4"/>
      <c r="FT2583" s="4"/>
      <c r="FU2583" s="4"/>
      <c r="FV2583" s="4"/>
      <c r="FW2583" s="4"/>
      <c r="FX2583" s="4"/>
      <c r="FY2583" s="4"/>
      <c r="FZ2583" s="4"/>
      <c r="GA2583" s="4"/>
      <c r="GB2583" s="4"/>
      <c r="GC2583" s="4"/>
      <c r="GD2583" s="4"/>
      <c r="GE2583" s="4"/>
      <c r="GF2583" s="4"/>
      <c r="GG2583" s="4"/>
      <c r="GH2583" s="4"/>
      <c r="GI2583" s="4"/>
      <c r="GJ2583" s="4"/>
      <c r="GK2583" s="4"/>
      <c r="GL2583" s="4"/>
      <c r="GM2583" s="4"/>
      <c r="GN2583" s="4"/>
      <c r="GO2583" s="4"/>
      <c r="GP2583" s="4"/>
      <c r="GQ2583" s="4"/>
      <c r="GR2583" s="4"/>
      <c r="GS2583" s="4"/>
      <c r="GT2583" s="4"/>
      <c r="GU2583" s="4"/>
      <c r="GV2583" s="4"/>
      <c r="GW2583" s="4"/>
      <c r="GX2583" s="4"/>
      <c r="GY2583" s="4"/>
      <c r="GZ2583" s="4"/>
      <c r="HA2583" s="4"/>
      <c r="HB2583" s="4"/>
      <c r="HC2583" s="4"/>
      <c r="HD2583" s="4"/>
      <c r="HE2583" s="4"/>
      <c r="HF2583" s="4"/>
      <c r="HG2583" s="4"/>
      <c r="HH2583" s="4"/>
      <c r="HI2583" s="4"/>
      <c r="HJ2583" s="4"/>
      <c r="HK2583" s="4"/>
      <c r="HL2583" s="4"/>
      <c r="HM2583" s="4"/>
      <c r="HN2583" s="4"/>
      <c r="HO2583" s="4"/>
      <c r="HP2583" s="4"/>
      <c r="HQ2583" s="4"/>
      <c r="HR2583" s="4"/>
    </row>
    <row r="2584">
      <c r="A2584" s="2" t="s">
        <v>11375</v>
      </c>
      <c r="B2584" s="2" t="s">
        <v>886</v>
      </c>
      <c r="C2584" s="2" t="s">
        <v>887</v>
      </c>
      <c r="D2584" s="2" t="s">
        <v>1167</v>
      </c>
      <c r="E2584" s="2" t="s">
        <v>1168</v>
      </c>
      <c r="F2584" s="2" t="s">
        <v>11372</v>
      </c>
      <c r="G2584" s="2" t="s">
        <v>11372</v>
      </c>
      <c r="H2584" s="2" t="s">
        <v>11372</v>
      </c>
      <c r="I2584" s="2" t="s">
        <v>11373</v>
      </c>
      <c r="J2584" s="2" t="s">
        <v>892</v>
      </c>
      <c r="K2584" s="2" t="s">
        <v>255</v>
      </c>
      <c r="L2584" s="3">
        <v>53</v>
      </c>
      <c r="M2584" s="3">
        <v>55.65</v>
      </c>
      <c r="N2584" s="3">
        <v>109.99</v>
      </c>
      <c r="O2584" s="2" t="s">
        <v>245</v>
      </c>
      <c r="P2584" s="2" t="s">
        <v>238</v>
      </c>
      <c r="Q2584" s="2" t="s">
        <v>239</v>
      </c>
      <c r="R2584" s="2" t="s">
        <v>233</v>
      </c>
      <c r="S2584" s="2" t="s">
        <v>233</v>
      </c>
      <c r="T2584" s="2" t="s">
        <v>233</v>
      </c>
      <c r="U2584" s="2" t="s">
        <v>396</v>
      </c>
      <c r="V2584" s="2" t="s">
        <v>893</v>
      </c>
      <c r="W2584" s="2" t="s">
        <v>451</v>
      </c>
      <c r="X2584" s="2" t="s">
        <v>705</v>
      </c>
      <c r="Y2584" s="2" t="s">
        <v>233</v>
      </c>
      <c r="Z2584" s="4"/>
      <c r="AA2584" s="4">
        <f>=ROUNDDOWN({0},0)</f>
      </c>
      <c r="AB2584" s="5">
        <v>1</v>
      </c>
      <c r="AC2584" s="2" t="s">
        <v>1172</v>
      </c>
      <c r="AD2584" s="4">
        <v>100</v>
      </c>
      <c r="AE2584" s="4">
        <v>120</v>
      </c>
      <c r="AF2584" s="6">
        <v>65</v>
      </c>
      <c r="AG2584" s="6"/>
      <c r="AH2584" s="7">
        <v>0</v>
      </c>
      <c r="AI2584" s="4"/>
      <c r="AJ2584" s="4">
        <f>=ROUNDDOWN({0},0)</f>
      </c>
      <c r="AK2584" s="5"/>
      <c r="AL2584" s="2" t="s">
        <v>233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 t="s">
        <v>233</v>
      </c>
      <c r="BD2584" s="8" t="s">
        <v>233</v>
      </c>
      <c r="BE2584" s="4" t="s">
        <v>233</v>
      </c>
      <c r="BF2584" s="8" t="s">
        <v>233</v>
      </c>
      <c r="BG2584" s="7" t="s">
        <v>233</v>
      </c>
      <c r="BH2584" s="7" t="s">
        <v>233</v>
      </c>
      <c r="BI2584" s="7"/>
      <c r="BJ2584" s="4"/>
      <c r="BK2584" s="8"/>
      <c r="BL2584" s="2" t="s">
        <v>233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243</v>
      </c>
      <c r="BV2584" s="2" t="s">
        <v>233</v>
      </c>
      <c r="BW2584" s="2" t="s">
        <v>233</v>
      </c>
      <c r="BX2584" s="2" t="s">
        <v>243</v>
      </c>
      <c r="BY2584" s="2" t="s">
        <v>244</v>
      </c>
      <c r="BZ2584" s="2" t="s">
        <v>245</v>
      </c>
      <c r="CA2584" s="2" t="s">
        <v>233</v>
      </c>
      <c r="CB2584" s="2" t="s">
        <v>233</v>
      </c>
      <c r="CC2584" s="2" t="s">
        <v>246</v>
      </c>
      <c r="CD2584" s="2" t="s">
        <v>233</v>
      </c>
      <c r="CE2584" s="4"/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/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  <c r="DL2584" s="4"/>
      <c r="DM2584" s="4"/>
      <c r="DN2584" s="4"/>
      <c r="DO2584" s="4"/>
      <c r="DP2584" s="4">
        <v>100</v>
      </c>
      <c r="DQ2584" s="4"/>
      <c r="DR2584" s="4"/>
      <c r="DS2584" s="4"/>
      <c r="DT2584" s="4"/>
      <c r="DU2584" s="4"/>
      <c r="DV2584" s="4"/>
      <c r="DW2584" s="4"/>
      <c r="DX2584" s="4"/>
      <c r="DY2584" s="4"/>
      <c r="DZ2584" s="4"/>
      <c r="EA2584" s="4"/>
      <c r="EB2584" s="4"/>
      <c r="EC2584" s="4"/>
      <c r="ED2584" s="4"/>
      <c r="EE2584" s="4"/>
      <c r="EF2584" s="4"/>
      <c r="EG2584" s="4"/>
      <c r="EH2584" s="4"/>
      <c r="EI2584" s="4"/>
      <c r="EJ2584" s="4"/>
      <c r="EK2584" s="4"/>
      <c r="EL2584" s="4"/>
      <c r="EM2584" s="4"/>
      <c r="EN2584" s="4"/>
      <c r="EO2584" s="4"/>
      <c r="EP2584" s="4"/>
      <c r="EQ2584" s="4"/>
      <c r="ER2584" s="4"/>
      <c r="ES2584" s="4">
        <v>20</v>
      </c>
      <c r="ET2584" s="4"/>
      <c r="EU2584" s="4"/>
      <c r="EV2584" s="4"/>
      <c r="EW2584" s="4"/>
      <c r="EX2584" s="4"/>
      <c r="EY2584" s="4"/>
      <c r="EZ2584" s="4"/>
      <c r="FA2584" s="4"/>
      <c r="FB2584" s="4"/>
      <c r="FC2584" s="4"/>
      <c r="FD2584" s="4"/>
      <c r="FE2584" s="4"/>
      <c r="FF2584" s="4"/>
      <c r="FG2584" s="4"/>
      <c r="FH2584" s="4"/>
      <c r="FI2584" s="4"/>
      <c r="FJ2584" s="4"/>
      <c r="FK2584" s="4"/>
      <c r="FL2584" s="4"/>
      <c r="FM2584" s="4"/>
      <c r="FN2584" s="4"/>
      <c r="FO2584" s="4"/>
      <c r="FP2584" s="4"/>
      <c r="FQ2584" s="4"/>
      <c r="FR2584" s="4"/>
      <c r="FS2584" s="4"/>
      <c r="FT2584" s="4"/>
      <c r="FU2584" s="4"/>
      <c r="FV2584" s="4"/>
      <c r="FW2584" s="4"/>
      <c r="FX2584" s="4"/>
      <c r="FY2584" s="4"/>
      <c r="FZ2584" s="4"/>
      <c r="GA2584" s="4"/>
      <c r="GB2584" s="4"/>
      <c r="GC2584" s="4"/>
      <c r="GD2584" s="4"/>
      <c r="GE2584" s="4"/>
      <c r="GF2584" s="4"/>
      <c r="GG2584" s="4"/>
      <c r="GH2584" s="4"/>
      <c r="GI2584" s="4"/>
      <c r="GJ2584" s="4"/>
      <c r="GK2584" s="4"/>
      <c r="GL2584" s="4"/>
      <c r="GM2584" s="4"/>
      <c r="GN2584" s="4"/>
      <c r="GO2584" s="4"/>
      <c r="GP2584" s="4"/>
      <c r="GQ2584" s="4"/>
      <c r="GR2584" s="4"/>
      <c r="GS2584" s="4"/>
      <c r="GT2584" s="4"/>
      <c r="GU2584" s="4"/>
      <c r="GV2584" s="4"/>
      <c r="GW2584" s="4"/>
      <c r="GX2584" s="4"/>
      <c r="GY2584" s="4"/>
      <c r="GZ2584" s="4"/>
      <c r="HA2584" s="4"/>
      <c r="HB2584" s="4"/>
      <c r="HC2584" s="4"/>
      <c r="HD2584" s="4"/>
      <c r="HE2584" s="4"/>
      <c r="HF2584" s="4"/>
      <c r="HG2584" s="4"/>
      <c r="HH2584" s="4"/>
      <c r="HI2584" s="4"/>
      <c r="HJ2584" s="4"/>
      <c r="HK2584" s="4"/>
      <c r="HL2584" s="4"/>
      <c r="HM2584" s="4"/>
      <c r="HN2584" s="4"/>
      <c r="HO2584" s="4"/>
      <c r="HP2584" s="4"/>
      <c r="HQ2584" s="4"/>
      <c r="HR2584" s="4"/>
    </row>
    <row r="2585">
      <c r="A2585" s="2" t="s">
        <v>11376</v>
      </c>
      <c r="B2585" s="2" t="s">
        <v>886</v>
      </c>
      <c r="C2585" s="2" t="s">
        <v>901</v>
      </c>
      <c r="D2585" s="2" t="s">
        <v>1167</v>
      </c>
      <c r="E2585" s="2" t="s">
        <v>1168</v>
      </c>
      <c r="F2585" s="2" t="s">
        <v>11377</v>
      </c>
      <c r="G2585" s="2" t="s">
        <v>11377</v>
      </c>
      <c r="H2585" s="2" t="s">
        <v>11377</v>
      </c>
      <c r="I2585" s="2" t="s">
        <v>11378</v>
      </c>
      <c r="J2585" s="2" t="s">
        <v>892</v>
      </c>
      <c r="K2585" s="2" t="s">
        <v>255</v>
      </c>
      <c r="L2585" s="3">
        <v>38.4</v>
      </c>
      <c r="M2585" s="3">
        <v>40.32</v>
      </c>
      <c r="N2585" s="3">
        <v>79.99</v>
      </c>
      <c r="O2585" s="2" t="s">
        <v>245</v>
      </c>
      <c r="P2585" s="2" t="s">
        <v>238</v>
      </c>
      <c r="Q2585" s="2" t="s">
        <v>239</v>
      </c>
      <c r="R2585" s="2" t="s">
        <v>233</v>
      </c>
      <c r="S2585" s="2" t="s">
        <v>233</v>
      </c>
      <c r="T2585" s="2" t="s">
        <v>233</v>
      </c>
      <c r="U2585" s="2" t="s">
        <v>396</v>
      </c>
      <c r="V2585" s="2" t="s">
        <v>893</v>
      </c>
      <c r="W2585" s="2" t="s">
        <v>1700</v>
      </c>
      <c r="X2585" s="2" t="s">
        <v>397</v>
      </c>
      <c r="Y2585" s="2" t="s">
        <v>233</v>
      </c>
      <c r="Z2585" s="4"/>
      <c r="AA2585" s="4">
        <f>=ROUNDDOWN({0},0)</f>
      </c>
      <c r="AB2585" s="5"/>
      <c r="AC2585" s="2" t="s">
        <v>2562</v>
      </c>
      <c r="AD2585" s="4">
        <v>100</v>
      </c>
      <c r="AE2585" s="4">
        <v>100</v>
      </c>
      <c r="AF2585" s="6">
        <v>65</v>
      </c>
      <c r="AG2585" s="6"/>
      <c r="AH2585" s="7">
        <v>0</v>
      </c>
      <c r="AI2585" s="4"/>
      <c r="AJ2585" s="4">
        <f>=ROUNDDOWN({0},0)</f>
      </c>
      <c r="AK2585" s="5"/>
      <c r="AL2585" s="2" t="s">
        <v>233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/>
      <c r="AW2585" s="8"/>
      <c r="AX2585" s="4"/>
      <c r="AY2585" s="8"/>
      <c r="AZ2585" s="7"/>
      <c r="BA2585" s="7"/>
      <c r="BB2585" s="7"/>
      <c r="BC2585" s="4"/>
      <c r="BD2585" s="8"/>
      <c r="BE2585" s="4"/>
      <c r="BF2585" s="8"/>
      <c r="BG2585" s="7"/>
      <c r="BH2585" s="7"/>
      <c r="BI2585" s="7"/>
      <c r="BJ2585" s="4"/>
      <c r="BK2585" s="8"/>
      <c r="BL2585" s="2" t="s">
        <v>233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243</v>
      </c>
      <c r="BV2585" s="2" t="s">
        <v>233</v>
      </c>
      <c r="BW2585" s="2" t="s">
        <v>233</v>
      </c>
      <c r="BX2585" s="2" t="s">
        <v>243</v>
      </c>
      <c r="BY2585" s="2" t="s">
        <v>244</v>
      </c>
      <c r="BZ2585" s="2" t="s">
        <v>245</v>
      </c>
      <c r="CA2585" s="2" t="s">
        <v>233</v>
      </c>
      <c r="CB2585" s="2" t="s">
        <v>233</v>
      </c>
      <c r="CC2585" s="2" t="s">
        <v>246</v>
      </c>
      <c r="CD2585" s="2" t="s">
        <v>233</v>
      </c>
      <c r="CE2585" s="4"/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>
        <v>100</v>
      </c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  <c r="DP2585" s="4"/>
      <c r="DQ2585" s="4"/>
      <c r="DR2585" s="4"/>
      <c r="DS2585" s="4"/>
      <c r="DT2585" s="4"/>
      <c r="DU2585" s="4"/>
      <c r="DV2585" s="4"/>
      <c r="DW2585" s="4"/>
      <c r="DX2585" s="4"/>
      <c r="DY2585" s="4"/>
      <c r="DZ2585" s="4"/>
      <c r="EA2585" s="4"/>
      <c r="EB2585" s="4"/>
      <c r="EC2585" s="4"/>
      <c r="ED2585" s="4"/>
      <c r="EE2585" s="4"/>
      <c r="EF2585" s="4"/>
      <c r="EG2585" s="4"/>
      <c r="EH2585" s="4"/>
      <c r="EI2585" s="4"/>
      <c r="EJ2585" s="4"/>
      <c r="EK2585" s="4"/>
      <c r="EL2585" s="4"/>
      <c r="EM2585" s="4"/>
      <c r="EN2585" s="4"/>
      <c r="EO2585" s="4"/>
      <c r="EP2585" s="4"/>
      <c r="EQ2585" s="4"/>
      <c r="ER2585" s="4"/>
      <c r="ES2585" s="4"/>
      <c r="ET2585" s="4"/>
      <c r="EU2585" s="4"/>
      <c r="EV2585" s="4"/>
      <c r="EW2585" s="4"/>
      <c r="EX2585" s="4"/>
      <c r="EY2585" s="4"/>
      <c r="EZ2585" s="4"/>
      <c r="FA2585" s="4"/>
      <c r="FB2585" s="4"/>
      <c r="FC2585" s="4"/>
      <c r="FD2585" s="4"/>
      <c r="FE2585" s="4"/>
      <c r="FF2585" s="4"/>
      <c r="FG2585" s="4"/>
      <c r="FH2585" s="4"/>
      <c r="FI2585" s="4"/>
      <c r="FJ2585" s="4"/>
      <c r="FK2585" s="4"/>
      <c r="FL2585" s="4"/>
      <c r="FM2585" s="4"/>
      <c r="FN2585" s="4"/>
      <c r="FO2585" s="4"/>
      <c r="FP2585" s="4"/>
      <c r="FQ2585" s="4"/>
      <c r="FR2585" s="4"/>
      <c r="FS2585" s="4"/>
      <c r="FT2585" s="4"/>
      <c r="FU2585" s="4"/>
      <c r="FV2585" s="4"/>
      <c r="FW2585" s="4"/>
      <c r="FX2585" s="4"/>
      <c r="FY2585" s="4"/>
      <c r="FZ2585" s="4"/>
      <c r="GA2585" s="4"/>
      <c r="GB2585" s="4"/>
      <c r="GC2585" s="4"/>
      <c r="GD2585" s="4"/>
      <c r="GE2585" s="4"/>
      <c r="GF2585" s="4"/>
      <c r="GG2585" s="4"/>
      <c r="GH2585" s="4"/>
      <c r="GI2585" s="4"/>
      <c r="GJ2585" s="4"/>
      <c r="GK2585" s="4"/>
      <c r="GL2585" s="4"/>
      <c r="GM2585" s="4"/>
      <c r="GN2585" s="4"/>
      <c r="GO2585" s="4"/>
      <c r="GP2585" s="4"/>
      <c r="GQ2585" s="4"/>
      <c r="GR2585" s="4"/>
      <c r="GS2585" s="4"/>
      <c r="GT2585" s="4"/>
      <c r="GU2585" s="4"/>
      <c r="GV2585" s="4"/>
      <c r="GW2585" s="4"/>
      <c r="GX2585" s="4"/>
      <c r="GY2585" s="4"/>
      <c r="GZ2585" s="4"/>
      <c r="HA2585" s="4"/>
      <c r="HB2585" s="4"/>
      <c r="HC2585" s="4"/>
      <c r="HD2585" s="4"/>
      <c r="HE2585" s="4"/>
      <c r="HF2585" s="4"/>
      <c r="HG2585" s="4"/>
      <c r="HH2585" s="4"/>
      <c r="HI2585" s="4"/>
      <c r="HJ2585" s="4"/>
      <c r="HK2585" s="4"/>
      <c r="HL2585" s="4"/>
      <c r="HM2585" s="4"/>
      <c r="HN2585" s="4"/>
      <c r="HO2585" s="4"/>
      <c r="HP2585" s="4"/>
      <c r="HQ2585" s="4"/>
      <c r="HR2585" s="4"/>
    </row>
    <row r="2586">
      <c r="A2586" s="2" t="s">
        <v>11379</v>
      </c>
      <c r="B2586" s="2" t="s">
        <v>1242</v>
      </c>
      <c r="C2586" s="2" t="s">
        <v>530</v>
      </c>
      <c r="D2586" s="2" t="s">
        <v>969</v>
      </c>
      <c r="E2586" s="2" t="s">
        <v>1078</v>
      </c>
      <c r="F2586" s="2" t="s">
        <v>11380</v>
      </c>
      <c r="G2586" s="2" t="s">
        <v>11381</v>
      </c>
      <c r="H2586" s="2" t="s">
        <v>11382</v>
      </c>
      <c r="I2586" s="2" t="s">
        <v>11383</v>
      </c>
      <c r="J2586" s="2" t="s">
        <v>981</v>
      </c>
      <c r="K2586" s="2" t="s">
        <v>11384</v>
      </c>
      <c r="L2586" s="3">
        <v>52.8</v>
      </c>
      <c r="M2586" s="3">
        <v>55.43</v>
      </c>
      <c r="N2586" s="3">
        <v>109.99</v>
      </c>
      <c r="O2586" s="2" t="s">
        <v>245</v>
      </c>
      <c r="P2586" s="2" t="s">
        <v>238</v>
      </c>
      <c r="Q2586" s="2" t="s">
        <v>239</v>
      </c>
      <c r="R2586" s="2" t="s">
        <v>233</v>
      </c>
      <c r="S2586" s="2" t="s">
        <v>11385</v>
      </c>
      <c r="T2586" s="2" t="s">
        <v>395</v>
      </c>
      <c r="U2586" s="2" t="s">
        <v>1507</v>
      </c>
      <c r="V2586" s="2" t="s">
        <v>1272</v>
      </c>
      <c r="W2586" s="2" t="s">
        <v>977</v>
      </c>
      <c r="X2586" s="2" t="s">
        <v>11386</v>
      </c>
      <c r="Y2586" s="2" t="s">
        <v>2562</v>
      </c>
      <c r="Z2586" s="4">
        <v>330</v>
      </c>
      <c r="AA2586" s="4">
        <f>=ROUNDDOWN({0},0)</f>
      </c>
      <c r="AB2586" s="5"/>
      <c r="AC2586" s="2" t="s">
        <v>547</v>
      </c>
      <c r="AD2586" s="4">
        <v>319</v>
      </c>
      <c r="AE2586" s="4">
        <v>319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233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233</v>
      </c>
      <c r="AW2586" s="8" t="s">
        <v>233</v>
      </c>
      <c r="AX2586" s="4" t="s">
        <v>233</v>
      </c>
      <c r="AY2586" s="8" t="s">
        <v>233</v>
      </c>
      <c r="AZ2586" s="7" t="s">
        <v>233</v>
      </c>
      <c r="BA2586" s="7" t="s">
        <v>233</v>
      </c>
      <c r="BB2586" s="7"/>
      <c r="BC2586" s="4" t="s">
        <v>233</v>
      </c>
      <c r="BD2586" s="8" t="s">
        <v>233</v>
      </c>
      <c r="BE2586" s="4" t="s">
        <v>233</v>
      </c>
      <c r="BF2586" s="8" t="s">
        <v>233</v>
      </c>
      <c r="BG2586" s="7" t="s">
        <v>233</v>
      </c>
      <c r="BH2586" s="7" t="s">
        <v>233</v>
      </c>
      <c r="BI2586" s="7"/>
      <c r="BJ2586" s="4"/>
      <c r="BK2586" s="8"/>
      <c r="BL2586" s="2" t="s">
        <v>233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11387</v>
      </c>
      <c r="BV2586" s="2" t="s">
        <v>233</v>
      </c>
      <c r="BW2586" s="2" t="s">
        <v>233</v>
      </c>
      <c r="BX2586" s="2" t="s">
        <v>243</v>
      </c>
      <c r="BY2586" s="2" t="s">
        <v>280</v>
      </c>
      <c r="BZ2586" s="2" t="s">
        <v>245</v>
      </c>
      <c r="CA2586" s="2" t="s">
        <v>5331</v>
      </c>
      <c r="CB2586" s="2" t="s">
        <v>233</v>
      </c>
      <c r="CC2586" s="2" t="s">
        <v>246</v>
      </c>
      <c r="CD2586" s="2" t="s">
        <v>233</v>
      </c>
      <c r="CE2586" s="4">
        <v>330</v>
      </c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/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  <c r="DL2586" s="4"/>
      <c r="DM2586" s="4"/>
      <c r="DN2586" s="4"/>
      <c r="DO2586" s="4"/>
      <c r="DP2586" s="4"/>
      <c r="DQ2586" s="4"/>
      <c r="DR2586" s="4"/>
      <c r="DS2586" s="4"/>
      <c r="DT2586" s="4"/>
      <c r="DU2586" s="4"/>
      <c r="DV2586" s="4"/>
      <c r="DW2586" s="4"/>
      <c r="DX2586" s="4"/>
      <c r="DY2586" s="4"/>
      <c r="DZ2586" s="4"/>
      <c r="EA2586" s="4"/>
      <c r="EB2586" s="4"/>
      <c r="EC2586" s="4"/>
      <c r="ED2586" s="4"/>
      <c r="EE2586" s="4"/>
      <c r="EF2586" s="4"/>
      <c r="EG2586" s="4"/>
      <c r="EH2586" s="4"/>
      <c r="EI2586" s="4"/>
      <c r="EJ2586" s="4"/>
      <c r="EK2586" s="4"/>
      <c r="EL2586" s="4"/>
      <c r="EM2586" s="4"/>
      <c r="EN2586" s="4"/>
      <c r="EO2586" s="4"/>
      <c r="EP2586" s="4"/>
      <c r="EQ2586" s="4"/>
      <c r="ER2586" s="4"/>
      <c r="ES2586" s="4"/>
      <c r="ET2586" s="4"/>
      <c r="EU2586" s="4">
        <v>319</v>
      </c>
      <c r="EV2586" s="4"/>
      <c r="EW2586" s="4"/>
      <c r="EX2586" s="4"/>
      <c r="EY2586" s="4"/>
      <c r="EZ2586" s="4"/>
      <c r="FA2586" s="4"/>
      <c r="FB2586" s="4"/>
      <c r="FC2586" s="4"/>
      <c r="FD2586" s="4"/>
      <c r="FE2586" s="4"/>
      <c r="FF2586" s="4"/>
      <c r="FG2586" s="4"/>
      <c r="FH2586" s="4"/>
      <c r="FI2586" s="4"/>
      <c r="FJ2586" s="4"/>
      <c r="FK2586" s="4"/>
      <c r="FL2586" s="4"/>
      <c r="FM2586" s="4"/>
      <c r="FN2586" s="4"/>
      <c r="FO2586" s="4"/>
      <c r="FP2586" s="4"/>
      <c r="FQ2586" s="4"/>
      <c r="FR2586" s="4"/>
      <c r="FS2586" s="4"/>
      <c r="FT2586" s="4"/>
      <c r="FU2586" s="4"/>
      <c r="FV2586" s="4"/>
      <c r="FW2586" s="4"/>
      <c r="FX2586" s="4"/>
      <c r="FY2586" s="4"/>
      <c r="FZ2586" s="4"/>
      <c r="GA2586" s="4"/>
      <c r="GB2586" s="4"/>
      <c r="GC2586" s="4"/>
      <c r="GD2586" s="4"/>
      <c r="GE2586" s="4"/>
      <c r="GF2586" s="4"/>
      <c r="GG2586" s="4"/>
      <c r="GH2586" s="4"/>
      <c r="GI2586" s="4"/>
      <c r="GJ2586" s="4"/>
      <c r="GK2586" s="4"/>
      <c r="GL2586" s="4"/>
      <c r="GM2586" s="4"/>
      <c r="GN2586" s="4"/>
      <c r="GO2586" s="4"/>
      <c r="GP2586" s="4"/>
      <c r="GQ2586" s="4"/>
      <c r="GR2586" s="4"/>
      <c r="GS2586" s="4"/>
      <c r="GT2586" s="4"/>
      <c r="GU2586" s="4"/>
      <c r="GV2586" s="4"/>
      <c r="GW2586" s="4"/>
      <c r="GX2586" s="4"/>
      <c r="GY2586" s="4"/>
      <c r="GZ2586" s="4"/>
      <c r="HA2586" s="4"/>
      <c r="HB2586" s="4"/>
      <c r="HC2586" s="4"/>
      <c r="HD2586" s="4"/>
      <c r="HE2586" s="4"/>
      <c r="HF2586" s="4"/>
      <c r="HG2586" s="4"/>
      <c r="HH2586" s="4"/>
      <c r="HI2586" s="4"/>
      <c r="HJ2586" s="4"/>
      <c r="HK2586" s="4"/>
      <c r="HL2586" s="4"/>
      <c r="HM2586" s="4"/>
      <c r="HN2586" s="4"/>
      <c r="HO2586" s="4"/>
      <c r="HP2586" s="4"/>
      <c r="HQ2586" s="4"/>
      <c r="HR2586" s="4"/>
    </row>
    <row r="2587">
      <c r="A2587" s="2" t="s">
        <v>11388</v>
      </c>
      <c r="B2587" s="2" t="s">
        <v>1242</v>
      </c>
      <c r="C2587" s="2" t="s">
        <v>530</v>
      </c>
      <c r="D2587" s="2" t="s">
        <v>969</v>
      </c>
      <c r="E2587" s="2" t="s">
        <v>1078</v>
      </c>
      <c r="F2587" s="2" t="s">
        <v>11380</v>
      </c>
      <c r="G2587" s="2" t="s">
        <v>11381</v>
      </c>
      <c r="H2587" s="2" t="s">
        <v>11382</v>
      </c>
      <c r="I2587" s="2" t="s">
        <v>11383</v>
      </c>
      <c r="J2587" s="2" t="s">
        <v>1142</v>
      </c>
      <c r="K2587" s="2" t="s">
        <v>11384</v>
      </c>
      <c r="L2587" s="3">
        <v>63.7</v>
      </c>
      <c r="M2587" s="3">
        <v>66.88</v>
      </c>
      <c r="N2587" s="3">
        <v>129.99</v>
      </c>
      <c r="O2587" s="2" t="s">
        <v>245</v>
      </c>
      <c r="P2587" s="2" t="s">
        <v>238</v>
      </c>
      <c r="Q2587" s="2" t="s">
        <v>239</v>
      </c>
      <c r="R2587" s="2" t="s">
        <v>233</v>
      </c>
      <c r="S2587" s="2" t="s">
        <v>11385</v>
      </c>
      <c r="T2587" s="2" t="s">
        <v>395</v>
      </c>
      <c r="U2587" s="2" t="s">
        <v>1507</v>
      </c>
      <c r="V2587" s="2" t="s">
        <v>1272</v>
      </c>
      <c r="W2587" s="2" t="s">
        <v>977</v>
      </c>
      <c r="X2587" s="2" t="s">
        <v>11386</v>
      </c>
      <c r="Y2587" s="2" t="s">
        <v>2562</v>
      </c>
      <c r="Z2587" s="4">
        <v>245</v>
      </c>
      <c r="AA2587" s="4">
        <f>=ROUNDDOWN({0},0)</f>
      </c>
      <c r="AB2587" s="5"/>
      <c r="AC2587" s="2" t="s">
        <v>547</v>
      </c>
      <c r="AD2587" s="4">
        <v>238</v>
      </c>
      <c r="AE2587" s="4">
        <v>238</v>
      </c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233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233</v>
      </c>
      <c r="AW2587" s="8" t="s">
        <v>233</v>
      </c>
      <c r="AX2587" s="4" t="s">
        <v>233</v>
      </c>
      <c r="AY2587" s="8" t="s">
        <v>233</v>
      </c>
      <c r="AZ2587" s="7" t="s">
        <v>233</v>
      </c>
      <c r="BA2587" s="7" t="s">
        <v>233</v>
      </c>
      <c r="BB2587" s="7"/>
      <c r="BC2587" s="4" t="s">
        <v>233</v>
      </c>
      <c r="BD2587" s="8" t="s">
        <v>233</v>
      </c>
      <c r="BE2587" s="4" t="s">
        <v>233</v>
      </c>
      <c r="BF2587" s="8" t="s">
        <v>233</v>
      </c>
      <c r="BG2587" s="7" t="s">
        <v>233</v>
      </c>
      <c r="BH2587" s="7" t="s">
        <v>233</v>
      </c>
      <c r="BI2587" s="7"/>
      <c r="BJ2587" s="4"/>
      <c r="BK2587" s="8"/>
      <c r="BL2587" s="2" t="s">
        <v>233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11389</v>
      </c>
      <c r="BV2587" s="2" t="s">
        <v>233</v>
      </c>
      <c r="BW2587" s="2" t="s">
        <v>233</v>
      </c>
      <c r="BX2587" s="2" t="s">
        <v>243</v>
      </c>
      <c r="BY2587" s="2" t="s">
        <v>280</v>
      </c>
      <c r="BZ2587" s="2" t="s">
        <v>245</v>
      </c>
      <c r="CA2587" s="2" t="s">
        <v>5331</v>
      </c>
      <c r="CB2587" s="2" t="s">
        <v>233</v>
      </c>
      <c r="CC2587" s="2" t="s">
        <v>246</v>
      </c>
      <c r="CD2587" s="2" t="s">
        <v>233</v>
      </c>
      <c r="CE2587" s="4">
        <v>245</v>
      </c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/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  <c r="DL2587" s="4"/>
      <c r="DM2587" s="4"/>
      <c r="DN2587" s="4"/>
      <c r="DO2587" s="4"/>
      <c r="DP2587" s="4"/>
      <c r="DQ2587" s="4"/>
      <c r="DR2587" s="4"/>
      <c r="DS2587" s="4"/>
      <c r="DT2587" s="4"/>
      <c r="DU2587" s="4"/>
      <c r="DV2587" s="4"/>
      <c r="DW2587" s="4"/>
      <c r="DX2587" s="4"/>
      <c r="DY2587" s="4"/>
      <c r="DZ2587" s="4"/>
      <c r="EA2587" s="4"/>
      <c r="EB2587" s="4"/>
      <c r="EC2587" s="4"/>
      <c r="ED2587" s="4"/>
      <c r="EE2587" s="4"/>
      <c r="EF2587" s="4"/>
      <c r="EG2587" s="4"/>
      <c r="EH2587" s="4"/>
      <c r="EI2587" s="4"/>
      <c r="EJ2587" s="4"/>
      <c r="EK2587" s="4"/>
      <c r="EL2587" s="4"/>
      <c r="EM2587" s="4"/>
      <c r="EN2587" s="4"/>
      <c r="EO2587" s="4"/>
      <c r="EP2587" s="4"/>
      <c r="EQ2587" s="4"/>
      <c r="ER2587" s="4"/>
      <c r="ES2587" s="4"/>
      <c r="ET2587" s="4"/>
      <c r="EU2587" s="4">
        <v>238</v>
      </c>
      <c r="EV2587" s="4"/>
      <c r="EW2587" s="4"/>
      <c r="EX2587" s="4"/>
      <c r="EY2587" s="4"/>
      <c r="EZ2587" s="4"/>
      <c r="FA2587" s="4"/>
      <c r="FB2587" s="4"/>
      <c r="FC2587" s="4"/>
      <c r="FD2587" s="4"/>
      <c r="FE2587" s="4"/>
      <c r="FF2587" s="4"/>
      <c r="FG2587" s="4"/>
      <c r="FH2587" s="4"/>
      <c r="FI2587" s="4"/>
      <c r="FJ2587" s="4"/>
      <c r="FK2587" s="4"/>
      <c r="FL2587" s="4"/>
      <c r="FM2587" s="4"/>
      <c r="FN2587" s="4"/>
      <c r="FO2587" s="4"/>
      <c r="FP2587" s="4"/>
      <c r="FQ2587" s="4"/>
      <c r="FR2587" s="4"/>
      <c r="FS2587" s="4"/>
      <c r="FT2587" s="4"/>
      <c r="FU2587" s="4"/>
      <c r="FV2587" s="4"/>
      <c r="FW2587" s="4"/>
      <c r="FX2587" s="4"/>
      <c r="FY2587" s="4"/>
      <c r="FZ2587" s="4"/>
      <c r="GA2587" s="4"/>
      <c r="GB2587" s="4"/>
      <c r="GC2587" s="4"/>
      <c r="GD2587" s="4"/>
      <c r="GE2587" s="4"/>
      <c r="GF2587" s="4"/>
      <c r="GG2587" s="4"/>
      <c r="GH2587" s="4"/>
      <c r="GI2587" s="4"/>
      <c r="GJ2587" s="4"/>
      <c r="GK2587" s="4"/>
      <c r="GL2587" s="4"/>
      <c r="GM2587" s="4"/>
      <c r="GN2587" s="4"/>
      <c r="GO2587" s="4"/>
      <c r="GP2587" s="4"/>
      <c r="GQ2587" s="4"/>
      <c r="GR2587" s="4"/>
      <c r="GS2587" s="4"/>
      <c r="GT2587" s="4"/>
      <c r="GU2587" s="4"/>
      <c r="GV2587" s="4"/>
      <c r="GW2587" s="4"/>
      <c r="GX2587" s="4"/>
      <c r="GY2587" s="4"/>
      <c r="GZ2587" s="4"/>
      <c r="HA2587" s="4"/>
      <c r="HB2587" s="4"/>
      <c r="HC2587" s="4"/>
      <c r="HD2587" s="4"/>
      <c r="HE2587" s="4"/>
      <c r="HF2587" s="4"/>
      <c r="HG2587" s="4"/>
      <c r="HH2587" s="4"/>
      <c r="HI2587" s="4"/>
      <c r="HJ2587" s="4"/>
      <c r="HK2587" s="4"/>
      <c r="HL2587" s="4"/>
      <c r="HM2587" s="4"/>
      <c r="HN2587" s="4"/>
      <c r="HO2587" s="4"/>
      <c r="HP2587" s="4"/>
      <c r="HQ2587" s="4"/>
      <c r="HR2587" s="4"/>
    </row>
    <row r="2588">
      <c r="A2588" s="2" t="s">
        <v>11390</v>
      </c>
      <c r="B2588" s="2" t="s">
        <v>1066</v>
      </c>
      <c r="C2588" s="2" t="s">
        <v>1157</v>
      </c>
      <c r="D2588" s="2" t="s">
        <v>1713</v>
      </c>
      <c r="E2588" s="2" t="s">
        <v>1714</v>
      </c>
      <c r="F2588" s="2" t="s">
        <v>11391</v>
      </c>
      <c r="G2588" s="2" t="s">
        <v>11391</v>
      </c>
      <c r="H2588" s="2" t="s">
        <v>11391</v>
      </c>
      <c r="I2588" s="2" t="s">
        <v>11392</v>
      </c>
      <c r="J2588" s="2" t="s">
        <v>892</v>
      </c>
      <c r="K2588" s="2" t="s">
        <v>236</v>
      </c>
      <c r="L2588" s="3">
        <v>84.39</v>
      </c>
      <c r="M2588" s="3">
        <v>88.61</v>
      </c>
      <c r="N2588" s="3">
        <v>169.99</v>
      </c>
      <c r="O2588" s="2" t="s">
        <v>237</v>
      </c>
      <c r="P2588" s="2" t="s">
        <v>311</v>
      </c>
      <c r="Q2588" s="2" t="s">
        <v>239</v>
      </c>
      <c r="R2588" s="2" t="s">
        <v>233</v>
      </c>
      <c r="S2588" s="2" t="s">
        <v>233</v>
      </c>
      <c r="T2588" s="2" t="s">
        <v>233</v>
      </c>
      <c r="U2588" s="2" t="s">
        <v>396</v>
      </c>
      <c r="V2588" s="2" t="s">
        <v>893</v>
      </c>
      <c r="W2588" s="2" t="s">
        <v>451</v>
      </c>
      <c r="X2588" s="2" t="s">
        <v>233</v>
      </c>
      <c r="Y2588" s="2" t="s">
        <v>6754</v>
      </c>
      <c r="Z2588" s="4">
        <v>13</v>
      </c>
      <c r="AA2588" s="4">
        <f>=ROUNDDOWN(3.25,0)</f>
      </c>
      <c r="AB2588" s="5">
        <v>4</v>
      </c>
      <c r="AC2588" s="2" t="s">
        <v>233</v>
      </c>
      <c r="AD2588" s="4"/>
      <c r="AE2588" s="4"/>
      <c r="AF2588" s="6">
        <v>75</v>
      </c>
      <c r="AG2588" s="6"/>
      <c r="AH2588" s="7">
        <v>1</v>
      </c>
      <c r="AI2588" s="4"/>
      <c r="AJ2588" s="4">
        <f>=ROUNDDOWN({0},0)</f>
      </c>
      <c r="AK2588" s="5"/>
      <c r="AL2588" s="2" t="s">
        <v>233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/>
      <c r="BD2588" s="8"/>
      <c r="BE2588" s="4"/>
      <c r="BF2588" s="8"/>
      <c r="BG2588" s="7"/>
      <c r="BH2588" s="7"/>
      <c r="BI2588" s="7"/>
      <c r="BJ2588" s="4">
        <v>14</v>
      </c>
      <c r="BK2588" s="8">
        <v>1311.7</v>
      </c>
      <c r="BL2588" s="2" t="s">
        <v>11393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11394</v>
      </c>
      <c r="BV2588" s="2" t="s">
        <v>233</v>
      </c>
      <c r="BW2588" s="2" t="s">
        <v>233</v>
      </c>
      <c r="BX2588" s="2" t="s">
        <v>243</v>
      </c>
      <c r="BY2588" s="2" t="s">
        <v>280</v>
      </c>
      <c r="BZ2588" s="2" t="s">
        <v>245</v>
      </c>
      <c r="CA2588" s="2" t="s">
        <v>6319</v>
      </c>
      <c r="CB2588" s="2" t="s">
        <v>3691</v>
      </c>
      <c r="CC2588" s="2" t="s">
        <v>246</v>
      </c>
      <c r="CD2588" s="2" t="s">
        <v>233</v>
      </c>
      <c r="CE2588" s="4"/>
      <c r="CF2588" s="4">
        <v>13</v>
      </c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/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  <c r="DL2588" s="4"/>
      <c r="DM2588" s="4"/>
      <c r="DN2588" s="4"/>
      <c r="DO2588" s="4"/>
      <c r="DP2588" s="4"/>
      <c r="DQ2588" s="4"/>
      <c r="DR2588" s="4"/>
      <c r="DS2588" s="4"/>
      <c r="DT2588" s="4"/>
      <c r="DU2588" s="4"/>
      <c r="DV2588" s="4"/>
      <c r="DW2588" s="4"/>
      <c r="DX2588" s="4"/>
      <c r="DY2588" s="4"/>
      <c r="DZ2588" s="4"/>
      <c r="EA2588" s="4"/>
      <c r="EB2588" s="4"/>
      <c r="EC2588" s="4"/>
      <c r="ED2588" s="4"/>
      <c r="EE2588" s="4"/>
      <c r="EF2588" s="4"/>
      <c r="EG2588" s="4"/>
      <c r="EH2588" s="4"/>
      <c r="EI2588" s="4"/>
      <c r="EJ2588" s="4"/>
      <c r="EK2588" s="4"/>
      <c r="EL2588" s="4"/>
      <c r="EM2588" s="4"/>
      <c r="EN2588" s="4"/>
      <c r="EO2588" s="4"/>
      <c r="EP2588" s="4"/>
      <c r="EQ2588" s="4"/>
      <c r="ER2588" s="4"/>
      <c r="ES2588" s="4"/>
      <c r="ET2588" s="4"/>
      <c r="EU2588" s="4"/>
      <c r="EV2588" s="4"/>
      <c r="EW2588" s="4"/>
      <c r="EX2588" s="4"/>
      <c r="EY2588" s="4"/>
      <c r="EZ2588" s="4"/>
      <c r="FA2588" s="4"/>
      <c r="FB2588" s="4"/>
      <c r="FC2588" s="4"/>
      <c r="FD2588" s="4"/>
      <c r="FE2588" s="4"/>
      <c r="FF2588" s="4"/>
      <c r="FG2588" s="4"/>
      <c r="FH2588" s="4"/>
      <c r="FI2588" s="4"/>
      <c r="FJ2588" s="4"/>
      <c r="FK2588" s="4"/>
      <c r="FL2588" s="4"/>
      <c r="FM2588" s="4"/>
      <c r="FN2588" s="4"/>
      <c r="FO2588" s="4"/>
      <c r="FP2588" s="4"/>
      <c r="FQ2588" s="4"/>
      <c r="FR2588" s="4"/>
      <c r="FS2588" s="4"/>
      <c r="FT2588" s="4"/>
      <c r="FU2588" s="4"/>
      <c r="FV2588" s="4"/>
      <c r="FW2588" s="4"/>
      <c r="FX2588" s="4"/>
      <c r="FY2588" s="4"/>
      <c r="FZ2588" s="4"/>
      <c r="GA2588" s="4"/>
      <c r="GB2588" s="4"/>
      <c r="GC2588" s="4"/>
      <c r="GD2588" s="4"/>
      <c r="GE2588" s="4"/>
      <c r="GF2588" s="4"/>
      <c r="GG2588" s="4"/>
      <c r="GH2588" s="4"/>
      <c r="GI2588" s="4"/>
      <c r="GJ2588" s="4"/>
      <c r="GK2588" s="4"/>
      <c r="GL2588" s="4"/>
      <c r="GM2588" s="4"/>
      <c r="GN2588" s="4"/>
      <c r="GO2588" s="4"/>
      <c r="GP2588" s="4"/>
      <c r="GQ2588" s="4"/>
      <c r="GR2588" s="4"/>
      <c r="GS2588" s="4"/>
      <c r="GT2588" s="4"/>
      <c r="GU2588" s="4"/>
      <c r="GV2588" s="4"/>
      <c r="GW2588" s="4"/>
      <c r="GX2588" s="4"/>
      <c r="GY2588" s="4"/>
      <c r="GZ2588" s="4"/>
      <c r="HA2588" s="4"/>
      <c r="HB2588" s="4"/>
      <c r="HC2588" s="4"/>
      <c r="HD2588" s="4"/>
      <c r="HE2588" s="4"/>
      <c r="HF2588" s="4"/>
      <c r="HG2588" s="4"/>
      <c r="HH2588" s="4"/>
      <c r="HI2588" s="4"/>
      <c r="HJ2588" s="4"/>
      <c r="HK2588" s="4"/>
      <c r="HL2588" s="4"/>
      <c r="HM2588" s="4"/>
      <c r="HN2588" s="4"/>
      <c r="HO2588" s="4"/>
      <c r="HP2588" s="4"/>
      <c r="HQ2588" s="4"/>
      <c r="HR2588" s="4"/>
    </row>
    <row r="2589">
      <c r="A2589" s="2" t="s">
        <v>11395</v>
      </c>
      <c r="B2589" s="2" t="s">
        <v>886</v>
      </c>
      <c r="C2589" s="2" t="s">
        <v>887</v>
      </c>
      <c r="D2589" s="2" t="s">
        <v>1167</v>
      </c>
      <c r="E2589" s="2" t="s">
        <v>1168</v>
      </c>
      <c r="F2589" s="2" t="s">
        <v>11396</v>
      </c>
      <c r="G2589" s="2" t="s">
        <v>11396</v>
      </c>
      <c r="H2589" s="2" t="s">
        <v>11396</v>
      </c>
      <c r="I2589" s="2" t="s">
        <v>11397</v>
      </c>
      <c r="J2589" s="2" t="s">
        <v>892</v>
      </c>
      <c r="K2589" s="2" t="s">
        <v>271</v>
      </c>
      <c r="L2589" s="3">
        <v>52</v>
      </c>
      <c r="M2589" s="3">
        <v>54.6</v>
      </c>
      <c r="N2589" s="3">
        <v>109.99</v>
      </c>
      <c r="O2589" s="2" t="s">
        <v>245</v>
      </c>
      <c r="P2589" s="2" t="s">
        <v>238</v>
      </c>
      <c r="Q2589" s="2" t="s">
        <v>239</v>
      </c>
      <c r="R2589" s="2" t="s">
        <v>233</v>
      </c>
      <c r="S2589" s="2" t="s">
        <v>233</v>
      </c>
      <c r="T2589" s="2" t="s">
        <v>233</v>
      </c>
      <c r="U2589" s="2" t="s">
        <v>396</v>
      </c>
      <c r="V2589" s="2" t="s">
        <v>893</v>
      </c>
      <c r="W2589" s="2" t="s">
        <v>705</v>
      </c>
      <c r="X2589" s="2" t="s">
        <v>451</v>
      </c>
      <c r="Y2589" s="2" t="s">
        <v>233</v>
      </c>
      <c r="Z2589" s="4"/>
      <c r="AA2589" s="4">
        <f>=ROUNDDOWN({0},0)</f>
      </c>
      <c r="AB2589" s="5"/>
      <c r="AC2589" s="2" t="s">
        <v>1172</v>
      </c>
      <c r="AD2589" s="4">
        <v>100</v>
      </c>
      <c r="AE2589" s="4">
        <v>100</v>
      </c>
      <c r="AF2589" s="6">
        <v>65</v>
      </c>
      <c r="AG2589" s="6"/>
      <c r="AH2589" s="7">
        <v>0</v>
      </c>
      <c r="AI2589" s="4"/>
      <c r="AJ2589" s="4">
        <f>=ROUNDDOWN({0},0)</f>
      </c>
      <c r="AK2589" s="5"/>
      <c r="AL2589" s="2" t="s">
        <v>233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233</v>
      </c>
      <c r="BD2589" s="8" t="s">
        <v>233</v>
      </c>
      <c r="BE2589" s="4" t="s">
        <v>233</v>
      </c>
      <c r="BF2589" s="8" t="s">
        <v>233</v>
      </c>
      <c r="BG2589" s="7" t="s">
        <v>233</v>
      </c>
      <c r="BH2589" s="7" t="s">
        <v>233</v>
      </c>
      <c r="BI2589" s="7"/>
      <c r="BJ2589" s="4"/>
      <c r="BK2589" s="8"/>
      <c r="BL2589" s="2" t="s">
        <v>233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243</v>
      </c>
      <c r="BV2589" s="2" t="s">
        <v>233</v>
      </c>
      <c r="BW2589" s="2" t="s">
        <v>233</v>
      </c>
      <c r="BX2589" s="2" t="s">
        <v>243</v>
      </c>
      <c r="BY2589" s="2" t="s">
        <v>244</v>
      </c>
      <c r="BZ2589" s="2" t="s">
        <v>245</v>
      </c>
      <c r="CA2589" s="2" t="s">
        <v>233</v>
      </c>
      <c r="CB2589" s="2" t="s">
        <v>233</v>
      </c>
      <c r="CC2589" s="2" t="s">
        <v>246</v>
      </c>
      <c r="CD2589" s="2" t="s">
        <v>233</v>
      </c>
      <c r="CE2589" s="4"/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/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  <c r="DL2589" s="4"/>
      <c r="DM2589" s="4"/>
      <c r="DN2589" s="4"/>
      <c r="DO2589" s="4"/>
      <c r="DP2589" s="4">
        <v>100</v>
      </c>
      <c r="DQ2589" s="4"/>
      <c r="DR2589" s="4"/>
      <c r="DS2589" s="4"/>
      <c r="DT2589" s="4"/>
      <c r="DU2589" s="4"/>
      <c r="DV2589" s="4"/>
      <c r="DW2589" s="4"/>
      <c r="DX2589" s="4"/>
      <c r="DY2589" s="4"/>
      <c r="DZ2589" s="4"/>
      <c r="EA2589" s="4"/>
      <c r="EB2589" s="4"/>
      <c r="EC2589" s="4"/>
      <c r="ED2589" s="4"/>
      <c r="EE2589" s="4"/>
      <c r="EF2589" s="4"/>
      <c r="EG2589" s="4"/>
      <c r="EH2589" s="4"/>
      <c r="EI2589" s="4"/>
      <c r="EJ2589" s="4"/>
      <c r="EK2589" s="4"/>
      <c r="EL2589" s="4"/>
      <c r="EM2589" s="4"/>
      <c r="EN2589" s="4"/>
      <c r="EO2589" s="4"/>
      <c r="EP2589" s="4"/>
      <c r="EQ2589" s="4"/>
      <c r="ER2589" s="4"/>
      <c r="ES2589" s="4"/>
      <c r="ET2589" s="4"/>
      <c r="EU2589" s="4"/>
      <c r="EV2589" s="4"/>
      <c r="EW2589" s="4"/>
      <c r="EX2589" s="4"/>
      <c r="EY2589" s="4"/>
      <c r="EZ2589" s="4"/>
      <c r="FA2589" s="4"/>
      <c r="FB2589" s="4"/>
      <c r="FC2589" s="4"/>
      <c r="FD2589" s="4"/>
      <c r="FE2589" s="4"/>
      <c r="FF2589" s="4"/>
      <c r="FG2589" s="4"/>
      <c r="FH2589" s="4"/>
      <c r="FI2589" s="4"/>
      <c r="FJ2589" s="4"/>
      <c r="FK2589" s="4"/>
      <c r="FL2589" s="4"/>
      <c r="FM2589" s="4"/>
      <c r="FN2589" s="4"/>
      <c r="FO2589" s="4"/>
      <c r="FP2589" s="4"/>
      <c r="FQ2589" s="4"/>
      <c r="FR2589" s="4"/>
      <c r="FS2589" s="4"/>
      <c r="FT2589" s="4"/>
      <c r="FU2589" s="4"/>
      <c r="FV2589" s="4"/>
      <c r="FW2589" s="4"/>
      <c r="FX2589" s="4"/>
      <c r="FY2589" s="4"/>
      <c r="FZ2589" s="4"/>
      <c r="GA2589" s="4"/>
      <c r="GB2589" s="4"/>
      <c r="GC2589" s="4"/>
      <c r="GD2589" s="4"/>
      <c r="GE2589" s="4"/>
      <c r="GF2589" s="4"/>
      <c r="GG2589" s="4"/>
      <c r="GH2589" s="4"/>
      <c r="GI2589" s="4"/>
      <c r="GJ2589" s="4"/>
      <c r="GK2589" s="4"/>
      <c r="GL2589" s="4"/>
      <c r="GM2589" s="4"/>
      <c r="GN2589" s="4"/>
      <c r="GO2589" s="4"/>
      <c r="GP2589" s="4"/>
      <c r="GQ2589" s="4"/>
      <c r="GR2589" s="4"/>
      <c r="GS2589" s="4"/>
      <c r="GT2589" s="4"/>
      <c r="GU2589" s="4"/>
      <c r="GV2589" s="4"/>
      <c r="GW2589" s="4"/>
      <c r="GX2589" s="4"/>
      <c r="GY2589" s="4"/>
      <c r="GZ2589" s="4"/>
      <c r="HA2589" s="4"/>
      <c r="HB2589" s="4"/>
      <c r="HC2589" s="4"/>
      <c r="HD2589" s="4"/>
      <c r="HE2589" s="4"/>
      <c r="HF2589" s="4"/>
      <c r="HG2589" s="4"/>
      <c r="HH2589" s="4"/>
      <c r="HI2589" s="4"/>
      <c r="HJ2589" s="4"/>
      <c r="HK2589" s="4"/>
      <c r="HL2589" s="4"/>
      <c r="HM2589" s="4"/>
      <c r="HN2589" s="4"/>
      <c r="HO2589" s="4"/>
      <c r="HP2589" s="4"/>
      <c r="HQ2589" s="4"/>
      <c r="HR2589" s="4"/>
    </row>
    <row r="2590">
      <c r="A2590" s="2" t="s">
        <v>11398</v>
      </c>
      <c r="B2590" s="2" t="s">
        <v>886</v>
      </c>
      <c r="C2590" s="2" t="s">
        <v>887</v>
      </c>
      <c r="D2590" s="2" t="s">
        <v>1167</v>
      </c>
      <c r="E2590" s="2" t="s">
        <v>1168</v>
      </c>
      <c r="F2590" s="2" t="s">
        <v>11396</v>
      </c>
      <c r="G2590" s="2" t="s">
        <v>11396</v>
      </c>
      <c r="H2590" s="2" t="s">
        <v>11396</v>
      </c>
      <c r="I2590" s="2" t="s">
        <v>11399</v>
      </c>
      <c r="J2590" s="2" t="s">
        <v>892</v>
      </c>
      <c r="K2590" s="2" t="s">
        <v>984</v>
      </c>
      <c r="L2590" s="3">
        <v>52</v>
      </c>
      <c r="M2590" s="3">
        <v>54.6</v>
      </c>
      <c r="N2590" s="3">
        <v>109.99</v>
      </c>
      <c r="O2590" s="2" t="s">
        <v>245</v>
      </c>
      <c r="P2590" s="2" t="s">
        <v>238</v>
      </c>
      <c r="Q2590" s="2" t="s">
        <v>239</v>
      </c>
      <c r="R2590" s="2" t="s">
        <v>233</v>
      </c>
      <c r="S2590" s="2" t="s">
        <v>233</v>
      </c>
      <c r="T2590" s="2" t="s">
        <v>233</v>
      </c>
      <c r="U2590" s="2" t="s">
        <v>396</v>
      </c>
      <c r="V2590" s="2" t="s">
        <v>893</v>
      </c>
      <c r="W2590" s="2" t="s">
        <v>705</v>
      </c>
      <c r="X2590" s="2" t="s">
        <v>451</v>
      </c>
      <c r="Y2590" s="2" t="s">
        <v>233</v>
      </c>
      <c r="Z2590" s="4"/>
      <c r="AA2590" s="4">
        <f>=ROUNDDOWN({0},0)</f>
      </c>
      <c r="AB2590" s="5"/>
      <c r="AC2590" s="2" t="s">
        <v>1172</v>
      </c>
      <c r="AD2590" s="4">
        <v>100</v>
      </c>
      <c r="AE2590" s="4">
        <v>100</v>
      </c>
      <c r="AF2590" s="6">
        <v>65</v>
      </c>
      <c r="AG2590" s="6"/>
      <c r="AH2590" s="7">
        <v>0</v>
      </c>
      <c r="AI2590" s="4"/>
      <c r="AJ2590" s="4">
        <f>=ROUNDDOWN({0},0)</f>
      </c>
      <c r="AK2590" s="5"/>
      <c r="AL2590" s="2" t="s">
        <v>233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 t="s">
        <v>233</v>
      </c>
      <c r="BD2590" s="8" t="s">
        <v>233</v>
      </c>
      <c r="BE2590" s="4" t="s">
        <v>233</v>
      </c>
      <c r="BF2590" s="8" t="s">
        <v>233</v>
      </c>
      <c r="BG2590" s="7" t="s">
        <v>233</v>
      </c>
      <c r="BH2590" s="7" t="s">
        <v>233</v>
      </c>
      <c r="BI2590" s="7"/>
      <c r="BJ2590" s="4"/>
      <c r="BK2590" s="8"/>
      <c r="BL2590" s="2" t="s">
        <v>233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243</v>
      </c>
      <c r="BV2590" s="2" t="s">
        <v>233</v>
      </c>
      <c r="BW2590" s="2" t="s">
        <v>233</v>
      </c>
      <c r="BX2590" s="2" t="s">
        <v>243</v>
      </c>
      <c r="BY2590" s="2" t="s">
        <v>244</v>
      </c>
      <c r="BZ2590" s="2" t="s">
        <v>245</v>
      </c>
      <c r="CA2590" s="2" t="s">
        <v>233</v>
      </c>
      <c r="CB2590" s="2" t="s">
        <v>233</v>
      </c>
      <c r="CC2590" s="2" t="s">
        <v>246</v>
      </c>
      <c r="CD2590" s="2" t="s">
        <v>233</v>
      </c>
      <c r="CE2590" s="4"/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/>
      <c r="DB2590" s="4"/>
      <c r="DC2590" s="4"/>
      <c r="DD2590" s="4"/>
      <c r="DE2590" s="4"/>
      <c r="DF2590" s="4"/>
      <c r="DG2590" s="4"/>
      <c r="DH2590" s="4"/>
      <c r="DI2590" s="4"/>
      <c r="DJ2590" s="4"/>
      <c r="DK2590" s="4"/>
      <c r="DL2590" s="4"/>
      <c r="DM2590" s="4"/>
      <c r="DN2590" s="4"/>
      <c r="DO2590" s="4"/>
      <c r="DP2590" s="4">
        <v>100</v>
      </c>
      <c r="DQ2590" s="4"/>
      <c r="DR2590" s="4"/>
      <c r="DS2590" s="4"/>
      <c r="DT2590" s="4"/>
      <c r="DU2590" s="4"/>
      <c r="DV2590" s="4"/>
      <c r="DW2590" s="4"/>
      <c r="DX2590" s="4"/>
      <c r="DY2590" s="4"/>
      <c r="DZ2590" s="4"/>
      <c r="EA2590" s="4"/>
      <c r="EB2590" s="4"/>
      <c r="EC2590" s="4"/>
      <c r="ED2590" s="4"/>
      <c r="EE2590" s="4"/>
      <c r="EF2590" s="4"/>
      <c r="EG2590" s="4"/>
      <c r="EH2590" s="4"/>
      <c r="EI2590" s="4"/>
      <c r="EJ2590" s="4"/>
      <c r="EK2590" s="4"/>
      <c r="EL2590" s="4"/>
      <c r="EM2590" s="4"/>
      <c r="EN2590" s="4"/>
      <c r="EO2590" s="4"/>
      <c r="EP2590" s="4"/>
      <c r="EQ2590" s="4"/>
      <c r="ER2590" s="4"/>
      <c r="ES2590" s="4"/>
      <c r="ET2590" s="4"/>
      <c r="EU2590" s="4"/>
      <c r="EV2590" s="4"/>
      <c r="EW2590" s="4"/>
      <c r="EX2590" s="4"/>
      <c r="EY2590" s="4"/>
      <c r="EZ2590" s="4"/>
      <c r="FA2590" s="4"/>
      <c r="FB2590" s="4"/>
      <c r="FC2590" s="4"/>
      <c r="FD2590" s="4"/>
      <c r="FE2590" s="4"/>
      <c r="FF2590" s="4"/>
      <c r="FG2590" s="4"/>
      <c r="FH2590" s="4"/>
      <c r="FI2590" s="4"/>
      <c r="FJ2590" s="4"/>
      <c r="FK2590" s="4"/>
      <c r="FL2590" s="4"/>
      <c r="FM2590" s="4"/>
      <c r="FN2590" s="4"/>
      <c r="FO2590" s="4"/>
      <c r="FP2590" s="4"/>
      <c r="FQ2590" s="4"/>
      <c r="FR2590" s="4"/>
      <c r="FS2590" s="4"/>
      <c r="FT2590" s="4"/>
      <c r="FU2590" s="4"/>
      <c r="FV2590" s="4"/>
      <c r="FW2590" s="4"/>
      <c r="FX2590" s="4"/>
      <c r="FY2590" s="4"/>
      <c r="FZ2590" s="4"/>
      <c r="GA2590" s="4"/>
      <c r="GB2590" s="4"/>
      <c r="GC2590" s="4"/>
      <c r="GD2590" s="4"/>
      <c r="GE2590" s="4"/>
      <c r="GF2590" s="4"/>
      <c r="GG2590" s="4"/>
      <c r="GH2590" s="4"/>
      <c r="GI2590" s="4"/>
      <c r="GJ2590" s="4"/>
      <c r="GK2590" s="4"/>
      <c r="GL2590" s="4"/>
      <c r="GM2590" s="4"/>
      <c r="GN2590" s="4"/>
      <c r="GO2590" s="4"/>
      <c r="GP2590" s="4"/>
      <c r="GQ2590" s="4"/>
      <c r="GR2590" s="4"/>
      <c r="GS2590" s="4"/>
      <c r="GT2590" s="4"/>
      <c r="GU2590" s="4"/>
      <c r="GV2590" s="4"/>
      <c r="GW2590" s="4"/>
      <c r="GX2590" s="4"/>
      <c r="GY2590" s="4"/>
      <c r="GZ2590" s="4"/>
      <c r="HA2590" s="4"/>
      <c r="HB2590" s="4"/>
      <c r="HC2590" s="4"/>
      <c r="HD2590" s="4"/>
      <c r="HE2590" s="4"/>
      <c r="HF2590" s="4"/>
      <c r="HG2590" s="4"/>
      <c r="HH2590" s="4"/>
      <c r="HI2590" s="4"/>
      <c r="HJ2590" s="4"/>
      <c r="HK2590" s="4"/>
      <c r="HL2590" s="4"/>
      <c r="HM2590" s="4"/>
      <c r="HN2590" s="4"/>
      <c r="HO2590" s="4"/>
      <c r="HP2590" s="4"/>
      <c r="HQ2590" s="4"/>
      <c r="HR2590" s="4"/>
    </row>
    <row r="2591">
      <c r="A2591" s="2" t="s">
        <v>11400</v>
      </c>
      <c r="B2591" s="2" t="s">
        <v>886</v>
      </c>
      <c r="C2591" s="2" t="s">
        <v>887</v>
      </c>
      <c r="D2591" s="2" t="s">
        <v>1167</v>
      </c>
      <c r="E2591" s="2" t="s">
        <v>1168</v>
      </c>
      <c r="F2591" s="2" t="s">
        <v>11396</v>
      </c>
      <c r="G2591" s="2" t="s">
        <v>11396</v>
      </c>
      <c r="H2591" s="2" t="s">
        <v>11396</v>
      </c>
      <c r="I2591" s="2" t="s">
        <v>11401</v>
      </c>
      <c r="J2591" s="2" t="s">
        <v>892</v>
      </c>
      <c r="K2591" s="2" t="s">
        <v>449</v>
      </c>
      <c r="L2591" s="3">
        <v>52</v>
      </c>
      <c r="M2591" s="3">
        <v>54.6</v>
      </c>
      <c r="N2591" s="3">
        <v>109.99</v>
      </c>
      <c r="O2591" s="2" t="s">
        <v>245</v>
      </c>
      <c r="P2591" s="2" t="s">
        <v>238</v>
      </c>
      <c r="Q2591" s="2" t="s">
        <v>239</v>
      </c>
      <c r="R2591" s="2" t="s">
        <v>233</v>
      </c>
      <c r="S2591" s="2" t="s">
        <v>233</v>
      </c>
      <c r="T2591" s="2" t="s">
        <v>233</v>
      </c>
      <c r="U2591" s="2" t="s">
        <v>396</v>
      </c>
      <c r="V2591" s="2" t="s">
        <v>893</v>
      </c>
      <c r="W2591" s="2" t="s">
        <v>705</v>
      </c>
      <c r="X2591" s="2" t="s">
        <v>451</v>
      </c>
      <c r="Y2591" s="2" t="s">
        <v>233</v>
      </c>
      <c r="Z2591" s="4"/>
      <c r="AA2591" s="4">
        <f>=ROUNDDOWN({0},0)</f>
      </c>
      <c r="AB2591" s="5"/>
      <c r="AC2591" s="2" t="s">
        <v>1172</v>
      </c>
      <c r="AD2591" s="4">
        <v>50</v>
      </c>
      <c r="AE2591" s="4">
        <v>50</v>
      </c>
      <c r="AF2591" s="6">
        <v>65</v>
      </c>
      <c r="AG2591" s="6"/>
      <c r="AH2591" s="7">
        <v>0</v>
      </c>
      <c r="AI2591" s="4"/>
      <c r="AJ2591" s="4">
        <f>=ROUNDDOWN({0},0)</f>
      </c>
      <c r="AK2591" s="5"/>
      <c r="AL2591" s="2" t="s">
        <v>233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/>
      <c r="AW2591" s="8"/>
      <c r="AX2591" s="4"/>
      <c r="AY2591" s="8"/>
      <c r="AZ2591" s="7"/>
      <c r="BA2591" s="7"/>
      <c r="BB2591" s="7"/>
      <c r="BC2591" s="4" t="s">
        <v>233</v>
      </c>
      <c r="BD2591" s="8" t="s">
        <v>233</v>
      </c>
      <c r="BE2591" s="4" t="s">
        <v>233</v>
      </c>
      <c r="BF2591" s="8" t="s">
        <v>233</v>
      </c>
      <c r="BG2591" s="7" t="s">
        <v>233</v>
      </c>
      <c r="BH2591" s="7" t="s">
        <v>233</v>
      </c>
      <c r="BI2591" s="7"/>
      <c r="BJ2591" s="4"/>
      <c r="BK2591" s="8"/>
      <c r="BL2591" s="2" t="s">
        <v>233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243</v>
      </c>
      <c r="BV2591" s="2" t="s">
        <v>233</v>
      </c>
      <c r="BW2591" s="2" t="s">
        <v>233</v>
      </c>
      <c r="BX2591" s="2" t="s">
        <v>243</v>
      </c>
      <c r="BY2591" s="2" t="s">
        <v>244</v>
      </c>
      <c r="BZ2591" s="2" t="s">
        <v>245</v>
      </c>
      <c r="CA2591" s="2" t="s">
        <v>233</v>
      </c>
      <c r="CB2591" s="2" t="s">
        <v>233</v>
      </c>
      <c r="CC2591" s="2" t="s">
        <v>246</v>
      </c>
      <c r="CD2591" s="2" t="s">
        <v>233</v>
      </c>
      <c r="CE2591" s="4"/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/>
      <c r="DB2591" s="4"/>
      <c r="DC2591" s="4"/>
      <c r="DD2591" s="4"/>
      <c r="DE2591" s="4"/>
      <c r="DF2591" s="4"/>
      <c r="DG2591" s="4"/>
      <c r="DH2591" s="4"/>
      <c r="DI2591" s="4"/>
      <c r="DJ2591" s="4"/>
      <c r="DK2591" s="4"/>
      <c r="DL2591" s="4"/>
      <c r="DM2591" s="4"/>
      <c r="DN2591" s="4"/>
      <c r="DO2591" s="4"/>
      <c r="DP2591" s="4">
        <v>50</v>
      </c>
      <c r="DQ2591" s="4"/>
      <c r="DR2591" s="4"/>
      <c r="DS2591" s="4"/>
      <c r="DT2591" s="4"/>
      <c r="DU2591" s="4"/>
      <c r="DV2591" s="4"/>
      <c r="DW2591" s="4"/>
      <c r="DX2591" s="4"/>
      <c r="DY2591" s="4"/>
      <c r="DZ2591" s="4"/>
      <c r="EA2591" s="4"/>
      <c r="EB2591" s="4"/>
      <c r="EC2591" s="4"/>
      <c r="ED2591" s="4"/>
      <c r="EE2591" s="4"/>
      <c r="EF2591" s="4"/>
      <c r="EG2591" s="4"/>
      <c r="EH2591" s="4"/>
      <c r="EI2591" s="4"/>
      <c r="EJ2591" s="4"/>
      <c r="EK2591" s="4"/>
      <c r="EL2591" s="4"/>
      <c r="EM2591" s="4"/>
      <c r="EN2591" s="4"/>
      <c r="EO2591" s="4"/>
      <c r="EP2591" s="4"/>
      <c r="EQ2591" s="4"/>
      <c r="ER2591" s="4"/>
      <c r="ES2591" s="4"/>
      <c r="ET2591" s="4"/>
      <c r="EU2591" s="4"/>
      <c r="EV2591" s="4"/>
      <c r="EW2591" s="4"/>
      <c r="EX2591" s="4"/>
      <c r="EY2591" s="4"/>
      <c r="EZ2591" s="4"/>
      <c r="FA2591" s="4"/>
      <c r="FB2591" s="4"/>
      <c r="FC2591" s="4"/>
      <c r="FD2591" s="4"/>
      <c r="FE2591" s="4"/>
      <c r="FF2591" s="4"/>
      <c r="FG2591" s="4"/>
      <c r="FH2591" s="4"/>
      <c r="FI2591" s="4"/>
      <c r="FJ2591" s="4"/>
      <c r="FK2591" s="4"/>
      <c r="FL2591" s="4"/>
      <c r="FM2591" s="4"/>
      <c r="FN2591" s="4"/>
      <c r="FO2591" s="4"/>
      <c r="FP2591" s="4"/>
      <c r="FQ2591" s="4"/>
      <c r="FR2591" s="4"/>
      <c r="FS2591" s="4"/>
      <c r="FT2591" s="4"/>
      <c r="FU2591" s="4"/>
      <c r="FV2591" s="4"/>
      <c r="FW2591" s="4"/>
      <c r="FX2591" s="4"/>
      <c r="FY2591" s="4"/>
      <c r="FZ2591" s="4"/>
      <c r="GA2591" s="4"/>
      <c r="GB2591" s="4"/>
      <c r="GC2591" s="4"/>
      <c r="GD2591" s="4"/>
      <c r="GE2591" s="4"/>
      <c r="GF2591" s="4"/>
      <c r="GG2591" s="4"/>
      <c r="GH2591" s="4"/>
      <c r="GI2591" s="4"/>
      <c r="GJ2591" s="4"/>
      <c r="GK2591" s="4"/>
      <c r="GL2591" s="4"/>
      <c r="GM2591" s="4"/>
      <c r="GN2591" s="4"/>
      <c r="GO2591" s="4"/>
      <c r="GP2591" s="4"/>
      <c r="GQ2591" s="4"/>
      <c r="GR2591" s="4"/>
      <c r="GS2591" s="4"/>
      <c r="GT2591" s="4"/>
      <c r="GU2591" s="4"/>
      <c r="GV2591" s="4"/>
      <c r="GW2591" s="4"/>
      <c r="GX2591" s="4"/>
      <c r="GY2591" s="4"/>
      <c r="GZ2591" s="4"/>
      <c r="HA2591" s="4"/>
      <c r="HB2591" s="4"/>
      <c r="HC2591" s="4"/>
      <c r="HD2591" s="4"/>
      <c r="HE2591" s="4"/>
      <c r="HF2591" s="4"/>
      <c r="HG2591" s="4"/>
      <c r="HH2591" s="4"/>
      <c r="HI2591" s="4"/>
      <c r="HJ2591" s="4"/>
      <c r="HK2591" s="4"/>
      <c r="HL2591" s="4"/>
      <c r="HM2591" s="4"/>
      <c r="HN2591" s="4"/>
      <c r="HO2591" s="4"/>
      <c r="HP2591" s="4"/>
      <c r="HQ2591" s="4"/>
      <c r="HR2591" s="4"/>
    </row>
    <row r="2592">
      <c r="A2592" s="2" t="s">
        <v>11402</v>
      </c>
      <c r="B2592" s="2" t="s">
        <v>910</v>
      </c>
      <c r="C2592" s="2" t="s">
        <v>911</v>
      </c>
      <c r="D2592" s="2" t="s">
        <v>969</v>
      </c>
      <c r="E2592" s="2" t="s">
        <v>1078</v>
      </c>
      <c r="F2592" s="2" t="s">
        <v>11403</v>
      </c>
      <c r="G2592" s="2" t="s">
        <v>11404</v>
      </c>
      <c r="H2592" s="2" t="s">
        <v>1770</v>
      </c>
      <c r="I2592" s="2" t="s">
        <v>11405</v>
      </c>
      <c r="J2592" s="2" t="s">
        <v>918</v>
      </c>
      <c r="K2592" s="2" t="s">
        <v>9749</v>
      </c>
      <c r="L2592" s="3">
        <v>36.8</v>
      </c>
      <c r="M2592" s="3">
        <v>38.64</v>
      </c>
      <c r="N2592" s="3">
        <v>79.99</v>
      </c>
      <c r="O2592" s="2" t="s">
        <v>245</v>
      </c>
      <c r="P2592" s="2" t="s">
        <v>311</v>
      </c>
      <c r="Q2592" s="2" t="s">
        <v>239</v>
      </c>
      <c r="R2592" s="2" t="s">
        <v>233</v>
      </c>
      <c r="S2592" s="2" t="s">
        <v>11406</v>
      </c>
      <c r="T2592" s="2" t="s">
        <v>395</v>
      </c>
      <c r="U2592" s="2" t="s">
        <v>342</v>
      </c>
      <c r="V2592" s="2" t="s">
        <v>1085</v>
      </c>
      <c r="W2592" s="2" t="s">
        <v>705</v>
      </c>
      <c r="X2592" s="2" t="s">
        <v>397</v>
      </c>
      <c r="Y2592" s="2" t="s">
        <v>2884</v>
      </c>
      <c r="Z2592" s="4">
        <v>299</v>
      </c>
      <c r="AA2592" s="4">
        <f>=ROUNDDOWN(119.6,0)</f>
      </c>
      <c r="AB2592" s="5">
        <v>2.5</v>
      </c>
      <c r="AC2592" s="2" t="s">
        <v>233</v>
      </c>
      <c r="AD2592" s="4"/>
      <c r="AE2592" s="4"/>
      <c r="AF2592" s="6">
        <v>64</v>
      </c>
      <c r="AG2592" s="6"/>
      <c r="AH2592" s="7">
        <v>1</v>
      </c>
      <c r="AI2592" s="4"/>
      <c r="AJ2592" s="4">
        <f>=ROUNDDOWN({0},0)</f>
      </c>
      <c r="AK2592" s="5"/>
      <c r="AL2592" s="2" t="s">
        <v>233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 t="s">
        <v>233</v>
      </c>
      <c r="AW2592" s="8" t="s">
        <v>233</v>
      </c>
      <c r="AX2592" s="4" t="s">
        <v>233</v>
      </c>
      <c r="AY2592" s="8" t="s">
        <v>233</v>
      </c>
      <c r="AZ2592" s="7" t="s">
        <v>233</v>
      </c>
      <c r="BA2592" s="7" t="s">
        <v>233</v>
      </c>
      <c r="BB2592" s="7"/>
      <c r="BC2592" s="4" t="s">
        <v>233</v>
      </c>
      <c r="BD2592" s="8" t="s">
        <v>233</v>
      </c>
      <c r="BE2592" s="4" t="s">
        <v>233</v>
      </c>
      <c r="BF2592" s="8" t="s">
        <v>233</v>
      </c>
      <c r="BG2592" s="7" t="s">
        <v>233</v>
      </c>
      <c r="BH2592" s="7" t="s">
        <v>233</v>
      </c>
      <c r="BI2592" s="7"/>
      <c r="BJ2592" s="4">
        <v>9</v>
      </c>
      <c r="BK2592" s="8">
        <v>351.47</v>
      </c>
      <c r="BL2592" s="2" t="s">
        <v>11407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11408</v>
      </c>
      <c r="BV2592" s="2" t="s">
        <v>233</v>
      </c>
      <c r="BW2592" s="2" t="s">
        <v>233</v>
      </c>
      <c r="BX2592" s="2" t="s">
        <v>233</v>
      </c>
      <c r="BY2592" s="2" t="s">
        <v>280</v>
      </c>
      <c r="BZ2592" s="2" t="s">
        <v>245</v>
      </c>
      <c r="CA2592" s="2" t="s">
        <v>9753</v>
      </c>
      <c r="CB2592" s="2" t="s">
        <v>6155</v>
      </c>
      <c r="CC2592" s="2" t="s">
        <v>246</v>
      </c>
      <c r="CD2592" s="2" t="s">
        <v>233</v>
      </c>
      <c r="CE2592" s="4">
        <v>235</v>
      </c>
      <c r="CF2592" s="4">
        <v>40</v>
      </c>
      <c r="CG2592" s="4"/>
      <c r="CH2592" s="4"/>
      <c r="CI2592" s="4">
        <v>24</v>
      </c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/>
      <c r="DB2592" s="4"/>
      <c r="DC2592" s="4"/>
      <c r="DD2592" s="4"/>
      <c r="DE2592" s="4"/>
      <c r="DF2592" s="4"/>
      <c r="DG2592" s="4"/>
      <c r="DH2592" s="4"/>
      <c r="DI2592" s="4"/>
      <c r="DJ2592" s="4"/>
      <c r="DK2592" s="4"/>
      <c r="DL2592" s="4"/>
      <c r="DM2592" s="4"/>
      <c r="DN2592" s="4"/>
      <c r="DO2592" s="4"/>
      <c r="DP2592" s="4"/>
      <c r="DQ2592" s="4"/>
      <c r="DR2592" s="4"/>
      <c r="DS2592" s="4"/>
      <c r="DT2592" s="4"/>
      <c r="DU2592" s="4"/>
      <c r="DV2592" s="4"/>
      <c r="DW2592" s="4"/>
      <c r="DX2592" s="4"/>
      <c r="DY2592" s="4"/>
      <c r="DZ2592" s="4"/>
      <c r="EA2592" s="4"/>
      <c r="EB2592" s="4"/>
      <c r="EC2592" s="4"/>
      <c r="ED2592" s="4"/>
      <c r="EE2592" s="4"/>
      <c r="EF2592" s="4"/>
      <c r="EG2592" s="4"/>
      <c r="EH2592" s="4"/>
      <c r="EI2592" s="4"/>
      <c r="EJ2592" s="4"/>
      <c r="EK2592" s="4"/>
      <c r="EL2592" s="4"/>
      <c r="EM2592" s="4"/>
      <c r="EN2592" s="4"/>
      <c r="EO2592" s="4"/>
      <c r="EP2592" s="4"/>
      <c r="EQ2592" s="4"/>
      <c r="ER2592" s="4"/>
      <c r="ES2592" s="4"/>
      <c r="ET2592" s="4"/>
      <c r="EU2592" s="4"/>
      <c r="EV2592" s="4"/>
      <c r="EW2592" s="4"/>
      <c r="EX2592" s="4"/>
      <c r="EY2592" s="4"/>
      <c r="EZ2592" s="4"/>
      <c r="FA2592" s="4"/>
      <c r="FB2592" s="4"/>
      <c r="FC2592" s="4"/>
      <c r="FD2592" s="4"/>
      <c r="FE2592" s="4"/>
      <c r="FF2592" s="4"/>
      <c r="FG2592" s="4"/>
      <c r="FH2592" s="4"/>
      <c r="FI2592" s="4"/>
      <c r="FJ2592" s="4"/>
      <c r="FK2592" s="4"/>
      <c r="FL2592" s="4"/>
      <c r="FM2592" s="4"/>
      <c r="FN2592" s="4"/>
      <c r="FO2592" s="4"/>
      <c r="FP2592" s="4"/>
      <c r="FQ2592" s="4"/>
      <c r="FR2592" s="4"/>
      <c r="FS2592" s="4"/>
      <c r="FT2592" s="4"/>
      <c r="FU2592" s="4"/>
      <c r="FV2592" s="4"/>
      <c r="FW2592" s="4"/>
      <c r="FX2592" s="4"/>
      <c r="FY2592" s="4"/>
      <c r="FZ2592" s="4"/>
      <c r="GA2592" s="4"/>
      <c r="GB2592" s="4"/>
      <c r="GC2592" s="4"/>
      <c r="GD2592" s="4"/>
      <c r="GE2592" s="4"/>
      <c r="GF2592" s="4"/>
      <c r="GG2592" s="4"/>
      <c r="GH2592" s="4"/>
      <c r="GI2592" s="4"/>
      <c r="GJ2592" s="4"/>
      <c r="GK2592" s="4"/>
      <c r="GL2592" s="4"/>
      <c r="GM2592" s="4"/>
      <c r="GN2592" s="4"/>
      <c r="GO2592" s="4"/>
      <c r="GP2592" s="4"/>
      <c r="GQ2592" s="4"/>
      <c r="GR2592" s="4"/>
      <c r="GS2592" s="4"/>
      <c r="GT2592" s="4"/>
      <c r="GU2592" s="4"/>
      <c r="GV2592" s="4"/>
      <c r="GW2592" s="4"/>
      <c r="GX2592" s="4"/>
      <c r="GY2592" s="4"/>
      <c r="GZ2592" s="4"/>
      <c r="HA2592" s="4"/>
      <c r="HB2592" s="4"/>
      <c r="HC2592" s="4"/>
      <c r="HD2592" s="4"/>
      <c r="HE2592" s="4"/>
      <c r="HF2592" s="4"/>
      <c r="HG2592" s="4"/>
      <c r="HH2592" s="4"/>
      <c r="HI2592" s="4"/>
      <c r="HJ2592" s="4"/>
      <c r="HK2592" s="4"/>
      <c r="HL2592" s="4"/>
      <c r="HM2592" s="4"/>
      <c r="HN2592" s="4"/>
      <c r="HO2592" s="4"/>
      <c r="HP2592" s="4"/>
      <c r="HQ2592" s="4"/>
      <c r="HR2592" s="4"/>
    </row>
    <row r="2593">
      <c r="A2593" s="2" t="s">
        <v>11409</v>
      </c>
      <c r="B2593" s="2" t="s">
        <v>910</v>
      </c>
      <c r="C2593" s="2" t="s">
        <v>911</v>
      </c>
      <c r="D2593" s="2" t="s">
        <v>912</v>
      </c>
      <c r="E2593" s="2" t="s">
        <v>913</v>
      </c>
      <c r="F2593" s="2" t="s">
        <v>11403</v>
      </c>
      <c r="G2593" s="2" t="s">
        <v>11404</v>
      </c>
      <c r="H2593" s="2" t="s">
        <v>1770</v>
      </c>
      <c r="I2593" s="2" t="s">
        <v>11410</v>
      </c>
      <c r="J2593" s="2" t="s">
        <v>1142</v>
      </c>
      <c r="K2593" s="2" t="s">
        <v>9749</v>
      </c>
      <c r="L2593" s="3">
        <v>34.5</v>
      </c>
      <c r="M2593" s="3">
        <v>36.22</v>
      </c>
      <c r="N2593" s="3">
        <v>74.99</v>
      </c>
      <c r="O2593" s="2" t="s">
        <v>252</v>
      </c>
      <c r="P2593" s="2" t="s">
        <v>311</v>
      </c>
      <c r="Q2593" s="2" t="s">
        <v>239</v>
      </c>
      <c r="R2593" s="2" t="s">
        <v>233</v>
      </c>
      <c r="S2593" s="2" t="s">
        <v>11406</v>
      </c>
      <c r="T2593" s="2" t="s">
        <v>395</v>
      </c>
      <c r="U2593" s="2" t="s">
        <v>1482</v>
      </c>
      <c r="V2593" s="2" t="s">
        <v>1085</v>
      </c>
      <c r="W2593" s="2" t="s">
        <v>705</v>
      </c>
      <c r="X2593" s="2" t="s">
        <v>397</v>
      </c>
      <c r="Y2593" s="2" t="s">
        <v>11411</v>
      </c>
      <c r="Z2593" s="4"/>
      <c r="AA2593" s="4">
        <f>=ROUNDDOWN({0},0)</f>
      </c>
      <c r="AB2593" s="5"/>
      <c r="AC2593" s="2" t="s">
        <v>233</v>
      </c>
      <c r="AD2593" s="4"/>
      <c r="AE2593" s="4"/>
      <c r="AF2593" s="6">
        <v>64</v>
      </c>
      <c r="AG2593" s="6"/>
      <c r="AH2593" s="7">
        <v>0</v>
      </c>
      <c r="AI2593" s="4"/>
      <c r="AJ2593" s="4">
        <f>=ROUNDDOWN({0},0)</f>
      </c>
      <c r="AK2593" s="5"/>
      <c r="AL2593" s="2" t="s">
        <v>233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233</v>
      </c>
      <c r="AW2593" s="8" t="s">
        <v>233</v>
      </c>
      <c r="AX2593" s="4" t="s">
        <v>233</v>
      </c>
      <c r="AY2593" s="8" t="s">
        <v>233</v>
      </c>
      <c r="AZ2593" s="7" t="s">
        <v>233</v>
      </c>
      <c r="BA2593" s="7" t="s">
        <v>233</v>
      </c>
      <c r="BB2593" s="7"/>
      <c r="BC2593" s="4" t="s">
        <v>233</v>
      </c>
      <c r="BD2593" s="8" t="s">
        <v>233</v>
      </c>
      <c r="BE2593" s="4" t="s">
        <v>233</v>
      </c>
      <c r="BF2593" s="8" t="s">
        <v>233</v>
      </c>
      <c r="BG2593" s="7" t="s">
        <v>233</v>
      </c>
      <c r="BH2593" s="7" t="s">
        <v>233</v>
      </c>
      <c r="BI2593" s="7"/>
      <c r="BJ2593" s="4"/>
      <c r="BK2593" s="8"/>
      <c r="BL2593" s="2" t="s">
        <v>233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11412</v>
      </c>
      <c r="BV2593" s="2" t="s">
        <v>233</v>
      </c>
      <c r="BW2593" s="2" t="s">
        <v>233</v>
      </c>
      <c r="BX2593" s="2" t="s">
        <v>233</v>
      </c>
      <c r="BY2593" s="2" t="s">
        <v>280</v>
      </c>
      <c r="BZ2593" s="2" t="s">
        <v>245</v>
      </c>
      <c r="CA2593" s="2" t="s">
        <v>2898</v>
      </c>
      <c r="CB2593" s="2" t="s">
        <v>5194</v>
      </c>
      <c r="CC2593" s="2" t="s">
        <v>246</v>
      </c>
      <c r="CD2593" s="2" t="s">
        <v>233</v>
      </c>
      <c r="CE2593" s="4"/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/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  <c r="DL2593" s="4"/>
      <c r="DM2593" s="4"/>
      <c r="DN2593" s="4"/>
      <c r="DO2593" s="4"/>
      <c r="DP2593" s="4"/>
      <c r="DQ2593" s="4"/>
      <c r="DR2593" s="4"/>
      <c r="DS2593" s="4"/>
      <c r="DT2593" s="4"/>
      <c r="DU2593" s="4"/>
      <c r="DV2593" s="4"/>
      <c r="DW2593" s="4"/>
      <c r="DX2593" s="4"/>
      <c r="DY2593" s="4"/>
      <c r="DZ2593" s="4"/>
      <c r="EA2593" s="4"/>
      <c r="EB2593" s="4"/>
      <c r="EC2593" s="4"/>
      <c r="ED2593" s="4"/>
      <c r="EE2593" s="4"/>
      <c r="EF2593" s="4"/>
      <c r="EG2593" s="4"/>
      <c r="EH2593" s="4"/>
      <c r="EI2593" s="4"/>
      <c r="EJ2593" s="4"/>
      <c r="EK2593" s="4"/>
      <c r="EL2593" s="4"/>
      <c r="EM2593" s="4"/>
      <c r="EN2593" s="4"/>
      <c r="EO2593" s="4"/>
      <c r="EP2593" s="4"/>
      <c r="EQ2593" s="4"/>
      <c r="ER2593" s="4"/>
      <c r="ES2593" s="4"/>
      <c r="ET2593" s="4"/>
      <c r="EU2593" s="4"/>
      <c r="EV2593" s="4"/>
      <c r="EW2593" s="4"/>
      <c r="EX2593" s="4"/>
      <c r="EY2593" s="4"/>
      <c r="EZ2593" s="4"/>
      <c r="FA2593" s="4"/>
      <c r="FB2593" s="4"/>
      <c r="FC2593" s="4"/>
      <c r="FD2593" s="4"/>
      <c r="FE2593" s="4"/>
      <c r="FF2593" s="4"/>
      <c r="FG2593" s="4"/>
      <c r="FH2593" s="4"/>
      <c r="FI2593" s="4"/>
      <c r="FJ2593" s="4"/>
      <c r="FK2593" s="4"/>
      <c r="FL2593" s="4"/>
      <c r="FM2593" s="4"/>
      <c r="FN2593" s="4"/>
      <c r="FO2593" s="4"/>
      <c r="FP2593" s="4"/>
      <c r="FQ2593" s="4"/>
      <c r="FR2593" s="4"/>
      <c r="FS2593" s="4"/>
      <c r="FT2593" s="4"/>
      <c r="FU2593" s="4"/>
      <c r="FV2593" s="4"/>
      <c r="FW2593" s="4"/>
      <c r="FX2593" s="4"/>
      <c r="FY2593" s="4"/>
      <c r="FZ2593" s="4"/>
      <c r="GA2593" s="4"/>
      <c r="GB2593" s="4"/>
      <c r="GC2593" s="4"/>
      <c r="GD2593" s="4"/>
      <c r="GE2593" s="4"/>
      <c r="GF2593" s="4"/>
      <c r="GG2593" s="4"/>
      <c r="GH2593" s="4"/>
      <c r="GI2593" s="4"/>
      <c r="GJ2593" s="4"/>
      <c r="GK2593" s="4"/>
      <c r="GL2593" s="4"/>
      <c r="GM2593" s="4"/>
      <c r="GN2593" s="4"/>
      <c r="GO2593" s="4"/>
      <c r="GP2593" s="4"/>
      <c r="GQ2593" s="4"/>
      <c r="GR2593" s="4"/>
      <c r="GS2593" s="4"/>
      <c r="GT2593" s="4"/>
      <c r="GU2593" s="4"/>
      <c r="GV2593" s="4"/>
      <c r="GW2593" s="4"/>
      <c r="GX2593" s="4"/>
      <c r="GY2593" s="4"/>
      <c r="GZ2593" s="4"/>
      <c r="HA2593" s="4"/>
      <c r="HB2593" s="4"/>
      <c r="HC2593" s="4"/>
      <c r="HD2593" s="4"/>
      <c r="HE2593" s="4"/>
      <c r="HF2593" s="4"/>
      <c r="HG2593" s="4"/>
      <c r="HH2593" s="4"/>
      <c r="HI2593" s="4"/>
      <c r="HJ2593" s="4"/>
      <c r="HK2593" s="4"/>
      <c r="HL2593" s="4"/>
      <c r="HM2593" s="4"/>
      <c r="HN2593" s="4"/>
      <c r="HO2593" s="4"/>
      <c r="HP2593" s="4"/>
      <c r="HQ2593" s="4"/>
      <c r="HR2593" s="4"/>
    </row>
    <row r="2594">
      <c r="A2594" s="2" t="s">
        <v>11413</v>
      </c>
      <c r="B2594" s="2" t="s">
        <v>228</v>
      </c>
      <c r="C2594" s="2" t="s">
        <v>530</v>
      </c>
      <c r="D2594" s="2" t="s">
        <v>1616</v>
      </c>
      <c r="E2594" s="2" t="s">
        <v>2599</v>
      </c>
      <c r="F2594" s="2" t="s">
        <v>10828</v>
      </c>
      <c r="G2594" s="2" t="s">
        <v>11414</v>
      </c>
      <c r="H2594" s="2" t="s">
        <v>11414</v>
      </c>
      <c r="I2594" s="2" t="s">
        <v>11415</v>
      </c>
      <c r="J2594" s="2" t="s">
        <v>6223</v>
      </c>
      <c r="K2594" s="2" t="s">
        <v>11416</v>
      </c>
      <c r="L2594" s="3">
        <v>15.91</v>
      </c>
      <c r="M2594" s="3">
        <v>16.71</v>
      </c>
      <c r="N2594" s="3">
        <v>36.99</v>
      </c>
      <c r="O2594" s="2" t="s">
        <v>245</v>
      </c>
      <c r="P2594" s="2" t="s">
        <v>763</v>
      </c>
      <c r="Q2594" s="2" t="s">
        <v>239</v>
      </c>
      <c r="R2594" s="2" t="s">
        <v>233</v>
      </c>
      <c r="S2594" s="2" t="s">
        <v>11417</v>
      </c>
      <c r="T2594" s="2" t="s">
        <v>976</v>
      </c>
      <c r="U2594" s="2" t="s">
        <v>396</v>
      </c>
      <c r="V2594" s="2" t="s">
        <v>359</v>
      </c>
      <c r="W2594" s="2" t="s">
        <v>705</v>
      </c>
      <c r="X2594" s="2" t="s">
        <v>233</v>
      </c>
      <c r="Y2594" s="2" t="s">
        <v>6587</v>
      </c>
      <c r="Z2594" s="4">
        <v>645</v>
      </c>
      <c r="AA2594" s="4">
        <f>=ROUNDDOWN(18.4285714285714,0)</f>
      </c>
      <c r="AB2594" s="5">
        <v>35</v>
      </c>
      <c r="AC2594" s="2" t="s">
        <v>547</v>
      </c>
      <c r="AD2594" s="4">
        <v>400</v>
      </c>
      <c r="AE2594" s="4">
        <v>800</v>
      </c>
      <c r="AF2594" s="6">
        <v>64</v>
      </c>
      <c r="AG2594" s="6"/>
      <c r="AH2594" s="7">
        <v>1</v>
      </c>
      <c r="AI2594" s="4"/>
      <c r="AJ2594" s="4">
        <f>=ROUNDDOWN({0},0)</f>
      </c>
      <c r="AK2594" s="5"/>
      <c r="AL2594" s="2" t="s">
        <v>233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233</v>
      </c>
      <c r="BD2594" s="8" t="s">
        <v>233</v>
      </c>
      <c r="BE2594" s="4" t="s">
        <v>233</v>
      </c>
      <c r="BF2594" s="8" t="s">
        <v>233</v>
      </c>
      <c r="BG2594" s="7" t="s">
        <v>233</v>
      </c>
      <c r="BH2594" s="7" t="s">
        <v>233</v>
      </c>
      <c r="BI2594" s="7"/>
      <c r="BJ2594" s="4">
        <v>59</v>
      </c>
      <c r="BK2594" s="8">
        <v>950.29</v>
      </c>
      <c r="BL2594" s="2" t="s">
        <v>11418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11419</v>
      </c>
      <c r="BV2594" s="2" t="s">
        <v>233</v>
      </c>
      <c r="BW2594" s="2" t="s">
        <v>233</v>
      </c>
      <c r="BX2594" s="2" t="s">
        <v>233</v>
      </c>
      <c r="BY2594" s="2" t="s">
        <v>280</v>
      </c>
      <c r="BZ2594" s="2" t="s">
        <v>245</v>
      </c>
      <c r="CA2594" s="2" t="s">
        <v>794</v>
      </c>
      <c r="CB2594" s="2" t="s">
        <v>2034</v>
      </c>
      <c r="CC2594" s="2" t="s">
        <v>246</v>
      </c>
      <c r="CD2594" s="2" t="s">
        <v>233</v>
      </c>
      <c r="CE2594" s="4">
        <v>645</v>
      </c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/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  <c r="DL2594" s="4"/>
      <c r="DM2594" s="4"/>
      <c r="DN2594" s="4"/>
      <c r="DO2594" s="4"/>
      <c r="DP2594" s="4"/>
      <c r="DQ2594" s="4"/>
      <c r="DR2594" s="4"/>
      <c r="DS2594" s="4"/>
      <c r="DT2594" s="4"/>
      <c r="DU2594" s="4"/>
      <c r="DV2594" s="4"/>
      <c r="DW2594" s="4"/>
      <c r="DX2594" s="4"/>
      <c r="DY2594" s="4"/>
      <c r="DZ2594" s="4"/>
      <c r="EA2594" s="4"/>
      <c r="EB2594" s="4"/>
      <c r="EC2594" s="4"/>
      <c r="ED2594" s="4"/>
      <c r="EE2594" s="4"/>
      <c r="EF2594" s="4"/>
      <c r="EG2594" s="4"/>
      <c r="EH2594" s="4"/>
      <c r="EI2594" s="4"/>
      <c r="EJ2594" s="4"/>
      <c r="EK2594" s="4"/>
      <c r="EL2594" s="4"/>
      <c r="EM2594" s="4"/>
      <c r="EN2594" s="4"/>
      <c r="EO2594" s="4"/>
      <c r="EP2594" s="4"/>
      <c r="EQ2594" s="4"/>
      <c r="ER2594" s="4"/>
      <c r="ES2594" s="4"/>
      <c r="ET2594" s="4"/>
      <c r="EU2594" s="4">
        <v>400</v>
      </c>
      <c r="EV2594" s="4"/>
      <c r="EW2594" s="4"/>
      <c r="EX2594" s="4"/>
      <c r="EY2594" s="4"/>
      <c r="EZ2594" s="4"/>
      <c r="FA2594" s="4"/>
      <c r="FB2594" s="4"/>
      <c r="FC2594" s="4"/>
      <c r="FD2594" s="4"/>
      <c r="FE2594" s="4"/>
      <c r="FF2594" s="4"/>
      <c r="FG2594" s="4"/>
      <c r="FH2594" s="4"/>
      <c r="FI2594" s="4"/>
      <c r="FJ2594" s="4"/>
      <c r="FK2594" s="4"/>
      <c r="FL2594" s="4"/>
      <c r="FM2594" s="4"/>
      <c r="FN2594" s="4"/>
      <c r="FO2594" s="4"/>
      <c r="FP2594" s="4"/>
      <c r="FQ2594" s="4"/>
      <c r="FR2594" s="4"/>
      <c r="FS2594" s="4"/>
      <c r="FT2594" s="4"/>
      <c r="FU2594" s="4"/>
      <c r="FV2594" s="4"/>
      <c r="FW2594" s="4"/>
      <c r="FX2594" s="4"/>
      <c r="FY2594" s="4"/>
      <c r="FZ2594" s="4"/>
      <c r="GA2594" s="4"/>
      <c r="GB2594" s="4"/>
      <c r="GC2594" s="4"/>
      <c r="GD2594" s="4"/>
      <c r="GE2594" s="4">
        <v>400</v>
      </c>
      <c r="GF2594" s="4"/>
      <c r="GG2594" s="4"/>
      <c r="GH2594" s="4"/>
      <c r="GI2594" s="4"/>
      <c r="GJ2594" s="4"/>
      <c r="GK2594" s="4"/>
      <c r="GL2594" s="4"/>
      <c r="GM2594" s="4"/>
      <c r="GN2594" s="4"/>
      <c r="GO2594" s="4"/>
      <c r="GP2594" s="4"/>
      <c r="GQ2594" s="4"/>
      <c r="GR2594" s="4"/>
      <c r="GS2594" s="4"/>
      <c r="GT2594" s="4"/>
      <c r="GU2594" s="4"/>
      <c r="GV2594" s="4"/>
      <c r="GW2594" s="4"/>
      <c r="GX2594" s="4"/>
      <c r="GY2594" s="4"/>
      <c r="GZ2594" s="4"/>
      <c r="HA2594" s="4"/>
      <c r="HB2594" s="4"/>
      <c r="HC2594" s="4"/>
      <c r="HD2594" s="4"/>
      <c r="HE2594" s="4"/>
      <c r="HF2594" s="4"/>
      <c r="HG2594" s="4"/>
      <c r="HH2594" s="4"/>
      <c r="HI2594" s="4"/>
      <c r="HJ2594" s="4"/>
      <c r="HK2594" s="4"/>
      <c r="HL2594" s="4"/>
      <c r="HM2594" s="4"/>
      <c r="HN2594" s="4"/>
      <c r="HO2594" s="4"/>
      <c r="HP2594" s="4"/>
      <c r="HQ2594" s="4"/>
      <c r="HR2594" s="4"/>
    </row>
    <row r="2595">
      <c r="A2595" s="2" t="s">
        <v>11420</v>
      </c>
      <c r="B2595" s="2" t="s">
        <v>228</v>
      </c>
      <c r="C2595" s="2" t="s">
        <v>530</v>
      </c>
      <c r="D2595" s="2" t="s">
        <v>969</v>
      </c>
      <c r="E2595" s="2" t="s">
        <v>1078</v>
      </c>
      <c r="F2595" s="2" t="s">
        <v>10828</v>
      </c>
      <c r="G2595" s="2" t="s">
        <v>11414</v>
      </c>
      <c r="H2595" s="2" t="s">
        <v>11414</v>
      </c>
      <c r="I2595" s="2" t="s">
        <v>11421</v>
      </c>
      <c r="J2595" s="2" t="s">
        <v>981</v>
      </c>
      <c r="K2595" s="2" t="s">
        <v>984</v>
      </c>
      <c r="L2595" s="3">
        <v>49.68</v>
      </c>
      <c r="M2595" s="3">
        <v>52.16</v>
      </c>
      <c r="N2595" s="3">
        <v>109.99</v>
      </c>
      <c r="O2595" s="2" t="s">
        <v>245</v>
      </c>
      <c r="P2595" s="2" t="s">
        <v>272</v>
      </c>
      <c r="Q2595" s="2" t="s">
        <v>239</v>
      </c>
      <c r="R2595" s="2" t="s">
        <v>233</v>
      </c>
      <c r="S2595" s="2" t="s">
        <v>11422</v>
      </c>
      <c r="T2595" s="2" t="s">
        <v>976</v>
      </c>
      <c r="U2595" s="2" t="s">
        <v>233</v>
      </c>
      <c r="V2595" s="2" t="s">
        <v>2225</v>
      </c>
      <c r="W2595" s="2" t="s">
        <v>705</v>
      </c>
      <c r="X2595" s="2" t="s">
        <v>2082</v>
      </c>
      <c r="Y2595" s="2" t="s">
        <v>276</v>
      </c>
      <c r="Z2595" s="4">
        <v>193</v>
      </c>
      <c r="AA2595" s="4">
        <f>=ROUNDDOWN(24.125,0)</f>
      </c>
      <c r="AB2595" s="5">
        <v>8</v>
      </c>
      <c r="AC2595" s="2" t="s">
        <v>233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233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 t="s">
        <v>233</v>
      </c>
      <c r="AW2595" s="8" t="s">
        <v>233</v>
      </c>
      <c r="AX2595" s="4" t="s">
        <v>233</v>
      </c>
      <c r="AY2595" s="8" t="s">
        <v>233</v>
      </c>
      <c r="AZ2595" s="7" t="s">
        <v>233</v>
      </c>
      <c r="BA2595" s="7" t="s">
        <v>233</v>
      </c>
      <c r="BB2595" s="7"/>
      <c r="BC2595" s="4" t="s">
        <v>233</v>
      </c>
      <c r="BD2595" s="8" t="s">
        <v>233</v>
      </c>
      <c r="BE2595" s="4" t="s">
        <v>233</v>
      </c>
      <c r="BF2595" s="8" t="s">
        <v>233</v>
      </c>
      <c r="BG2595" s="7" t="s">
        <v>233</v>
      </c>
      <c r="BH2595" s="7" t="s">
        <v>233</v>
      </c>
      <c r="BI2595" s="7"/>
      <c r="BJ2595" s="4">
        <v>22</v>
      </c>
      <c r="BK2595" s="8">
        <v>1154.74</v>
      </c>
      <c r="BL2595" s="2" t="s">
        <v>11423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11424</v>
      </c>
      <c r="BV2595" s="2" t="s">
        <v>233</v>
      </c>
      <c r="BW2595" s="2" t="s">
        <v>233</v>
      </c>
      <c r="BX2595" s="2" t="s">
        <v>798</v>
      </c>
      <c r="BY2595" s="2" t="s">
        <v>280</v>
      </c>
      <c r="BZ2595" s="2" t="s">
        <v>245</v>
      </c>
      <c r="CA2595" s="2" t="s">
        <v>287</v>
      </c>
      <c r="CB2595" s="2" t="s">
        <v>1730</v>
      </c>
      <c r="CC2595" s="2" t="s">
        <v>246</v>
      </c>
      <c r="CD2595" s="2" t="s">
        <v>233</v>
      </c>
      <c r="CE2595" s="4">
        <v>190</v>
      </c>
      <c r="CF2595" s="4"/>
      <c r="CG2595" s="4"/>
      <c r="CH2595" s="4"/>
      <c r="CI2595" s="4"/>
      <c r="CJ2595" s="4"/>
      <c r="CK2595" s="4"/>
      <c r="CL2595" s="4">
        <v>3</v>
      </c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/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  <c r="DL2595" s="4"/>
      <c r="DM2595" s="4"/>
      <c r="DN2595" s="4"/>
      <c r="DO2595" s="4"/>
      <c r="DP2595" s="4"/>
      <c r="DQ2595" s="4"/>
      <c r="DR2595" s="4"/>
      <c r="DS2595" s="4"/>
      <c r="DT2595" s="4"/>
      <c r="DU2595" s="4"/>
      <c r="DV2595" s="4"/>
      <c r="DW2595" s="4"/>
      <c r="DX2595" s="4"/>
      <c r="DY2595" s="4"/>
      <c r="DZ2595" s="4"/>
      <c r="EA2595" s="4"/>
      <c r="EB2595" s="4"/>
      <c r="EC2595" s="4"/>
      <c r="ED2595" s="4"/>
      <c r="EE2595" s="4"/>
      <c r="EF2595" s="4"/>
      <c r="EG2595" s="4"/>
      <c r="EH2595" s="4"/>
      <c r="EI2595" s="4"/>
      <c r="EJ2595" s="4"/>
      <c r="EK2595" s="4"/>
      <c r="EL2595" s="4"/>
      <c r="EM2595" s="4"/>
      <c r="EN2595" s="4"/>
      <c r="EO2595" s="4"/>
      <c r="EP2595" s="4"/>
      <c r="EQ2595" s="4"/>
      <c r="ER2595" s="4"/>
      <c r="ES2595" s="4"/>
      <c r="ET2595" s="4"/>
      <c r="EU2595" s="4"/>
      <c r="EV2595" s="4"/>
      <c r="EW2595" s="4"/>
      <c r="EX2595" s="4"/>
      <c r="EY2595" s="4"/>
      <c r="EZ2595" s="4"/>
      <c r="FA2595" s="4"/>
      <c r="FB2595" s="4"/>
      <c r="FC2595" s="4"/>
      <c r="FD2595" s="4"/>
      <c r="FE2595" s="4"/>
      <c r="FF2595" s="4"/>
      <c r="FG2595" s="4"/>
      <c r="FH2595" s="4"/>
      <c r="FI2595" s="4"/>
      <c r="FJ2595" s="4"/>
      <c r="FK2595" s="4"/>
      <c r="FL2595" s="4"/>
      <c r="FM2595" s="4"/>
      <c r="FN2595" s="4"/>
      <c r="FO2595" s="4"/>
      <c r="FP2595" s="4"/>
      <c r="FQ2595" s="4"/>
      <c r="FR2595" s="4"/>
      <c r="FS2595" s="4"/>
      <c r="FT2595" s="4"/>
      <c r="FU2595" s="4"/>
      <c r="FV2595" s="4"/>
      <c r="FW2595" s="4"/>
      <c r="FX2595" s="4"/>
      <c r="FY2595" s="4"/>
      <c r="FZ2595" s="4"/>
      <c r="GA2595" s="4"/>
      <c r="GB2595" s="4"/>
      <c r="GC2595" s="4"/>
      <c r="GD2595" s="4"/>
      <c r="GE2595" s="4"/>
      <c r="GF2595" s="4"/>
      <c r="GG2595" s="4"/>
      <c r="GH2595" s="4"/>
      <c r="GI2595" s="4"/>
      <c r="GJ2595" s="4"/>
      <c r="GK2595" s="4"/>
      <c r="GL2595" s="4"/>
      <c r="GM2595" s="4"/>
      <c r="GN2595" s="4"/>
      <c r="GO2595" s="4"/>
      <c r="GP2595" s="4"/>
      <c r="GQ2595" s="4"/>
      <c r="GR2595" s="4"/>
      <c r="GS2595" s="4"/>
      <c r="GT2595" s="4"/>
      <c r="GU2595" s="4"/>
      <c r="GV2595" s="4"/>
      <c r="GW2595" s="4"/>
      <c r="GX2595" s="4"/>
      <c r="GY2595" s="4"/>
      <c r="GZ2595" s="4"/>
      <c r="HA2595" s="4"/>
      <c r="HB2595" s="4"/>
      <c r="HC2595" s="4"/>
      <c r="HD2595" s="4"/>
      <c r="HE2595" s="4"/>
      <c r="HF2595" s="4"/>
      <c r="HG2595" s="4"/>
      <c r="HH2595" s="4"/>
      <c r="HI2595" s="4"/>
      <c r="HJ2595" s="4"/>
      <c r="HK2595" s="4"/>
      <c r="HL2595" s="4"/>
      <c r="HM2595" s="4"/>
      <c r="HN2595" s="4"/>
      <c r="HO2595" s="4"/>
      <c r="HP2595" s="4"/>
      <c r="HQ2595" s="4"/>
      <c r="HR2595" s="4"/>
    </row>
    <row r="2596">
      <c r="A2596" s="2" t="s">
        <v>11425</v>
      </c>
      <c r="B2596" s="2" t="s">
        <v>228</v>
      </c>
      <c r="C2596" s="2" t="s">
        <v>530</v>
      </c>
      <c r="D2596" s="2" t="s">
        <v>1194</v>
      </c>
      <c r="E2596" s="2" t="s">
        <v>1195</v>
      </c>
      <c r="F2596" s="2" t="s">
        <v>10828</v>
      </c>
      <c r="G2596" s="2" t="s">
        <v>11414</v>
      </c>
      <c r="H2596" s="2" t="s">
        <v>11414</v>
      </c>
      <c r="I2596" s="2" t="s">
        <v>4933</v>
      </c>
      <c r="J2596" s="2" t="s">
        <v>1200</v>
      </c>
      <c r="K2596" s="2" t="s">
        <v>984</v>
      </c>
      <c r="L2596" s="3">
        <v>14.83</v>
      </c>
      <c r="M2596" s="3">
        <v>15.57</v>
      </c>
      <c r="N2596" s="3">
        <v>31.99</v>
      </c>
      <c r="O2596" s="2" t="s">
        <v>245</v>
      </c>
      <c r="P2596" s="2" t="s">
        <v>272</v>
      </c>
      <c r="Q2596" s="2" t="s">
        <v>239</v>
      </c>
      <c r="R2596" s="2" t="s">
        <v>233</v>
      </c>
      <c r="S2596" s="2" t="s">
        <v>11422</v>
      </c>
      <c r="T2596" s="2" t="s">
        <v>976</v>
      </c>
      <c r="U2596" s="2" t="s">
        <v>233</v>
      </c>
      <c r="V2596" s="2" t="s">
        <v>2225</v>
      </c>
      <c r="W2596" s="2" t="s">
        <v>705</v>
      </c>
      <c r="X2596" s="2" t="s">
        <v>233</v>
      </c>
      <c r="Y2596" s="2" t="s">
        <v>276</v>
      </c>
      <c r="Z2596" s="4">
        <v>323</v>
      </c>
      <c r="AA2596" s="4">
        <f>=ROUNDDOWN(17,0)</f>
      </c>
      <c r="AB2596" s="5">
        <v>19</v>
      </c>
      <c r="AC2596" s="2" t="s">
        <v>2388</v>
      </c>
      <c r="AD2596" s="4">
        <v>250</v>
      </c>
      <c r="AE2596" s="4">
        <v>700</v>
      </c>
      <c r="AF2596" s="6">
        <v>64</v>
      </c>
      <c r="AG2596" s="6"/>
      <c r="AH2596" s="7">
        <v>1</v>
      </c>
      <c r="AI2596" s="4"/>
      <c r="AJ2596" s="4">
        <f>=ROUNDDOWN({0},0)</f>
      </c>
      <c r="AK2596" s="5"/>
      <c r="AL2596" s="2" t="s">
        <v>233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 t="s">
        <v>233</v>
      </c>
      <c r="AW2596" s="8" t="s">
        <v>233</v>
      </c>
      <c r="AX2596" s="4" t="s">
        <v>233</v>
      </c>
      <c r="AY2596" s="8" t="s">
        <v>233</v>
      </c>
      <c r="AZ2596" s="7" t="s">
        <v>233</v>
      </c>
      <c r="BA2596" s="7" t="s">
        <v>233</v>
      </c>
      <c r="BB2596" s="7"/>
      <c r="BC2596" s="4" t="s">
        <v>233</v>
      </c>
      <c r="BD2596" s="8" t="s">
        <v>233</v>
      </c>
      <c r="BE2596" s="4" t="s">
        <v>233</v>
      </c>
      <c r="BF2596" s="8" t="s">
        <v>233</v>
      </c>
      <c r="BG2596" s="7" t="s">
        <v>233</v>
      </c>
      <c r="BH2596" s="7" t="s">
        <v>233</v>
      </c>
      <c r="BI2596" s="7"/>
      <c r="BJ2596" s="4">
        <v>83</v>
      </c>
      <c r="BK2596" s="8">
        <v>1175.91</v>
      </c>
      <c r="BL2596" s="2" t="s">
        <v>11426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11427</v>
      </c>
      <c r="BV2596" s="2" t="s">
        <v>233</v>
      </c>
      <c r="BW2596" s="2" t="s">
        <v>233</v>
      </c>
      <c r="BX2596" s="2" t="s">
        <v>233</v>
      </c>
      <c r="BY2596" s="2" t="s">
        <v>280</v>
      </c>
      <c r="BZ2596" s="2" t="s">
        <v>245</v>
      </c>
      <c r="CA2596" s="2" t="s">
        <v>281</v>
      </c>
      <c r="CB2596" s="2" t="s">
        <v>11428</v>
      </c>
      <c r="CC2596" s="2" t="s">
        <v>246</v>
      </c>
      <c r="CD2596" s="2" t="s">
        <v>233</v>
      </c>
      <c r="CE2596" s="4">
        <v>323</v>
      </c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/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  <c r="DL2596" s="4"/>
      <c r="DM2596" s="4"/>
      <c r="DN2596" s="4"/>
      <c r="DO2596" s="4"/>
      <c r="DP2596" s="4"/>
      <c r="DQ2596" s="4"/>
      <c r="DR2596" s="4">
        <v>250</v>
      </c>
      <c r="DS2596" s="4"/>
      <c r="DT2596" s="4"/>
      <c r="DU2596" s="4"/>
      <c r="DV2596" s="4"/>
      <c r="DW2596" s="4"/>
      <c r="DX2596" s="4"/>
      <c r="DY2596" s="4"/>
      <c r="DZ2596" s="4"/>
      <c r="EA2596" s="4"/>
      <c r="EB2596" s="4"/>
      <c r="EC2596" s="4"/>
      <c r="ED2596" s="4"/>
      <c r="EE2596" s="4"/>
      <c r="EF2596" s="4"/>
      <c r="EG2596" s="4"/>
      <c r="EH2596" s="4"/>
      <c r="EI2596" s="4"/>
      <c r="EJ2596" s="4"/>
      <c r="EK2596" s="4"/>
      <c r="EL2596" s="4"/>
      <c r="EM2596" s="4"/>
      <c r="EN2596" s="4"/>
      <c r="EO2596" s="4"/>
      <c r="EP2596" s="4"/>
      <c r="EQ2596" s="4"/>
      <c r="ER2596" s="4"/>
      <c r="ES2596" s="4"/>
      <c r="ET2596" s="4"/>
      <c r="EU2596" s="4"/>
      <c r="EV2596" s="4"/>
      <c r="EW2596" s="4"/>
      <c r="EX2596" s="4"/>
      <c r="EY2596" s="4"/>
      <c r="EZ2596" s="4"/>
      <c r="FA2596" s="4"/>
      <c r="FB2596" s="4"/>
      <c r="FC2596" s="4"/>
      <c r="FD2596" s="4"/>
      <c r="FE2596" s="4"/>
      <c r="FF2596" s="4"/>
      <c r="FG2596" s="4"/>
      <c r="FH2596" s="4"/>
      <c r="FI2596" s="4"/>
      <c r="FJ2596" s="4"/>
      <c r="FK2596" s="4"/>
      <c r="FL2596" s="4"/>
      <c r="FM2596" s="4"/>
      <c r="FN2596" s="4">
        <v>300</v>
      </c>
      <c r="FO2596" s="4"/>
      <c r="FP2596" s="4"/>
      <c r="FQ2596" s="4"/>
      <c r="FR2596" s="4"/>
      <c r="FS2596" s="4"/>
      <c r="FT2596" s="4"/>
      <c r="FU2596" s="4"/>
      <c r="FV2596" s="4"/>
      <c r="FW2596" s="4"/>
      <c r="FX2596" s="4"/>
      <c r="FY2596" s="4"/>
      <c r="FZ2596" s="4"/>
      <c r="GA2596" s="4"/>
      <c r="GB2596" s="4"/>
      <c r="GC2596" s="4"/>
      <c r="GD2596" s="4"/>
      <c r="GE2596" s="4"/>
      <c r="GF2596" s="4"/>
      <c r="GG2596" s="4"/>
      <c r="GH2596" s="4"/>
      <c r="GI2596" s="4"/>
      <c r="GJ2596" s="4"/>
      <c r="GK2596" s="4"/>
      <c r="GL2596" s="4"/>
      <c r="GM2596" s="4"/>
      <c r="GN2596" s="4"/>
      <c r="GO2596" s="4"/>
      <c r="GP2596" s="4"/>
      <c r="GQ2596" s="4"/>
      <c r="GR2596" s="4"/>
      <c r="GS2596" s="4"/>
      <c r="GT2596" s="4"/>
      <c r="GU2596" s="4"/>
      <c r="GV2596" s="4"/>
      <c r="GW2596" s="4">
        <v>150</v>
      </c>
      <c r="GX2596" s="4"/>
      <c r="GY2596" s="4"/>
      <c r="GZ2596" s="4"/>
      <c r="HA2596" s="4"/>
      <c r="HB2596" s="4"/>
      <c r="HC2596" s="4"/>
      <c r="HD2596" s="4"/>
      <c r="HE2596" s="4"/>
      <c r="HF2596" s="4"/>
      <c r="HG2596" s="4"/>
      <c r="HH2596" s="4"/>
      <c r="HI2596" s="4"/>
      <c r="HJ2596" s="4"/>
      <c r="HK2596" s="4"/>
      <c r="HL2596" s="4"/>
      <c r="HM2596" s="4"/>
      <c r="HN2596" s="4"/>
      <c r="HO2596" s="4"/>
      <c r="HP2596" s="4"/>
      <c r="HQ2596" s="4"/>
      <c r="HR2596" s="4"/>
    </row>
    <row r="2597">
      <c r="A2597" s="2" t="s">
        <v>11429</v>
      </c>
      <c r="B2597" s="2" t="s">
        <v>228</v>
      </c>
      <c r="C2597" s="2" t="s">
        <v>530</v>
      </c>
      <c r="D2597" s="2" t="s">
        <v>1616</v>
      </c>
      <c r="E2597" s="2" t="s">
        <v>2599</v>
      </c>
      <c r="F2597" s="2" t="s">
        <v>10828</v>
      </c>
      <c r="G2597" s="2" t="s">
        <v>11414</v>
      </c>
      <c r="H2597" s="2" t="s">
        <v>11414</v>
      </c>
      <c r="I2597" s="2" t="s">
        <v>11415</v>
      </c>
      <c r="J2597" s="2" t="s">
        <v>6223</v>
      </c>
      <c r="K2597" s="2" t="s">
        <v>984</v>
      </c>
      <c r="L2597" s="3">
        <v>15.91</v>
      </c>
      <c r="M2597" s="3">
        <v>16.71</v>
      </c>
      <c r="N2597" s="3">
        <v>36.99</v>
      </c>
      <c r="O2597" s="2" t="s">
        <v>245</v>
      </c>
      <c r="P2597" s="2" t="s">
        <v>763</v>
      </c>
      <c r="Q2597" s="2" t="s">
        <v>239</v>
      </c>
      <c r="R2597" s="2" t="s">
        <v>233</v>
      </c>
      <c r="S2597" s="2" t="s">
        <v>11422</v>
      </c>
      <c r="T2597" s="2" t="s">
        <v>976</v>
      </c>
      <c r="U2597" s="2" t="s">
        <v>233</v>
      </c>
      <c r="V2597" s="2" t="s">
        <v>2225</v>
      </c>
      <c r="W2597" s="2" t="s">
        <v>705</v>
      </c>
      <c r="X2597" s="2" t="s">
        <v>233</v>
      </c>
      <c r="Y2597" s="2" t="s">
        <v>276</v>
      </c>
      <c r="Z2597" s="4">
        <v>551</v>
      </c>
      <c r="AA2597" s="4">
        <f>=ROUNDDOWN(12.5227272727273,0)</f>
      </c>
      <c r="AB2597" s="5">
        <v>44</v>
      </c>
      <c r="AC2597" s="2" t="s">
        <v>2388</v>
      </c>
      <c r="AD2597" s="4">
        <v>420</v>
      </c>
      <c r="AE2597" s="4">
        <v>1380</v>
      </c>
      <c r="AF2597" s="6">
        <v>64</v>
      </c>
      <c r="AG2597" s="6"/>
      <c r="AH2597" s="7">
        <v>1</v>
      </c>
      <c r="AI2597" s="4"/>
      <c r="AJ2597" s="4">
        <f>=ROUNDDOWN({0},0)</f>
      </c>
      <c r="AK2597" s="5"/>
      <c r="AL2597" s="2" t="s">
        <v>233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233</v>
      </c>
      <c r="AW2597" s="8" t="s">
        <v>233</v>
      </c>
      <c r="AX2597" s="4" t="s">
        <v>233</v>
      </c>
      <c r="AY2597" s="8" t="s">
        <v>233</v>
      </c>
      <c r="AZ2597" s="7" t="s">
        <v>233</v>
      </c>
      <c r="BA2597" s="7" t="s">
        <v>233</v>
      </c>
      <c r="BB2597" s="7"/>
      <c r="BC2597" s="4" t="s">
        <v>233</v>
      </c>
      <c r="BD2597" s="8" t="s">
        <v>233</v>
      </c>
      <c r="BE2597" s="4" t="s">
        <v>233</v>
      </c>
      <c r="BF2597" s="8" t="s">
        <v>233</v>
      </c>
      <c r="BG2597" s="7" t="s">
        <v>233</v>
      </c>
      <c r="BH2597" s="7" t="s">
        <v>233</v>
      </c>
      <c r="BI2597" s="7"/>
      <c r="BJ2597" s="4">
        <v>93</v>
      </c>
      <c r="BK2597" s="8">
        <v>1544.91</v>
      </c>
      <c r="BL2597" s="2" t="s">
        <v>11430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11431</v>
      </c>
      <c r="BV2597" s="2" t="s">
        <v>233</v>
      </c>
      <c r="BW2597" s="2" t="s">
        <v>233</v>
      </c>
      <c r="BX2597" s="2" t="s">
        <v>233</v>
      </c>
      <c r="BY2597" s="2" t="s">
        <v>280</v>
      </c>
      <c r="BZ2597" s="2" t="s">
        <v>245</v>
      </c>
      <c r="CA2597" s="2" t="s">
        <v>281</v>
      </c>
      <c r="CB2597" s="2" t="s">
        <v>11432</v>
      </c>
      <c r="CC2597" s="2" t="s">
        <v>246</v>
      </c>
      <c r="CD2597" s="2" t="s">
        <v>233</v>
      </c>
      <c r="CE2597" s="4">
        <v>446</v>
      </c>
      <c r="CF2597" s="4"/>
      <c r="CG2597" s="4"/>
      <c r="CH2597" s="4"/>
      <c r="CI2597" s="4"/>
      <c r="CJ2597" s="4"/>
      <c r="CK2597" s="4"/>
      <c r="CL2597" s="4">
        <v>105</v>
      </c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/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  <c r="DL2597" s="4"/>
      <c r="DM2597" s="4"/>
      <c r="DN2597" s="4"/>
      <c r="DO2597" s="4"/>
      <c r="DP2597" s="4"/>
      <c r="DQ2597" s="4"/>
      <c r="DR2597" s="4">
        <v>420</v>
      </c>
      <c r="DS2597" s="4"/>
      <c r="DT2597" s="4"/>
      <c r="DU2597" s="4"/>
      <c r="DV2597" s="4"/>
      <c r="DW2597" s="4"/>
      <c r="DX2597" s="4"/>
      <c r="DY2597" s="4"/>
      <c r="DZ2597" s="4"/>
      <c r="EA2597" s="4"/>
      <c r="EB2597" s="4"/>
      <c r="EC2597" s="4"/>
      <c r="ED2597" s="4"/>
      <c r="EE2597" s="4"/>
      <c r="EF2597" s="4"/>
      <c r="EG2597" s="4"/>
      <c r="EH2597" s="4"/>
      <c r="EI2597" s="4"/>
      <c r="EJ2597" s="4"/>
      <c r="EK2597" s="4"/>
      <c r="EL2597" s="4"/>
      <c r="EM2597" s="4"/>
      <c r="EN2597" s="4"/>
      <c r="EO2597" s="4"/>
      <c r="EP2597" s="4"/>
      <c r="EQ2597" s="4"/>
      <c r="ER2597" s="4"/>
      <c r="ES2597" s="4"/>
      <c r="ET2597" s="4"/>
      <c r="EU2597" s="4"/>
      <c r="EV2597" s="4"/>
      <c r="EW2597" s="4"/>
      <c r="EX2597" s="4"/>
      <c r="EY2597" s="4"/>
      <c r="EZ2597" s="4"/>
      <c r="FA2597" s="4"/>
      <c r="FB2597" s="4"/>
      <c r="FC2597" s="4"/>
      <c r="FD2597" s="4"/>
      <c r="FE2597" s="4"/>
      <c r="FF2597" s="4"/>
      <c r="FG2597" s="4"/>
      <c r="FH2597" s="4"/>
      <c r="FI2597" s="4"/>
      <c r="FJ2597" s="4"/>
      <c r="FK2597" s="4"/>
      <c r="FL2597" s="4"/>
      <c r="FM2597" s="4"/>
      <c r="FN2597" s="4">
        <v>560</v>
      </c>
      <c r="FO2597" s="4"/>
      <c r="FP2597" s="4"/>
      <c r="FQ2597" s="4"/>
      <c r="FR2597" s="4"/>
      <c r="FS2597" s="4"/>
      <c r="FT2597" s="4"/>
      <c r="FU2597" s="4"/>
      <c r="FV2597" s="4"/>
      <c r="FW2597" s="4"/>
      <c r="FX2597" s="4"/>
      <c r="FY2597" s="4"/>
      <c r="FZ2597" s="4"/>
      <c r="GA2597" s="4"/>
      <c r="GB2597" s="4"/>
      <c r="GC2597" s="4"/>
      <c r="GD2597" s="4"/>
      <c r="GE2597" s="4"/>
      <c r="GF2597" s="4"/>
      <c r="GG2597" s="4"/>
      <c r="GH2597" s="4"/>
      <c r="GI2597" s="4"/>
      <c r="GJ2597" s="4"/>
      <c r="GK2597" s="4"/>
      <c r="GL2597" s="4"/>
      <c r="GM2597" s="4"/>
      <c r="GN2597" s="4"/>
      <c r="GO2597" s="4"/>
      <c r="GP2597" s="4"/>
      <c r="GQ2597" s="4"/>
      <c r="GR2597" s="4"/>
      <c r="GS2597" s="4"/>
      <c r="GT2597" s="4"/>
      <c r="GU2597" s="4"/>
      <c r="GV2597" s="4"/>
      <c r="GW2597" s="4">
        <v>400</v>
      </c>
      <c r="GX2597" s="4"/>
      <c r="GY2597" s="4"/>
      <c r="GZ2597" s="4"/>
      <c r="HA2597" s="4"/>
      <c r="HB2597" s="4"/>
      <c r="HC2597" s="4"/>
      <c r="HD2597" s="4"/>
      <c r="HE2597" s="4"/>
      <c r="HF2597" s="4"/>
      <c r="HG2597" s="4"/>
      <c r="HH2597" s="4"/>
      <c r="HI2597" s="4"/>
      <c r="HJ2597" s="4"/>
      <c r="HK2597" s="4"/>
      <c r="HL2597" s="4"/>
      <c r="HM2597" s="4"/>
      <c r="HN2597" s="4"/>
      <c r="HO2597" s="4"/>
      <c r="HP2597" s="4"/>
      <c r="HQ2597" s="4"/>
      <c r="HR2597" s="4"/>
    </row>
    <row r="2598">
      <c r="A2598" s="2" t="s">
        <v>11433</v>
      </c>
      <c r="B2598" s="2" t="s">
        <v>228</v>
      </c>
      <c r="C2598" s="2" t="s">
        <v>530</v>
      </c>
      <c r="D2598" s="2" t="s">
        <v>1616</v>
      </c>
      <c r="E2598" s="2" t="s">
        <v>2599</v>
      </c>
      <c r="F2598" s="2" t="s">
        <v>10828</v>
      </c>
      <c r="G2598" s="2" t="s">
        <v>11414</v>
      </c>
      <c r="H2598" s="2" t="s">
        <v>11414</v>
      </c>
      <c r="I2598" s="2" t="s">
        <v>11434</v>
      </c>
      <c r="J2598" s="2" t="s">
        <v>11435</v>
      </c>
      <c r="K2598" s="2" t="s">
        <v>984</v>
      </c>
      <c r="L2598" s="3">
        <v>27.6</v>
      </c>
      <c r="M2598" s="3">
        <v>28.98</v>
      </c>
      <c r="N2598" s="3">
        <v>59.99</v>
      </c>
      <c r="O2598" s="2" t="s">
        <v>245</v>
      </c>
      <c r="P2598" s="2" t="s">
        <v>311</v>
      </c>
      <c r="Q2598" s="2" t="s">
        <v>239</v>
      </c>
      <c r="R2598" s="2" t="s">
        <v>233</v>
      </c>
      <c r="S2598" s="2" t="s">
        <v>11422</v>
      </c>
      <c r="T2598" s="2" t="s">
        <v>976</v>
      </c>
      <c r="U2598" s="2" t="s">
        <v>233</v>
      </c>
      <c r="V2598" s="2" t="s">
        <v>359</v>
      </c>
      <c r="W2598" s="2" t="s">
        <v>705</v>
      </c>
      <c r="X2598" s="2" t="s">
        <v>233</v>
      </c>
      <c r="Y2598" s="2" t="s">
        <v>276</v>
      </c>
      <c r="Z2598" s="4">
        <v>362</v>
      </c>
      <c r="AA2598" s="4">
        <f>=ROUNDDOWN(120.666666666667,0)</f>
      </c>
      <c r="AB2598" s="5">
        <v>3</v>
      </c>
      <c r="AC2598" s="2" t="s">
        <v>233</v>
      </c>
      <c r="AD2598" s="4"/>
      <c r="AE2598" s="4"/>
      <c r="AF2598" s="6">
        <v>64</v>
      </c>
      <c r="AG2598" s="6"/>
      <c r="AH2598" s="7">
        <v>1</v>
      </c>
      <c r="AI2598" s="4"/>
      <c r="AJ2598" s="4">
        <f>=ROUNDDOWN({0},0)</f>
      </c>
      <c r="AK2598" s="5"/>
      <c r="AL2598" s="2" t="s">
        <v>233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 t="s">
        <v>233</v>
      </c>
      <c r="AW2598" s="8" t="s">
        <v>233</v>
      </c>
      <c r="AX2598" s="4" t="s">
        <v>233</v>
      </c>
      <c r="AY2598" s="8" t="s">
        <v>233</v>
      </c>
      <c r="AZ2598" s="7" t="s">
        <v>233</v>
      </c>
      <c r="BA2598" s="7" t="s">
        <v>233</v>
      </c>
      <c r="BB2598" s="7"/>
      <c r="BC2598" s="4" t="s">
        <v>233</v>
      </c>
      <c r="BD2598" s="8" t="s">
        <v>233</v>
      </c>
      <c r="BE2598" s="4" t="s">
        <v>233</v>
      </c>
      <c r="BF2598" s="8" t="s">
        <v>233</v>
      </c>
      <c r="BG2598" s="7" t="s">
        <v>233</v>
      </c>
      <c r="BH2598" s="7" t="s">
        <v>233</v>
      </c>
      <c r="BI2598" s="7"/>
      <c r="BJ2598" s="4">
        <v>6</v>
      </c>
      <c r="BK2598" s="8">
        <v>169.09</v>
      </c>
      <c r="BL2598" s="2" t="s">
        <v>11436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11437</v>
      </c>
      <c r="BV2598" s="2" t="s">
        <v>233</v>
      </c>
      <c r="BW2598" s="2" t="s">
        <v>233</v>
      </c>
      <c r="BX2598" s="2" t="s">
        <v>595</v>
      </c>
      <c r="BY2598" s="2" t="s">
        <v>280</v>
      </c>
      <c r="BZ2598" s="2" t="s">
        <v>245</v>
      </c>
      <c r="CA2598" s="2" t="s">
        <v>281</v>
      </c>
      <c r="CB2598" s="2" t="s">
        <v>11438</v>
      </c>
      <c r="CC2598" s="2" t="s">
        <v>246</v>
      </c>
      <c r="CD2598" s="2" t="s">
        <v>233</v>
      </c>
      <c r="CE2598" s="4">
        <v>362</v>
      </c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/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  <c r="DL2598" s="4"/>
      <c r="DM2598" s="4"/>
      <c r="DN2598" s="4"/>
      <c r="DO2598" s="4"/>
      <c r="DP2598" s="4"/>
      <c r="DQ2598" s="4"/>
      <c r="DR2598" s="4"/>
      <c r="DS2598" s="4"/>
      <c r="DT2598" s="4"/>
      <c r="DU2598" s="4"/>
      <c r="DV2598" s="4"/>
      <c r="DW2598" s="4"/>
      <c r="DX2598" s="4"/>
      <c r="DY2598" s="4"/>
      <c r="DZ2598" s="4"/>
      <c r="EA2598" s="4"/>
      <c r="EB2598" s="4"/>
      <c r="EC2598" s="4"/>
      <c r="ED2598" s="4"/>
      <c r="EE2598" s="4"/>
      <c r="EF2598" s="4"/>
      <c r="EG2598" s="4"/>
      <c r="EH2598" s="4"/>
      <c r="EI2598" s="4"/>
      <c r="EJ2598" s="4"/>
      <c r="EK2598" s="4"/>
      <c r="EL2598" s="4"/>
      <c r="EM2598" s="4"/>
      <c r="EN2598" s="4"/>
      <c r="EO2598" s="4"/>
      <c r="EP2598" s="4"/>
      <c r="EQ2598" s="4"/>
      <c r="ER2598" s="4"/>
      <c r="ES2598" s="4"/>
      <c r="ET2598" s="4"/>
      <c r="EU2598" s="4"/>
      <c r="EV2598" s="4"/>
      <c r="EW2598" s="4"/>
      <c r="EX2598" s="4"/>
      <c r="EY2598" s="4"/>
      <c r="EZ2598" s="4"/>
      <c r="FA2598" s="4"/>
      <c r="FB2598" s="4"/>
      <c r="FC2598" s="4"/>
      <c r="FD2598" s="4"/>
      <c r="FE2598" s="4"/>
      <c r="FF2598" s="4"/>
      <c r="FG2598" s="4"/>
      <c r="FH2598" s="4"/>
      <c r="FI2598" s="4"/>
      <c r="FJ2598" s="4"/>
      <c r="FK2598" s="4"/>
      <c r="FL2598" s="4"/>
      <c r="FM2598" s="4"/>
      <c r="FN2598" s="4"/>
      <c r="FO2598" s="4"/>
      <c r="FP2598" s="4"/>
      <c r="FQ2598" s="4"/>
      <c r="FR2598" s="4"/>
      <c r="FS2598" s="4"/>
      <c r="FT2598" s="4"/>
      <c r="FU2598" s="4"/>
      <c r="FV2598" s="4"/>
      <c r="FW2598" s="4"/>
      <c r="FX2598" s="4"/>
      <c r="FY2598" s="4"/>
      <c r="FZ2598" s="4"/>
      <c r="GA2598" s="4"/>
      <c r="GB2598" s="4"/>
      <c r="GC2598" s="4"/>
      <c r="GD2598" s="4"/>
      <c r="GE2598" s="4"/>
      <c r="GF2598" s="4"/>
      <c r="GG2598" s="4"/>
      <c r="GH2598" s="4"/>
      <c r="GI2598" s="4"/>
      <c r="GJ2598" s="4"/>
      <c r="GK2598" s="4"/>
      <c r="GL2598" s="4"/>
      <c r="GM2598" s="4"/>
      <c r="GN2598" s="4"/>
      <c r="GO2598" s="4"/>
      <c r="GP2598" s="4"/>
      <c r="GQ2598" s="4"/>
      <c r="GR2598" s="4"/>
      <c r="GS2598" s="4"/>
      <c r="GT2598" s="4"/>
      <c r="GU2598" s="4"/>
      <c r="GV2598" s="4"/>
      <c r="GW2598" s="4"/>
      <c r="GX2598" s="4"/>
      <c r="GY2598" s="4"/>
      <c r="GZ2598" s="4"/>
      <c r="HA2598" s="4"/>
      <c r="HB2598" s="4"/>
      <c r="HC2598" s="4"/>
      <c r="HD2598" s="4"/>
      <c r="HE2598" s="4"/>
      <c r="HF2598" s="4"/>
      <c r="HG2598" s="4"/>
      <c r="HH2598" s="4"/>
      <c r="HI2598" s="4"/>
      <c r="HJ2598" s="4"/>
      <c r="HK2598" s="4"/>
      <c r="HL2598" s="4"/>
      <c r="HM2598" s="4"/>
      <c r="HN2598" s="4"/>
      <c r="HO2598" s="4"/>
      <c r="HP2598" s="4"/>
      <c r="HQ2598" s="4"/>
      <c r="HR2598" s="4"/>
    </row>
    <row r="2599">
      <c r="A2599" s="2" t="s">
        <v>11439</v>
      </c>
      <c r="B2599" s="2" t="s">
        <v>228</v>
      </c>
      <c r="C2599" s="2" t="s">
        <v>701</v>
      </c>
      <c r="D2599" s="2" t="s">
        <v>3847</v>
      </c>
      <c r="E2599" s="2" t="s">
        <v>11440</v>
      </c>
      <c r="F2599" s="2" t="s">
        <v>10828</v>
      </c>
      <c r="G2599" s="2" t="s">
        <v>11414</v>
      </c>
      <c r="H2599" s="2" t="s">
        <v>11414</v>
      </c>
      <c r="I2599" s="2" t="s">
        <v>11441</v>
      </c>
      <c r="J2599" s="2" t="s">
        <v>6164</v>
      </c>
      <c r="K2599" s="2" t="s">
        <v>255</v>
      </c>
      <c r="L2599" s="3">
        <v>42.9</v>
      </c>
      <c r="M2599" s="3">
        <v>45.05</v>
      </c>
      <c r="N2599" s="3">
        <v>84.99</v>
      </c>
      <c r="O2599" s="2" t="s">
        <v>245</v>
      </c>
      <c r="P2599" s="2" t="s">
        <v>311</v>
      </c>
      <c r="Q2599" s="2" t="s">
        <v>239</v>
      </c>
      <c r="R2599" s="2" t="s">
        <v>233</v>
      </c>
      <c r="S2599" s="2" t="s">
        <v>233</v>
      </c>
      <c r="T2599" s="2" t="s">
        <v>976</v>
      </c>
      <c r="U2599" s="2" t="s">
        <v>396</v>
      </c>
      <c r="V2599" s="2" t="s">
        <v>2225</v>
      </c>
      <c r="W2599" s="2" t="s">
        <v>705</v>
      </c>
      <c r="X2599" s="2" t="s">
        <v>451</v>
      </c>
      <c r="Y2599" s="2" t="s">
        <v>11442</v>
      </c>
      <c r="Z2599" s="4">
        <v>403</v>
      </c>
      <c r="AA2599" s="4">
        <f>=ROUNDDOWN(40.3,0)</f>
      </c>
      <c r="AB2599" s="5">
        <v>10</v>
      </c>
      <c r="AC2599" s="2" t="s">
        <v>233</v>
      </c>
      <c r="AD2599" s="4"/>
      <c r="AE2599" s="4"/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233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 t="s">
        <v>233</v>
      </c>
      <c r="AW2599" s="8" t="s">
        <v>233</v>
      </c>
      <c r="AX2599" s="4" t="s">
        <v>233</v>
      </c>
      <c r="AY2599" s="8" t="s">
        <v>233</v>
      </c>
      <c r="AZ2599" s="7" t="s">
        <v>233</v>
      </c>
      <c r="BA2599" s="7" t="s">
        <v>233</v>
      </c>
      <c r="BB2599" s="7"/>
      <c r="BC2599" s="4" t="s">
        <v>233</v>
      </c>
      <c r="BD2599" s="8" t="s">
        <v>233</v>
      </c>
      <c r="BE2599" s="4" t="s">
        <v>233</v>
      </c>
      <c r="BF2599" s="8" t="s">
        <v>233</v>
      </c>
      <c r="BG2599" s="7" t="s">
        <v>233</v>
      </c>
      <c r="BH2599" s="7" t="s">
        <v>233</v>
      </c>
      <c r="BI2599" s="7"/>
      <c r="BJ2599" s="4">
        <v>5</v>
      </c>
      <c r="BK2599" s="8">
        <v>238.98</v>
      </c>
      <c r="BL2599" s="2" t="s">
        <v>11443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11444</v>
      </c>
      <c r="BV2599" s="2" t="s">
        <v>233</v>
      </c>
      <c r="BW2599" s="2" t="s">
        <v>233</v>
      </c>
      <c r="BX2599" s="2" t="s">
        <v>595</v>
      </c>
      <c r="BY2599" s="2" t="s">
        <v>280</v>
      </c>
      <c r="BZ2599" s="2" t="s">
        <v>245</v>
      </c>
      <c r="CA2599" s="2" t="s">
        <v>1778</v>
      </c>
      <c r="CB2599" s="2" t="s">
        <v>1437</v>
      </c>
      <c r="CC2599" s="2" t="s">
        <v>246</v>
      </c>
      <c r="CD2599" s="2" t="s">
        <v>233</v>
      </c>
      <c r="CE2599" s="4">
        <v>403</v>
      </c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/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  <c r="DL2599" s="4"/>
      <c r="DM2599" s="4"/>
      <c r="DN2599" s="4"/>
      <c r="DO2599" s="4"/>
      <c r="DP2599" s="4"/>
      <c r="DQ2599" s="4"/>
      <c r="DR2599" s="4"/>
      <c r="DS2599" s="4"/>
      <c r="DT2599" s="4"/>
      <c r="DU2599" s="4"/>
      <c r="DV2599" s="4"/>
      <c r="DW2599" s="4"/>
      <c r="DX2599" s="4"/>
      <c r="DY2599" s="4"/>
      <c r="DZ2599" s="4"/>
      <c r="EA2599" s="4"/>
      <c r="EB2599" s="4"/>
      <c r="EC2599" s="4"/>
      <c r="ED2599" s="4"/>
      <c r="EE2599" s="4"/>
      <c r="EF2599" s="4"/>
      <c r="EG2599" s="4"/>
      <c r="EH2599" s="4"/>
      <c r="EI2599" s="4"/>
      <c r="EJ2599" s="4"/>
      <c r="EK2599" s="4"/>
      <c r="EL2599" s="4"/>
      <c r="EM2599" s="4"/>
      <c r="EN2599" s="4"/>
      <c r="EO2599" s="4"/>
      <c r="EP2599" s="4"/>
      <c r="EQ2599" s="4"/>
      <c r="ER2599" s="4"/>
      <c r="ES2599" s="4"/>
      <c r="ET2599" s="4"/>
      <c r="EU2599" s="4"/>
      <c r="EV2599" s="4"/>
      <c r="EW2599" s="4"/>
      <c r="EX2599" s="4"/>
      <c r="EY2599" s="4"/>
      <c r="EZ2599" s="4"/>
      <c r="FA2599" s="4"/>
      <c r="FB2599" s="4"/>
      <c r="FC2599" s="4"/>
      <c r="FD2599" s="4"/>
      <c r="FE2599" s="4"/>
      <c r="FF2599" s="4"/>
      <c r="FG2599" s="4"/>
      <c r="FH2599" s="4"/>
      <c r="FI2599" s="4"/>
      <c r="FJ2599" s="4"/>
      <c r="FK2599" s="4"/>
      <c r="FL2599" s="4"/>
      <c r="FM2599" s="4"/>
      <c r="FN2599" s="4"/>
      <c r="FO2599" s="4"/>
      <c r="FP2599" s="4"/>
      <c r="FQ2599" s="4"/>
      <c r="FR2599" s="4"/>
      <c r="FS2599" s="4"/>
      <c r="FT2599" s="4"/>
      <c r="FU2599" s="4"/>
      <c r="FV2599" s="4"/>
      <c r="FW2599" s="4"/>
      <c r="FX2599" s="4"/>
      <c r="FY2599" s="4"/>
      <c r="FZ2599" s="4"/>
      <c r="GA2599" s="4"/>
      <c r="GB2599" s="4"/>
      <c r="GC2599" s="4"/>
      <c r="GD2599" s="4"/>
      <c r="GE2599" s="4"/>
      <c r="GF2599" s="4"/>
      <c r="GG2599" s="4"/>
      <c r="GH2599" s="4"/>
      <c r="GI2599" s="4"/>
      <c r="GJ2599" s="4"/>
      <c r="GK2599" s="4"/>
      <c r="GL2599" s="4"/>
      <c r="GM2599" s="4"/>
      <c r="GN2599" s="4"/>
      <c r="GO2599" s="4"/>
      <c r="GP2599" s="4"/>
      <c r="GQ2599" s="4"/>
      <c r="GR2599" s="4"/>
      <c r="GS2599" s="4"/>
      <c r="GT2599" s="4"/>
      <c r="GU2599" s="4"/>
      <c r="GV2599" s="4"/>
      <c r="GW2599" s="4"/>
      <c r="GX2599" s="4"/>
      <c r="GY2599" s="4"/>
      <c r="GZ2599" s="4"/>
      <c r="HA2599" s="4"/>
      <c r="HB2599" s="4"/>
      <c r="HC2599" s="4"/>
      <c r="HD2599" s="4"/>
      <c r="HE2599" s="4"/>
      <c r="HF2599" s="4"/>
      <c r="HG2599" s="4"/>
      <c r="HH2599" s="4"/>
      <c r="HI2599" s="4"/>
      <c r="HJ2599" s="4"/>
      <c r="HK2599" s="4"/>
      <c r="HL2599" s="4"/>
      <c r="HM2599" s="4"/>
      <c r="HN2599" s="4"/>
      <c r="HO2599" s="4"/>
      <c r="HP2599" s="4"/>
      <c r="HQ2599" s="4"/>
      <c r="HR2599" s="4"/>
    </row>
    <row r="2600">
      <c r="A2600" s="2" t="s">
        <v>11445</v>
      </c>
      <c r="B2600" s="2" t="s">
        <v>228</v>
      </c>
      <c r="C2600" s="2" t="s">
        <v>530</v>
      </c>
      <c r="D2600" s="2" t="s">
        <v>1616</v>
      </c>
      <c r="E2600" s="2" t="s">
        <v>2599</v>
      </c>
      <c r="F2600" s="2" t="s">
        <v>10828</v>
      </c>
      <c r="G2600" s="2" t="s">
        <v>11414</v>
      </c>
      <c r="H2600" s="2" t="s">
        <v>11414</v>
      </c>
      <c r="I2600" s="2" t="s">
        <v>11415</v>
      </c>
      <c r="J2600" s="2" t="s">
        <v>6223</v>
      </c>
      <c r="K2600" s="2" t="s">
        <v>255</v>
      </c>
      <c r="L2600" s="3">
        <v>15.91</v>
      </c>
      <c r="M2600" s="3">
        <v>16.71</v>
      </c>
      <c r="N2600" s="3">
        <v>36.99</v>
      </c>
      <c r="O2600" s="2" t="s">
        <v>245</v>
      </c>
      <c r="P2600" s="2" t="s">
        <v>1366</v>
      </c>
      <c r="Q2600" s="2" t="s">
        <v>239</v>
      </c>
      <c r="R2600" s="2" t="s">
        <v>233</v>
      </c>
      <c r="S2600" s="2" t="s">
        <v>11446</v>
      </c>
      <c r="T2600" s="2" t="s">
        <v>976</v>
      </c>
      <c r="U2600" s="2" t="s">
        <v>233</v>
      </c>
      <c r="V2600" s="2" t="s">
        <v>359</v>
      </c>
      <c r="W2600" s="2" t="s">
        <v>705</v>
      </c>
      <c r="X2600" s="2" t="s">
        <v>233</v>
      </c>
      <c r="Y2600" s="2" t="s">
        <v>4026</v>
      </c>
      <c r="Z2600" s="4">
        <v>661</v>
      </c>
      <c r="AA2600" s="4">
        <f>=ROUNDDOWN(11.2033898305085,0)</f>
      </c>
      <c r="AB2600" s="5">
        <v>59</v>
      </c>
      <c r="AC2600" s="2" t="s">
        <v>2388</v>
      </c>
      <c r="AD2600" s="4">
        <v>600</v>
      </c>
      <c r="AE2600" s="4">
        <v>1400</v>
      </c>
      <c r="AF2600" s="6">
        <v>64</v>
      </c>
      <c r="AG2600" s="6">
        <v>47</v>
      </c>
      <c r="AH2600" s="7">
        <v>1</v>
      </c>
      <c r="AI2600" s="4"/>
      <c r="AJ2600" s="4">
        <f>=ROUNDDOWN({0},0)</f>
      </c>
      <c r="AK2600" s="5"/>
      <c r="AL2600" s="2" t="s">
        <v>233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 t="s">
        <v>233</v>
      </c>
      <c r="AW2600" s="8" t="s">
        <v>233</v>
      </c>
      <c r="AX2600" s="4" t="s">
        <v>233</v>
      </c>
      <c r="AY2600" s="8" t="s">
        <v>233</v>
      </c>
      <c r="AZ2600" s="7" t="s">
        <v>233</v>
      </c>
      <c r="BA2600" s="7" t="s">
        <v>233</v>
      </c>
      <c r="BB2600" s="7"/>
      <c r="BC2600" s="4" t="s">
        <v>233</v>
      </c>
      <c r="BD2600" s="8" t="s">
        <v>233</v>
      </c>
      <c r="BE2600" s="4" t="s">
        <v>233</v>
      </c>
      <c r="BF2600" s="8" t="s">
        <v>233</v>
      </c>
      <c r="BG2600" s="7" t="s">
        <v>233</v>
      </c>
      <c r="BH2600" s="7" t="s">
        <v>233</v>
      </c>
      <c r="BI2600" s="7"/>
      <c r="BJ2600" s="4">
        <v>109</v>
      </c>
      <c r="BK2600" s="8">
        <v>1850.17</v>
      </c>
      <c r="BL2600" s="2" t="s">
        <v>11447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11448</v>
      </c>
      <c r="BV2600" s="2" t="s">
        <v>233</v>
      </c>
      <c r="BW2600" s="2" t="s">
        <v>233</v>
      </c>
      <c r="BX2600" s="2" t="s">
        <v>233</v>
      </c>
      <c r="BY2600" s="2" t="s">
        <v>280</v>
      </c>
      <c r="BZ2600" s="2" t="s">
        <v>245</v>
      </c>
      <c r="CA2600" s="2" t="s">
        <v>281</v>
      </c>
      <c r="CB2600" s="2" t="s">
        <v>1318</v>
      </c>
      <c r="CC2600" s="2" t="s">
        <v>246</v>
      </c>
      <c r="CD2600" s="2" t="s">
        <v>233</v>
      </c>
      <c r="CE2600" s="4">
        <v>616</v>
      </c>
      <c r="CF2600" s="4"/>
      <c r="CG2600" s="4"/>
      <c r="CH2600" s="4"/>
      <c r="CI2600" s="4">
        <v>45</v>
      </c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/>
      <c r="DB2600" s="4"/>
      <c r="DC2600" s="4"/>
      <c r="DD2600" s="4"/>
      <c r="DE2600" s="4"/>
      <c r="DF2600" s="4"/>
      <c r="DG2600" s="4"/>
      <c r="DH2600" s="4"/>
      <c r="DI2600" s="4"/>
      <c r="DJ2600" s="4"/>
      <c r="DK2600" s="4"/>
      <c r="DL2600" s="4"/>
      <c r="DM2600" s="4"/>
      <c r="DN2600" s="4"/>
      <c r="DO2600" s="4"/>
      <c r="DP2600" s="4"/>
      <c r="DQ2600" s="4"/>
      <c r="DR2600" s="4">
        <v>600</v>
      </c>
      <c r="DS2600" s="4"/>
      <c r="DT2600" s="4"/>
      <c r="DU2600" s="4">
        <v>200</v>
      </c>
      <c r="DV2600" s="4"/>
      <c r="DW2600" s="4"/>
      <c r="DX2600" s="4"/>
      <c r="DY2600" s="4"/>
      <c r="DZ2600" s="4"/>
      <c r="EA2600" s="4"/>
      <c r="EB2600" s="4"/>
      <c r="EC2600" s="4"/>
      <c r="ED2600" s="4"/>
      <c r="EE2600" s="4"/>
      <c r="EF2600" s="4"/>
      <c r="EG2600" s="4"/>
      <c r="EH2600" s="4"/>
      <c r="EI2600" s="4"/>
      <c r="EJ2600" s="4"/>
      <c r="EK2600" s="4"/>
      <c r="EL2600" s="4"/>
      <c r="EM2600" s="4"/>
      <c r="EN2600" s="4"/>
      <c r="EO2600" s="4"/>
      <c r="EP2600" s="4"/>
      <c r="EQ2600" s="4"/>
      <c r="ER2600" s="4"/>
      <c r="ES2600" s="4"/>
      <c r="ET2600" s="4"/>
      <c r="EU2600" s="4">
        <v>600</v>
      </c>
      <c r="EV2600" s="4"/>
      <c r="EW2600" s="4"/>
      <c r="EX2600" s="4"/>
      <c r="EY2600" s="4"/>
      <c r="EZ2600" s="4"/>
      <c r="FA2600" s="4"/>
      <c r="FB2600" s="4"/>
      <c r="FC2600" s="4"/>
      <c r="FD2600" s="4"/>
      <c r="FE2600" s="4"/>
      <c r="FF2600" s="4"/>
      <c r="FG2600" s="4"/>
      <c r="FH2600" s="4"/>
      <c r="FI2600" s="4"/>
      <c r="FJ2600" s="4"/>
      <c r="FK2600" s="4"/>
      <c r="FL2600" s="4"/>
      <c r="FM2600" s="4"/>
      <c r="FN2600" s="4"/>
      <c r="FO2600" s="4"/>
      <c r="FP2600" s="4"/>
      <c r="FQ2600" s="4"/>
      <c r="FR2600" s="4"/>
      <c r="FS2600" s="4"/>
      <c r="FT2600" s="4"/>
      <c r="FU2600" s="4"/>
      <c r="FV2600" s="4"/>
      <c r="FW2600" s="4"/>
      <c r="FX2600" s="4"/>
      <c r="FY2600" s="4"/>
      <c r="FZ2600" s="4"/>
      <c r="GA2600" s="4"/>
      <c r="GB2600" s="4"/>
      <c r="GC2600" s="4"/>
      <c r="GD2600" s="4"/>
      <c r="GE2600" s="4"/>
      <c r="GF2600" s="4"/>
      <c r="GG2600" s="4"/>
      <c r="GH2600" s="4"/>
      <c r="GI2600" s="4"/>
      <c r="GJ2600" s="4"/>
      <c r="GK2600" s="4"/>
      <c r="GL2600" s="4"/>
      <c r="GM2600" s="4"/>
      <c r="GN2600" s="4"/>
      <c r="GO2600" s="4"/>
      <c r="GP2600" s="4"/>
      <c r="GQ2600" s="4"/>
      <c r="GR2600" s="4"/>
      <c r="GS2600" s="4"/>
      <c r="GT2600" s="4"/>
      <c r="GU2600" s="4"/>
      <c r="GV2600" s="4"/>
      <c r="GW2600" s="4"/>
      <c r="GX2600" s="4"/>
      <c r="GY2600" s="4"/>
      <c r="GZ2600" s="4"/>
      <c r="HA2600" s="4"/>
      <c r="HB2600" s="4"/>
      <c r="HC2600" s="4"/>
      <c r="HD2600" s="4"/>
      <c r="HE2600" s="4"/>
      <c r="HF2600" s="4"/>
      <c r="HG2600" s="4"/>
      <c r="HH2600" s="4"/>
      <c r="HI2600" s="4"/>
      <c r="HJ2600" s="4"/>
      <c r="HK2600" s="4"/>
      <c r="HL2600" s="4"/>
      <c r="HM2600" s="4"/>
      <c r="HN2600" s="4"/>
      <c r="HO2600" s="4"/>
      <c r="HP2600" s="4"/>
      <c r="HQ2600" s="4"/>
      <c r="HR2600" s="4"/>
    </row>
    <row r="2601">
      <c r="A2601" s="2" t="s">
        <v>11449</v>
      </c>
      <c r="B2601" s="2" t="s">
        <v>228</v>
      </c>
      <c r="C2601" s="2" t="s">
        <v>530</v>
      </c>
      <c r="D2601" s="2" t="s">
        <v>1194</v>
      </c>
      <c r="E2601" s="2" t="s">
        <v>1195</v>
      </c>
      <c r="F2601" s="2" t="s">
        <v>10828</v>
      </c>
      <c r="G2601" s="2" t="s">
        <v>11414</v>
      </c>
      <c r="H2601" s="2" t="s">
        <v>11414</v>
      </c>
      <c r="I2601" s="2" t="s">
        <v>4933</v>
      </c>
      <c r="J2601" s="2" t="s">
        <v>1200</v>
      </c>
      <c r="K2601" s="2" t="s">
        <v>11450</v>
      </c>
      <c r="L2601" s="3">
        <v>14.83</v>
      </c>
      <c r="M2601" s="3">
        <v>15.57</v>
      </c>
      <c r="N2601" s="3">
        <v>31.99</v>
      </c>
      <c r="O2601" s="2" t="s">
        <v>245</v>
      </c>
      <c r="P2601" s="2" t="s">
        <v>272</v>
      </c>
      <c r="Q2601" s="2" t="s">
        <v>239</v>
      </c>
      <c r="R2601" s="2" t="s">
        <v>233</v>
      </c>
      <c r="S2601" s="2" t="s">
        <v>11451</v>
      </c>
      <c r="T2601" s="2" t="s">
        <v>976</v>
      </c>
      <c r="U2601" s="2" t="s">
        <v>396</v>
      </c>
      <c r="V2601" s="2" t="s">
        <v>2225</v>
      </c>
      <c r="W2601" s="2" t="s">
        <v>705</v>
      </c>
      <c r="X2601" s="2" t="s">
        <v>233</v>
      </c>
      <c r="Y2601" s="2" t="s">
        <v>11452</v>
      </c>
      <c r="Z2601" s="4">
        <v>31</v>
      </c>
      <c r="AA2601" s="4">
        <f>=ROUNDDOWN(4.62686567164179,0)</f>
      </c>
      <c r="AB2601" s="5">
        <v>6.7</v>
      </c>
      <c r="AC2601" s="2" t="s">
        <v>2388</v>
      </c>
      <c r="AD2601" s="4">
        <v>300</v>
      </c>
      <c r="AE2601" s="4">
        <v>300</v>
      </c>
      <c r="AF2601" s="6">
        <v>64</v>
      </c>
      <c r="AG2601" s="6"/>
      <c r="AH2601" s="7">
        <v>1</v>
      </c>
      <c r="AI2601" s="4"/>
      <c r="AJ2601" s="4">
        <f>=ROUNDDOWN({0},0)</f>
      </c>
      <c r="AK2601" s="5"/>
      <c r="AL2601" s="2" t="s">
        <v>233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 t="s">
        <v>233</v>
      </c>
      <c r="AW2601" s="8" t="s">
        <v>233</v>
      </c>
      <c r="AX2601" s="4" t="s">
        <v>233</v>
      </c>
      <c r="AY2601" s="8" t="s">
        <v>233</v>
      </c>
      <c r="AZ2601" s="7" t="s">
        <v>233</v>
      </c>
      <c r="BA2601" s="7" t="s">
        <v>233</v>
      </c>
      <c r="BB2601" s="7"/>
      <c r="BC2601" s="4" t="s">
        <v>233</v>
      </c>
      <c r="BD2601" s="8" t="s">
        <v>233</v>
      </c>
      <c r="BE2601" s="4" t="s">
        <v>233</v>
      </c>
      <c r="BF2601" s="8" t="s">
        <v>233</v>
      </c>
      <c r="BG2601" s="7" t="s">
        <v>233</v>
      </c>
      <c r="BH2601" s="7" t="s">
        <v>233</v>
      </c>
      <c r="BI2601" s="7"/>
      <c r="BJ2601" s="4">
        <v>34</v>
      </c>
      <c r="BK2601" s="8">
        <v>508.43</v>
      </c>
      <c r="BL2601" s="2" t="s">
        <v>11453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11454</v>
      </c>
      <c r="BV2601" s="2" t="s">
        <v>233</v>
      </c>
      <c r="BW2601" s="2" t="s">
        <v>233</v>
      </c>
      <c r="BX2601" s="2" t="s">
        <v>233</v>
      </c>
      <c r="BY2601" s="2" t="s">
        <v>280</v>
      </c>
      <c r="BZ2601" s="2" t="s">
        <v>245</v>
      </c>
      <c r="CA2601" s="2" t="s">
        <v>5436</v>
      </c>
      <c r="CB2601" s="2" t="s">
        <v>1349</v>
      </c>
      <c r="CC2601" s="2" t="s">
        <v>246</v>
      </c>
      <c r="CD2601" s="2" t="s">
        <v>233</v>
      </c>
      <c r="CE2601" s="4">
        <v>31</v>
      </c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/>
      <c r="DB2601" s="4"/>
      <c r="DC2601" s="4"/>
      <c r="DD2601" s="4"/>
      <c r="DE2601" s="4"/>
      <c r="DF2601" s="4"/>
      <c r="DG2601" s="4"/>
      <c r="DH2601" s="4"/>
      <c r="DI2601" s="4"/>
      <c r="DJ2601" s="4"/>
      <c r="DK2601" s="4"/>
      <c r="DL2601" s="4"/>
      <c r="DM2601" s="4"/>
      <c r="DN2601" s="4"/>
      <c r="DO2601" s="4"/>
      <c r="DP2601" s="4"/>
      <c r="DQ2601" s="4"/>
      <c r="DR2601" s="4">
        <v>300</v>
      </c>
      <c r="DS2601" s="4"/>
      <c r="DT2601" s="4"/>
      <c r="DU2601" s="4"/>
      <c r="DV2601" s="4"/>
      <c r="DW2601" s="4"/>
      <c r="DX2601" s="4"/>
      <c r="DY2601" s="4"/>
      <c r="DZ2601" s="4"/>
      <c r="EA2601" s="4"/>
      <c r="EB2601" s="4"/>
      <c r="EC2601" s="4"/>
      <c r="ED2601" s="4"/>
      <c r="EE2601" s="4"/>
      <c r="EF2601" s="4"/>
      <c r="EG2601" s="4"/>
      <c r="EH2601" s="4"/>
      <c r="EI2601" s="4"/>
      <c r="EJ2601" s="4"/>
      <c r="EK2601" s="4"/>
      <c r="EL2601" s="4"/>
      <c r="EM2601" s="4"/>
      <c r="EN2601" s="4"/>
      <c r="EO2601" s="4"/>
      <c r="EP2601" s="4"/>
      <c r="EQ2601" s="4"/>
      <c r="ER2601" s="4"/>
      <c r="ES2601" s="4"/>
      <c r="ET2601" s="4"/>
      <c r="EU2601" s="4"/>
      <c r="EV2601" s="4"/>
      <c r="EW2601" s="4"/>
      <c r="EX2601" s="4"/>
      <c r="EY2601" s="4"/>
      <c r="EZ2601" s="4"/>
      <c r="FA2601" s="4"/>
      <c r="FB2601" s="4"/>
      <c r="FC2601" s="4"/>
      <c r="FD2601" s="4"/>
      <c r="FE2601" s="4"/>
      <c r="FF2601" s="4"/>
      <c r="FG2601" s="4"/>
      <c r="FH2601" s="4"/>
      <c r="FI2601" s="4"/>
      <c r="FJ2601" s="4"/>
      <c r="FK2601" s="4"/>
      <c r="FL2601" s="4"/>
      <c r="FM2601" s="4"/>
      <c r="FN2601" s="4"/>
      <c r="FO2601" s="4"/>
      <c r="FP2601" s="4"/>
      <c r="FQ2601" s="4"/>
      <c r="FR2601" s="4"/>
      <c r="FS2601" s="4"/>
      <c r="FT2601" s="4"/>
      <c r="FU2601" s="4"/>
      <c r="FV2601" s="4"/>
      <c r="FW2601" s="4"/>
      <c r="FX2601" s="4"/>
      <c r="FY2601" s="4"/>
      <c r="FZ2601" s="4"/>
      <c r="GA2601" s="4"/>
      <c r="GB2601" s="4"/>
      <c r="GC2601" s="4"/>
      <c r="GD2601" s="4"/>
      <c r="GE2601" s="4"/>
      <c r="GF2601" s="4"/>
      <c r="GG2601" s="4"/>
      <c r="GH2601" s="4"/>
      <c r="GI2601" s="4"/>
      <c r="GJ2601" s="4"/>
      <c r="GK2601" s="4"/>
      <c r="GL2601" s="4"/>
      <c r="GM2601" s="4"/>
      <c r="GN2601" s="4"/>
      <c r="GO2601" s="4"/>
      <c r="GP2601" s="4"/>
      <c r="GQ2601" s="4"/>
      <c r="GR2601" s="4"/>
      <c r="GS2601" s="4"/>
      <c r="GT2601" s="4"/>
      <c r="GU2601" s="4"/>
      <c r="GV2601" s="4"/>
      <c r="GW2601" s="4"/>
      <c r="GX2601" s="4"/>
      <c r="GY2601" s="4"/>
      <c r="GZ2601" s="4"/>
      <c r="HA2601" s="4"/>
      <c r="HB2601" s="4"/>
      <c r="HC2601" s="4"/>
      <c r="HD2601" s="4"/>
      <c r="HE2601" s="4"/>
      <c r="HF2601" s="4"/>
      <c r="HG2601" s="4"/>
      <c r="HH2601" s="4"/>
      <c r="HI2601" s="4"/>
      <c r="HJ2601" s="4"/>
      <c r="HK2601" s="4"/>
      <c r="HL2601" s="4"/>
      <c r="HM2601" s="4"/>
      <c r="HN2601" s="4"/>
      <c r="HO2601" s="4"/>
      <c r="HP2601" s="4"/>
      <c r="HQ2601" s="4"/>
      <c r="HR2601" s="4"/>
    </row>
    <row r="2602">
      <c r="A2602" s="2" t="s">
        <v>11455</v>
      </c>
      <c r="B2602" s="2" t="s">
        <v>228</v>
      </c>
      <c r="C2602" s="2" t="s">
        <v>530</v>
      </c>
      <c r="D2602" s="2" t="s">
        <v>1616</v>
      </c>
      <c r="E2602" s="2" t="s">
        <v>2599</v>
      </c>
      <c r="F2602" s="2" t="s">
        <v>10828</v>
      </c>
      <c r="G2602" s="2" t="s">
        <v>11414</v>
      </c>
      <c r="H2602" s="2" t="s">
        <v>11414</v>
      </c>
      <c r="I2602" s="2" t="s">
        <v>11415</v>
      </c>
      <c r="J2602" s="2" t="s">
        <v>6223</v>
      </c>
      <c r="K2602" s="2" t="s">
        <v>11450</v>
      </c>
      <c r="L2602" s="3">
        <v>15.91</v>
      </c>
      <c r="M2602" s="3">
        <v>16.71</v>
      </c>
      <c r="N2602" s="3">
        <v>36.99</v>
      </c>
      <c r="O2602" s="2" t="s">
        <v>245</v>
      </c>
      <c r="P2602" s="2" t="s">
        <v>272</v>
      </c>
      <c r="Q2602" s="2" t="s">
        <v>239</v>
      </c>
      <c r="R2602" s="2" t="s">
        <v>233</v>
      </c>
      <c r="S2602" s="2" t="s">
        <v>11451</v>
      </c>
      <c r="T2602" s="2" t="s">
        <v>976</v>
      </c>
      <c r="U2602" s="2" t="s">
        <v>396</v>
      </c>
      <c r="V2602" s="2" t="s">
        <v>2225</v>
      </c>
      <c r="W2602" s="2" t="s">
        <v>705</v>
      </c>
      <c r="X2602" s="2" t="s">
        <v>233</v>
      </c>
      <c r="Y2602" s="2" t="s">
        <v>11452</v>
      </c>
      <c r="Z2602" s="4">
        <v>518</v>
      </c>
      <c r="AA2602" s="4">
        <f>=ROUNDDOWN(23.5454545454545,0)</f>
      </c>
      <c r="AB2602" s="5">
        <v>22</v>
      </c>
      <c r="AC2602" s="2" t="s">
        <v>2388</v>
      </c>
      <c r="AD2602" s="4">
        <v>500</v>
      </c>
      <c r="AE2602" s="4">
        <v>500</v>
      </c>
      <c r="AF2602" s="6">
        <v>64</v>
      </c>
      <c r="AG2602" s="6"/>
      <c r="AH2602" s="7">
        <v>1</v>
      </c>
      <c r="AI2602" s="4"/>
      <c r="AJ2602" s="4">
        <f>=ROUNDDOWN({0},0)</f>
      </c>
      <c r="AK2602" s="5"/>
      <c r="AL2602" s="2" t="s">
        <v>233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233</v>
      </c>
      <c r="AW2602" s="8" t="s">
        <v>233</v>
      </c>
      <c r="AX2602" s="4" t="s">
        <v>233</v>
      </c>
      <c r="AY2602" s="8" t="s">
        <v>233</v>
      </c>
      <c r="AZ2602" s="7" t="s">
        <v>233</v>
      </c>
      <c r="BA2602" s="7" t="s">
        <v>233</v>
      </c>
      <c r="BB2602" s="7"/>
      <c r="BC2602" s="4" t="s">
        <v>233</v>
      </c>
      <c r="BD2602" s="8" t="s">
        <v>233</v>
      </c>
      <c r="BE2602" s="4" t="s">
        <v>233</v>
      </c>
      <c r="BF2602" s="8" t="s">
        <v>233</v>
      </c>
      <c r="BG2602" s="7" t="s">
        <v>233</v>
      </c>
      <c r="BH2602" s="7" t="s">
        <v>233</v>
      </c>
      <c r="BI2602" s="7"/>
      <c r="BJ2602" s="4">
        <v>41</v>
      </c>
      <c r="BK2602" s="8">
        <v>723.25</v>
      </c>
      <c r="BL2602" s="2" t="s">
        <v>11456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11457</v>
      </c>
      <c r="BV2602" s="2" t="s">
        <v>233</v>
      </c>
      <c r="BW2602" s="2" t="s">
        <v>233</v>
      </c>
      <c r="BX2602" s="2" t="s">
        <v>233</v>
      </c>
      <c r="BY2602" s="2" t="s">
        <v>280</v>
      </c>
      <c r="BZ2602" s="2" t="s">
        <v>245</v>
      </c>
      <c r="CA2602" s="2" t="s">
        <v>5436</v>
      </c>
      <c r="CB2602" s="2" t="s">
        <v>5542</v>
      </c>
      <c r="CC2602" s="2" t="s">
        <v>246</v>
      </c>
      <c r="CD2602" s="2" t="s">
        <v>233</v>
      </c>
      <c r="CE2602" s="4">
        <v>518</v>
      </c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/>
      <c r="DB2602" s="4"/>
      <c r="DC2602" s="4"/>
      <c r="DD2602" s="4"/>
      <c r="DE2602" s="4"/>
      <c r="DF2602" s="4"/>
      <c r="DG2602" s="4"/>
      <c r="DH2602" s="4"/>
      <c r="DI2602" s="4"/>
      <c r="DJ2602" s="4"/>
      <c r="DK2602" s="4"/>
      <c r="DL2602" s="4"/>
      <c r="DM2602" s="4"/>
      <c r="DN2602" s="4"/>
      <c r="DO2602" s="4"/>
      <c r="DP2602" s="4"/>
      <c r="DQ2602" s="4"/>
      <c r="DR2602" s="4">
        <v>500</v>
      </c>
      <c r="DS2602" s="4"/>
      <c r="DT2602" s="4"/>
      <c r="DU2602" s="4"/>
      <c r="DV2602" s="4"/>
      <c r="DW2602" s="4"/>
      <c r="DX2602" s="4"/>
      <c r="DY2602" s="4"/>
      <c r="DZ2602" s="4"/>
      <c r="EA2602" s="4"/>
      <c r="EB2602" s="4"/>
      <c r="EC2602" s="4"/>
      <c r="ED2602" s="4"/>
      <c r="EE2602" s="4"/>
      <c r="EF2602" s="4"/>
      <c r="EG2602" s="4"/>
      <c r="EH2602" s="4"/>
      <c r="EI2602" s="4"/>
      <c r="EJ2602" s="4"/>
      <c r="EK2602" s="4"/>
      <c r="EL2602" s="4"/>
      <c r="EM2602" s="4"/>
      <c r="EN2602" s="4"/>
      <c r="EO2602" s="4"/>
      <c r="EP2602" s="4"/>
      <c r="EQ2602" s="4"/>
      <c r="ER2602" s="4"/>
      <c r="ES2602" s="4"/>
      <c r="ET2602" s="4"/>
      <c r="EU2602" s="4"/>
      <c r="EV2602" s="4"/>
      <c r="EW2602" s="4"/>
      <c r="EX2602" s="4"/>
      <c r="EY2602" s="4"/>
      <c r="EZ2602" s="4"/>
      <c r="FA2602" s="4"/>
      <c r="FB2602" s="4"/>
      <c r="FC2602" s="4"/>
      <c r="FD2602" s="4"/>
      <c r="FE2602" s="4"/>
      <c r="FF2602" s="4"/>
      <c r="FG2602" s="4"/>
      <c r="FH2602" s="4"/>
      <c r="FI2602" s="4"/>
      <c r="FJ2602" s="4"/>
      <c r="FK2602" s="4"/>
      <c r="FL2602" s="4"/>
      <c r="FM2602" s="4"/>
      <c r="FN2602" s="4"/>
      <c r="FO2602" s="4"/>
      <c r="FP2602" s="4"/>
      <c r="FQ2602" s="4"/>
      <c r="FR2602" s="4"/>
      <c r="FS2602" s="4"/>
      <c r="FT2602" s="4"/>
      <c r="FU2602" s="4"/>
      <c r="FV2602" s="4"/>
      <c r="FW2602" s="4"/>
      <c r="FX2602" s="4"/>
      <c r="FY2602" s="4"/>
      <c r="FZ2602" s="4"/>
      <c r="GA2602" s="4"/>
      <c r="GB2602" s="4"/>
      <c r="GC2602" s="4"/>
      <c r="GD2602" s="4"/>
      <c r="GE2602" s="4"/>
      <c r="GF2602" s="4"/>
      <c r="GG2602" s="4"/>
      <c r="GH2602" s="4"/>
      <c r="GI2602" s="4"/>
      <c r="GJ2602" s="4"/>
      <c r="GK2602" s="4"/>
      <c r="GL2602" s="4"/>
      <c r="GM2602" s="4"/>
      <c r="GN2602" s="4"/>
      <c r="GO2602" s="4"/>
      <c r="GP2602" s="4"/>
      <c r="GQ2602" s="4"/>
      <c r="GR2602" s="4"/>
      <c r="GS2602" s="4"/>
      <c r="GT2602" s="4"/>
      <c r="GU2602" s="4"/>
      <c r="GV2602" s="4"/>
      <c r="GW2602" s="4"/>
      <c r="GX2602" s="4"/>
      <c r="GY2602" s="4"/>
      <c r="GZ2602" s="4"/>
      <c r="HA2602" s="4"/>
      <c r="HB2602" s="4"/>
      <c r="HC2602" s="4"/>
      <c r="HD2602" s="4"/>
      <c r="HE2602" s="4"/>
      <c r="HF2602" s="4"/>
      <c r="HG2602" s="4"/>
      <c r="HH2602" s="4"/>
      <c r="HI2602" s="4"/>
      <c r="HJ2602" s="4"/>
      <c r="HK2602" s="4"/>
      <c r="HL2602" s="4"/>
      <c r="HM2602" s="4"/>
      <c r="HN2602" s="4"/>
      <c r="HO2602" s="4"/>
      <c r="HP2602" s="4"/>
      <c r="HQ2602" s="4"/>
      <c r="HR2602" s="4"/>
    </row>
    <row r="2603">
      <c r="A2603" s="2" t="s">
        <v>11458</v>
      </c>
      <c r="B2603" s="2" t="s">
        <v>228</v>
      </c>
      <c r="C2603" s="2" t="s">
        <v>530</v>
      </c>
      <c r="D2603" s="2" t="s">
        <v>1194</v>
      </c>
      <c r="E2603" s="2" t="s">
        <v>1195</v>
      </c>
      <c r="F2603" s="2" t="s">
        <v>10828</v>
      </c>
      <c r="G2603" s="2" t="s">
        <v>11414</v>
      </c>
      <c r="H2603" s="2" t="s">
        <v>11414</v>
      </c>
      <c r="I2603" s="2" t="s">
        <v>4933</v>
      </c>
      <c r="J2603" s="2" t="s">
        <v>1200</v>
      </c>
      <c r="K2603" s="2" t="s">
        <v>823</v>
      </c>
      <c r="L2603" s="3">
        <v>14.83</v>
      </c>
      <c r="M2603" s="3">
        <v>15.57</v>
      </c>
      <c r="N2603" s="3">
        <v>31.99</v>
      </c>
      <c r="O2603" s="2" t="s">
        <v>245</v>
      </c>
      <c r="P2603" s="2" t="s">
        <v>272</v>
      </c>
      <c r="Q2603" s="2" t="s">
        <v>239</v>
      </c>
      <c r="R2603" s="2" t="s">
        <v>233</v>
      </c>
      <c r="S2603" s="2" t="s">
        <v>11459</v>
      </c>
      <c r="T2603" s="2" t="s">
        <v>976</v>
      </c>
      <c r="U2603" s="2" t="s">
        <v>233</v>
      </c>
      <c r="V2603" s="2" t="s">
        <v>2225</v>
      </c>
      <c r="W2603" s="2" t="s">
        <v>705</v>
      </c>
      <c r="X2603" s="2" t="s">
        <v>233</v>
      </c>
      <c r="Y2603" s="2" t="s">
        <v>3130</v>
      </c>
      <c r="Z2603" s="4">
        <v>455</v>
      </c>
      <c r="AA2603" s="4">
        <f>=ROUNDDOWN(22.75,0)</f>
      </c>
      <c r="AB2603" s="5">
        <v>20</v>
      </c>
      <c r="AC2603" s="2" t="s">
        <v>1739</v>
      </c>
      <c r="AD2603" s="4">
        <v>250</v>
      </c>
      <c r="AE2603" s="4">
        <v>650</v>
      </c>
      <c r="AF2603" s="6">
        <v>64</v>
      </c>
      <c r="AG2603" s="6"/>
      <c r="AH2603" s="7">
        <v>1</v>
      </c>
      <c r="AI2603" s="4"/>
      <c r="AJ2603" s="4">
        <f>=ROUNDDOWN({0},0)</f>
      </c>
      <c r="AK2603" s="5"/>
      <c r="AL2603" s="2" t="s">
        <v>233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 t="s">
        <v>233</v>
      </c>
      <c r="AW2603" s="8" t="s">
        <v>233</v>
      </c>
      <c r="AX2603" s="4" t="s">
        <v>233</v>
      </c>
      <c r="AY2603" s="8" t="s">
        <v>233</v>
      </c>
      <c r="AZ2603" s="7" t="s">
        <v>233</v>
      </c>
      <c r="BA2603" s="7" t="s">
        <v>233</v>
      </c>
      <c r="BB2603" s="7"/>
      <c r="BC2603" s="4" t="s">
        <v>233</v>
      </c>
      <c r="BD2603" s="8" t="s">
        <v>233</v>
      </c>
      <c r="BE2603" s="4" t="s">
        <v>233</v>
      </c>
      <c r="BF2603" s="8" t="s">
        <v>233</v>
      </c>
      <c r="BG2603" s="7" t="s">
        <v>233</v>
      </c>
      <c r="BH2603" s="7" t="s">
        <v>233</v>
      </c>
      <c r="BI2603" s="7"/>
      <c r="BJ2603" s="4">
        <v>69</v>
      </c>
      <c r="BK2603" s="8">
        <v>1037.73</v>
      </c>
      <c r="BL2603" s="2" t="s">
        <v>11460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11461</v>
      </c>
      <c r="BV2603" s="2" t="s">
        <v>233</v>
      </c>
      <c r="BW2603" s="2" t="s">
        <v>233</v>
      </c>
      <c r="BX2603" s="2" t="s">
        <v>233</v>
      </c>
      <c r="BY2603" s="2" t="s">
        <v>280</v>
      </c>
      <c r="BZ2603" s="2" t="s">
        <v>245</v>
      </c>
      <c r="CA2603" s="2" t="s">
        <v>4084</v>
      </c>
      <c r="CB2603" s="2" t="s">
        <v>11462</v>
      </c>
      <c r="CC2603" s="2" t="s">
        <v>246</v>
      </c>
      <c r="CD2603" s="2" t="s">
        <v>233</v>
      </c>
      <c r="CE2603" s="4">
        <v>455</v>
      </c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/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  <c r="DL2603" s="4"/>
      <c r="DM2603" s="4"/>
      <c r="DN2603" s="4"/>
      <c r="DO2603" s="4"/>
      <c r="DP2603" s="4"/>
      <c r="DQ2603" s="4"/>
      <c r="DR2603" s="4"/>
      <c r="DS2603" s="4"/>
      <c r="DT2603" s="4"/>
      <c r="DU2603" s="4"/>
      <c r="DV2603" s="4"/>
      <c r="DW2603" s="4"/>
      <c r="DX2603" s="4"/>
      <c r="DY2603" s="4"/>
      <c r="DZ2603" s="4"/>
      <c r="EA2603" s="4"/>
      <c r="EB2603" s="4"/>
      <c r="EC2603" s="4"/>
      <c r="ED2603" s="4"/>
      <c r="EE2603" s="4"/>
      <c r="EF2603" s="4"/>
      <c r="EG2603" s="4"/>
      <c r="EH2603" s="4"/>
      <c r="EI2603" s="4"/>
      <c r="EJ2603" s="4"/>
      <c r="EK2603" s="4"/>
      <c r="EL2603" s="4"/>
      <c r="EM2603" s="4"/>
      <c r="EN2603" s="4"/>
      <c r="EO2603" s="4"/>
      <c r="EP2603" s="4"/>
      <c r="EQ2603" s="4"/>
      <c r="ER2603" s="4"/>
      <c r="ES2603" s="4"/>
      <c r="ET2603" s="4"/>
      <c r="EU2603" s="4"/>
      <c r="EV2603" s="4"/>
      <c r="EW2603" s="4"/>
      <c r="EX2603" s="4"/>
      <c r="EY2603" s="4"/>
      <c r="EZ2603" s="4"/>
      <c r="FA2603" s="4">
        <v>250</v>
      </c>
      <c r="FB2603" s="4"/>
      <c r="FC2603" s="4"/>
      <c r="FD2603" s="4"/>
      <c r="FE2603" s="4"/>
      <c r="FF2603" s="4"/>
      <c r="FG2603" s="4"/>
      <c r="FH2603" s="4"/>
      <c r="FI2603" s="4"/>
      <c r="FJ2603" s="4"/>
      <c r="FK2603" s="4"/>
      <c r="FL2603" s="4"/>
      <c r="FM2603" s="4"/>
      <c r="FN2603" s="4"/>
      <c r="FO2603" s="4"/>
      <c r="FP2603" s="4"/>
      <c r="FQ2603" s="4"/>
      <c r="FR2603" s="4"/>
      <c r="FS2603" s="4"/>
      <c r="FT2603" s="4"/>
      <c r="FU2603" s="4"/>
      <c r="FV2603" s="4"/>
      <c r="FW2603" s="4"/>
      <c r="FX2603" s="4"/>
      <c r="FY2603" s="4"/>
      <c r="FZ2603" s="4"/>
      <c r="GA2603" s="4"/>
      <c r="GB2603" s="4"/>
      <c r="GC2603" s="4"/>
      <c r="GD2603" s="4"/>
      <c r="GE2603" s="4"/>
      <c r="GF2603" s="4"/>
      <c r="GG2603" s="4"/>
      <c r="GH2603" s="4"/>
      <c r="GI2603" s="4"/>
      <c r="GJ2603" s="4"/>
      <c r="GK2603" s="4">
        <v>400</v>
      </c>
      <c r="GL2603" s="4"/>
      <c r="GM2603" s="4"/>
      <c r="GN2603" s="4"/>
      <c r="GO2603" s="4"/>
      <c r="GP2603" s="4"/>
      <c r="GQ2603" s="4"/>
      <c r="GR2603" s="4"/>
      <c r="GS2603" s="4"/>
      <c r="GT2603" s="4"/>
      <c r="GU2603" s="4"/>
      <c r="GV2603" s="4"/>
      <c r="GW2603" s="4"/>
      <c r="GX2603" s="4"/>
      <c r="GY2603" s="4"/>
      <c r="GZ2603" s="4"/>
      <c r="HA2603" s="4"/>
      <c r="HB2603" s="4"/>
      <c r="HC2603" s="4"/>
      <c r="HD2603" s="4"/>
      <c r="HE2603" s="4"/>
      <c r="HF2603" s="4"/>
      <c r="HG2603" s="4"/>
      <c r="HH2603" s="4"/>
      <c r="HI2603" s="4"/>
      <c r="HJ2603" s="4"/>
      <c r="HK2603" s="4"/>
      <c r="HL2603" s="4"/>
      <c r="HM2603" s="4"/>
      <c r="HN2603" s="4"/>
      <c r="HO2603" s="4"/>
      <c r="HP2603" s="4"/>
      <c r="HQ2603" s="4"/>
      <c r="HR2603" s="4"/>
    </row>
    <row r="2604">
      <c r="A2604" s="2" t="s">
        <v>11463</v>
      </c>
      <c r="B2604" s="2" t="s">
        <v>228</v>
      </c>
      <c r="C2604" s="2" t="s">
        <v>530</v>
      </c>
      <c r="D2604" s="2" t="s">
        <v>1616</v>
      </c>
      <c r="E2604" s="2" t="s">
        <v>2599</v>
      </c>
      <c r="F2604" s="2" t="s">
        <v>10828</v>
      </c>
      <c r="G2604" s="2" t="s">
        <v>11414</v>
      </c>
      <c r="H2604" s="2" t="s">
        <v>11414</v>
      </c>
      <c r="I2604" s="2" t="s">
        <v>11415</v>
      </c>
      <c r="J2604" s="2" t="s">
        <v>6223</v>
      </c>
      <c r="K2604" s="2" t="s">
        <v>823</v>
      </c>
      <c r="L2604" s="3">
        <v>15.91</v>
      </c>
      <c r="M2604" s="3">
        <v>16.71</v>
      </c>
      <c r="N2604" s="3">
        <v>36.99</v>
      </c>
      <c r="O2604" s="2" t="s">
        <v>245</v>
      </c>
      <c r="P2604" s="2" t="s">
        <v>741</v>
      </c>
      <c r="Q2604" s="2" t="s">
        <v>239</v>
      </c>
      <c r="R2604" s="2" t="s">
        <v>233</v>
      </c>
      <c r="S2604" s="2" t="s">
        <v>11459</v>
      </c>
      <c r="T2604" s="2" t="s">
        <v>976</v>
      </c>
      <c r="U2604" s="2" t="s">
        <v>233</v>
      </c>
      <c r="V2604" s="2" t="s">
        <v>2225</v>
      </c>
      <c r="W2604" s="2" t="s">
        <v>705</v>
      </c>
      <c r="X2604" s="2" t="s">
        <v>233</v>
      </c>
      <c r="Y2604" s="2" t="s">
        <v>3130</v>
      </c>
      <c r="Z2604" s="4">
        <v>865</v>
      </c>
      <c r="AA2604" s="4">
        <f>=ROUNDDOWN(36.0416666666667,0)</f>
      </c>
      <c r="AB2604" s="5">
        <v>24</v>
      </c>
      <c r="AC2604" s="2" t="s">
        <v>1739</v>
      </c>
      <c r="AD2604" s="4">
        <v>100</v>
      </c>
      <c r="AE2604" s="4">
        <v>700</v>
      </c>
      <c r="AF2604" s="6">
        <v>64</v>
      </c>
      <c r="AG2604" s="6"/>
      <c r="AH2604" s="7">
        <v>1</v>
      </c>
      <c r="AI2604" s="4"/>
      <c r="AJ2604" s="4">
        <f>=ROUNDDOWN({0},0)</f>
      </c>
      <c r="AK2604" s="5"/>
      <c r="AL2604" s="2" t="s">
        <v>233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233</v>
      </c>
      <c r="AW2604" s="8" t="s">
        <v>233</v>
      </c>
      <c r="AX2604" s="4" t="s">
        <v>233</v>
      </c>
      <c r="AY2604" s="8" t="s">
        <v>233</v>
      </c>
      <c r="AZ2604" s="7" t="s">
        <v>233</v>
      </c>
      <c r="BA2604" s="7" t="s">
        <v>233</v>
      </c>
      <c r="BB2604" s="7"/>
      <c r="BC2604" s="4" t="s">
        <v>233</v>
      </c>
      <c r="BD2604" s="8" t="s">
        <v>233</v>
      </c>
      <c r="BE2604" s="4" t="s">
        <v>233</v>
      </c>
      <c r="BF2604" s="8" t="s">
        <v>233</v>
      </c>
      <c r="BG2604" s="7" t="s">
        <v>233</v>
      </c>
      <c r="BH2604" s="7" t="s">
        <v>233</v>
      </c>
      <c r="BI2604" s="7"/>
      <c r="BJ2604" s="4">
        <v>54</v>
      </c>
      <c r="BK2604" s="8">
        <v>910.86</v>
      </c>
      <c r="BL2604" s="2" t="s">
        <v>11464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11465</v>
      </c>
      <c r="BV2604" s="2" t="s">
        <v>233</v>
      </c>
      <c r="BW2604" s="2" t="s">
        <v>233</v>
      </c>
      <c r="BX2604" s="2" t="s">
        <v>233</v>
      </c>
      <c r="BY2604" s="2" t="s">
        <v>280</v>
      </c>
      <c r="BZ2604" s="2" t="s">
        <v>245</v>
      </c>
      <c r="CA2604" s="2" t="s">
        <v>11466</v>
      </c>
      <c r="CB2604" s="2" t="s">
        <v>8341</v>
      </c>
      <c r="CC2604" s="2" t="s">
        <v>246</v>
      </c>
      <c r="CD2604" s="2" t="s">
        <v>233</v>
      </c>
      <c r="CE2604" s="4">
        <v>865</v>
      </c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/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  <c r="DL2604" s="4"/>
      <c r="DM2604" s="4"/>
      <c r="DN2604" s="4"/>
      <c r="DO2604" s="4"/>
      <c r="DP2604" s="4"/>
      <c r="DQ2604" s="4"/>
      <c r="DR2604" s="4"/>
      <c r="DS2604" s="4"/>
      <c r="DT2604" s="4"/>
      <c r="DU2604" s="4"/>
      <c r="DV2604" s="4"/>
      <c r="DW2604" s="4"/>
      <c r="DX2604" s="4"/>
      <c r="DY2604" s="4"/>
      <c r="DZ2604" s="4"/>
      <c r="EA2604" s="4"/>
      <c r="EB2604" s="4"/>
      <c r="EC2604" s="4"/>
      <c r="ED2604" s="4"/>
      <c r="EE2604" s="4"/>
      <c r="EF2604" s="4"/>
      <c r="EG2604" s="4"/>
      <c r="EH2604" s="4"/>
      <c r="EI2604" s="4"/>
      <c r="EJ2604" s="4"/>
      <c r="EK2604" s="4"/>
      <c r="EL2604" s="4"/>
      <c r="EM2604" s="4"/>
      <c r="EN2604" s="4"/>
      <c r="EO2604" s="4"/>
      <c r="EP2604" s="4"/>
      <c r="EQ2604" s="4"/>
      <c r="ER2604" s="4"/>
      <c r="ES2604" s="4"/>
      <c r="ET2604" s="4"/>
      <c r="EU2604" s="4"/>
      <c r="EV2604" s="4"/>
      <c r="EW2604" s="4"/>
      <c r="EX2604" s="4"/>
      <c r="EY2604" s="4"/>
      <c r="EZ2604" s="4"/>
      <c r="FA2604" s="4">
        <v>100</v>
      </c>
      <c r="FB2604" s="4"/>
      <c r="FC2604" s="4"/>
      <c r="FD2604" s="4"/>
      <c r="FE2604" s="4"/>
      <c r="FF2604" s="4"/>
      <c r="FG2604" s="4"/>
      <c r="FH2604" s="4"/>
      <c r="FI2604" s="4"/>
      <c r="FJ2604" s="4"/>
      <c r="FK2604" s="4"/>
      <c r="FL2604" s="4"/>
      <c r="FM2604" s="4"/>
      <c r="FN2604" s="4"/>
      <c r="FO2604" s="4"/>
      <c r="FP2604" s="4"/>
      <c r="FQ2604" s="4"/>
      <c r="FR2604" s="4"/>
      <c r="FS2604" s="4"/>
      <c r="FT2604" s="4"/>
      <c r="FU2604" s="4"/>
      <c r="FV2604" s="4"/>
      <c r="FW2604" s="4"/>
      <c r="FX2604" s="4"/>
      <c r="FY2604" s="4"/>
      <c r="FZ2604" s="4"/>
      <c r="GA2604" s="4"/>
      <c r="GB2604" s="4"/>
      <c r="GC2604" s="4"/>
      <c r="GD2604" s="4"/>
      <c r="GE2604" s="4"/>
      <c r="GF2604" s="4"/>
      <c r="GG2604" s="4"/>
      <c r="GH2604" s="4"/>
      <c r="GI2604" s="4"/>
      <c r="GJ2604" s="4"/>
      <c r="GK2604" s="4">
        <v>600</v>
      </c>
      <c r="GL2604" s="4"/>
      <c r="GM2604" s="4"/>
      <c r="GN2604" s="4"/>
      <c r="GO2604" s="4"/>
      <c r="GP2604" s="4"/>
      <c r="GQ2604" s="4"/>
      <c r="GR2604" s="4"/>
      <c r="GS2604" s="4"/>
      <c r="GT2604" s="4"/>
      <c r="GU2604" s="4"/>
      <c r="GV2604" s="4"/>
      <c r="GW2604" s="4"/>
      <c r="GX2604" s="4"/>
      <c r="GY2604" s="4"/>
      <c r="GZ2604" s="4"/>
      <c r="HA2604" s="4"/>
      <c r="HB2604" s="4"/>
      <c r="HC2604" s="4"/>
      <c r="HD2604" s="4"/>
      <c r="HE2604" s="4"/>
      <c r="HF2604" s="4"/>
      <c r="HG2604" s="4"/>
      <c r="HH2604" s="4"/>
      <c r="HI2604" s="4"/>
      <c r="HJ2604" s="4"/>
      <c r="HK2604" s="4"/>
      <c r="HL2604" s="4"/>
      <c r="HM2604" s="4"/>
      <c r="HN2604" s="4"/>
      <c r="HO2604" s="4"/>
      <c r="HP2604" s="4"/>
      <c r="HQ2604" s="4"/>
      <c r="HR2604" s="4"/>
    </row>
    <row r="2605">
      <c r="A2605" s="2" t="s">
        <v>11467</v>
      </c>
      <c r="B2605" s="2" t="s">
        <v>228</v>
      </c>
      <c r="C2605" s="2" t="s">
        <v>530</v>
      </c>
      <c r="D2605" s="2" t="s">
        <v>1194</v>
      </c>
      <c r="E2605" s="2" t="s">
        <v>1195</v>
      </c>
      <c r="F2605" s="2" t="s">
        <v>10828</v>
      </c>
      <c r="G2605" s="2" t="s">
        <v>11414</v>
      </c>
      <c r="H2605" s="2" t="s">
        <v>11414</v>
      </c>
      <c r="I2605" s="2" t="s">
        <v>4933</v>
      </c>
      <c r="J2605" s="2" t="s">
        <v>1200</v>
      </c>
      <c r="K2605" s="2" t="s">
        <v>11468</v>
      </c>
      <c r="L2605" s="3">
        <v>14.83</v>
      </c>
      <c r="M2605" s="3">
        <v>15.57</v>
      </c>
      <c r="N2605" s="3">
        <v>31.99</v>
      </c>
      <c r="O2605" s="2" t="s">
        <v>245</v>
      </c>
      <c r="P2605" s="2" t="s">
        <v>272</v>
      </c>
      <c r="Q2605" s="2" t="s">
        <v>239</v>
      </c>
      <c r="R2605" s="2" t="s">
        <v>233</v>
      </c>
      <c r="S2605" s="2" t="s">
        <v>11469</v>
      </c>
      <c r="T2605" s="2" t="s">
        <v>976</v>
      </c>
      <c r="U2605" s="2" t="s">
        <v>396</v>
      </c>
      <c r="V2605" s="2" t="s">
        <v>2225</v>
      </c>
      <c r="W2605" s="2" t="s">
        <v>705</v>
      </c>
      <c r="X2605" s="2" t="s">
        <v>233</v>
      </c>
      <c r="Y2605" s="2" t="s">
        <v>11470</v>
      </c>
      <c r="Z2605" s="4">
        <v>234</v>
      </c>
      <c r="AA2605" s="4">
        <f>=ROUNDDOWN(14.625,0)</f>
      </c>
      <c r="AB2605" s="5">
        <v>16</v>
      </c>
      <c r="AC2605" s="2" t="s">
        <v>1739</v>
      </c>
      <c r="AD2605" s="4">
        <v>200</v>
      </c>
      <c r="AE2605" s="4">
        <v>450</v>
      </c>
      <c r="AF2605" s="6">
        <v>64</v>
      </c>
      <c r="AG2605" s="6"/>
      <c r="AH2605" s="7">
        <v>1</v>
      </c>
      <c r="AI2605" s="4"/>
      <c r="AJ2605" s="4">
        <f>=ROUNDDOWN({0},0)</f>
      </c>
      <c r="AK2605" s="5"/>
      <c r="AL2605" s="2" t="s">
        <v>233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233</v>
      </c>
      <c r="BD2605" s="8" t="s">
        <v>233</v>
      </c>
      <c r="BE2605" s="4" t="s">
        <v>233</v>
      </c>
      <c r="BF2605" s="8" t="s">
        <v>233</v>
      </c>
      <c r="BG2605" s="7" t="s">
        <v>233</v>
      </c>
      <c r="BH2605" s="7" t="s">
        <v>233</v>
      </c>
      <c r="BI2605" s="7"/>
      <c r="BJ2605" s="4">
        <v>38</v>
      </c>
      <c r="BK2605" s="8">
        <v>571.41</v>
      </c>
      <c r="BL2605" s="2" t="s">
        <v>11471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11472</v>
      </c>
      <c r="BV2605" s="2" t="s">
        <v>233</v>
      </c>
      <c r="BW2605" s="2" t="s">
        <v>233</v>
      </c>
      <c r="BX2605" s="2" t="s">
        <v>233</v>
      </c>
      <c r="BY2605" s="2" t="s">
        <v>280</v>
      </c>
      <c r="BZ2605" s="2" t="s">
        <v>245</v>
      </c>
      <c r="CA2605" s="2" t="s">
        <v>11473</v>
      </c>
      <c r="CB2605" s="2" t="s">
        <v>872</v>
      </c>
      <c r="CC2605" s="2" t="s">
        <v>246</v>
      </c>
      <c r="CD2605" s="2" t="s">
        <v>233</v>
      </c>
      <c r="CE2605" s="4">
        <v>234</v>
      </c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/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  <c r="DL2605" s="4"/>
      <c r="DM2605" s="4"/>
      <c r="DN2605" s="4"/>
      <c r="DO2605" s="4"/>
      <c r="DP2605" s="4"/>
      <c r="DQ2605" s="4"/>
      <c r="DR2605" s="4"/>
      <c r="DS2605" s="4"/>
      <c r="DT2605" s="4"/>
      <c r="DU2605" s="4"/>
      <c r="DV2605" s="4"/>
      <c r="DW2605" s="4"/>
      <c r="DX2605" s="4"/>
      <c r="DY2605" s="4"/>
      <c r="DZ2605" s="4"/>
      <c r="EA2605" s="4"/>
      <c r="EB2605" s="4"/>
      <c r="EC2605" s="4"/>
      <c r="ED2605" s="4"/>
      <c r="EE2605" s="4"/>
      <c r="EF2605" s="4"/>
      <c r="EG2605" s="4"/>
      <c r="EH2605" s="4"/>
      <c r="EI2605" s="4"/>
      <c r="EJ2605" s="4"/>
      <c r="EK2605" s="4"/>
      <c r="EL2605" s="4"/>
      <c r="EM2605" s="4"/>
      <c r="EN2605" s="4"/>
      <c r="EO2605" s="4"/>
      <c r="EP2605" s="4"/>
      <c r="EQ2605" s="4"/>
      <c r="ER2605" s="4"/>
      <c r="ES2605" s="4"/>
      <c r="ET2605" s="4"/>
      <c r="EU2605" s="4"/>
      <c r="EV2605" s="4"/>
      <c r="EW2605" s="4"/>
      <c r="EX2605" s="4"/>
      <c r="EY2605" s="4"/>
      <c r="EZ2605" s="4"/>
      <c r="FA2605" s="4">
        <v>200</v>
      </c>
      <c r="FB2605" s="4"/>
      <c r="FC2605" s="4"/>
      <c r="FD2605" s="4"/>
      <c r="FE2605" s="4"/>
      <c r="FF2605" s="4"/>
      <c r="FG2605" s="4"/>
      <c r="FH2605" s="4"/>
      <c r="FI2605" s="4">
        <v>250</v>
      </c>
      <c r="FJ2605" s="4"/>
      <c r="FK2605" s="4"/>
      <c r="FL2605" s="4"/>
      <c r="FM2605" s="4"/>
      <c r="FN2605" s="4"/>
      <c r="FO2605" s="4"/>
      <c r="FP2605" s="4"/>
      <c r="FQ2605" s="4"/>
      <c r="FR2605" s="4"/>
      <c r="FS2605" s="4"/>
      <c r="FT2605" s="4"/>
      <c r="FU2605" s="4"/>
      <c r="FV2605" s="4"/>
      <c r="FW2605" s="4"/>
      <c r="FX2605" s="4"/>
      <c r="FY2605" s="4"/>
      <c r="FZ2605" s="4"/>
      <c r="GA2605" s="4"/>
      <c r="GB2605" s="4"/>
      <c r="GC2605" s="4"/>
      <c r="GD2605" s="4"/>
      <c r="GE2605" s="4"/>
      <c r="GF2605" s="4"/>
      <c r="GG2605" s="4"/>
      <c r="GH2605" s="4"/>
      <c r="GI2605" s="4"/>
      <c r="GJ2605" s="4"/>
      <c r="GK2605" s="4"/>
      <c r="GL2605" s="4"/>
      <c r="GM2605" s="4"/>
      <c r="GN2605" s="4"/>
      <c r="GO2605" s="4"/>
      <c r="GP2605" s="4"/>
      <c r="GQ2605" s="4"/>
      <c r="GR2605" s="4"/>
      <c r="GS2605" s="4"/>
      <c r="GT2605" s="4"/>
      <c r="GU2605" s="4"/>
      <c r="GV2605" s="4"/>
      <c r="GW2605" s="4"/>
      <c r="GX2605" s="4"/>
      <c r="GY2605" s="4"/>
      <c r="GZ2605" s="4"/>
      <c r="HA2605" s="4"/>
      <c r="HB2605" s="4"/>
      <c r="HC2605" s="4"/>
      <c r="HD2605" s="4"/>
      <c r="HE2605" s="4"/>
      <c r="HF2605" s="4"/>
      <c r="HG2605" s="4"/>
      <c r="HH2605" s="4"/>
      <c r="HI2605" s="4"/>
      <c r="HJ2605" s="4"/>
      <c r="HK2605" s="4"/>
      <c r="HL2605" s="4"/>
      <c r="HM2605" s="4"/>
      <c r="HN2605" s="4"/>
      <c r="HO2605" s="4"/>
      <c r="HP2605" s="4"/>
      <c r="HQ2605" s="4"/>
      <c r="HR2605" s="4"/>
    </row>
    <row r="2606">
      <c r="A2606" s="2" t="s">
        <v>11474</v>
      </c>
      <c r="B2606" s="2" t="s">
        <v>228</v>
      </c>
      <c r="C2606" s="2" t="s">
        <v>530</v>
      </c>
      <c r="D2606" s="2" t="s">
        <v>1616</v>
      </c>
      <c r="E2606" s="2" t="s">
        <v>2599</v>
      </c>
      <c r="F2606" s="2" t="s">
        <v>10828</v>
      </c>
      <c r="G2606" s="2" t="s">
        <v>11414</v>
      </c>
      <c r="H2606" s="2" t="s">
        <v>11414</v>
      </c>
      <c r="I2606" s="2" t="s">
        <v>11415</v>
      </c>
      <c r="J2606" s="2" t="s">
        <v>6223</v>
      </c>
      <c r="K2606" s="2" t="s">
        <v>1201</v>
      </c>
      <c r="L2606" s="3">
        <v>15.91</v>
      </c>
      <c r="M2606" s="3">
        <v>16.71</v>
      </c>
      <c r="N2606" s="3">
        <v>36.99</v>
      </c>
      <c r="O2606" s="2" t="s">
        <v>245</v>
      </c>
      <c r="P2606" s="2" t="s">
        <v>741</v>
      </c>
      <c r="Q2606" s="2" t="s">
        <v>239</v>
      </c>
      <c r="R2606" s="2" t="s">
        <v>233</v>
      </c>
      <c r="S2606" s="2" t="s">
        <v>11475</v>
      </c>
      <c r="T2606" s="2" t="s">
        <v>976</v>
      </c>
      <c r="U2606" s="2" t="s">
        <v>233</v>
      </c>
      <c r="V2606" s="2" t="s">
        <v>2225</v>
      </c>
      <c r="W2606" s="2" t="s">
        <v>705</v>
      </c>
      <c r="X2606" s="2" t="s">
        <v>233</v>
      </c>
      <c r="Y2606" s="2" t="s">
        <v>276</v>
      </c>
      <c r="Z2606" s="4">
        <v>634</v>
      </c>
      <c r="AA2606" s="4">
        <f>=ROUNDDOWN(17.6111111111111,0)</f>
      </c>
      <c r="AB2606" s="5">
        <v>36</v>
      </c>
      <c r="AC2606" s="2" t="s">
        <v>547</v>
      </c>
      <c r="AD2606" s="4">
        <v>250</v>
      </c>
      <c r="AE2606" s="4">
        <v>730</v>
      </c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233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233</v>
      </c>
      <c r="AW2606" s="8" t="s">
        <v>233</v>
      </c>
      <c r="AX2606" s="4" t="s">
        <v>233</v>
      </c>
      <c r="AY2606" s="8" t="s">
        <v>233</v>
      </c>
      <c r="AZ2606" s="7" t="s">
        <v>233</v>
      </c>
      <c r="BA2606" s="7" t="s">
        <v>233</v>
      </c>
      <c r="BB2606" s="7"/>
      <c r="BC2606" s="4" t="s">
        <v>233</v>
      </c>
      <c r="BD2606" s="8" t="s">
        <v>233</v>
      </c>
      <c r="BE2606" s="4" t="s">
        <v>233</v>
      </c>
      <c r="BF2606" s="8" t="s">
        <v>233</v>
      </c>
      <c r="BG2606" s="7" t="s">
        <v>233</v>
      </c>
      <c r="BH2606" s="7" t="s">
        <v>233</v>
      </c>
      <c r="BI2606" s="7"/>
      <c r="BJ2606" s="4">
        <v>54</v>
      </c>
      <c r="BK2606" s="8">
        <v>937.49</v>
      </c>
      <c r="BL2606" s="2" t="s">
        <v>11476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11477</v>
      </c>
      <c r="BV2606" s="2" t="s">
        <v>233</v>
      </c>
      <c r="BW2606" s="2" t="s">
        <v>233</v>
      </c>
      <c r="BX2606" s="2" t="s">
        <v>233</v>
      </c>
      <c r="BY2606" s="2" t="s">
        <v>280</v>
      </c>
      <c r="BZ2606" s="2" t="s">
        <v>245</v>
      </c>
      <c r="CA2606" s="2" t="s">
        <v>281</v>
      </c>
      <c r="CB2606" s="2" t="s">
        <v>11478</v>
      </c>
      <c r="CC2606" s="2" t="s">
        <v>246</v>
      </c>
      <c r="CD2606" s="2" t="s">
        <v>233</v>
      </c>
      <c r="CE2606" s="4">
        <v>634</v>
      </c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/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  <c r="DL2606" s="4"/>
      <c r="DM2606" s="4"/>
      <c r="DN2606" s="4"/>
      <c r="DO2606" s="4"/>
      <c r="DP2606" s="4"/>
      <c r="DQ2606" s="4"/>
      <c r="DR2606" s="4"/>
      <c r="DS2606" s="4"/>
      <c r="DT2606" s="4"/>
      <c r="DU2606" s="4"/>
      <c r="DV2606" s="4"/>
      <c r="DW2606" s="4"/>
      <c r="DX2606" s="4"/>
      <c r="DY2606" s="4"/>
      <c r="DZ2606" s="4"/>
      <c r="EA2606" s="4"/>
      <c r="EB2606" s="4"/>
      <c r="EC2606" s="4"/>
      <c r="ED2606" s="4"/>
      <c r="EE2606" s="4"/>
      <c r="EF2606" s="4"/>
      <c r="EG2606" s="4"/>
      <c r="EH2606" s="4"/>
      <c r="EI2606" s="4"/>
      <c r="EJ2606" s="4"/>
      <c r="EK2606" s="4"/>
      <c r="EL2606" s="4"/>
      <c r="EM2606" s="4"/>
      <c r="EN2606" s="4"/>
      <c r="EO2606" s="4"/>
      <c r="EP2606" s="4"/>
      <c r="EQ2606" s="4"/>
      <c r="ER2606" s="4"/>
      <c r="ES2606" s="4"/>
      <c r="ET2606" s="4"/>
      <c r="EU2606" s="4">
        <v>250</v>
      </c>
      <c r="EV2606" s="4"/>
      <c r="EW2606" s="4"/>
      <c r="EX2606" s="4"/>
      <c r="EY2606" s="4"/>
      <c r="EZ2606" s="4"/>
      <c r="FA2606" s="4"/>
      <c r="FB2606" s="4"/>
      <c r="FC2606" s="4"/>
      <c r="FD2606" s="4"/>
      <c r="FE2606" s="4"/>
      <c r="FF2606" s="4"/>
      <c r="FG2606" s="4"/>
      <c r="FH2606" s="4"/>
      <c r="FI2606" s="4"/>
      <c r="FJ2606" s="4"/>
      <c r="FK2606" s="4"/>
      <c r="FL2606" s="4"/>
      <c r="FM2606" s="4"/>
      <c r="FN2606" s="4"/>
      <c r="FO2606" s="4"/>
      <c r="FP2606" s="4"/>
      <c r="FQ2606" s="4"/>
      <c r="FR2606" s="4"/>
      <c r="FS2606" s="4"/>
      <c r="FT2606" s="4"/>
      <c r="FU2606" s="4"/>
      <c r="FV2606" s="4"/>
      <c r="FW2606" s="4"/>
      <c r="FX2606" s="4"/>
      <c r="FY2606" s="4"/>
      <c r="FZ2606" s="4"/>
      <c r="GA2606" s="4"/>
      <c r="GB2606" s="4"/>
      <c r="GC2606" s="4"/>
      <c r="GD2606" s="4"/>
      <c r="GE2606" s="4">
        <v>480</v>
      </c>
      <c r="GF2606" s="4"/>
      <c r="GG2606" s="4"/>
      <c r="GH2606" s="4"/>
      <c r="GI2606" s="4"/>
      <c r="GJ2606" s="4"/>
      <c r="GK2606" s="4"/>
      <c r="GL2606" s="4"/>
      <c r="GM2606" s="4"/>
      <c r="GN2606" s="4"/>
      <c r="GO2606" s="4"/>
      <c r="GP2606" s="4"/>
      <c r="GQ2606" s="4"/>
      <c r="GR2606" s="4"/>
      <c r="GS2606" s="4"/>
      <c r="GT2606" s="4"/>
      <c r="GU2606" s="4"/>
      <c r="GV2606" s="4"/>
      <c r="GW2606" s="4"/>
      <c r="GX2606" s="4"/>
      <c r="GY2606" s="4"/>
      <c r="GZ2606" s="4"/>
      <c r="HA2606" s="4"/>
      <c r="HB2606" s="4"/>
      <c r="HC2606" s="4"/>
      <c r="HD2606" s="4"/>
      <c r="HE2606" s="4"/>
      <c r="HF2606" s="4"/>
      <c r="HG2606" s="4"/>
      <c r="HH2606" s="4"/>
      <c r="HI2606" s="4"/>
      <c r="HJ2606" s="4"/>
      <c r="HK2606" s="4"/>
      <c r="HL2606" s="4"/>
      <c r="HM2606" s="4"/>
      <c r="HN2606" s="4"/>
      <c r="HO2606" s="4"/>
      <c r="HP2606" s="4"/>
      <c r="HQ2606" s="4"/>
      <c r="HR2606" s="4"/>
    </row>
    <row r="2607">
      <c r="A2607" s="2" t="s">
        <v>11479</v>
      </c>
      <c r="B2607" s="2" t="s">
        <v>228</v>
      </c>
      <c r="C2607" s="2" t="s">
        <v>530</v>
      </c>
      <c r="D2607" s="2" t="s">
        <v>1616</v>
      </c>
      <c r="E2607" s="2" t="s">
        <v>2599</v>
      </c>
      <c r="F2607" s="2" t="s">
        <v>10828</v>
      </c>
      <c r="G2607" s="2" t="s">
        <v>11414</v>
      </c>
      <c r="H2607" s="2" t="s">
        <v>11414</v>
      </c>
      <c r="I2607" s="2" t="s">
        <v>11434</v>
      </c>
      <c r="J2607" s="2" t="s">
        <v>11435</v>
      </c>
      <c r="K2607" s="2" t="s">
        <v>1201</v>
      </c>
      <c r="L2607" s="3">
        <v>27.6</v>
      </c>
      <c r="M2607" s="3">
        <v>28.98</v>
      </c>
      <c r="N2607" s="3">
        <v>59.99</v>
      </c>
      <c r="O2607" s="2" t="s">
        <v>245</v>
      </c>
      <c r="P2607" s="2" t="s">
        <v>311</v>
      </c>
      <c r="Q2607" s="2" t="s">
        <v>239</v>
      </c>
      <c r="R2607" s="2" t="s">
        <v>233</v>
      </c>
      <c r="S2607" s="2" t="s">
        <v>11475</v>
      </c>
      <c r="T2607" s="2" t="s">
        <v>976</v>
      </c>
      <c r="U2607" s="2" t="s">
        <v>233</v>
      </c>
      <c r="V2607" s="2" t="s">
        <v>359</v>
      </c>
      <c r="W2607" s="2" t="s">
        <v>705</v>
      </c>
      <c r="X2607" s="2" t="s">
        <v>233</v>
      </c>
      <c r="Y2607" s="2" t="s">
        <v>276</v>
      </c>
      <c r="Z2607" s="4">
        <v>279</v>
      </c>
      <c r="AA2607" s="4">
        <f>=ROUNDDOWN(96.2068965517241,0)</f>
      </c>
      <c r="AB2607" s="5">
        <v>2.9</v>
      </c>
      <c r="AC2607" s="2" t="s">
        <v>825</v>
      </c>
      <c r="AD2607" s="4">
        <v>60</v>
      </c>
      <c r="AE2607" s="4">
        <v>60</v>
      </c>
      <c r="AF2607" s="6">
        <v>64</v>
      </c>
      <c r="AG2607" s="6"/>
      <c r="AH2607" s="7">
        <v>1</v>
      </c>
      <c r="AI2607" s="4"/>
      <c r="AJ2607" s="4">
        <f>=ROUNDDOWN({0},0)</f>
      </c>
      <c r="AK2607" s="5"/>
      <c r="AL2607" s="2" t="s">
        <v>233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233</v>
      </c>
      <c r="AW2607" s="8" t="s">
        <v>233</v>
      </c>
      <c r="AX2607" s="4" t="s">
        <v>233</v>
      </c>
      <c r="AY2607" s="8" t="s">
        <v>233</v>
      </c>
      <c r="AZ2607" s="7" t="s">
        <v>233</v>
      </c>
      <c r="BA2607" s="7" t="s">
        <v>233</v>
      </c>
      <c r="BB2607" s="7"/>
      <c r="BC2607" s="4" t="s">
        <v>233</v>
      </c>
      <c r="BD2607" s="8" t="s">
        <v>233</v>
      </c>
      <c r="BE2607" s="4" t="s">
        <v>233</v>
      </c>
      <c r="BF2607" s="8" t="s">
        <v>233</v>
      </c>
      <c r="BG2607" s="7" t="s">
        <v>233</v>
      </c>
      <c r="BH2607" s="7" t="s">
        <v>233</v>
      </c>
      <c r="BI2607" s="7"/>
      <c r="BJ2607" s="4">
        <v>13</v>
      </c>
      <c r="BK2607" s="8">
        <v>364.59</v>
      </c>
      <c r="BL2607" s="2" t="s">
        <v>11480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11481</v>
      </c>
      <c r="BV2607" s="2" t="s">
        <v>233</v>
      </c>
      <c r="BW2607" s="2" t="s">
        <v>233</v>
      </c>
      <c r="BX2607" s="2" t="s">
        <v>595</v>
      </c>
      <c r="BY2607" s="2" t="s">
        <v>280</v>
      </c>
      <c r="BZ2607" s="2" t="s">
        <v>245</v>
      </c>
      <c r="CA2607" s="2" t="s">
        <v>281</v>
      </c>
      <c r="CB2607" s="2" t="s">
        <v>11482</v>
      </c>
      <c r="CC2607" s="2" t="s">
        <v>246</v>
      </c>
      <c r="CD2607" s="2" t="s">
        <v>233</v>
      </c>
      <c r="CE2607" s="4">
        <v>279</v>
      </c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/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  <c r="DL2607" s="4"/>
      <c r="DM2607" s="4"/>
      <c r="DN2607" s="4"/>
      <c r="DO2607" s="4"/>
      <c r="DP2607" s="4"/>
      <c r="DQ2607" s="4"/>
      <c r="DR2607" s="4"/>
      <c r="DS2607" s="4"/>
      <c r="DT2607" s="4"/>
      <c r="DU2607" s="4"/>
      <c r="DV2607" s="4"/>
      <c r="DW2607" s="4"/>
      <c r="DX2607" s="4"/>
      <c r="DY2607" s="4"/>
      <c r="DZ2607" s="4"/>
      <c r="EA2607" s="4"/>
      <c r="EB2607" s="4"/>
      <c r="EC2607" s="4"/>
      <c r="ED2607" s="4"/>
      <c r="EE2607" s="4"/>
      <c r="EF2607" s="4"/>
      <c r="EG2607" s="4"/>
      <c r="EH2607" s="4"/>
      <c r="EI2607" s="4"/>
      <c r="EJ2607" s="4"/>
      <c r="EK2607" s="4"/>
      <c r="EL2607" s="4"/>
      <c r="EM2607" s="4"/>
      <c r="EN2607" s="4"/>
      <c r="EO2607" s="4"/>
      <c r="EP2607" s="4"/>
      <c r="EQ2607" s="4"/>
      <c r="ER2607" s="4"/>
      <c r="ES2607" s="4"/>
      <c r="ET2607" s="4"/>
      <c r="EU2607" s="4"/>
      <c r="EV2607" s="4"/>
      <c r="EW2607" s="4"/>
      <c r="EX2607" s="4"/>
      <c r="EY2607" s="4"/>
      <c r="EZ2607" s="4"/>
      <c r="FA2607" s="4"/>
      <c r="FB2607" s="4"/>
      <c r="FC2607" s="4"/>
      <c r="FD2607" s="4"/>
      <c r="FE2607" s="4"/>
      <c r="FF2607" s="4"/>
      <c r="FG2607" s="4"/>
      <c r="FH2607" s="4"/>
      <c r="FI2607" s="4"/>
      <c r="FJ2607" s="4"/>
      <c r="FK2607" s="4"/>
      <c r="FL2607" s="4"/>
      <c r="FM2607" s="4"/>
      <c r="FN2607" s="4"/>
      <c r="FO2607" s="4"/>
      <c r="FP2607" s="4"/>
      <c r="FQ2607" s="4"/>
      <c r="FR2607" s="4"/>
      <c r="FS2607" s="4"/>
      <c r="FT2607" s="4"/>
      <c r="FU2607" s="4"/>
      <c r="FV2607" s="4"/>
      <c r="FW2607" s="4"/>
      <c r="FX2607" s="4"/>
      <c r="FY2607" s="4"/>
      <c r="FZ2607" s="4"/>
      <c r="GA2607" s="4"/>
      <c r="GB2607" s="4"/>
      <c r="GC2607" s="4"/>
      <c r="GD2607" s="4"/>
      <c r="GE2607" s="4">
        <v>60</v>
      </c>
      <c r="GF2607" s="4"/>
      <c r="GG2607" s="4"/>
      <c r="GH2607" s="4"/>
      <c r="GI2607" s="4"/>
      <c r="GJ2607" s="4"/>
      <c r="GK2607" s="4"/>
      <c r="GL2607" s="4"/>
      <c r="GM2607" s="4"/>
      <c r="GN2607" s="4"/>
      <c r="GO2607" s="4"/>
      <c r="GP2607" s="4"/>
      <c r="GQ2607" s="4"/>
      <c r="GR2607" s="4"/>
      <c r="GS2607" s="4"/>
      <c r="GT2607" s="4"/>
      <c r="GU2607" s="4"/>
      <c r="GV2607" s="4"/>
      <c r="GW2607" s="4"/>
      <c r="GX2607" s="4"/>
      <c r="GY2607" s="4"/>
      <c r="GZ2607" s="4"/>
      <c r="HA2607" s="4"/>
      <c r="HB2607" s="4"/>
      <c r="HC2607" s="4"/>
      <c r="HD2607" s="4"/>
      <c r="HE2607" s="4"/>
      <c r="HF2607" s="4"/>
      <c r="HG2607" s="4"/>
      <c r="HH2607" s="4"/>
      <c r="HI2607" s="4"/>
      <c r="HJ2607" s="4"/>
      <c r="HK2607" s="4"/>
      <c r="HL2607" s="4"/>
      <c r="HM2607" s="4"/>
      <c r="HN2607" s="4"/>
      <c r="HO2607" s="4"/>
      <c r="HP2607" s="4"/>
      <c r="HQ2607" s="4"/>
      <c r="HR2607" s="4"/>
    </row>
    <row r="2608">
      <c r="A2608" s="2" t="s">
        <v>11483</v>
      </c>
      <c r="B2608" s="2" t="s">
        <v>228</v>
      </c>
      <c r="C2608" s="2" t="s">
        <v>530</v>
      </c>
      <c r="D2608" s="2" t="s">
        <v>1616</v>
      </c>
      <c r="E2608" s="2" t="s">
        <v>2599</v>
      </c>
      <c r="F2608" s="2" t="s">
        <v>10828</v>
      </c>
      <c r="G2608" s="2" t="s">
        <v>11414</v>
      </c>
      <c r="H2608" s="2" t="s">
        <v>11414</v>
      </c>
      <c r="I2608" s="2" t="s">
        <v>11415</v>
      </c>
      <c r="J2608" s="2" t="s">
        <v>6223</v>
      </c>
      <c r="K2608" s="2" t="s">
        <v>297</v>
      </c>
      <c r="L2608" s="3">
        <v>15.91</v>
      </c>
      <c r="M2608" s="3">
        <v>16.71</v>
      </c>
      <c r="N2608" s="3">
        <v>36.99</v>
      </c>
      <c r="O2608" s="2" t="s">
        <v>245</v>
      </c>
      <c r="P2608" s="2" t="s">
        <v>272</v>
      </c>
      <c r="Q2608" s="2" t="s">
        <v>239</v>
      </c>
      <c r="R2608" s="2" t="s">
        <v>233</v>
      </c>
      <c r="S2608" s="2" t="s">
        <v>11484</v>
      </c>
      <c r="T2608" s="2" t="s">
        <v>976</v>
      </c>
      <c r="U2608" s="2" t="s">
        <v>396</v>
      </c>
      <c r="V2608" s="2" t="s">
        <v>2225</v>
      </c>
      <c r="W2608" s="2" t="s">
        <v>705</v>
      </c>
      <c r="X2608" s="2" t="s">
        <v>233</v>
      </c>
      <c r="Y2608" s="2" t="s">
        <v>11485</v>
      </c>
      <c r="Z2608" s="4">
        <v>580</v>
      </c>
      <c r="AA2608" s="4">
        <f>=ROUNDDOWN(25.2173913043478,0)</f>
      </c>
      <c r="AB2608" s="5">
        <v>23</v>
      </c>
      <c r="AC2608" s="2" t="s">
        <v>547</v>
      </c>
      <c r="AD2608" s="4">
        <v>200</v>
      </c>
      <c r="AE2608" s="4">
        <v>800</v>
      </c>
      <c r="AF2608" s="6">
        <v>64</v>
      </c>
      <c r="AG2608" s="6"/>
      <c r="AH2608" s="7">
        <v>1</v>
      </c>
      <c r="AI2608" s="4"/>
      <c r="AJ2608" s="4">
        <f>=ROUNDDOWN({0},0)</f>
      </c>
      <c r="AK2608" s="5"/>
      <c r="AL2608" s="2" t="s">
        <v>233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233</v>
      </c>
      <c r="BD2608" s="8" t="s">
        <v>233</v>
      </c>
      <c r="BE2608" s="4" t="s">
        <v>233</v>
      </c>
      <c r="BF2608" s="8" t="s">
        <v>233</v>
      </c>
      <c r="BG2608" s="7" t="s">
        <v>233</v>
      </c>
      <c r="BH2608" s="7" t="s">
        <v>233</v>
      </c>
      <c r="BI2608" s="7"/>
      <c r="BJ2608" s="4">
        <v>32</v>
      </c>
      <c r="BK2608" s="8">
        <v>536.7</v>
      </c>
      <c r="BL2608" s="2" t="s">
        <v>11486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11487</v>
      </c>
      <c r="BV2608" s="2" t="s">
        <v>233</v>
      </c>
      <c r="BW2608" s="2" t="s">
        <v>233</v>
      </c>
      <c r="BX2608" s="2" t="s">
        <v>233</v>
      </c>
      <c r="BY2608" s="2" t="s">
        <v>280</v>
      </c>
      <c r="BZ2608" s="2" t="s">
        <v>245</v>
      </c>
      <c r="CA2608" s="2" t="s">
        <v>1834</v>
      </c>
      <c r="CB2608" s="2" t="s">
        <v>1057</v>
      </c>
      <c r="CC2608" s="2" t="s">
        <v>246</v>
      </c>
      <c r="CD2608" s="2" t="s">
        <v>233</v>
      </c>
      <c r="CE2608" s="4">
        <v>580</v>
      </c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/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  <c r="DL2608" s="4"/>
      <c r="DM2608" s="4"/>
      <c r="DN2608" s="4"/>
      <c r="DO2608" s="4"/>
      <c r="DP2608" s="4"/>
      <c r="DQ2608" s="4"/>
      <c r="DR2608" s="4"/>
      <c r="DS2608" s="4"/>
      <c r="DT2608" s="4"/>
      <c r="DU2608" s="4"/>
      <c r="DV2608" s="4"/>
      <c r="DW2608" s="4"/>
      <c r="DX2608" s="4"/>
      <c r="DY2608" s="4"/>
      <c r="DZ2608" s="4"/>
      <c r="EA2608" s="4"/>
      <c r="EB2608" s="4"/>
      <c r="EC2608" s="4"/>
      <c r="ED2608" s="4"/>
      <c r="EE2608" s="4"/>
      <c r="EF2608" s="4"/>
      <c r="EG2608" s="4"/>
      <c r="EH2608" s="4"/>
      <c r="EI2608" s="4"/>
      <c r="EJ2608" s="4"/>
      <c r="EK2608" s="4"/>
      <c r="EL2608" s="4"/>
      <c r="EM2608" s="4"/>
      <c r="EN2608" s="4"/>
      <c r="EO2608" s="4"/>
      <c r="EP2608" s="4"/>
      <c r="EQ2608" s="4"/>
      <c r="ER2608" s="4"/>
      <c r="ES2608" s="4"/>
      <c r="ET2608" s="4"/>
      <c r="EU2608" s="4">
        <v>200</v>
      </c>
      <c r="EV2608" s="4"/>
      <c r="EW2608" s="4"/>
      <c r="EX2608" s="4"/>
      <c r="EY2608" s="4"/>
      <c r="EZ2608" s="4"/>
      <c r="FA2608" s="4"/>
      <c r="FB2608" s="4"/>
      <c r="FC2608" s="4"/>
      <c r="FD2608" s="4"/>
      <c r="FE2608" s="4"/>
      <c r="FF2608" s="4"/>
      <c r="FG2608" s="4"/>
      <c r="FH2608" s="4"/>
      <c r="FI2608" s="4"/>
      <c r="FJ2608" s="4"/>
      <c r="FK2608" s="4"/>
      <c r="FL2608" s="4"/>
      <c r="FM2608" s="4"/>
      <c r="FN2608" s="4"/>
      <c r="FO2608" s="4"/>
      <c r="FP2608" s="4"/>
      <c r="FQ2608" s="4"/>
      <c r="FR2608" s="4"/>
      <c r="FS2608" s="4"/>
      <c r="FT2608" s="4"/>
      <c r="FU2608" s="4"/>
      <c r="FV2608" s="4"/>
      <c r="FW2608" s="4"/>
      <c r="FX2608" s="4"/>
      <c r="FY2608" s="4"/>
      <c r="FZ2608" s="4">
        <v>600</v>
      </c>
      <c r="GA2608" s="4"/>
      <c r="GB2608" s="4"/>
      <c r="GC2608" s="4"/>
      <c r="GD2608" s="4"/>
      <c r="GE2608" s="4"/>
      <c r="GF2608" s="4"/>
      <c r="GG2608" s="4"/>
      <c r="GH2608" s="4"/>
      <c r="GI2608" s="4"/>
      <c r="GJ2608" s="4"/>
      <c r="GK2608" s="4"/>
      <c r="GL2608" s="4"/>
      <c r="GM2608" s="4"/>
      <c r="GN2608" s="4"/>
      <c r="GO2608" s="4"/>
      <c r="GP2608" s="4"/>
      <c r="GQ2608" s="4"/>
      <c r="GR2608" s="4"/>
      <c r="GS2608" s="4"/>
      <c r="GT2608" s="4"/>
      <c r="GU2608" s="4"/>
      <c r="GV2608" s="4"/>
      <c r="GW2608" s="4"/>
      <c r="GX2608" s="4"/>
      <c r="GY2608" s="4"/>
      <c r="GZ2608" s="4"/>
      <c r="HA2608" s="4"/>
      <c r="HB2608" s="4"/>
      <c r="HC2608" s="4"/>
      <c r="HD2608" s="4"/>
      <c r="HE2608" s="4"/>
      <c r="HF2608" s="4"/>
      <c r="HG2608" s="4"/>
      <c r="HH2608" s="4"/>
      <c r="HI2608" s="4"/>
      <c r="HJ2608" s="4"/>
      <c r="HK2608" s="4"/>
      <c r="HL2608" s="4"/>
      <c r="HM2608" s="4"/>
      <c r="HN2608" s="4"/>
      <c r="HO2608" s="4"/>
      <c r="HP2608" s="4"/>
      <c r="HQ2608" s="4"/>
      <c r="HR2608" s="4"/>
    </row>
    <row r="2609">
      <c r="A2609" s="16" t="s">
        <v>11488</v>
      </c>
      <c r="B2609" s="9" t="s">
        <v>233</v>
      </c>
      <c r="C2609" s="9" t="s">
        <v>233</v>
      </c>
      <c r="D2609" s="9" t="s">
        <v>233</v>
      </c>
      <c r="E2609" s="9" t="s">
        <v>233</v>
      </c>
      <c r="F2609" s="9" t="s">
        <v>233</v>
      </c>
      <c r="G2609" s="9" t="s">
        <v>233</v>
      </c>
      <c r="H2609" s="9" t="s">
        <v>233</v>
      </c>
      <c r="I2609" s="9" t="s">
        <v>233</v>
      </c>
      <c r="J2609" s="9" t="s">
        <v>233</v>
      </c>
      <c r="K2609" s="9" t="s">
        <v>233</v>
      </c>
      <c r="L2609" s="10"/>
      <c r="M2609" s="10"/>
      <c r="N2609" s="10"/>
      <c r="O2609" s="9" t="s">
        <v>233</v>
      </c>
      <c r="P2609" s="9" t="s">
        <v>233</v>
      </c>
      <c r="Q2609" s="9" t="s">
        <v>233</v>
      </c>
      <c r="R2609" s="9" t="s">
        <v>233</v>
      </c>
      <c r="S2609" s="9" t="s">
        <v>233</v>
      </c>
      <c r="T2609" s="9" t="s">
        <v>233</v>
      </c>
      <c r="U2609" s="9" t="s">
        <v>233</v>
      </c>
      <c r="V2609" s="9" t="s">
        <v>233</v>
      </c>
      <c r="W2609" s="9" t="s">
        <v>233</v>
      </c>
      <c r="X2609" s="9" t="s">
        <v>233</v>
      </c>
      <c r="Y2609" s="9" t="s">
        <v>233</v>
      </c>
      <c r="Z2609" s="11">
        <v>326234</v>
      </c>
      <c r="AA2609" s="11">
        <f>=ROUNDDOWN({0},0)</f>
      </c>
      <c r="AB2609" s="12">
        <v>19979.2</v>
      </c>
      <c r="AC2609" s="9" t="s">
        <v>233</v>
      </c>
      <c r="AD2609" s="11"/>
      <c r="AE2609" s="11">
        <v>393626</v>
      </c>
      <c r="AF2609" s="13"/>
      <c r="AG2609" s="13"/>
      <c r="AH2609" s="14"/>
      <c r="AI2609" s="11"/>
      <c r="AJ2609" s="11">
        <f>=ROUNDDOWN({0},0)</f>
      </c>
      <c r="AK2609" s="12"/>
      <c r="AL2609" s="9" t="s">
        <v>233</v>
      </c>
      <c r="AM2609" s="11"/>
      <c r="AN2609" s="11">
        <v>1625</v>
      </c>
      <c r="AO2609" s="14"/>
      <c r="AP2609" s="11"/>
      <c r="AQ2609" s="15"/>
      <c r="AR2609" s="11"/>
      <c r="AS2609" s="15"/>
      <c r="AT2609" s="14"/>
      <c r="AU2609" s="14"/>
      <c r="AV2609" s="11"/>
      <c r="AW2609" s="15"/>
      <c r="AX2609" s="11"/>
      <c r="AY2609" s="15"/>
      <c r="AZ2609" s="14"/>
      <c r="BA2609" s="14"/>
      <c r="BB2609" s="14"/>
      <c r="BC2609" s="11"/>
      <c r="BD2609" s="15"/>
      <c r="BE2609" s="11"/>
      <c r="BF2609" s="15"/>
      <c r="BG2609" s="14"/>
      <c r="BH2609" s="14"/>
      <c r="BI2609" s="14"/>
      <c r="BJ2609" s="11"/>
      <c r="BK2609" s="15"/>
      <c r="BL2609" s="9" t="s">
        <v>233</v>
      </c>
      <c r="BM2609" s="14"/>
      <c r="BN2609" s="14"/>
      <c r="BO2609" s="11"/>
      <c r="BP2609" s="15"/>
      <c r="BQ2609" s="11"/>
      <c r="BR2609" s="15"/>
      <c r="BS2609" s="14"/>
      <c r="BT2609" s="14"/>
      <c r="BU2609" s="9" t="s">
        <v>233</v>
      </c>
      <c r="BV2609" s="9" t="s">
        <v>233</v>
      </c>
      <c r="BW2609" s="9" t="s">
        <v>233</v>
      </c>
      <c r="BX2609" s="9" t="s">
        <v>233</v>
      </c>
      <c r="BY2609" s="9" t="s">
        <v>233</v>
      </c>
      <c r="BZ2609" s="9" t="s">
        <v>233</v>
      </c>
      <c r="CA2609" s="9" t="s">
        <v>233</v>
      </c>
      <c r="CB2609" s="9" t="s">
        <v>233</v>
      </c>
      <c r="CC2609" s="9" t="s">
        <v>233</v>
      </c>
      <c r="CD2609" s="9" t="s">
        <v>233</v>
      </c>
      <c r="CE2609" s="11">
        <v>222622</v>
      </c>
      <c r="CF2609" s="11">
        <v>52906</v>
      </c>
      <c r="CG2609" s="11"/>
      <c r="CH2609" s="11"/>
      <c r="CI2609" s="11">
        <v>47501</v>
      </c>
      <c r="CJ2609" s="11"/>
      <c r="CK2609" s="11"/>
      <c r="CL2609" s="11">
        <v>2822</v>
      </c>
      <c r="CM2609" s="11"/>
      <c r="CN2609" s="11"/>
      <c r="CO2609" s="11"/>
      <c r="CP2609" s="11">
        <v>381</v>
      </c>
      <c r="CQ2609" s="11">
        <v>2</v>
      </c>
      <c r="CR2609" s="11"/>
      <c r="CS2609" s="11"/>
      <c r="CT2609" s="11"/>
      <c r="CU2609" s="11">
        <v>59</v>
      </c>
      <c r="CV2609" s="11">
        <v>100</v>
      </c>
      <c r="CW2609" s="11">
        <v>50</v>
      </c>
      <c r="CX2609" s="11">
        <v>410</v>
      </c>
      <c r="CY2609" s="11">
        <v>2476</v>
      </c>
      <c r="CZ2609" s="11">
        <v>360</v>
      </c>
      <c r="DA2609" s="11">
        <v>350</v>
      </c>
      <c r="DB2609" s="11">
        <v>181</v>
      </c>
      <c r="DC2609" s="11">
        <v>618</v>
      </c>
      <c r="DD2609" s="11">
        <v>522</v>
      </c>
      <c r="DE2609" s="11">
        <v>130</v>
      </c>
      <c r="DF2609" s="11">
        <v>725</v>
      </c>
      <c r="DG2609" s="11">
        <v>3923</v>
      </c>
      <c r="DH2609" s="11">
        <v>812</v>
      </c>
      <c r="DI2609" s="11">
        <v>699</v>
      </c>
      <c r="DJ2609" s="11">
        <v>1589</v>
      </c>
      <c r="DK2609" s="11">
        <v>1147</v>
      </c>
      <c r="DL2609" s="11">
        <v>50</v>
      </c>
      <c r="DM2609" s="11">
        <v>1760</v>
      </c>
      <c r="DN2609" s="11">
        <v>10</v>
      </c>
      <c r="DO2609" s="11">
        <v>15</v>
      </c>
      <c r="DP2609" s="11">
        <v>755</v>
      </c>
      <c r="DQ2609" s="11">
        <v>1292</v>
      </c>
      <c r="DR2609" s="11">
        <v>11241</v>
      </c>
      <c r="DS2609" s="11">
        <v>530</v>
      </c>
      <c r="DT2609" s="11">
        <v>158</v>
      </c>
      <c r="DU2609" s="11">
        <v>8441</v>
      </c>
      <c r="DV2609" s="11">
        <v>2676</v>
      </c>
      <c r="DW2609" s="11">
        <v>110</v>
      </c>
      <c r="DX2609" s="11">
        <v>438</v>
      </c>
      <c r="DY2609" s="11">
        <v>3080</v>
      </c>
      <c r="DZ2609" s="11">
        <v>5851</v>
      </c>
      <c r="EA2609" s="11">
        <v>2484</v>
      </c>
      <c r="EB2609" s="11">
        <v>244</v>
      </c>
      <c r="EC2609" s="11">
        <v>1443</v>
      </c>
      <c r="ED2609" s="11">
        <v>475</v>
      </c>
      <c r="EE2609" s="11">
        <v>18810</v>
      </c>
      <c r="EF2609" s="11">
        <v>9104</v>
      </c>
      <c r="EG2609" s="11">
        <v>230</v>
      </c>
      <c r="EH2609" s="11">
        <v>1916</v>
      </c>
      <c r="EI2609" s="11">
        <v>4079</v>
      </c>
      <c r="EJ2609" s="11">
        <v>1886</v>
      </c>
      <c r="EK2609" s="11">
        <v>2481</v>
      </c>
      <c r="EL2609" s="11">
        <v>165</v>
      </c>
      <c r="EM2609" s="11">
        <v>50</v>
      </c>
      <c r="EN2609" s="11">
        <v>600</v>
      </c>
      <c r="EO2609" s="11">
        <v>4350</v>
      </c>
      <c r="EP2609" s="11">
        <v>5137</v>
      </c>
      <c r="EQ2609" s="11">
        <v>40</v>
      </c>
      <c r="ER2609" s="11">
        <v>711</v>
      </c>
      <c r="ES2609" s="11">
        <v>1813</v>
      </c>
      <c r="ET2609" s="11">
        <v>839</v>
      </c>
      <c r="EU2609" s="11">
        <v>20896</v>
      </c>
      <c r="EV2609" s="11">
        <v>360</v>
      </c>
      <c r="EW2609" s="11">
        <v>13142</v>
      </c>
      <c r="EX2609" s="11">
        <v>550</v>
      </c>
      <c r="EY2609" s="11">
        <v>2028</v>
      </c>
      <c r="EZ2609" s="11">
        <v>5405</v>
      </c>
      <c r="FA2609" s="11">
        <v>4190</v>
      </c>
      <c r="FB2609" s="11">
        <v>9171</v>
      </c>
      <c r="FC2609" s="11">
        <v>860</v>
      </c>
      <c r="FD2609" s="11">
        <v>1991</v>
      </c>
      <c r="FE2609" s="11">
        <v>1960</v>
      </c>
      <c r="FF2609" s="11">
        <v>2905</v>
      </c>
      <c r="FG2609" s="11">
        <v>704</v>
      </c>
      <c r="FH2609" s="11">
        <v>250</v>
      </c>
      <c r="FI2609" s="11">
        <v>5310</v>
      </c>
      <c r="FJ2609" s="11">
        <v>525</v>
      </c>
      <c r="FK2609" s="11">
        <v>345</v>
      </c>
      <c r="FL2609" s="11">
        <v>1346</v>
      </c>
      <c r="FM2609" s="11">
        <v>1669</v>
      </c>
      <c r="FN2609" s="11">
        <v>10745</v>
      </c>
      <c r="FO2609" s="11">
        <v>2840</v>
      </c>
      <c r="FP2609" s="11">
        <v>957</v>
      </c>
      <c r="FQ2609" s="11">
        <v>1200</v>
      </c>
      <c r="FR2609" s="11">
        <v>568</v>
      </c>
      <c r="FS2609" s="11">
        <v>4751</v>
      </c>
      <c r="FT2609" s="11">
        <v>6121</v>
      </c>
      <c r="FU2609" s="11">
        <v>1348</v>
      </c>
      <c r="FV2609" s="11">
        <v>3150</v>
      </c>
      <c r="FW2609" s="11">
        <v>850</v>
      </c>
      <c r="FX2609" s="11">
        <v>5624</v>
      </c>
      <c r="FY2609" s="11">
        <v>272</v>
      </c>
      <c r="FZ2609" s="11">
        <v>85663</v>
      </c>
      <c r="GA2609" s="11">
        <v>1757</v>
      </c>
      <c r="GB2609" s="11">
        <v>316</v>
      </c>
      <c r="GC2609" s="11">
        <v>7361</v>
      </c>
      <c r="GD2609" s="11">
        <v>1230</v>
      </c>
      <c r="GE2609" s="11">
        <v>15951</v>
      </c>
      <c r="GF2609" s="11">
        <v>150</v>
      </c>
      <c r="GG2609" s="11">
        <v>1835</v>
      </c>
      <c r="GH2609" s="11">
        <v>100</v>
      </c>
      <c r="GI2609" s="11">
        <v>2205</v>
      </c>
      <c r="GJ2609" s="11">
        <v>1220</v>
      </c>
      <c r="GK2609" s="11">
        <v>6657</v>
      </c>
      <c r="GL2609" s="11">
        <v>175</v>
      </c>
      <c r="GM2609" s="11">
        <v>330</v>
      </c>
      <c r="GN2609" s="11">
        <v>6762</v>
      </c>
      <c r="GO2609" s="11">
        <v>420</v>
      </c>
      <c r="GP2609" s="11">
        <v>2280</v>
      </c>
      <c r="GQ2609" s="11">
        <v>4641</v>
      </c>
      <c r="GR2609" s="11">
        <v>895</v>
      </c>
      <c r="GS2609" s="11">
        <v>2160</v>
      </c>
      <c r="GT2609" s="11">
        <v>1346</v>
      </c>
      <c r="GU2609" s="11">
        <v>800</v>
      </c>
      <c r="GV2609" s="11">
        <v>3180</v>
      </c>
      <c r="GW2609" s="11">
        <v>6643</v>
      </c>
      <c r="GX2609" s="11">
        <v>3960</v>
      </c>
      <c r="GY2609" s="11">
        <v>200</v>
      </c>
      <c r="GZ2609" s="11">
        <v>200</v>
      </c>
      <c r="HA2609" s="11">
        <v>1300</v>
      </c>
      <c r="HB2609" s="11">
        <v>3995</v>
      </c>
      <c r="HC2609" s="11">
        <v>1030</v>
      </c>
      <c r="HD2609" s="11">
        <v>750</v>
      </c>
      <c r="HE2609" s="11">
        <v>4992</v>
      </c>
      <c r="HF2609" s="11">
        <v>105</v>
      </c>
      <c r="HG2609" s="11">
        <v>3569</v>
      </c>
      <c r="HH2609" s="11">
        <v>13</v>
      </c>
      <c r="HI2609" s="11">
        <v>152</v>
      </c>
      <c r="HJ2609" s="11">
        <v>246</v>
      </c>
      <c r="HK2609" s="11">
        <v>204</v>
      </c>
      <c r="HL2609" s="11">
        <v>94</v>
      </c>
      <c r="HM2609" s="11">
        <v>259</v>
      </c>
      <c r="HN2609" s="11">
        <v>62</v>
      </c>
      <c r="HO2609" s="11">
        <v>131</v>
      </c>
      <c r="HP2609" s="11">
        <v>115</v>
      </c>
      <c r="HQ2609" s="11">
        <v>169</v>
      </c>
      <c r="HR2609" s="11">
        <v>180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4"/>
    <mergeCell ref="CU3:HG4"/>
    <mergeCell ref="HH3:HR4"/>
    <mergeCell ref="BC6:BC15"/>
    <mergeCell ref="BD6:BD15"/>
    <mergeCell ref="BE6:BE15"/>
    <mergeCell ref="BF6:BF15"/>
    <mergeCell ref="BG6:BG15"/>
    <mergeCell ref="BH6:BH15"/>
    <mergeCell ref="BC16:BC18"/>
    <mergeCell ref="BD16:BD18"/>
    <mergeCell ref="BE16:BE18"/>
    <mergeCell ref="BF16:BF18"/>
    <mergeCell ref="BG16:BG18"/>
    <mergeCell ref="BH16:BH18"/>
    <mergeCell ref="BC19:BC20"/>
    <mergeCell ref="BD19:BD20"/>
    <mergeCell ref="BE19:BE20"/>
    <mergeCell ref="BF19:BF20"/>
    <mergeCell ref="BG19:BG20"/>
    <mergeCell ref="BH19:BH20"/>
    <mergeCell ref="BC21:BC24"/>
    <mergeCell ref="BD21:BD24"/>
    <mergeCell ref="BE21:BE24"/>
    <mergeCell ref="BF21:BF24"/>
    <mergeCell ref="BG21:BG24"/>
    <mergeCell ref="BH21:BH24"/>
    <mergeCell ref="BC25:BC36"/>
    <mergeCell ref="BD25:BD36"/>
    <mergeCell ref="BE25:BE36"/>
    <mergeCell ref="BF25:BF36"/>
    <mergeCell ref="BG25:BG36"/>
    <mergeCell ref="BH25:BH36"/>
    <mergeCell ref="BC37:BC38"/>
    <mergeCell ref="BD37:BD38"/>
    <mergeCell ref="BE37:BE38"/>
    <mergeCell ref="BF37:BF38"/>
    <mergeCell ref="BG37:BG38"/>
    <mergeCell ref="BH37:BH38"/>
    <mergeCell ref="BC39:BC41"/>
    <mergeCell ref="BD39:BD41"/>
    <mergeCell ref="BE39:BE41"/>
    <mergeCell ref="BF39:BF41"/>
    <mergeCell ref="BG39:BG41"/>
    <mergeCell ref="BH39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61"/>
    <mergeCell ref="BD49:BD61"/>
    <mergeCell ref="BE49:BE61"/>
    <mergeCell ref="BF49:BF61"/>
    <mergeCell ref="BG49:BG61"/>
    <mergeCell ref="BH49:BH61"/>
    <mergeCell ref="BC63:BC85"/>
    <mergeCell ref="BD63:BD85"/>
    <mergeCell ref="BE63:BE85"/>
    <mergeCell ref="BF63:BF85"/>
    <mergeCell ref="BG63:BG85"/>
    <mergeCell ref="BH63:BH85"/>
    <mergeCell ref="BC86:BC97"/>
    <mergeCell ref="BD86:BD97"/>
    <mergeCell ref="BE86:BE97"/>
    <mergeCell ref="BF86:BF97"/>
    <mergeCell ref="BG86:BG97"/>
    <mergeCell ref="BH86:BH97"/>
    <mergeCell ref="BC98:BC103"/>
    <mergeCell ref="BD98:BD103"/>
    <mergeCell ref="BE98:BE103"/>
    <mergeCell ref="BF98:BF103"/>
    <mergeCell ref="BG98:BG103"/>
    <mergeCell ref="BH98:BH103"/>
    <mergeCell ref="BC104:BC110"/>
    <mergeCell ref="BD104:BD110"/>
    <mergeCell ref="BE104:BE110"/>
    <mergeCell ref="BF104:BF110"/>
    <mergeCell ref="BG104:BG110"/>
    <mergeCell ref="BH104:BH110"/>
    <mergeCell ref="BC111:BC113"/>
    <mergeCell ref="BD111:BD113"/>
    <mergeCell ref="BE111:BE113"/>
    <mergeCell ref="BF111:BF113"/>
    <mergeCell ref="BG111:BG113"/>
    <mergeCell ref="BH111:BH113"/>
    <mergeCell ref="BC114:BC118"/>
    <mergeCell ref="BD114:BD118"/>
    <mergeCell ref="BE114:BE118"/>
    <mergeCell ref="BF114:BF118"/>
    <mergeCell ref="BG114:BG118"/>
    <mergeCell ref="BH114:BH118"/>
    <mergeCell ref="BC119:BC126"/>
    <mergeCell ref="BD119:BD126"/>
    <mergeCell ref="BE119:BE126"/>
    <mergeCell ref="BF119:BF126"/>
    <mergeCell ref="BG119:BG126"/>
    <mergeCell ref="BH119:BH126"/>
    <mergeCell ref="BC127:BC128"/>
    <mergeCell ref="BD127:BD128"/>
    <mergeCell ref="BE127:BE128"/>
    <mergeCell ref="BF127:BF128"/>
    <mergeCell ref="BG127:BG128"/>
    <mergeCell ref="BH127:BH128"/>
    <mergeCell ref="BC136:BC141"/>
    <mergeCell ref="BD136:BD141"/>
    <mergeCell ref="BE136:BE141"/>
    <mergeCell ref="BF136:BF141"/>
    <mergeCell ref="BG136:BG141"/>
    <mergeCell ref="BH136:BH141"/>
    <mergeCell ref="BC142:BC154"/>
    <mergeCell ref="BD142:BD154"/>
    <mergeCell ref="BE142:BE154"/>
    <mergeCell ref="BF142:BF154"/>
    <mergeCell ref="BG142:BG154"/>
    <mergeCell ref="BH142:BH154"/>
    <mergeCell ref="BC155:BC156"/>
    <mergeCell ref="BD155:BD156"/>
    <mergeCell ref="BE155:BE156"/>
    <mergeCell ref="BF155:BF156"/>
    <mergeCell ref="BG155:BG156"/>
    <mergeCell ref="BH155:BH156"/>
    <mergeCell ref="BC161:BC162"/>
    <mergeCell ref="BD161:BD162"/>
    <mergeCell ref="BE161:BE162"/>
    <mergeCell ref="BF161:BF162"/>
    <mergeCell ref="BG161:BG162"/>
    <mergeCell ref="BH161:BH162"/>
    <mergeCell ref="BC163:BC166"/>
    <mergeCell ref="BD163:BD166"/>
    <mergeCell ref="BE163:BE166"/>
    <mergeCell ref="BF163:BF166"/>
    <mergeCell ref="BG163:BG166"/>
    <mergeCell ref="BH163:BH166"/>
    <mergeCell ref="BC173:BC174"/>
    <mergeCell ref="BD173:BD174"/>
    <mergeCell ref="BE173:BE174"/>
    <mergeCell ref="BF173:BF174"/>
    <mergeCell ref="BG173:BG174"/>
    <mergeCell ref="BH173:BH174"/>
    <mergeCell ref="BC177:BC178"/>
    <mergeCell ref="BD177:BD178"/>
    <mergeCell ref="BE177:BE178"/>
    <mergeCell ref="BF177:BF178"/>
    <mergeCell ref="BG177:BG178"/>
    <mergeCell ref="BH177:BH178"/>
    <mergeCell ref="BC181:BC189"/>
    <mergeCell ref="BD181:BD189"/>
    <mergeCell ref="BE181:BE189"/>
    <mergeCell ref="BF181:BF189"/>
    <mergeCell ref="BG181:BG189"/>
    <mergeCell ref="BH181:BH189"/>
    <mergeCell ref="BC190:BC192"/>
    <mergeCell ref="BD190:BD192"/>
    <mergeCell ref="BE190:BE192"/>
    <mergeCell ref="BF190:BF192"/>
    <mergeCell ref="BG190:BG192"/>
    <mergeCell ref="BH190:BH192"/>
    <mergeCell ref="BC195:BC210"/>
    <mergeCell ref="BD195:BD210"/>
    <mergeCell ref="BE195:BE210"/>
    <mergeCell ref="BF195:BF210"/>
    <mergeCell ref="BG195:BG210"/>
    <mergeCell ref="BH195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21"/>
    <mergeCell ref="BD216:BD221"/>
    <mergeCell ref="BE216:BE221"/>
    <mergeCell ref="BF216:BF221"/>
    <mergeCell ref="BG216:BG221"/>
    <mergeCell ref="BH216:BH221"/>
    <mergeCell ref="BC222:BC233"/>
    <mergeCell ref="BD222:BD233"/>
    <mergeCell ref="BE222:BE233"/>
    <mergeCell ref="BF222:BF233"/>
    <mergeCell ref="BG222:BG233"/>
    <mergeCell ref="BH222:BH233"/>
    <mergeCell ref="BC234:BC238"/>
    <mergeCell ref="BD234:BD238"/>
    <mergeCell ref="BE234:BE238"/>
    <mergeCell ref="BF234:BF238"/>
    <mergeCell ref="BG234:BG238"/>
    <mergeCell ref="BH234:BH238"/>
    <mergeCell ref="BC242:BC247"/>
    <mergeCell ref="BD242:BD247"/>
    <mergeCell ref="BE242:BE247"/>
    <mergeCell ref="BF242:BF247"/>
    <mergeCell ref="BG242:BG247"/>
    <mergeCell ref="BH242:BH247"/>
    <mergeCell ref="BC249:BC250"/>
    <mergeCell ref="BD249:BD250"/>
    <mergeCell ref="BE249:BE250"/>
    <mergeCell ref="BF249:BF250"/>
    <mergeCell ref="BG249:BG250"/>
    <mergeCell ref="BH249:BH250"/>
    <mergeCell ref="BC251:BC254"/>
    <mergeCell ref="BD251:BD254"/>
    <mergeCell ref="BE251:BE254"/>
    <mergeCell ref="BF251:BF254"/>
    <mergeCell ref="BG251:BG254"/>
    <mergeCell ref="BH251:BH254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6:BC270"/>
    <mergeCell ref="BD266:BD270"/>
    <mergeCell ref="BE266:BE270"/>
    <mergeCell ref="BF266:BF270"/>
    <mergeCell ref="BG266:BG270"/>
    <mergeCell ref="BH266:BH270"/>
    <mergeCell ref="BC273:BC275"/>
    <mergeCell ref="BD273:BD275"/>
    <mergeCell ref="BE273:BE275"/>
    <mergeCell ref="BF273:BF275"/>
    <mergeCell ref="BG273:BG275"/>
    <mergeCell ref="BH273:BH275"/>
    <mergeCell ref="BC278:BC280"/>
    <mergeCell ref="BD278:BD280"/>
    <mergeCell ref="BE278:BE280"/>
    <mergeCell ref="BF278:BF280"/>
    <mergeCell ref="BG278:BG280"/>
    <mergeCell ref="BH278:BH280"/>
    <mergeCell ref="BC284:BC294"/>
    <mergeCell ref="BD284:BD294"/>
    <mergeCell ref="BE284:BE294"/>
    <mergeCell ref="BF284:BF294"/>
    <mergeCell ref="BG284:BG294"/>
    <mergeCell ref="BH284:BH294"/>
    <mergeCell ref="BC295:BC297"/>
    <mergeCell ref="BD295:BD297"/>
    <mergeCell ref="BE295:BE297"/>
    <mergeCell ref="BF295:BF297"/>
    <mergeCell ref="BG295:BG297"/>
    <mergeCell ref="BH295:BH297"/>
    <mergeCell ref="BC300:BC302"/>
    <mergeCell ref="BD300:BD302"/>
    <mergeCell ref="BE300:BE302"/>
    <mergeCell ref="BF300:BF302"/>
    <mergeCell ref="BG300:BG302"/>
    <mergeCell ref="BH300:BH302"/>
    <mergeCell ref="BC303:BC305"/>
    <mergeCell ref="BD303:BD305"/>
    <mergeCell ref="BE303:BE305"/>
    <mergeCell ref="BF303:BF305"/>
    <mergeCell ref="BG303:BG305"/>
    <mergeCell ref="BH303:BH305"/>
    <mergeCell ref="BC309:BC312"/>
    <mergeCell ref="BD309:BD312"/>
    <mergeCell ref="BE309:BE312"/>
    <mergeCell ref="BF309:BF312"/>
    <mergeCell ref="BG309:BG312"/>
    <mergeCell ref="BH309:BH312"/>
    <mergeCell ref="BC313:BC314"/>
    <mergeCell ref="BD313:BD314"/>
    <mergeCell ref="BE313:BE314"/>
    <mergeCell ref="BF313:BF314"/>
    <mergeCell ref="BG313:BG314"/>
    <mergeCell ref="BH313:BH314"/>
    <mergeCell ref="BC315:BC325"/>
    <mergeCell ref="BD315:BD325"/>
    <mergeCell ref="BE315:BE325"/>
    <mergeCell ref="BF315:BF325"/>
    <mergeCell ref="BG315:BG325"/>
    <mergeCell ref="BH315:BH325"/>
    <mergeCell ref="BC327:BC328"/>
    <mergeCell ref="BD327:BD328"/>
    <mergeCell ref="BE327:BE328"/>
    <mergeCell ref="BF327:BF328"/>
    <mergeCell ref="BG327:BG328"/>
    <mergeCell ref="BH327:BH328"/>
    <mergeCell ref="BC329:BC346"/>
    <mergeCell ref="BD329:BD346"/>
    <mergeCell ref="BE329:BE346"/>
    <mergeCell ref="BF329:BF346"/>
    <mergeCell ref="BG329:BG346"/>
    <mergeCell ref="BH329:BH346"/>
    <mergeCell ref="BC347:BC351"/>
    <mergeCell ref="BD347:BD351"/>
    <mergeCell ref="BE347:BE351"/>
    <mergeCell ref="BF347:BF351"/>
    <mergeCell ref="BG347:BG351"/>
    <mergeCell ref="BH347:BH351"/>
    <mergeCell ref="BC354:BC359"/>
    <mergeCell ref="BD354:BD359"/>
    <mergeCell ref="BE354:BE359"/>
    <mergeCell ref="BF354:BF359"/>
    <mergeCell ref="BG354:BG359"/>
    <mergeCell ref="BH354:BH359"/>
    <mergeCell ref="BC361:BC362"/>
    <mergeCell ref="BD361:BD362"/>
    <mergeCell ref="BE361:BE362"/>
    <mergeCell ref="BF361:BF362"/>
    <mergeCell ref="BG361:BG362"/>
    <mergeCell ref="BH361:BH362"/>
    <mergeCell ref="BC363:BC367"/>
    <mergeCell ref="BD363:BD367"/>
    <mergeCell ref="BE363:BE367"/>
    <mergeCell ref="BF363:BF367"/>
    <mergeCell ref="BG363:BG367"/>
    <mergeCell ref="BH363:BH367"/>
    <mergeCell ref="BC368:BC371"/>
    <mergeCell ref="BD368:BD371"/>
    <mergeCell ref="BE368:BE371"/>
    <mergeCell ref="BF368:BF371"/>
    <mergeCell ref="BG368:BG371"/>
    <mergeCell ref="BH368:BH371"/>
    <mergeCell ref="BC373:BC376"/>
    <mergeCell ref="BD373:BD376"/>
    <mergeCell ref="BE373:BE376"/>
    <mergeCell ref="BF373:BF376"/>
    <mergeCell ref="BG373:BG376"/>
    <mergeCell ref="BH373:BH376"/>
    <mergeCell ref="BC377:BC378"/>
    <mergeCell ref="BD377:BD378"/>
    <mergeCell ref="BE377:BE378"/>
    <mergeCell ref="BF377:BF378"/>
    <mergeCell ref="BG377:BG378"/>
    <mergeCell ref="BH377:BH378"/>
    <mergeCell ref="BC380:BC382"/>
    <mergeCell ref="BD380:BD382"/>
    <mergeCell ref="BE380:BE382"/>
    <mergeCell ref="BF380:BF382"/>
    <mergeCell ref="BG380:BG382"/>
    <mergeCell ref="BH380:BH382"/>
    <mergeCell ref="BC385:BC393"/>
    <mergeCell ref="BD385:BD393"/>
    <mergeCell ref="BE385:BE393"/>
    <mergeCell ref="BF385:BF393"/>
    <mergeCell ref="BG385:BG393"/>
    <mergeCell ref="BH385:BH393"/>
    <mergeCell ref="BC396:BC400"/>
    <mergeCell ref="BD396:BD400"/>
    <mergeCell ref="BE396:BE400"/>
    <mergeCell ref="BF396:BF400"/>
    <mergeCell ref="BG396:BG400"/>
    <mergeCell ref="BH396:BH400"/>
    <mergeCell ref="BC402:BC403"/>
    <mergeCell ref="BD402:BD403"/>
    <mergeCell ref="BE402:BE403"/>
    <mergeCell ref="BF402:BF403"/>
    <mergeCell ref="BG402:BG403"/>
    <mergeCell ref="BH402:BH403"/>
    <mergeCell ref="BC404:BC408"/>
    <mergeCell ref="BD404:BD408"/>
    <mergeCell ref="BE404:BE408"/>
    <mergeCell ref="BF404:BF408"/>
    <mergeCell ref="BG404:BG408"/>
    <mergeCell ref="BH404:BH408"/>
    <mergeCell ref="BC409:BC419"/>
    <mergeCell ref="BD409:BD419"/>
    <mergeCell ref="BE409:BE419"/>
    <mergeCell ref="BF409:BF419"/>
    <mergeCell ref="BG409:BG419"/>
    <mergeCell ref="BH409:BH419"/>
    <mergeCell ref="BC420:BC421"/>
    <mergeCell ref="BD420:BD421"/>
    <mergeCell ref="BE420:BE421"/>
    <mergeCell ref="BF420:BF421"/>
    <mergeCell ref="BG420:BG421"/>
    <mergeCell ref="BH420:BH421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2:BC440"/>
    <mergeCell ref="BD432:BD440"/>
    <mergeCell ref="BE432:BE440"/>
    <mergeCell ref="BF432:BF440"/>
    <mergeCell ref="BG432:BG440"/>
    <mergeCell ref="BH432:BH440"/>
    <mergeCell ref="BC441:BC448"/>
    <mergeCell ref="BD441:BD448"/>
    <mergeCell ref="BE441:BE448"/>
    <mergeCell ref="BF441:BF448"/>
    <mergeCell ref="BG441:BG448"/>
    <mergeCell ref="BH441:BH448"/>
    <mergeCell ref="BC449:BC451"/>
    <mergeCell ref="BD449:BD451"/>
    <mergeCell ref="BE449:BE451"/>
    <mergeCell ref="BF449:BF451"/>
    <mergeCell ref="BG449:BG451"/>
    <mergeCell ref="BH449:BH451"/>
    <mergeCell ref="BC452:BC454"/>
    <mergeCell ref="BD452:BD454"/>
    <mergeCell ref="BE452:BE454"/>
    <mergeCell ref="BF452:BF454"/>
    <mergeCell ref="BG452:BG454"/>
    <mergeCell ref="BH452:BH454"/>
    <mergeCell ref="BC455:BC467"/>
    <mergeCell ref="BD455:BD467"/>
    <mergeCell ref="BE455:BE467"/>
    <mergeCell ref="BF455:BF467"/>
    <mergeCell ref="BG455:BG467"/>
    <mergeCell ref="BH455:BH467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5:BC476"/>
    <mergeCell ref="BD475:BD476"/>
    <mergeCell ref="BE475:BE476"/>
    <mergeCell ref="BF475:BF476"/>
    <mergeCell ref="BG475:BG476"/>
    <mergeCell ref="BH475:BH476"/>
    <mergeCell ref="BC478:BC491"/>
    <mergeCell ref="BD478:BD491"/>
    <mergeCell ref="BE478:BE491"/>
    <mergeCell ref="BF478:BF491"/>
    <mergeCell ref="BG478:BG491"/>
    <mergeCell ref="BH478:BH491"/>
    <mergeCell ref="BC492:BC500"/>
    <mergeCell ref="BD492:BD500"/>
    <mergeCell ref="BE492:BE500"/>
    <mergeCell ref="BF492:BF500"/>
    <mergeCell ref="BG492:BG500"/>
    <mergeCell ref="BH492:BH500"/>
    <mergeCell ref="BC502:BC505"/>
    <mergeCell ref="BD502:BD505"/>
    <mergeCell ref="BE502:BE505"/>
    <mergeCell ref="BF502:BF505"/>
    <mergeCell ref="BG502:BG505"/>
    <mergeCell ref="BH502:BH505"/>
    <mergeCell ref="BC509:BC510"/>
    <mergeCell ref="BD509:BD510"/>
    <mergeCell ref="BE509:BE510"/>
    <mergeCell ref="BF509:BF510"/>
    <mergeCell ref="BG509:BG510"/>
    <mergeCell ref="BH509:BH510"/>
    <mergeCell ref="BC515:BC521"/>
    <mergeCell ref="BD515:BD521"/>
    <mergeCell ref="BE515:BE521"/>
    <mergeCell ref="BF515:BF521"/>
    <mergeCell ref="BG515:BG521"/>
    <mergeCell ref="BH515:BH521"/>
    <mergeCell ref="BC522:BC527"/>
    <mergeCell ref="BD522:BD527"/>
    <mergeCell ref="BE522:BE527"/>
    <mergeCell ref="BF522:BF527"/>
    <mergeCell ref="BG522:BG527"/>
    <mergeCell ref="BH522:BH527"/>
    <mergeCell ref="BC530:BC531"/>
    <mergeCell ref="BD530:BD531"/>
    <mergeCell ref="BE530:BE531"/>
    <mergeCell ref="BF530:BF531"/>
    <mergeCell ref="BG530:BG531"/>
    <mergeCell ref="BH530:BH531"/>
    <mergeCell ref="BC535:BC540"/>
    <mergeCell ref="BD535:BD540"/>
    <mergeCell ref="BE535:BE540"/>
    <mergeCell ref="BF535:BF540"/>
    <mergeCell ref="BG535:BG540"/>
    <mergeCell ref="BH535:BH540"/>
    <mergeCell ref="BC541:BC555"/>
    <mergeCell ref="BD541:BD555"/>
    <mergeCell ref="BE541:BE555"/>
    <mergeCell ref="BF541:BF555"/>
    <mergeCell ref="BG541:BG555"/>
    <mergeCell ref="BH541:BH555"/>
    <mergeCell ref="BC558:BC561"/>
    <mergeCell ref="BD558:BD561"/>
    <mergeCell ref="BE558:BE561"/>
    <mergeCell ref="BF558:BF561"/>
    <mergeCell ref="BG558:BG561"/>
    <mergeCell ref="BH558:BH561"/>
    <mergeCell ref="BC562:BC570"/>
    <mergeCell ref="BD562:BD570"/>
    <mergeCell ref="BE562:BE570"/>
    <mergeCell ref="BF562:BF570"/>
    <mergeCell ref="BG562:BG570"/>
    <mergeCell ref="BH562:BH570"/>
    <mergeCell ref="BC571:BC573"/>
    <mergeCell ref="BD571:BD573"/>
    <mergeCell ref="BE571:BE573"/>
    <mergeCell ref="BF571:BF573"/>
    <mergeCell ref="BG571:BG573"/>
    <mergeCell ref="BH571:BH573"/>
    <mergeCell ref="BC575:BC576"/>
    <mergeCell ref="BD575:BD576"/>
    <mergeCell ref="BE575:BE576"/>
    <mergeCell ref="BF575:BF576"/>
    <mergeCell ref="BG575:BG576"/>
    <mergeCell ref="BH575:BH576"/>
    <mergeCell ref="BC578:BC581"/>
    <mergeCell ref="BD578:BD581"/>
    <mergeCell ref="BE578:BE581"/>
    <mergeCell ref="BF578:BF581"/>
    <mergeCell ref="BG578:BG581"/>
    <mergeCell ref="BH578:BH581"/>
    <mergeCell ref="BC582:BC584"/>
    <mergeCell ref="BD582:BD584"/>
    <mergeCell ref="BE582:BE584"/>
    <mergeCell ref="BF582:BF584"/>
    <mergeCell ref="BG582:BG584"/>
    <mergeCell ref="BH582:BH584"/>
    <mergeCell ref="BC586:BC587"/>
    <mergeCell ref="BD586:BD587"/>
    <mergeCell ref="BE586:BE587"/>
    <mergeCell ref="BF586:BF587"/>
    <mergeCell ref="BG586:BG587"/>
    <mergeCell ref="BH586:BH587"/>
    <mergeCell ref="BC588:BC591"/>
    <mergeCell ref="BD588:BD591"/>
    <mergeCell ref="BE588:BE591"/>
    <mergeCell ref="BF588:BF591"/>
    <mergeCell ref="BG588:BG591"/>
    <mergeCell ref="BH588:BH591"/>
    <mergeCell ref="BC593:BC596"/>
    <mergeCell ref="BD593:BD596"/>
    <mergeCell ref="BE593:BE596"/>
    <mergeCell ref="BF593:BF596"/>
    <mergeCell ref="BG593:BG596"/>
    <mergeCell ref="BH593:BH596"/>
    <mergeCell ref="BC599:BC602"/>
    <mergeCell ref="BD599:BD602"/>
    <mergeCell ref="BE599:BE602"/>
    <mergeCell ref="BF599:BF602"/>
    <mergeCell ref="BG599:BG602"/>
    <mergeCell ref="BH599:BH602"/>
    <mergeCell ref="BC605:BC608"/>
    <mergeCell ref="BD605:BD608"/>
    <mergeCell ref="BE605:BE608"/>
    <mergeCell ref="BF605:BF608"/>
    <mergeCell ref="BG605:BG608"/>
    <mergeCell ref="BH605:BH608"/>
    <mergeCell ref="BC611:BC613"/>
    <mergeCell ref="BD611:BD613"/>
    <mergeCell ref="BE611:BE613"/>
    <mergeCell ref="BF611:BF613"/>
    <mergeCell ref="BG611:BG613"/>
    <mergeCell ref="BH611:BH613"/>
    <mergeCell ref="BC614:BC615"/>
    <mergeCell ref="BD614:BD615"/>
    <mergeCell ref="BE614:BE615"/>
    <mergeCell ref="BF614:BF615"/>
    <mergeCell ref="BG614:BG615"/>
    <mergeCell ref="BH614:BH615"/>
    <mergeCell ref="BC617:BC619"/>
    <mergeCell ref="BD617:BD619"/>
    <mergeCell ref="BE617:BE619"/>
    <mergeCell ref="BF617:BF619"/>
    <mergeCell ref="BG617:BG619"/>
    <mergeCell ref="BH617:BH619"/>
    <mergeCell ref="BC620:BC630"/>
    <mergeCell ref="BD620:BD630"/>
    <mergeCell ref="BE620:BE630"/>
    <mergeCell ref="BF620:BF630"/>
    <mergeCell ref="BG620:BG630"/>
    <mergeCell ref="BH620:BH630"/>
    <mergeCell ref="BC631:BC633"/>
    <mergeCell ref="BD631:BD633"/>
    <mergeCell ref="BE631:BE633"/>
    <mergeCell ref="BF631:BF633"/>
    <mergeCell ref="BG631:BG633"/>
    <mergeCell ref="BH631:BH633"/>
    <mergeCell ref="BC634:BC640"/>
    <mergeCell ref="BD634:BD640"/>
    <mergeCell ref="BE634:BE640"/>
    <mergeCell ref="BF634:BF640"/>
    <mergeCell ref="BG634:BG640"/>
    <mergeCell ref="BH634:BH640"/>
    <mergeCell ref="BC641:BC655"/>
    <mergeCell ref="BD641:BD655"/>
    <mergeCell ref="BE641:BE655"/>
    <mergeCell ref="BF641:BF655"/>
    <mergeCell ref="BG641:BG655"/>
    <mergeCell ref="BH641:BH655"/>
    <mergeCell ref="BC658:BC662"/>
    <mergeCell ref="BD658:BD662"/>
    <mergeCell ref="BE658:BE662"/>
    <mergeCell ref="BF658:BF662"/>
    <mergeCell ref="BG658:BG662"/>
    <mergeCell ref="BH658:BH662"/>
    <mergeCell ref="BC663:BC665"/>
    <mergeCell ref="BD663:BD665"/>
    <mergeCell ref="BE663:BE665"/>
    <mergeCell ref="BF663:BF665"/>
    <mergeCell ref="BG663:BG665"/>
    <mergeCell ref="BH663:BH665"/>
    <mergeCell ref="BC666:BC679"/>
    <mergeCell ref="BD666:BD679"/>
    <mergeCell ref="BE666:BE679"/>
    <mergeCell ref="BF666:BF679"/>
    <mergeCell ref="BG666:BG679"/>
    <mergeCell ref="BH666:BH679"/>
    <mergeCell ref="BC682:BC685"/>
    <mergeCell ref="BD682:BD685"/>
    <mergeCell ref="BE682:BE685"/>
    <mergeCell ref="BF682:BF685"/>
    <mergeCell ref="BG682:BG685"/>
    <mergeCell ref="BH682:BH685"/>
    <mergeCell ref="BC686:BC694"/>
    <mergeCell ref="BD686:BD694"/>
    <mergeCell ref="BE686:BE694"/>
    <mergeCell ref="BF686:BF694"/>
    <mergeCell ref="BG686:BG694"/>
    <mergeCell ref="BH686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5:BC710"/>
    <mergeCell ref="BD705:BD710"/>
    <mergeCell ref="BE705:BE710"/>
    <mergeCell ref="BF705:BF710"/>
    <mergeCell ref="BG705:BG710"/>
    <mergeCell ref="BH705:BH710"/>
    <mergeCell ref="BC711:BC756"/>
    <mergeCell ref="BD711:BD756"/>
    <mergeCell ref="BE711:BE756"/>
    <mergeCell ref="BF711:BF756"/>
    <mergeCell ref="BG711:BG756"/>
    <mergeCell ref="BH711:BH756"/>
    <mergeCell ref="BC759:BC880"/>
    <mergeCell ref="BD759:BD880"/>
    <mergeCell ref="BE759:BE880"/>
    <mergeCell ref="BF759:BF880"/>
    <mergeCell ref="BG759:BG880"/>
    <mergeCell ref="BH759:BH880"/>
    <mergeCell ref="BC882:BC919"/>
    <mergeCell ref="BD882:BD919"/>
    <mergeCell ref="BE882:BE919"/>
    <mergeCell ref="BF882:BF919"/>
    <mergeCell ref="BG882:BG919"/>
    <mergeCell ref="BH882:BH919"/>
    <mergeCell ref="BC920:BC921"/>
    <mergeCell ref="BD920:BD921"/>
    <mergeCell ref="BE920:BE921"/>
    <mergeCell ref="BF920:BF921"/>
    <mergeCell ref="BG920:BG921"/>
    <mergeCell ref="BH920:BH921"/>
    <mergeCell ref="BC924:BC931"/>
    <mergeCell ref="BD924:BD931"/>
    <mergeCell ref="BE924:BE931"/>
    <mergeCell ref="BF924:BF931"/>
    <mergeCell ref="BG924:BG931"/>
    <mergeCell ref="BH924:BH931"/>
    <mergeCell ref="BC932:BC937"/>
    <mergeCell ref="BD932:BD937"/>
    <mergeCell ref="BE932:BE937"/>
    <mergeCell ref="BF932:BF937"/>
    <mergeCell ref="BG932:BG937"/>
    <mergeCell ref="BH932:BH937"/>
    <mergeCell ref="BC944:BC945"/>
    <mergeCell ref="BD944:BD945"/>
    <mergeCell ref="BE944:BE945"/>
    <mergeCell ref="BF944:BF945"/>
    <mergeCell ref="BG944:BG945"/>
    <mergeCell ref="BH944:BH945"/>
    <mergeCell ref="BC946:BC947"/>
    <mergeCell ref="BD946:BD947"/>
    <mergeCell ref="BE946:BE947"/>
    <mergeCell ref="BF946:BF947"/>
    <mergeCell ref="BG946:BG947"/>
    <mergeCell ref="BH946:BH947"/>
    <mergeCell ref="BC949:BC964"/>
    <mergeCell ref="BD949:BD964"/>
    <mergeCell ref="BE949:BE964"/>
    <mergeCell ref="BF949:BF964"/>
    <mergeCell ref="BG949:BG964"/>
    <mergeCell ref="BH949:BH964"/>
    <mergeCell ref="BC965:BC976"/>
    <mergeCell ref="BD965:BD976"/>
    <mergeCell ref="BE965:BE976"/>
    <mergeCell ref="BF965:BF976"/>
    <mergeCell ref="BG965:BG976"/>
    <mergeCell ref="BH965:BH976"/>
    <mergeCell ref="BC978:BC986"/>
    <mergeCell ref="BD978:BD986"/>
    <mergeCell ref="BE978:BE986"/>
    <mergeCell ref="BF978:BF986"/>
    <mergeCell ref="BG978:BG986"/>
    <mergeCell ref="BH978:BH986"/>
    <mergeCell ref="BC987:BC990"/>
    <mergeCell ref="BD987:BD990"/>
    <mergeCell ref="BE987:BE990"/>
    <mergeCell ref="BF987:BF990"/>
    <mergeCell ref="BG987:BG990"/>
    <mergeCell ref="BH987:BH990"/>
    <mergeCell ref="BC993:BC994"/>
    <mergeCell ref="BD993:BD994"/>
    <mergeCell ref="BE993:BE994"/>
    <mergeCell ref="BF993:BF994"/>
    <mergeCell ref="BG993:BG994"/>
    <mergeCell ref="BH993:BH994"/>
    <mergeCell ref="BC996:BC997"/>
    <mergeCell ref="BD996:BD997"/>
    <mergeCell ref="BE996:BE997"/>
    <mergeCell ref="BF996:BF997"/>
    <mergeCell ref="BG996:BG997"/>
    <mergeCell ref="BH996:BH997"/>
    <mergeCell ref="BC1001:BC1002"/>
    <mergeCell ref="BD1001:BD1002"/>
    <mergeCell ref="BE1001:BE1002"/>
    <mergeCell ref="BF1001:BF1002"/>
    <mergeCell ref="BG1001:BG1002"/>
    <mergeCell ref="BH1001:BH1002"/>
    <mergeCell ref="BC1006:BC1013"/>
    <mergeCell ref="BD1006:BD1013"/>
    <mergeCell ref="BE1006:BE1013"/>
    <mergeCell ref="BF1006:BF1013"/>
    <mergeCell ref="BG1006:BG1013"/>
    <mergeCell ref="BH1006:BH1013"/>
    <mergeCell ref="BC1014:BC1038"/>
    <mergeCell ref="BD1014:BD1038"/>
    <mergeCell ref="BE1014:BE1038"/>
    <mergeCell ref="BF1014:BF1038"/>
    <mergeCell ref="BG1014:BG1038"/>
    <mergeCell ref="BH1014:BH1038"/>
    <mergeCell ref="BC1041:BC1043"/>
    <mergeCell ref="BD1041:BD1043"/>
    <mergeCell ref="BE1041:BE1043"/>
    <mergeCell ref="BF1041:BF1043"/>
    <mergeCell ref="BG1041:BG1043"/>
    <mergeCell ref="BH1041:BH1043"/>
    <mergeCell ref="BC1044:BC1045"/>
    <mergeCell ref="BD1044:BD1045"/>
    <mergeCell ref="BE1044:BE1045"/>
    <mergeCell ref="BF1044:BF1045"/>
    <mergeCell ref="BG1044:BG1045"/>
    <mergeCell ref="BH1044:BH1045"/>
    <mergeCell ref="BC1046:BC1053"/>
    <mergeCell ref="BD1046:BD1053"/>
    <mergeCell ref="BE1046:BE1053"/>
    <mergeCell ref="BF1046:BF1053"/>
    <mergeCell ref="BG1046:BG1053"/>
    <mergeCell ref="BH1046:BH1053"/>
    <mergeCell ref="BC1055:BC1056"/>
    <mergeCell ref="BD1055:BD1056"/>
    <mergeCell ref="BE1055:BE1056"/>
    <mergeCell ref="BF1055:BF1056"/>
    <mergeCell ref="BG1055:BG1056"/>
    <mergeCell ref="BH1055:BH1056"/>
    <mergeCell ref="BC1060:BC1063"/>
    <mergeCell ref="BD1060:BD1063"/>
    <mergeCell ref="BE1060:BE1063"/>
    <mergeCell ref="BF1060:BF1063"/>
    <mergeCell ref="BG1060:BG1063"/>
    <mergeCell ref="BH1060:BH1063"/>
    <mergeCell ref="BC1064:BC1069"/>
    <mergeCell ref="BD1064:BD1069"/>
    <mergeCell ref="BE1064:BE1069"/>
    <mergeCell ref="BF1064:BF1069"/>
    <mergeCell ref="BG1064:BG1069"/>
    <mergeCell ref="BH1064:BH1069"/>
    <mergeCell ref="BC1070:BC1071"/>
    <mergeCell ref="BD1070:BD1071"/>
    <mergeCell ref="BE1070:BE1071"/>
    <mergeCell ref="BF1070:BF1071"/>
    <mergeCell ref="BG1070:BG1071"/>
    <mergeCell ref="BH1070:BH1071"/>
    <mergeCell ref="BC1074:BC1077"/>
    <mergeCell ref="BD1074:BD1077"/>
    <mergeCell ref="BE1074:BE1077"/>
    <mergeCell ref="BF1074:BF1077"/>
    <mergeCell ref="BG1074:BG1077"/>
    <mergeCell ref="BH1074:BH1077"/>
    <mergeCell ref="BC1079:BC1102"/>
    <mergeCell ref="BD1079:BD1102"/>
    <mergeCell ref="BE1079:BE1102"/>
    <mergeCell ref="BF1079:BF1102"/>
    <mergeCell ref="BG1079:BG1102"/>
    <mergeCell ref="BH1079:BH1102"/>
    <mergeCell ref="BC1105:BC1106"/>
    <mergeCell ref="BD1105:BD1106"/>
    <mergeCell ref="BE1105:BE1106"/>
    <mergeCell ref="BF1105:BF1106"/>
    <mergeCell ref="BG1105:BG1106"/>
    <mergeCell ref="BH1105:BH1106"/>
    <mergeCell ref="BC1107:BC1109"/>
    <mergeCell ref="BD1107:BD1109"/>
    <mergeCell ref="BE1107:BE1109"/>
    <mergeCell ref="BF1107:BF1109"/>
    <mergeCell ref="BG1107:BG1109"/>
    <mergeCell ref="BH1107:BH1109"/>
    <mergeCell ref="BC1117:BC1119"/>
    <mergeCell ref="BD1117:BD1119"/>
    <mergeCell ref="BE1117:BE1119"/>
    <mergeCell ref="BF1117:BF1119"/>
    <mergeCell ref="BG1117:BG1119"/>
    <mergeCell ref="BH1117:BH1119"/>
    <mergeCell ref="BC1120:BC1122"/>
    <mergeCell ref="BD1120:BD1122"/>
    <mergeCell ref="BE1120:BE1122"/>
    <mergeCell ref="BF1120:BF1122"/>
    <mergeCell ref="BG1120:BG1122"/>
    <mergeCell ref="BH1120:BH1122"/>
    <mergeCell ref="BC1123:BC1125"/>
    <mergeCell ref="BD1123:BD1125"/>
    <mergeCell ref="BE1123:BE1125"/>
    <mergeCell ref="BF1123:BF1125"/>
    <mergeCell ref="BG1123:BG1125"/>
    <mergeCell ref="BH1123:BH1125"/>
    <mergeCell ref="BC1127:BC1137"/>
    <mergeCell ref="BD1127:BD1137"/>
    <mergeCell ref="BE1127:BE1137"/>
    <mergeCell ref="BF1127:BF1137"/>
    <mergeCell ref="BG1127:BG1137"/>
    <mergeCell ref="BH1127:BH1137"/>
    <mergeCell ref="BC1138:BC1140"/>
    <mergeCell ref="BD1138:BD1140"/>
    <mergeCell ref="BE1138:BE1140"/>
    <mergeCell ref="BF1138:BF1140"/>
    <mergeCell ref="BG1138:BG1140"/>
    <mergeCell ref="BH1138:BH1140"/>
    <mergeCell ref="BC1141:BC1152"/>
    <mergeCell ref="BD1141:BD1152"/>
    <mergeCell ref="BE1141:BE1152"/>
    <mergeCell ref="BF1141:BF1152"/>
    <mergeCell ref="BG1141:BG1152"/>
    <mergeCell ref="BH1141:BH1152"/>
    <mergeCell ref="BC1153:BC1158"/>
    <mergeCell ref="BD1153:BD1158"/>
    <mergeCell ref="BE1153:BE1158"/>
    <mergeCell ref="BF1153:BF1158"/>
    <mergeCell ref="BG1153:BG1158"/>
    <mergeCell ref="BH1153:BH1158"/>
    <mergeCell ref="BC1159:BC1161"/>
    <mergeCell ref="BD1159:BD1161"/>
    <mergeCell ref="BE1159:BE1161"/>
    <mergeCell ref="BF1159:BF1161"/>
    <mergeCell ref="BG1159:BG1161"/>
    <mergeCell ref="BH1159:BH1161"/>
    <mergeCell ref="BC1163:BC1165"/>
    <mergeCell ref="BD1163:BD1165"/>
    <mergeCell ref="BE1163:BE1165"/>
    <mergeCell ref="BF1163:BF1165"/>
    <mergeCell ref="BG1163:BG1165"/>
    <mergeCell ref="BH1163:BH1165"/>
    <mergeCell ref="BC1167:BC1170"/>
    <mergeCell ref="BD1167:BD1170"/>
    <mergeCell ref="BE1167:BE1170"/>
    <mergeCell ref="BF1167:BF1170"/>
    <mergeCell ref="BG1167:BG1170"/>
    <mergeCell ref="BH1167:BH1170"/>
    <mergeCell ref="BC1171:BC1173"/>
    <mergeCell ref="BD1171:BD1173"/>
    <mergeCell ref="BE1171:BE1173"/>
    <mergeCell ref="BF1171:BF1173"/>
    <mergeCell ref="BG1171:BG1173"/>
    <mergeCell ref="BH1171:BH1173"/>
    <mergeCell ref="BC1181:BC1183"/>
    <mergeCell ref="BD1181:BD1183"/>
    <mergeCell ref="BE1181:BE1183"/>
    <mergeCell ref="BF1181:BF1183"/>
    <mergeCell ref="BG1181:BG1183"/>
    <mergeCell ref="BH1181:BH1183"/>
    <mergeCell ref="BC1184:BC1187"/>
    <mergeCell ref="BD1184:BD1187"/>
    <mergeCell ref="BE1184:BE1187"/>
    <mergeCell ref="BF1184:BF1187"/>
    <mergeCell ref="BG1184:BG1187"/>
    <mergeCell ref="BH1184:BH1187"/>
    <mergeCell ref="BC1190:BC1196"/>
    <mergeCell ref="BD1190:BD1196"/>
    <mergeCell ref="BE1190:BE1196"/>
    <mergeCell ref="BF1190:BF1196"/>
    <mergeCell ref="BG1190:BG1196"/>
    <mergeCell ref="BH1190:BH1196"/>
    <mergeCell ref="BC1197:BC1199"/>
    <mergeCell ref="BD1197:BD1199"/>
    <mergeCell ref="BE1197:BE1199"/>
    <mergeCell ref="BF1197:BF1199"/>
    <mergeCell ref="BG1197:BG1199"/>
    <mergeCell ref="BH1197:BH1199"/>
    <mergeCell ref="BC1200:BC1201"/>
    <mergeCell ref="BD1200:BD1201"/>
    <mergeCell ref="BE1200:BE1201"/>
    <mergeCell ref="BF1200:BF1201"/>
    <mergeCell ref="BG1200:BG1201"/>
    <mergeCell ref="BH1200:BH1201"/>
    <mergeCell ref="BC1203:BC1205"/>
    <mergeCell ref="BD1203:BD1205"/>
    <mergeCell ref="BE1203:BE1205"/>
    <mergeCell ref="BF1203:BF1205"/>
    <mergeCell ref="BG1203:BG1205"/>
    <mergeCell ref="BH1203:BH1205"/>
    <mergeCell ref="BC1206:BC1208"/>
    <mergeCell ref="BD1206:BD1208"/>
    <mergeCell ref="BE1206:BE1208"/>
    <mergeCell ref="BF1206:BF1208"/>
    <mergeCell ref="BG1206:BG1208"/>
    <mergeCell ref="BH1206:BH1208"/>
    <mergeCell ref="BC1212:BC1225"/>
    <mergeCell ref="BD1212:BD1225"/>
    <mergeCell ref="BE1212:BE1225"/>
    <mergeCell ref="BF1212:BF1225"/>
    <mergeCell ref="BG1212:BG1225"/>
    <mergeCell ref="BH1212:BH1225"/>
    <mergeCell ref="BC1227:BC1230"/>
    <mergeCell ref="BD1227:BD1230"/>
    <mergeCell ref="BE1227:BE1230"/>
    <mergeCell ref="BF1227:BF1230"/>
    <mergeCell ref="BG1227:BG1230"/>
    <mergeCell ref="BH1227:BH1230"/>
    <mergeCell ref="BC1231:BC1236"/>
    <mergeCell ref="BD1231:BD1236"/>
    <mergeCell ref="BE1231:BE1236"/>
    <mergeCell ref="BF1231:BF1236"/>
    <mergeCell ref="BG1231:BG1236"/>
    <mergeCell ref="BH1231:BH1236"/>
    <mergeCell ref="BC1239:BC1240"/>
    <mergeCell ref="BD1239:BD1240"/>
    <mergeCell ref="BE1239:BE1240"/>
    <mergeCell ref="BF1239:BF1240"/>
    <mergeCell ref="BG1239:BG1240"/>
    <mergeCell ref="BH1239:BH1240"/>
    <mergeCell ref="BC1241:BC1242"/>
    <mergeCell ref="BD1241:BD1242"/>
    <mergeCell ref="BE1241:BE1242"/>
    <mergeCell ref="BF1241:BF1242"/>
    <mergeCell ref="BG1241:BG1242"/>
    <mergeCell ref="BH1241:BH1242"/>
    <mergeCell ref="BC1243:BC1244"/>
    <mergeCell ref="BD1243:BD1244"/>
    <mergeCell ref="BE1243:BE1244"/>
    <mergeCell ref="BF1243:BF1244"/>
    <mergeCell ref="BG1243:BG1244"/>
    <mergeCell ref="BH1243:BH1244"/>
    <mergeCell ref="BC1246:BC1258"/>
    <mergeCell ref="BD1246:BD1258"/>
    <mergeCell ref="BE1246:BE1258"/>
    <mergeCell ref="BF1246:BF1258"/>
    <mergeCell ref="BG1246:BG1258"/>
    <mergeCell ref="BH1246:BH1258"/>
    <mergeCell ref="BC1259:BC1262"/>
    <mergeCell ref="BD1259:BD1262"/>
    <mergeCell ref="BE1259:BE1262"/>
    <mergeCell ref="BF1259:BF1262"/>
    <mergeCell ref="BG1259:BG1262"/>
    <mergeCell ref="BH1259:BH1262"/>
    <mergeCell ref="BC1263:BC1266"/>
    <mergeCell ref="BD1263:BD1266"/>
    <mergeCell ref="BE1263:BE1266"/>
    <mergeCell ref="BF1263:BF1266"/>
    <mergeCell ref="BG1263:BG1266"/>
    <mergeCell ref="BH1263:BH1266"/>
    <mergeCell ref="BC1267:BC1273"/>
    <mergeCell ref="BD1267:BD1273"/>
    <mergeCell ref="BE1267:BE1273"/>
    <mergeCell ref="BF1267:BF1273"/>
    <mergeCell ref="BG1267:BG1273"/>
    <mergeCell ref="BH1267:BH1273"/>
    <mergeCell ref="BC1274:BC1278"/>
    <mergeCell ref="BD1274:BD1278"/>
    <mergeCell ref="BE1274:BE1278"/>
    <mergeCell ref="BF1274:BF1278"/>
    <mergeCell ref="BG1274:BG1278"/>
    <mergeCell ref="BH1274:BH1278"/>
    <mergeCell ref="BC1290:BC1292"/>
    <mergeCell ref="BD1290:BD1292"/>
    <mergeCell ref="BE1290:BE1292"/>
    <mergeCell ref="BF1290:BF1292"/>
    <mergeCell ref="BG1290:BG1292"/>
    <mergeCell ref="BH1290:BH1292"/>
    <mergeCell ref="BC1293:BC1298"/>
    <mergeCell ref="BD1293:BD1298"/>
    <mergeCell ref="BE1293:BE1298"/>
    <mergeCell ref="BF1293:BF1298"/>
    <mergeCell ref="BG1293:BG1298"/>
    <mergeCell ref="BH1293:BH1298"/>
    <mergeCell ref="BC1299:BC1302"/>
    <mergeCell ref="BD1299:BD1302"/>
    <mergeCell ref="BE1299:BE1302"/>
    <mergeCell ref="BF1299:BF1302"/>
    <mergeCell ref="BG1299:BG1302"/>
    <mergeCell ref="BH1299:BH1302"/>
    <mergeCell ref="BC1303:BC1305"/>
    <mergeCell ref="BD1303:BD1305"/>
    <mergeCell ref="BE1303:BE1305"/>
    <mergeCell ref="BF1303:BF1305"/>
    <mergeCell ref="BG1303:BG1305"/>
    <mergeCell ref="BH1303:BH1305"/>
    <mergeCell ref="BC1306:BC1308"/>
    <mergeCell ref="BD1306:BD1308"/>
    <mergeCell ref="BE1306:BE1308"/>
    <mergeCell ref="BF1306:BF1308"/>
    <mergeCell ref="BG1306:BG1308"/>
    <mergeCell ref="BH1306:BH1308"/>
    <mergeCell ref="BC1309:BC1311"/>
    <mergeCell ref="BD1309:BD1311"/>
    <mergeCell ref="BE1309:BE1311"/>
    <mergeCell ref="BF1309:BF1311"/>
    <mergeCell ref="BG1309:BG1311"/>
    <mergeCell ref="BH1309:BH1311"/>
    <mergeCell ref="BC1312:BC1319"/>
    <mergeCell ref="BD1312:BD1319"/>
    <mergeCell ref="BE1312:BE1319"/>
    <mergeCell ref="BF1312:BF1319"/>
    <mergeCell ref="BG1312:BG1319"/>
    <mergeCell ref="BH1312:BH1319"/>
    <mergeCell ref="BC1320:BC1336"/>
    <mergeCell ref="BD1320:BD1336"/>
    <mergeCell ref="BE1320:BE1336"/>
    <mergeCell ref="BF1320:BF1336"/>
    <mergeCell ref="BG1320:BG1336"/>
    <mergeCell ref="BH1320:BH1336"/>
    <mergeCell ref="BC1337:BC1352"/>
    <mergeCell ref="BD1337:BD1352"/>
    <mergeCell ref="BE1337:BE1352"/>
    <mergeCell ref="BF1337:BF1352"/>
    <mergeCell ref="BG1337:BG1352"/>
    <mergeCell ref="BH1337:BH1352"/>
    <mergeCell ref="BC1355:BC1364"/>
    <mergeCell ref="BD1355:BD1364"/>
    <mergeCell ref="BE1355:BE1364"/>
    <mergeCell ref="BF1355:BF1364"/>
    <mergeCell ref="BG1355:BG1364"/>
    <mergeCell ref="BH1355:BH1364"/>
    <mergeCell ref="BC1365:BC1366"/>
    <mergeCell ref="BD1365:BD1366"/>
    <mergeCell ref="BE1365:BE1366"/>
    <mergeCell ref="BF1365:BF1366"/>
    <mergeCell ref="BG1365:BG1366"/>
    <mergeCell ref="BH1365:BH1366"/>
    <mergeCell ref="BC1370:BC1372"/>
    <mergeCell ref="BD1370:BD1372"/>
    <mergeCell ref="BE1370:BE1372"/>
    <mergeCell ref="BF1370:BF1372"/>
    <mergeCell ref="BG1370:BG1372"/>
    <mergeCell ref="BH1370:BH1372"/>
    <mergeCell ref="BC1373:BC1380"/>
    <mergeCell ref="BD1373:BD1380"/>
    <mergeCell ref="BE1373:BE1380"/>
    <mergeCell ref="BF1373:BF1380"/>
    <mergeCell ref="BG1373:BG1380"/>
    <mergeCell ref="BH1373:BH1380"/>
    <mergeCell ref="BC1381:BC1384"/>
    <mergeCell ref="BD1381:BD1384"/>
    <mergeCell ref="BE1381:BE1384"/>
    <mergeCell ref="BF1381:BF1384"/>
    <mergeCell ref="BG1381:BG1384"/>
    <mergeCell ref="BH1381:BH1384"/>
    <mergeCell ref="BC1385:BC1391"/>
    <mergeCell ref="BD1385:BD1391"/>
    <mergeCell ref="BE1385:BE1391"/>
    <mergeCell ref="BF1385:BF1391"/>
    <mergeCell ref="BG1385:BG1391"/>
    <mergeCell ref="BH1385:BH1391"/>
    <mergeCell ref="BC1394:BC1395"/>
    <mergeCell ref="BD1394:BD1395"/>
    <mergeCell ref="BE1394:BE1395"/>
    <mergeCell ref="BF1394:BF1395"/>
    <mergeCell ref="BG1394:BG1395"/>
    <mergeCell ref="BH1394:BH1395"/>
    <mergeCell ref="BC1400:BC1401"/>
    <mergeCell ref="BD1400:BD1401"/>
    <mergeCell ref="BE1400:BE1401"/>
    <mergeCell ref="BF1400:BF1401"/>
    <mergeCell ref="BG1400:BG1401"/>
    <mergeCell ref="BH1400:BH1401"/>
    <mergeCell ref="BC1405:BC1408"/>
    <mergeCell ref="BD1405:BD1408"/>
    <mergeCell ref="BE1405:BE1408"/>
    <mergeCell ref="BF1405:BF1408"/>
    <mergeCell ref="BG1405:BG1408"/>
    <mergeCell ref="BH1405:BH1408"/>
    <mergeCell ref="BC1410:BC1412"/>
    <mergeCell ref="BD1410:BD1412"/>
    <mergeCell ref="BE1410:BE1412"/>
    <mergeCell ref="BF1410:BF1412"/>
    <mergeCell ref="BG1410:BG1412"/>
    <mergeCell ref="BH1410:BH1412"/>
    <mergeCell ref="BC1413:BC1418"/>
    <mergeCell ref="BD1413:BD1418"/>
    <mergeCell ref="BE1413:BE1418"/>
    <mergeCell ref="BF1413:BF1418"/>
    <mergeCell ref="BG1413:BG1418"/>
    <mergeCell ref="BH1413:BH1418"/>
    <mergeCell ref="BC1419:BC1422"/>
    <mergeCell ref="BD1419:BD1422"/>
    <mergeCell ref="BE1419:BE1422"/>
    <mergeCell ref="BF1419:BF1422"/>
    <mergeCell ref="BG1419:BG1422"/>
    <mergeCell ref="BH1419:BH1422"/>
    <mergeCell ref="BC1425:BC1427"/>
    <mergeCell ref="BD1425:BD1427"/>
    <mergeCell ref="BE1425:BE1427"/>
    <mergeCell ref="BF1425:BF1427"/>
    <mergeCell ref="BG1425:BG1427"/>
    <mergeCell ref="BH1425:BH1427"/>
    <mergeCell ref="BC1429:BC1437"/>
    <mergeCell ref="BD1429:BD1437"/>
    <mergeCell ref="BE1429:BE1437"/>
    <mergeCell ref="BF1429:BF1437"/>
    <mergeCell ref="BG1429:BG1437"/>
    <mergeCell ref="BH1429:BH1437"/>
    <mergeCell ref="BC1438:BC1440"/>
    <mergeCell ref="BD1438:BD1440"/>
    <mergeCell ref="BE1438:BE1440"/>
    <mergeCell ref="BF1438:BF1440"/>
    <mergeCell ref="BG1438:BG1440"/>
    <mergeCell ref="BH1438:BH1440"/>
    <mergeCell ref="BC1444:BC1446"/>
    <mergeCell ref="BD1444:BD1446"/>
    <mergeCell ref="BE1444:BE1446"/>
    <mergeCell ref="BF1444:BF1446"/>
    <mergeCell ref="BG1444:BG1446"/>
    <mergeCell ref="BH1444:BH1446"/>
    <mergeCell ref="BC1447:BC1448"/>
    <mergeCell ref="BD1447:BD1448"/>
    <mergeCell ref="BE1447:BE1448"/>
    <mergeCell ref="BF1447:BF1448"/>
    <mergeCell ref="BG1447:BG1448"/>
    <mergeCell ref="BH1447:BH1448"/>
    <mergeCell ref="BC1449:BC1451"/>
    <mergeCell ref="BD1449:BD1451"/>
    <mergeCell ref="BE1449:BE1451"/>
    <mergeCell ref="BF1449:BF1451"/>
    <mergeCell ref="BG1449:BG1451"/>
    <mergeCell ref="BH1449:BH1451"/>
    <mergeCell ref="BC1452:BC1454"/>
    <mergeCell ref="BD1452:BD1454"/>
    <mergeCell ref="BE1452:BE1454"/>
    <mergeCell ref="BF1452:BF1454"/>
    <mergeCell ref="BG1452:BG1454"/>
    <mergeCell ref="BH1452:BH1454"/>
    <mergeCell ref="BC1456:BC1458"/>
    <mergeCell ref="BD1456:BD1458"/>
    <mergeCell ref="BE1456:BE1458"/>
    <mergeCell ref="BF1456:BF1458"/>
    <mergeCell ref="BG1456:BG1458"/>
    <mergeCell ref="BH1456:BH1458"/>
    <mergeCell ref="BC1462:BC1467"/>
    <mergeCell ref="BD1462:BD1467"/>
    <mergeCell ref="BE1462:BE1467"/>
    <mergeCell ref="BF1462:BF1467"/>
    <mergeCell ref="BG1462:BG1467"/>
    <mergeCell ref="BH1462:BH1467"/>
    <mergeCell ref="BC1468:BC1469"/>
    <mergeCell ref="BD1468:BD1469"/>
    <mergeCell ref="BE1468:BE1469"/>
    <mergeCell ref="BF1468:BF1469"/>
    <mergeCell ref="BG1468:BG1469"/>
    <mergeCell ref="BH1468:BH1469"/>
    <mergeCell ref="BC1471:BC1472"/>
    <mergeCell ref="BD1471:BD1472"/>
    <mergeCell ref="BE1471:BE1472"/>
    <mergeCell ref="BF1471:BF1472"/>
    <mergeCell ref="BG1471:BG1472"/>
    <mergeCell ref="BH1471:BH1472"/>
    <mergeCell ref="BC1474:BC1477"/>
    <mergeCell ref="BD1474:BD1477"/>
    <mergeCell ref="BE1474:BE1477"/>
    <mergeCell ref="BF1474:BF1477"/>
    <mergeCell ref="BG1474:BG1477"/>
    <mergeCell ref="BH1474:BH1477"/>
    <mergeCell ref="BC1479:BC1481"/>
    <mergeCell ref="BD1479:BD1481"/>
    <mergeCell ref="BE1479:BE1481"/>
    <mergeCell ref="BF1479:BF1481"/>
    <mergeCell ref="BG1479:BG1481"/>
    <mergeCell ref="BH1479:BH1481"/>
    <mergeCell ref="BC1483:BC1488"/>
    <mergeCell ref="BD1483:BD1488"/>
    <mergeCell ref="BE1483:BE1488"/>
    <mergeCell ref="BF1483:BF1488"/>
    <mergeCell ref="BG1483:BG1488"/>
    <mergeCell ref="BH1483:BH1488"/>
    <mergeCell ref="BC1489:BC1492"/>
    <mergeCell ref="BD1489:BD1492"/>
    <mergeCell ref="BE1489:BE1492"/>
    <mergeCell ref="BF1489:BF1492"/>
    <mergeCell ref="BG1489:BG1492"/>
    <mergeCell ref="BH1489:BH1492"/>
    <mergeCell ref="BC1493:BC1494"/>
    <mergeCell ref="BD1493:BD1494"/>
    <mergeCell ref="BE1493:BE1494"/>
    <mergeCell ref="BF1493:BF1494"/>
    <mergeCell ref="BG1493:BG1494"/>
    <mergeCell ref="BH1493:BH1494"/>
    <mergeCell ref="BC1495:BC1496"/>
    <mergeCell ref="BD1495:BD1496"/>
    <mergeCell ref="BE1495:BE1496"/>
    <mergeCell ref="BF1495:BF1496"/>
    <mergeCell ref="BG1495:BG1496"/>
    <mergeCell ref="BH1495:BH1496"/>
    <mergeCell ref="BC1498:BC1499"/>
    <mergeCell ref="BD1498:BD1499"/>
    <mergeCell ref="BE1498:BE1499"/>
    <mergeCell ref="BF1498:BF1499"/>
    <mergeCell ref="BG1498:BG1499"/>
    <mergeCell ref="BH1498:BH1499"/>
    <mergeCell ref="BC1501:BC1502"/>
    <mergeCell ref="BD1501:BD1502"/>
    <mergeCell ref="BE1501:BE1502"/>
    <mergeCell ref="BF1501:BF1502"/>
    <mergeCell ref="BG1501:BG1502"/>
    <mergeCell ref="BH1501:BH1502"/>
    <mergeCell ref="BC1507:BC1509"/>
    <mergeCell ref="BD1507:BD1509"/>
    <mergeCell ref="BE1507:BE1509"/>
    <mergeCell ref="BF1507:BF1509"/>
    <mergeCell ref="BG1507:BG1509"/>
    <mergeCell ref="BH1507:BH1509"/>
    <mergeCell ref="BC1510:BC1512"/>
    <mergeCell ref="BD1510:BD1512"/>
    <mergeCell ref="BE1510:BE1512"/>
    <mergeCell ref="BF1510:BF1512"/>
    <mergeCell ref="BG1510:BG1512"/>
    <mergeCell ref="BH1510:BH1512"/>
    <mergeCell ref="BC1518:BC1520"/>
    <mergeCell ref="BD1518:BD1520"/>
    <mergeCell ref="BE1518:BE1520"/>
    <mergeCell ref="BF1518:BF1520"/>
    <mergeCell ref="BG1518:BG1520"/>
    <mergeCell ref="BH1518:BH1520"/>
    <mergeCell ref="BC1521:BC1524"/>
    <mergeCell ref="BD1521:BD1524"/>
    <mergeCell ref="BE1521:BE1524"/>
    <mergeCell ref="BF1521:BF1524"/>
    <mergeCell ref="BG1521:BG1524"/>
    <mergeCell ref="BH1521:BH1524"/>
    <mergeCell ref="BC1525:BC1526"/>
    <mergeCell ref="BD1525:BD1526"/>
    <mergeCell ref="BE1525:BE1526"/>
    <mergeCell ref="BF1525:BF1526"/>
    <mergeCell ref="BG1525:BG1526"/>
    <mergeCell ref="BH1525:BH1526"/>
    <mergeCell ref="BC1527:BC1530"/>
    <mergeCell ref="BD1527:BD1530"/>
    <mergeCell ref="BE1527:BE1530"/>
    <mergeCell ref="BF1527:BF1530"/>
    <mergeCell ref="BG1527:BG1530"/>
    <mergeCell ref="BH1527:BH1530"/>
    <mergeCell ref="BC1532:BC1533"/>
    <mergeCell ref="BD1532:BD1533"/>
    <mergeCell ref="BE1532:BE1533"/>
    <mergeCell ref="BF1532:BF1533"/>
    <mergeCell ref="BG1532:BG1533"/>
    <mergeCell ref="BH1532:BH1533"/>
    <mergeCell ref="BC1534:BC1539"/>
    <mergeCell ref="BD1534:BD1539"/>
    <mergeCell ref="BE1534:BE1539"/>
    <mergeCell ref="BF1534:BF1539"/>
    <mergeCell ref="BG1534:BG1539"/>
    <mergeCell ref="BH1534:BH1539"/>
    <mergeCell ref="BC1542:BC1546"/>
    <mergeCell ref="BD1542:BD1546"/>
    <mergeCell ref="BE1542:BE1546"/>
    <mergeCell ref="BF1542:BF1546"/>
    <mergeCell ref="BG1542:BG1546"/>
    <mergeCell ref="BH1542:BH1546"/>
    <mergeCell ref="BC1551:BC1568"/>
    <mergeCell ref="BD1551:BD1568"/>
    <mergeCell ref="BE1551:BE1568"/>
    <mergeCell ref="BF1551:BF1568"/>
    <mergeCell ref="BG1551:BG1568"/>
    <mergeCell ref="BH1551:BH1568"/>
    <mergeCell ref="BC1569:BC1572"/>
    <mergeCell ref="BD1569:BD1572"/>
    <mergeCell ref="BE1569:BE1572"/>
    <mergeCell ref="BF1569:BF1572"/>
    <mergeCell ref="BG1569:BG1572"/>
    <mergeCell ref="BH1569:BH1572"/>
    <mergeCell ref="BC1573:BC1575"/>
    <mergeCell ref="BD1573:BD1575"/>
    <mergeCell ref="BE1573:BE1575"/>
    <mergeCell ref="BF1573:BF1575"/>
    <mergeCell ref="BG1573:BG1575"/>
    <mergeCell ref="BH1573:BH1575"/>
    <mergeCell ref="BC1580:BC1581"/>
    <mergeCell ref="BD1580:BD1581"/>
    <mergeCell ref="BE1580:BE1581"/>
    <mergeCell ref="BF1580:BF1581"/>
    <mergeCell ref="BG1580:BG1581"/>
    <mergeCell ref="BH1580:BH1581"/>
    <mergeCell ref="BC1582:BC1588"/>
    <mergeCell ref="BD1582:BD1588"/>
    <mergeCell ref="BE1582:BE1588"/>
    <mergeCell ref="BF1582:BF1588"/>
    <mergeCell ref="BG1582:BG1588"/>
    <mergeCell ref="BH1582:BH1588"/>
    <mergeCell ref="BC1591:BC1594"/>
    <mergeCell ref="BD1591:BD1594"/>
    <mergeCell ref="BE1591:BE1594"/>
    <mergeCell ref="BF1591:BF1594"/>
    <mergeCell ref="BG1591:BG1594"/>
    <mergeCell ref="BH1591:BH1594"/>
    <mergeCell ref="BC1602:BC1603"/>
    <mergeCell ref="BD1602:BD1603"/>
    <mergeCell ref="BE1602:BE1603"/>
    <mergeCell ref="BF1602:BF1603"/>
    <mergeCell ref="BG1602:BG1603"/>
    <mergeCell ref="BH1602:BH1603"/>
    <mergeCell ref="BC1606:BC1609"/>
    <mergeCell ref="BD1606:BD1609"/>
    <mergeCell ref="BE1606:BE1609"/>
    <mergeCell ref="BF1606:BF1609"/>
    <mergeCell ref="BG1606:BG1609"/>
    <mergeCell ref="BH1606:BH1609"/>
    <mergeCell ref="BC1615:BC1617"/>
    <mergeCell ref="BD1615:BD1617"/>
    <mergeCell ref="BE1615:BE1617"/>
    <mergeCell ref="BF1615:BF1617"/>
    <mergeCell ref="BG1615:BG1617"/>
    <mergeCell ref="BH1615:BH1617"/>
    <mergeCell ref="BC1618:BC1621"/>
    <mergeCell ref="BD1618:BD1621"/>
    <mergeCell ref="BE1618:BE1621"/>
    <mergeCell ref="BF1618:BF1621"/>
    <mergeCell ref="BG1618:BG1621"/>
    <mergeCell ref="BH1618:BH1621"/>
    <mergeCell ref="BC1623:BC1632"/>
    <mergeCell ref="BD1623:BD1632"/>
    <mergeCell ref="BE1623:BE1632"/>
    <mergeCell ref="BF1623:BF1632"/>
    <mergeCell ref="BG1623:BG1632"/>
    <mergeCell ref="BH1623:BH1632"/>
    <mergeCell ref="BC1636:BC1639"/>
    <mergeCell ref="BD1636:BD1639"/>
    <mergeCell ref="BE1636:BE1639"/>
    <mergeCell ref="BF1636:BF1639"/>
    <mergeCell ref="BG1636:BG1639"/>
    <mergeCell ref="BH1636:BH1639"/>
    <mergeCell ref="BC1640:BC1641"/>
    <mergeCell ref="BD1640:BD1641"/>
    <mergeCell ref="BE1640:BE1641"/>
    <mergeCell ref="BF1640:BF1641"/>
    <mergeCell ref="BG1640:BG1641"/>
    <mergeCell ref="BH1640:BH1641"/>
    <mergeCell ref="BC1642:BC1643"/>
    <mergeCell ref="BD1642:BD1643"/>
    <mergeCell ref="BE1642:BE1643"/>
    <mergeCell ref="BF1642:BF1643"/>
    <mergeCell ref="BG1642:BG1643"/>
    <mergeCell ref="BH1642:BH1643"/>
    <mergeCell ref="BC1644:BC1645"/>
    <mergeCell ref="BD1644:BD1645"/>
    <mergeCell ref="BE1644:BE1645"/>
    <mergeCell ref="BF1644:BF1645"/>
    <mergeCell ref="BG1644:BG1645"/>
    <mergeCell ref="BH1644:BH1645"/>
    <mergeCell ref="BC1649:BC1720"/>
    <mergeCell ref="BD1649:BD1720"/>
    <mergeCell ref="BE1649:BE1720"/>
    <mergeCell ref="BF1649:BF1720"/>
    <mergeCell ref="BG1649:BG1720"/>
    <mergeCell ref="BH1649:BH1720"/>
    <mergeCell ref="BC1721:BC1759"/>
    <mergeCell ref="BD1721:BD1759"/>
    <mergeCell ref="BE1721:BE1759"/>
    <mergeCell ref="BF1721:BF1759"/>
    <mergeCell ref="BG1721:BG1759"/>
    <mergeCell ref="BH1721:BH1759"/>
    <mergeCell ref="BC1760:BC1764"/>
    <mergeCell ref="BD1760:BD1764"/>
    <mergeCell ref="BE1760:BE1764"/>
    <mergeCell ref="BF1760:BF1764"/>
    <mergeCell ref="BG1760:BG1764"/>
    <mergeCell ref="BH1760:BH1764"/>
    <mergeCell ref="BC1765:BC1767"/>
    <mergeCell ref="BD1765:BD1767"/>
    <mergeCell ref="BE1765:BE1767"/>
    <mergeCell ref="BF1765:BF1767"/>
    <mergeCell ref="BG1765:BG1767"/>
    <mergeCell ref="BH1765:BH1767"/>
    <mergeCell ref="BC1768:BC1782"/>
    <mergeCell ref="BD1768:BD1782"/>
    <mergeCell ref="BE1768:BE1782"/>
    <mergeCell ref="BF1768:BF1782"/>
    <mergeCell ref="BG1768:BG1782"/>
    <mergeCell ref="BH1768:BH1782"/>
    <mergeCell ref="BC1784:BC1791"/>
    <mergeCell ref="BD1784:BD1791"/>
    <mergeCell ref="BE1784:BE1791"/>
    <mergeCell ref="BF1784:BF1791"/>
    <mergeCell ref="BG1784:BG1791"/>
    <mergeCell ref="BH1784:BH1791"/>
    <mergeCell ref="BC1792:BC1795"/>
    <mergeCell ref="BD1792:BD1795"/>
    <mergeCell ref="BE1792:BE1795"/>
    <mergeCell ref="BF1792:BF1795"/>
    <mergeCell ref="BG1792:BG1795"/>
    <mergeCell ref="BH1792:BH1795"/>
    <mergeCell ref="BC1799:BC1800"/>
    <mergeCell ref="BD1799:BD1800"/>
    <mergeCell ref="BE1799:BE1800"/>
    <mergeCell ref="BF1799:BF1800"/>
    <mergeCell ref="BG1799:BG1800"/>
    <mergeCell ref="BH1799:BH1800"/>
    <mergeCell ref="BC1803:BC1804"/>
    <mergeCell ref="BD1803:BD1804"/>
    <mergeCell ref="BE1803:BE1804"/>
    <mergeCell ref="BF1803:BF1804"/>
    <mergeCell ref="BG1803:BG1804"/>
    <mergeCell ref="BH1803:BH1804"/>
    <mergeCell ref="BC1806:BC1817"/>
    <mergeCell ref="BD1806:BD1817"/>
    <mergeCell ref="BE1806:BE1817"/>
    <mergeCell ref="BF1806:BF1817"/>
    <mergeCell ref="BG1806:BG1817"/>
    <mergeCell ref="BH1806:BH1817"/>
    <mergeCell ref="BC1818:BC1822"/>
    <mergeCell ref="BD1818:BD1822"/>
    <mergeCell ref="BE1818:BE1822"/>
    <mergeCell ref="BF1818:BF1822"/>
    <mergeCell ref="BG1818:BG1822"/>
    <mergeCell ref="BH1818:BH1822"/>
    <mergeCell ref="BC1823:BC1838"/>
    <mergeCell ref="BD1823:BD1838"/>
    <mergeCell ref="BE1823:BE1838"/>
    <mergeCell ref="BF1823:BF1838"/>
    <mergeCell ref="BG1823:BG1838"/>
    <mergeCell ref="BH1823:BH1838"/>
    <mergeCell ref="BC1839:BC1855"/>
    <mergeCell ref="BD1839:BD1855"/>
    <mergeCell ref="BE1839:BE1855"/>
    <mergeCell ref="BF1839:BF1855"/>
    <mergeCell ref="BG1839:BG1855"/>
    <mergeCell ref="BH1839:BH1855"/>
    <mergeCell ref="BC1856:BC1857"/>
    <mergeCell ref="BD1856:BD1857"/>
    <mergeCell ref="BE1856:BE1857"/>
    <mergeCell ref="BF1856:BF1857"/>
    <mergeCell ref="BG1856:BG1857"/>
    <mergeCell ref="BH1856:BH1857"/>
    <mergeCell ref="BC1858:BC1859"/>
    <mergeCell ref="BD1858:BD1859"/>
    <mergeCell ref="BE1858:BE1859"/>
    <mergeCell ref="BF1858:BF1859"/>
    <mergeCell ref="BG1858:BG1859"/>
    <mergeCell ref="BH1858:BH1859"/>
    <mergeCell ref="BC1863:BC1869"/>
    <mergeCell ref="BD1863:BD1869"/>
    <mergeCell ref="BE1863:BE1869"/>
    <mergeCell ref="BF1863:BF1869"/>
    <mergeCell ref="BG1863:BG1869"/>
    <mergeCell ref="BH1863:BH1869"/>
    <mergeCell ref="BC1872:BC1873"/>
    <mergeCell ref="BD1872:BD1873"/>
    <mergeCell ref="BE1872:BE1873"/>
    <mergeCell ref="BF1872:BF1873"/>
    <mergeCell ref="BG1872:BG1873"/>
    <mergeCell ref="BH1872:BH1873"/>
    <mergeCell ref="BC1874:BC1875"/>
    <mergeCell ref="BD1874:BD1875"/>
    <mergeCell ref="BE1874:BE1875"/>
    <mergeCell ref="BF1874:BF1875"/>
    <mergeCell ref="BG1874:BG1875"/>
    <mergeCell ref="BH1874:BH1875"/>
    <mergeCell ref="BC1879:BC1882"/>
    <mergeCell ref="BD1879:BD1882"/>
    <mergeCell ref="BE1879:BE1882"/>
    <mergeCell ref="BF1879:BF1882"/>
    <mergeCell ref="BG1879:BG1882"/>
    <mergeCell ref="BH1879:BH1882"/>
    <mergeCell ref="BC1883:BC1892"/>
    <mergeCell ref="BD1883:BD1892"/>
    <mergeCell ref="BE1883:BE1892"/>
    <mergeCell ref="BF1883:BF1892"/>
    <mergeCell ref="BG1883:BG1892"/>
    <mergeCell ref="BH1883:BH1892"/>
    <mergeCell ref="BC1893:BC1894"/>
    <mergeCell ref="BD1893:BD1894"/>
    <mergeCell ref="BE1893:BE1894"/>
    <mergeCell ref="BF1893:BF1894"/>
    <mergeCell ref="BG1893:BG1894"/>
    <mergeCell ref="BH1893:BH1894"/>
    <mergeCell ref="BC1895:BC1897"/>
    <mergeCell ref="BD1895:BD1897"/>
    <mergeCell ref="BE1895:BE1897"/>
    <mergeCell ref="BF1895:BF1897"/>
    <mergeCell ref="BG1895:BG1897"/>
    <mergeCell ref="BH1895:BH1897"/>
    <mergeCell ref="BC1901:BC1902"/>
    <mergeCell ref="BD1901:BD1902"/>
    <mergeCell ref="BE1901:BE1902"/>
    <mergeCell ref="BF1901:BF1902"/>
    <mergeCell ref="BG1901:BG1902"/>
    <mergeCell ref="BH1901:BH1902"/>
    <mergeCell ref="BC1904:BC1914"/>
    <mergeCell ref="BD1904:BD1914"/>
    <mergeCell ref="BE1904:BE1914"/>
    <mergeCell ref="BF1904:BF1914"/>
    <mergeCell ref="BG1904:BG1914"/>
    <mergeCell ref="BH1904:BH1914"/>
    <mergeCell ref="BC1915:BC1916"/>
    <mergeCell ref="BD1915:BD1916"/>
    <mergeCell ref="BE1915:BE1916"/>
    <mergeCell ref="BF1915:BF1916"/>
    <mergeCell ref="BG1915:BG1916"/>
    <mergeCell ref="BH1915:BH1916"/>
    <mergeCell ref="BC1917:BC1918"/>
    <mergeCell ref="BD1917:BD1918"/>
    <mergeCell ref="BE1917:BE1918"/>
    <mergeCell ref="BF1917:BF1918"/>
    <mergeCell ref="BG1917:BG1918"/>
    <mergeCell ref="BH1917:BH1918"/>
    <mergeCell ref="BC1922:BC1924"/>
    <mergeCell ref="BD1922:BD1924"/>
    <mergeCell ref="BE1922:BE1924"/>
    <mergeCell ref="BF1922:BF1924"/>
    <mergeCell ref="BG1922:BG1924"/>
    <mergeCell ref="BH1922:BH1924"/>
    <mergeCell ref="BC1926:BC1934"/>
    <mergeCell ref="BD1926:BD1934"/>
    <mergeCell ref="BE1926:BE1934"/>
    <mergeCell ref="BF1926:BF1934"/>
    <mergeCell ref="BG1926:BG1934"/>
    <mergeCell ref="BH1926:BH1934"/>
    <mergeCell ref="BC1935:BC1942"/>
    <mergeCell ref="BD1935:BD1942"/>
    <mergeCell ref="BE1935:BE1942"/>
    <mergeCell ref="BF1935:BF1942"/>
    <mergeCell ref="BG1935:BG1942"/>
    <mergeCell ref="BH1935:BH1942"/>
    <mergeCell ref="BC1943:BC1950"/>
    <mergeCell ref="BD1943:BD1950"/>
    <mergeCell ref="BE1943:BE1950"/>
    <mergeCell ref="BF1943:BF1950"/>
    <mergeCell ref="BG1943:BG1950"/>
    <mergeCell ref="BH1943:BH1950"/>
    <mergeCell ref="BC1951:BC1954"/>
    <mergeCell ref="BD1951:BD1954"/>
    <mergeCell ref="BE1951:BE1954"/>
    <mergeCell ref="BF1951:BF1954"/>
    <mergeCell ref="BG1951:BG1954"/>
    <mergeCell ref="BH1951:BH1954"/>
    <mergeCell ref="BC1956:BC1957"/>
    <mergeCell ref="BD1956:BD1957"/>
    <mergeCell ref="BE1956:BE1957"/>
    <mergeCell ref="BF1956:BF1957"/>
    <mergeCell ref="BG1956:BG1957"/>
    <mergeCell ref="BH1956:BH1957"/>
    <mergeCell ref="BC1958:BC1960"/>
    <mergeCell ref="BD1958:BD1960"/>
    <mergeCell ref="BE1958:BE1960"/>
    <mergeCell ref="BF1958:BF1960"/>
    <mergeCell ref="BG1958:BG1960"/>
    <mergeCell ref="BH1958:BH1960"/>
    <mergeCell ref="BC1964:BC1967"/>
    <mergeCell ref="BD1964:BD1967"/>
    <mergeCell ref="BE1964:BE1967"/>
    <mergeCell ref="BF1964:BF1967"/>
    <mergeCell ref="BG1964:BG1967"/>
    <mergeCell ref="BH1964:BH1967"/>
    <mergeCell ref="BC1968:BC1971"/>
    <mergeCell ref="BD1968:BD1971"/>
    <mergeCell ref="BE1968:BE1971"/>
    <mergeCell ref="BF1968:BF1971"/>
    <mergeCell ref="BG1968:BG1971"/>
    <mergeCell ref="BH1968:BH1971"/>
    <mergeCell ref="BC1974:BC1975"/>
    <mergeCell ref="BD1974:BD1975"/>
    <mergeCell ref="BE1974:BE1975"/>
    <mergeCell ref="BF1974:BF1975"/>
    <mergeCell ref="BG1974:BG1975"/>
    <mergeCell ref="BH1974:BH1975"/>
    <mergeCell ref="BC1976:BC1977"/>
    <mergeCell ref="BD1976:BD1977"/>
    <mergeCell ref="BE1976:BE1977"/>
    <mergeCell ref="BF1976:BF1977"/>
    <mergeCell ref="BG1976:BG1977"/>
    <mergeCell ref="BH1976:BH1977"/>
    <mergeCell ref="BC1980:BC1985"/>
    <mergeCell ref="BD1980:BD1985"/>
    <mergeCell ref="BE1980:BE1985"/>
    <mergeCell ref="BF1980:BF1985"/>
    <mergeCell ref="BG1980:BG1985"/>
    <mergeCell ref="BH1980:BH1985"/>
    <mergeCell ref="BC1987:BC2004"/>
    <mergeCell ref="BD1987:BD2004"/>
    <mergeCell ref="BE1987:BE2004"/>
    <mergeCell ref="BF1987:BF2004"/>
    <mergeCell ref="BG1987:BG2004"/>
    <mergeCell ref="BH1987:BH2004"/>
    <mergeCell ref="BC2007:BC2008"/>
    <mergeCell ref="BD2007:BD2008"/>
    <mergeCell ref="BE2007:BE2008"/>
    <mergeCell ref="BF2007:BF2008"/>
    <mergeCell ref="BG2007:BG2008"/>
    <mergeCell ref="BH2007:BH2008"/>
    <mergeCell ref="BC2012:BC2014"/>
    <mergeCell ref="BD2012:BD2014"/>
    <mergeCell ref="BE2012:BE2014"/>
    <mergeCell ref="BF2012:BF2014"/>
    <mergeCell ref="BG2012:BG2014"/>
    <mergeCell ref="BH2012:BH2014"/>
    <mergeCell ref="BC2015:BC2025"/>
    <mergeCell ref="BD2015:BD2025"/>
    <mergeCell ref="BE2015:BE2025"/>
    <mergeCell ref="BF2015:BF2025"/>
    <mergeCell ref="BG2015:BG2025"/>
    <mergeCell ref="BH2015:BH2025"/>
    <mergeCell ref="BC2026:BC2028"/>
    <mergeCell ref="BD2026:BD2028"/>
    <mergeCell ref="BE2026:BE2028"/>
    <mergeCell ref="BF2026:BF2028"/>
    <mergeCell ref="BG2026:BG2028"/>
    <mergeCell ref="BH2026:BH2028"/>
    <mergeCell ref="BC2031:BC2033"/>
    <mergeCell ref="BD2031:BD2033"/>
    <mergeCell ref="BE2031:BE2033"/>
    <mergeCell ref="BF2031:BF2033"/>
    <mergeCell ref="BG2031:BG2033"/>
    <mergeCell ref="BH2031:BH2033"/>
    <mergeCell ref="BC2034:BC2041"/>
    <mergeCell ref="BD2034:BD2041"/>
    <mergeCell ref="BE2034:BE2041"/>
    <mergeCell ref="BF2034:BF2041"/>
    <mergeCell ref="BG2034:BG2041"/>
    <mergeCell ref="BH2034:BH2041"/>
    <mergeCell ref="BC2042:BC2048"/>
    <mergeCell ref="BD2042:BD2048"/>
    <mergeCell ref="BE2042:BE2048"/>
    <mergeCell ref="BF2042:BF2048"/>
    <mergeCell ref="BG2042:BG2048"/>
    <mergeCell ref="BH2042:BH2048"/>
    <mergeCell ref="BC2050:BC2051"/>
    <mergeCell ref="BD2050:BD2051"/>
    <mergeCell ref="BE2050:BE2051"/>
    <mergeCell ref="BF2050:BF2051"/>
    <mergeCell ref="BG2050:BG2051"/>
    <mergeCell ref="BH2050:BH2051"/>
    <mergeCell ref="BC2052:BC2058"/>
    <mergeCell ref="BD2052:BD2058"/>
    <mergeCell ref="BE2052:BE2058"/>
    <mergeCell ref="BF2052:BF2058"/>
    <mergeCell ref="BG2052:BG2058"/>
    <mergeCell ref="BH2052:BH2058"/>
    <mergeCell ref="BC2059:BC2061"/>
    <mergeCell ref="BD2059:BD2061"/>
    <mergeCell ref="BE2059:BE2061"/>
    <mergeCell ref="BF2059:BF2061"/>
    <mergeCell ref="BG2059:BG2061"/>
    <mergeCell ref="BH2059:BH2061"/>
    <mergeCell ref="BC2062:BC2076"/>
    <mergeCell ref="BD2062:BD2076"/>
    <mergeCell ref="BE2062:BE2076"/>
    <mergeCell ref="BF2062:BF2076"/>
    <mergeCell ref="BG2062:BG2076"/>
    <mergeCell ref="BH2062:BH2076"/>
    <mergeCell ref="BC2077:BC2078"/>
    <mergeCell ref="BD2077:BD2078"/>
    <mergeCell ref="BE2077:BE2078"/>
    <mergeCell ref="BF2077:BF2078"/>
    <mergeCell ref="BG2077:BG2078"/>
    <mergeCell ref="BH2077:BH2078"/>
    <mergeCell ref="BC2080:BC2082"/>
    <mergeCell ref="BD2080:BD2082"/>
    <mergeCell ref="BE2080:BE2082"/>
    <mergeCell ref="BF2080:BF2082"/>
    <mergeCell ref="BG2080:BG2082"/>
    <mergeCell ref="BH2080:BH2082"/>
    <mergeCell ref="BC2083:BC2084"/>
    <mergeCell ref="BD2083:BD2084"/>
    <mergeCell ref="BE2083:BE2084"/>
    <mergeCell ref="BF2083:BF2084"/>
    <mergeCell ref="BG2083:BG2084"/>
    <mergeCell ref="BH2083:BH2084"/>
    <mergeCell ref="BC2085:BC2086"/>
    <mergeCell ref="BD2085:BD2086"/>
    <mergeCell ref="BE2085:BE2086"/>
    <mergeCell ref="BF2085:BF2086"/>
    <mergeCell ref="BG2085:BG2086"/>
    <mergeCell ref="BH2085:BH2086"/>
    <mergeCell ref="BC2087:BC2095"/>
    <mergeCell ref="BD2087:BD2095"/>
    <mergeCell ref="BE2087:BE2095"/>
    <mergeCell ref="BF2087:BF2095"/>
    <mergeCell ref="BG2087:BG2095"/>
    <mergeCell ref="BH2087:BH2095"/>
    <mergeCell ref="BC2096:BC2100"/>
    <mergeCell ref="BD2096:BD2100"/>
    <mergeCell ref="BE2096:BE2100"/>
    <mergeCell ref="BF2096:BF2100"/>
    <mergeCell ref="BG2096:BG2100"/>
    <mergeCell ref="BH2096:BH2100"/>
    <mergeCell ref="BC2101:BC2108"/>
    <mergeCell ref="BD2101:BD2108"/>
    <mergeCell ref="BE2101:BE2108"/>
    <mergeCell ref="BF2101:BF2108"/>
    <mergeCell ref="BG2101:BG2108"/>
    <mergeCell ref="BH2101:BH2108"/>
    <mergeCell ref="BC2109:BC2136"/>
    <mergeCell ref="BD2109:BD2136"/>
    <mergeCell ref="BE2109:BE2136"/>
    <mergeCell ref="BF2109:BF2136"/>
    <mergeCell ref="BG2109:BG2136"/>
    <mergeCell ref="BH2109:BH2136"/>
    <mergeCell ref="BC2138:BC2141"/>
    <mergeCell ref="BD2138:BD2141"/>
    <mergeCell ref="BE2138:BE2141"/>
    <mergeCell ref="BF2138:BF2141"/>
    <mergeCell ref="BG2138:BG2141"/>
    <mergeCell ref="BH2138:BH2141"/>
    <mergeCell ref="BC2142:BC2154"/>
    <mergeCell ref="BD2142:BD2154"/>
    <mergeCell ref="BE2142:BE2154"/>
    <mergeCell ref="BF2142:BF2154"/>
    <mergeCell ref="BG2142:BG2154"/>
    <mergeCell ref="BH2142:BH2154"/>
    <mergeCell ref="BC2155:BC2156"/>
    <mergeCell ref="BD2155:BD2156"/>
    <mergeCell ref="BE2155:BE2156"/>
    <mergeCell ref="BF2155:BF2156"/>
    <mergeCell ref="BG2155:BG2156"/>
    <mergeCell ref="BH2155:BH2156"/>
    <mergeCell ref="BC2157:BC2160"/>
    <mergeCell ref="BD2157:BD2160"/>
    <mergeCell ref="BE2157:BE2160"/>
    <mergeCell ref="BF2157:BF2160"/>
    <mergeCell ref="BG2157:BG2160"/>
    <mergeCell ref="BH2157:BH2160"/>
    <mergeCell ref="BC2162:BC2163"/>
    <mergeCell ref="BD2162:BD2163"/>
    <mergeCell ref="BE2162:BE2163"/>
    <mergeCell ref="BF2162:BF2163"/>
    <mergeCell ref="BG2162:BG2163"/>
    <mergeCell ref="BH2162:BH2163"/>
    <mergeCell ref="BC2164:BC2170"/>
    <mergeCell ref="BD2164:BD2170"/>
    <mergeCell ref="BE2164:BE2170"/>
    <mergeCell ref="BF2164:BF2170"/>
    <mergeCell ref="BG2164:BG2170"/>
    <mergeCell ref="BH2164:BH2170"/>
    <mergeCell ref="BC2174:BC2177"/>
    <mergeCell ref="BD2174:BD2177"/>
    <mergeCell ref="BE2174:BE2177"/>
    <mergeCell ref="BF2174:BF2177"/>
    <mergeCell ref="BG2174:BG2177"/>
    <mergeCell ref="BH2174:BH2177"/>
    <mergeCell ref="BC2178:BC2179"/>
    <mergeCell ref="BD2178:BD2179"/>
    <mergeCell ref="BE2178:BE2179"/>
    <mergeCell ref="BF2178:BF2179"/>
    <mergeCell ref="BG2178:BG2179"/>
    <mergeCell ref="BH2178:BH2179"/>
    <mergeCell ref="BC2181:BC2186"/>
    <mergeCell ref="BD2181:BD2186"/>
    <mergeCell ref="BE2181:BE2186"/>
    <mergeCell ref="BF2181:BF2186"/>
    <mergeCell ref="BG2181:BG2186"/>
    <mergeCell ref="BH2181:BH2186"/>
    <mergeCell ref="BC2188:BC2189"/>
    <mergeCell ref="BD2188:BD2189"/>
    <mergeCell ref="BE2188:BE2189"/>
    <mergeCell ref="BF2188:BF2189"/>
    <mergeCell ref="BG2188:BG2189"/>
    <mergeCell ref="BH2188:BH2189"/>
    <mergeCell ref="BC2190:BC2204"/>
    <mergeCell ref="BD2190:BD2204"/>
    <mergeCell ref="BE2190:BE2204"/>
    <mergeCell ref="BF2190:BF2204"/>
    <mergeCell ref="BG2190:BG2204"/>
    <mergeCell ref="BH2190:BH2204"/>
    <mergeCell ref="BC2205:BC2208"/>
    <mergeCell ref="BD2205:BD2208"/>
    <mergeCell ref="BE2205:BE2208"/>
    <mergeCell ref="BF2205:BF2208"/>
    <mergeCell ref="BG2205:BG2208"/>
    <mergeCell ref="BH2205:BH2208"/>
    <mergeCell ref="BC2212:BC2218"/>
    <mergeCell ref="BD2212:BD2218"/>
    <mergeCell ref="BE2212:BE2218"/>
    <mergeCell ref="BF2212:BF2218"/>
    <mergeCell ref="BG2212:BG2218"/>
    <mergeCell ref="BH2212:BH2218"/>
    <mergeCell ref="BC2219:BC2221"/>
    <mergeCell ref="BD2219:BD2221"/>
    <mergeCell ref="BE2219:BE2221"/>
    <mergeCell ref="BF2219:BF2221"/>
    <mergeCell ref="BG2219:BG2221"/>
    <mergeCell ref="BH2219:BH2221"/>
    <mergeCell ref="BC2222:BC2225"/>
    <mergeCell ref="BD2222:BD2225"/>
    <mergeCell ref="BE2222:BE2225"/>
    <mergeCell ref="BF2222:BF2225"/>
    <mergeCell ref="BG2222:BG2225"/>
    <mergeCell ref="BH2222:BH2225"/>
    <mergeCell ref="BC2226:BC2230"/>
    <mergeCell ref="BD2226:BD2230"/>
    <mergeCell ref="BE2226:BE2230"/>
    <mergeCell ref="BF2226:BF2230"/>
    <mergeCell ref="BG2226:BG2230"/>
    <mergeCell ref="BH2226:BH2230"/>
    <mergeCell ref="BC2233:BC2238"/>
    <mergeCell ref="BD2233:BD2238"/>
    <mergeCell ref="BE2233:BE2238"/>
    <mergeCell ref="BF2233:BF2238"/>
    <mergeCell ref="BG2233:BG2238"/>
    <mergeCell ref="BH2233:BH2238"/>
    <mergeCell ref="BC2240:BC2249"/>
    <mergeCell ref="BD2240:BD2249"/>
    <mergeCell ref="BE2240:BE2249"/>
    <mergeCell ref="BF2240:BF2249"/>
    <mergeCell ref="BG2240:BG2249"/>
    <mergeCell ref="BH2240:BH2249"/>
    <mergeCell ref="BC2255:BC2256"/>
    <mergeCell ref="BD2255:BD2256"/>
    <mergeCell ref="BE2255:BE2256"/>
    <mergeCell ref="BF2255:BF2256"/>
    <mergeCell ref="BG2255:BG2256"/>
    <mergeCell ref="BH2255:BH2256"/>
    <mergeCell ref="BC2257:BC2263"/>
    <mergeCell ref="BD2257:BD2263"/>
    <mergeCell ref="BE2257:BE2263"/>
    <mergeCell ref="BF2257:BF2263"/>
    <mergeCell ref="BG2257:BG2263"/>
    <mergeCell ref="BH2257:BH2263"/>
    <mergeCell ref="BC2266:BC2269"/>
    <mergeCell ref="BD2266:BD2269"/>
    <mergeCell ref="BE2266:BE2269"/>
    <mergeCell ref="BF2266:BF2269"/>
    <mergeCell ref="BG2266:BG2269"/>
    <mergeCell ref="BH2266:BH2269"/>
    <mergeCell ref="BC2272:BC2274"/>
    <mergeCell ref="BD2272:BD2274"/>
    <mergeCell ref="BE2272:BE2274"/>
    <mergeCell ref="BF2272:BF2274"/>
    <mergeCell ref="BG2272:BG2274"/>
    <mergeCell ref="BH2272:BH2274"/>
    <mergeCell ref="BC2275:BC2288"/>
    <mergeCell ref="BD2275:BD2288"/>
    <mergeCell ref="BE2275:BE2288"/>
    <mergeCell ref="BF2275:BF2288"/>
    <mergeCell ref="BG2275:BG2288"/>
    <mergeCell ref="BH2275:BH2288"/>
    <mergeCell ref="BC2291:BC2296"/>
    <mergeCell ref="BD2291:BD2296"/>
    <mergeCell ref="BE2291:BE2296"/>
    <mergeCell ref="BF2291:BF2296"/>
    <mergeCell ref="BG2291:BG2296"/>
    <mergeCell ref="BH2291:BH2296"/>
    <mergeCell ref="BC2297:BC2298"/>
    <mergeCell ref="BD2297:BD2298"/>
    <mergeCell ref="BE2297:BE2298"/>
    <mergeCell ref="BF2297:BF2298"/>
    <mergeCell ref="BG2297:BG2298"/>
    <mergeCell ref="BH2297:BH2298"/>
    <mergeCell ref="BC2302:BC2304"/>
    <mergeCell ref="BD2302:BD2304"/>
    <mergeCell ref="BE2302:BE2304"/>
    <mergeCell ref="BF2302:BF2304"/>
    <mergeCell ref="BG2302:BG2304"/>
    <mergeCell ref="BH2302:BH2304"/>
    <mergeCell ref="BC2306:BC2313"/>
    <mergeCell ref="BD2306:BD2313"/>
    <mergeCell ref="BE2306:BE2313"/>
    <mergeCell ref="BF2306:BF2313"/>
    <mergeCell ref="BG2306:BG2313"/>
    <mergeCell ref="BH2306:BH2313"/>
    <mergeCell ref="BC2323:BC2336"/>
    <mergeCell ref="BD2323:BD2336"/>
    <mergeCell ref="BE2323:BE2336"/>
    <mergeCell ref="BF2323:BF2336"/>
    <mergeCell ref="BG2323:BG2336"/>
    <mergeCell ref="BH2323:BH2336"/>
    <mergeCell ref="BC2337:BC2338"/>
    <mergeCell ref="BD2337:BD2338"/>
    <mergeCell ref="BE2337:BE2338"/>
    <mergeCell ref="BF2337:BF2338"/>
    <mergeCell ref="BG2337:BG2338"/>
    <mergeCell ref="BH2337:BH2338"/>
    <mergeCell ref="BC2340:BC2348"/>
    <mergeCell ref="BD2340:BD2348"/>
    <mergeCell ref="BE2340:BE2348"/>
    <mergeCell ref="BF2340:BF2348"/>
    <mergeCell ref="BG2340:BG2348"/>
    <mergeCell ref="BH2340:BH2348"/>
    <mergeCell ref="BC2351:BC2359"/>
    <mergeCell ref="BD2351:BD2359"/>
    <mergeCell ref="BE2351:BE2359"/>
    <mergeCell ref="BF2351:BF2359"/>
    <mergeCell ref="BG2351:BG2359"/>
    <mergeCell ref="BH2351:BH2359"/>
    <mergeCell ref="BC2363:BC2373"/>
    <mergeCell ref="BD2363:BD2373"/>
    <mergeCell ref="BE2363:BE2373"/>
    <mergeCell ref="BF2363:BF2373"/>
    <mergeCell ref="BG2363:BG2373"/>
    <mergeCell ref="BH2363:BH2373"/>
    <mergeCell ref="BC2378:BC2396"/>
    <mergeCell ref="BD2378:BD2396"/>
    <mergeCell ref="BE2378:BE2396"/>
    <mergeCell ref="BF2378:BF2396"/>
    <mergeCell ref="BG2378:BG2396"/>
    <mergeCell ref="BH2378:BH2396"/>
    <mergeCell ref="BC2399:BC2418"/>
    <mergeCell ref="BD2399:BD2418"/>
    <mergeCell ref="BE2399:BE2418"/>
    <mergeCell ref="BF2399:BF2418"/>
    <mergeCell ref="BG2399:BG2418"/>
    <mergeCell ref="BH2399:BH2418"/>
    <mergeCell ref="BC2420:BC2425"/>
    <mergeCell ref="BD2420:BD2425"/>
    <mergeCell ref="BE2420:BE2425"/>
    <mergeCell ref="BF2420:BF2425"/>
    <mergeCell ref="BG2420:BG2425"/>
    <mergeCell ref="BH2420:BH2425"/>
    <mergeCell ref="BC2426:BC2427"/>
    <mergeCell ref="BD2426:BD2427"/>
    <mergeCell ref="BE2426:BE2427"/>
    <mergeCell ref="BF2426:BF2427"/>
    <mergeCell ref="BG2426:BG2427"/>
    <mergeCell ref="BH2426:BH2427"/>
    <mergeCell ref="BC2428:BC2436"/>
    <mergeCell ref="BD2428:BD2436"/>
    <mergeCell ref="BE2428:BE2436"/>
    <mergeCell ref="BF2428:BF2436"/>
    <mergeCell ref="BG2428:BG2436"/>
    <mergeCell ref="BH2428:BH2436"/>
    <mergeCell ref="BC2439:BC2440"/>
    <mergeCell ref="BD2439:BD2440"/>
    <mergeCell ref="BE2439:BE2440"/>
    <mergeCell ref="BF2439:BF2440"/>
    <mergeCell ref="BG2439:BG2440"/>
    <mergeCell ref="BH2439:BH2440"/>
    <mergeCell ref="BC2443:BC2448"/>
    <mergeCell ref="BD2443:BD2448"/>
    <mergeCell ref="BE2443:BE2448"/>
    <mergeCell ref="BF2443:BF2448"/>
    <mergeCell ref="BG2443:BG2448"/>
    <mergeCell ref="BH2443:BH2448"/>
    <mergeCell ref="BC2452:BC2454"/>
    <mergeCell ref="BD2452:BD2454"/>
    <mergeCell ref="BE2452:BE2454"/>
    <mergeCell ref="BF2452:BF2454"/>
    <mergeCell ref="BG2452:BG2454"/>
    <mergeCell ref="BH2452:BH2454"/>
    <mergeCell ref="BC2458:BC2459"/>
    <mergeCell ref="BD2458:BD2459"/>
    <mergeCell ref="BE2458:BE2459"/>
    <mergeCell ref="BF2458:BF2459"/>
    <mergeCell ref="BG2458:BG2459"/>
    <mergeCell ref="BH2458:BH2459"/>
    <mergeCell ref="BC2461:BC2462"/>
    <mergeCell ref="BD2461:BD2462"/>
    <mergeCell ref="BE2461:BE2462"/>
    <mergeCell ref="BF2461:BF2462"/>
    <mergeCell ref="BG2461:BG2462"/>
    <mergeCell ref="BH2461:BH2462"/>
    <mergeCell ref="BC2463:BC2464"/>
    <mergeCell ref="BD2463:BD2464"/>
    <mergeCell ref="BE2463:BE2464"/>
    <mergeCell ref="BF2463:BF2464"/>
    <mergeCell ref="BG2463:BG2464"/>
    <mergeCell ref="BH2463:BH2464"/>
    <mergeCell ref="BC2465:BC2470"/>
    <mergeCell ref="BD2465:BD2470"/>
    <mergeCell ref="BE2465:BE2470"/>
    <mergeCell ref="BF2465:BF2470"/>
    <mergeCell ref="BG2465:BG2470"/>
    <mergeCell ref="BH2465:BH2470"/>
    <mergeCell ref="BC2471:BC2472"/>
    <mergeCell ref="BD2471:BD2472"/>
    <mergeCell ref="BE2471:BE2472"/>
    <mergeCell ref="BF2471:BF2472"/>
    <mergeCell ref="BG2471:BG2472"/>
    <mergeCell ref="BH2471:BH2472"/>
    <mergeCell ref="BC2476:BC2480"/>
    <mergeCell ref="BD2476:BD2480"/>
    <mergeCell ref="BE2476:BE2480"/>
    <mergeCell ref="BF2476:BF2480"/>
    <mergeCell ref="BG2476:BG2480"/>
    <mergeCell ref="BH2476:BH2480"/>
    <mergeCell ref="BC2481:BC2482"/>
    <mergeCell ref="BD2481:BD2482"/>
    <mergeCell ref="BE2481:BE2482"/>
    <mergeCell ref="BF2481:BF2482"/>
    <mergeCell ref="BG2481:BG2482"/>
    <mergeCell ref="BH2481:BH2482"/>
    <mergeCell ref="BC2483:BC2484"/>
    <mergeCell ref="BD2483:BD2484"/>
    <mergeCell ref="BE2483:BE2484"/>
    <mergeCell ref="BF2483:BF2484"/>
    <mergeCell ref="BG2483:BG2484"/>
    <mergeCell ref="BH2483:BH2484"/>
    <mergeCell ref="BC2486:BC2490"/>
    <mergeCell ref="BD2486:BD2490"/>
    <mergeCell ref="BE2486:BE2490"/>
    <mergeCell ref="BF2486:BF2490"/>
    <mergeCell ref="BG2486:BG2490"/>
    <mergeCell ref="BH2486:BH2490"/>
    <mergeCell ref="BC2492:BC2493"/>
    <mergeCell ref="BD2492:BD2493"/>
    <mergeCell ref="BE2492:BE2493"/>
    <mergeCell ref="BF2492:BF2493"/>
    <mergeCell ref="BG2492:BG2493"/>
    <mergeCell ref="BH2492:BH2493"/>
    <mergeCell ref="BC2502:BC2505"/>
    <mergeCell ref="BD2502:BD2505"/>
    <mergeCell ref="BE2502:BE2505"/>
    <mergeCell ref="BF2502:BF2505"/>
    <mergeCell ref="BG2502:BG2505"/>
    <mergeCell ref="BH2502:BH2505"/>
    <mergeCell ref="BC2508:BC2509"/>
    <mergeCell ref="BD2508:BD2509"/>
    <mergeCell ref="BE2508:BE2509"/>
    <mergeCell ref="BF2508:BF2509"/>
    <mergeCell ref="BG2508:BG2509"/>
    <mergeCell ref="BH2508:BH2509"/>
    <mergeCell ref="BC2510:BC2511"/>
    <mergeCell ref="BD2510:BD2511"/>
    <mergeCell ref="BE2510:BE2511"/>
    <mergeCell ref="BF2510:BF2511"/>
    <mergeCell ref="BG2510:BG2511"/>
    <mergeCell ref="BH2510:BH2511"/>
    <mergeCell ref="BC2512:BC2523"/>
    <mergeCell ref="BD2512:BD2523"/>
    <mergeCell ref="BE2512:BE2523"/>
    <mergeCell ref="BF2512:BF2523"/>
    <mergeCell ref="BG2512:BG2523"/>
    <mergeCell ref="BH2512:BH2523"/>
    <mergeCell ref="BC2525:BC2526"/>
    <mergeCell ref="BD2525:BD2526"/>
    <mergeCell ref="BE2525:BE2526"/>
    <mergeCell ref="BF2525:BF2526"/>
    <mergeCell ref="BG2525:BG2526"/>
    <mergeCell ref="BH2525:BH2526"/>
    <mergeCell ref="BC2528:BC2536"/>
    <mergeCell ref="BD2528:BD2536"/>
    <mergeCell ref="BE2528:BE2536"/>
    <mergeCell ref="BF2528:BF2536"/>
    <mergeCell ref="BG2528:BG2536"/>
    <mergeCell ref="BH2528:BH2536"/>
    <mergeCell ref="BC2543:BC2544"/>
    <mergeCell ref="BD2543:BD2544"/>
    <mergeCell ref="BE2543:BE2544"/>
    <mergeCell ref="BF2543:BF2544"/>
    <mergeCell ref="BG2543:BG2544"/>
    <mergeCell ref="BH2543:BH2544"/>
    <mergeCell ref="BC2550:BC2551"/>
    <mergeCell ref="BD2550:BD2551"/>
    <mergeCell ref="BE2550:BE2551"/>
    <mergeCell ref="BF2550:BF2551"/>
    <mergeCell ref="BG2550:BG2551"/>
    <mergeCell ref="BH2550:BH2551"/>
    <mergeCell ref="BC2553:BC2554"/>
    <mergeCell ref="BD2553:BD2554"/>
    <mergeCell ref="BE2553:BE2554"/>
    <mergeCell ref="BF2553:BF2554"/>
    <mergeCell ref="BG2553:BG2554"/>
    <mergeCell ref="BH2553:BH2554"/>
    <mergeCell ref="BC2557:BC2570"/>
    <mergeCell ref="BD2557:BD2570"/>
    <mergeCell ref="BE2557:BE2570"/>
    <mergeCell ref="BF2557:BF2570"/>
    <mergeCell ref="BG2557:BG2570"/>
    <mergeCell ref="BH2557:BH2570"/>
    <mergeCell ref="BC2571:BC2573"/>
    <mergeCell ref="BD2571:BD2573"/>
    <mergeCell ref="BE2571:BE2573"/>
    <mergeCell ref="BF2571:BF2573"/>
    <mergeCell ref="BG2571:BG2573"/>
    <mergeCell ref="BH2571:BH2573"/>
    <mergeCell ref="BC2576:BC2578"/>
    <mergeCell ref="BD2576:BD2578"/>
    <mergeCell ref="BE2576:BE2578"/>
    <mergeCell ref="BF2576:BF2578"/>
    <mergeCell ref="BG2576:BG2578"/>
    <mergeCell ref="BH2576:BH2578"/>
    <mergeCell ref="BC2582:BC2584"/>
    <mergeCell ref="BD2582:BD2584"/>
    <mergeCell ref="BE2582:BE2584"/>
    <mergeCell ref="BF2582:BF2584"/>
    <mergeCell ref="BG2582:BG2584"/>
    <mergeCell ref="BH2582:BH2584"/>
    <mergeCell ref="BC2586:BC2587"/>
    <mergeCell ref="BD2586:BD2587"/>
    <mergeCell ref="BE2586:BE2587"/>
    <mergeCell ref="BF2586:BF2587"/>
    <mergeCell ref="BG2586:BG2587"/>
    <mergeCell ref="BH2586:BH2587"/>
    <mergeCell ref="BC2589:BC2591"/>
    <mergeCell ref="BD2589:BD2591"/>
    <mergeCell ref="BE2589:BE2591"/>
    <mergeCell ref="BF2589:BF2591"/>
    <mergeCell ref="BG2589:BG2591"/>
    <mergeCell ref="BH2589:BH2591"/>
    <mergeCell ref="BC2592:BC2593"/>
    <mergeCell ref="BD2592:BD2593"/>
    <mergeCell ref="BE2592:BE2593"/>
    <mergeCell ref="BF2592:BF2593"/>
    <mergeCell ref="BG2592:BG2593"/>
    <mergeCell ref="BH2592:BH2593"/>
    <mergeCell ref="BC2594:BC2608"/>
    <mergeCell ref="BD2594:BD2608"/>
    <mergeCell ref="BE2594:BE2608"/>
    <mergeCell ref="BF2594:BF2608"/>
    <mergeCell ref="BG2594:BG2608"/>
    <mergeCell ref="BH2594:BH2608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6:AV18"/>
    <mergeCell ref="AW16:AW18"/>
    <mergeCell ref="AX16:AX18"/>
    <mergeCell ref="AY16:AY18"/>
    <mergeCell ref="AZ16:AZ18"/>
    <mergeCell ref="BA16:BA18"/>
    <mergeCell ref="AV19:AV20"/>
    <mergeCell ref="AW19:AW20"/>
    <mergeCell ref="AX19:AX20"/>
    <mergeCell ref="AY19:AY20"/>
    <mergeCell ref="AZ19:AZ20"/>
    <mergeCell ref="BA19:BA20"/>
    <mergeCell ref="AV21:AV24"/>
    <mergeCell ref="AW21:AW24"/>
    <mergeCell ref="AX21:AX24"/>
    <mergeCell ref="AY21:AY24"/>
    <mergeCell ref="AZ21:AZ24"/>
    <mergeCell ref="BA21:BA24"/>
    <mergeCell ref="AV25:AV27"/>
    <mergeCell ref="AW25:AW27"/>
    <mergeCell ref="AX25:AX27"/>
    <mergeCell ref="AY25:AY27"/>
    <mergeCell ref="AZ25:AZ27"/>
    <mergeCell ref="BA25:BA27"/>
    <mergeCell ref="AV28:AV30"/>
    <mergeCell ref="AW28:AW30"/>
    <mergeCell ref="AX28:AX30"/>
    <mergeCell ref="AY28:AY30"/>
    <mergeCell ref="AZ28:AZ30"/>
    <mergeCell ref="BA28:BA30"/>
    <mergeCell ref="AV32:AV33"/>
    <mergeCell ref="AW32:AW33"/>
    <mergeCell ref="AX32:AX33"/>
    <mergeCell ref="AY32:AY33"/>
    <mergeCell ref="AZ32:AZ33"/>
    <mergeCell ref="BA32:BA33"/>
    <mergeCell ref="AV34:AV36"/>
    <mergeCell ref="AW34:AW36"/>
    <mergeCell ref="AX34:AX36"/>
    <mergeCell ref="AY34:AY36"/>
    <mergeCell ref="AZ34:AZ36"/>
    <mergeCell ref="BA34:BA36"/>
    <mergeCell ref="AV37:AV38"/>
    <mergeCell ref="AW37:AW38"/>
    <mergeCell ref="AX37:AX38"/>
    <mergeCell ref="AY37:AY38"/>
    <mergeCell ref="AZ37:AZ38"/>
    <mergeCell ref="BA37:BA38"/>
    <mergeCell ref="AV39:AV41"/>
    <mergeCell ref="AW39:AW41"/>
    <mergeCell ref="AX39:AX41"/>
    <mergeCell ref="AY39:AY41"/>
    <mergeCell ref="AZ39:AZ41"/>
    <mergeCell ref="BA39:BA41"/>
    <mergeCell ref="AV42:AV46"/>
    <mergeCell ref="AW42:AW46"/>
    <mergeCell ref="AX42:AX46"/>
    <mergeCell ref="AY42:AY46"/>
    <mergeCell ref="AZ42:AZ46"/>
    <mergeCell ref="BA42:BA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1:AV55"/>
    <mergeCell ref="AW51:AW55"/>
    <mergeCell ref="AX51:AX55"/>
    <mergeCell ref="AY51:AY55"/>
    <mergeCell ref="AZ51:AZ55"/>
    <mergeCell ref="BA51:BA55"/>
    <mergeCell ref="AV56:AV58"/>
    <mergeCell ref="AW56:AW58"/>
    <mergeCell ref="AX56:AX58"/>
    <mergeCell ref="AY56:AY58"/>
    <mergeCell ref="AZ56:AZ58"/>
    <mergeCell ref="BA56:BA58"/>
    <mergeCell ref="AV59:AV61"/>
    <mergeCell ref="AW59:AW61"/>
    <mergeCell ref="AX59:AX61"/>
    <mergeCell ref="AY59:AY61"/>
    <mergeCell ref="AZ59:AZ61"/>
    <mergeCell ref="BA59:BA61"/>
    <mergeCell ref="AV63:AV66"/>
    <mergeCell ref="AW63:AW66"/>
    <mergeCell ref="AX63:AX66"/>
    <mergeCell ref="AY63:AY66"/>
    <mergeCell ref="AZ63:AZ66"/>
    <mergeCell ref="BA63:BA66"/>
    <mergeCell ref="AV68:AV69"/>
    <mergeCell ref="AW68:AW69"/>
    <mergeCell ref="AX68:AX69"/>
    <mergeCell ref="AY68:AY69"/>
    <mergeCell ref="AZ68:AZ69"/>
    <mergeCell ref="BA68:BA69"/>
    <mergeCell ref="AV70:AV72"/>
    <mergeCell ref="AW70:AW72"/>
    <mergeCell ref="AX70:AX72"/>
    <mergeCell ref="AY70:AY72"/>
    <mergeCell ref="AZ70:AZ72"/>
    <mergeCell ref="BA70:BA72"/>
    <mergeCell ref="AV73:AV74"/>
    <mergeCell ref="AW73:AW74"/>
    <mergeCell ref="AX73:AX74"/>
    <mergeCell ref="AY73:AY74"/>
    <mergeCell ref="AZ73:AZ74"/>
    <mergeCell ref="BA73:BA74"/>
    <mergeCell ref="AV76:AV80"/>
    <mergeCell ref="AW76:AW80"/>
    <mergeCell ref="AX76:AX80"/>
    <mergeCell ref="AY76:AY80"/>
    <mergeCell ref="AZ76:AZ80"/>
    <mergeCell ref="BA76:BA80"/>
    <mergeCell ref="AV81:AV82"/>
    <mergeCell ref="AW81:AW82"/>
    <mergeCell ref="AX81:AX82"/>
    <mergeCell ref="AY81:AY82"/>
    <mergeCell ref="AZ81:AZ82"/>
    <mergeCell ref="BA81:BA82"/>
    <mergeCell ref="AV83:AV85"/>
    <mergeCell ref="AW83:AW85"/>
    <mergeCell ref="AX83:AX85"/>
    <mergeCell ref="AY83:AY85"/>
    <mergeCell ref="AZ83:AZ85"/>
    <mergeCell ref="BA83:BA85"/>
    <mergeCell ref="AV86:AV87"/>
    <mergeCell ref="AW86:AW87"/>
    <mergeCell ref="AX86:AX87"/>
    <mergeCell ref="AY86:AY87"/>
    <mergeCell ref="AZ86:AZ87"/>
    <mergeCell ref="BA86:BA87"/>
    <mergeCell ref="AV88:AV89"/>
    <mergeCell ref="AW88:AW89"/>
    <mergeCell ref="AX88:AX89"/>
    <mergeCell ref="AY88:AY89"/>
    <mergeCell ref="AZ88:AZ89"/>
    <mergeCell ref="BA88:BA89"/>
    <mergeCell ref="AV91:AV93"/>
    <mergeCell ref="AW91:AW93"/>
    <mergeCell ref="AX91:AX93"/>
    <mergeCell ref="AY91:AY93"/>
    <mergeCell ref="AZ91:AZ93"/>
    <mergeCell ref="BA91:BA93"/>
    <mergeCell ref="AV94:AV97"/>
    <mergeCell ref="AW94:AW97"/>
    <mergeCell ref="AX94:AX97"/>
    <mergeCell ref="AY94:AY97"/>
    <mergeCell ref="AZ94:AZ97"/>
    <mergeCell ref="BA94:BA97"/>
    <mergeCell ref="AV98:AV99"/>
    <mergeCell ref="AW98:AW99"/>
    <mergeCell ref="AX98:AX99"/>
    <mergeCell ref="AY98:AY99"/>
    <mergeCell ref="AZ98:AZ99"/>
    <mergeCell ref="BA98:BA99"/>
    <mergeCell ref="AV101:AV102"/>
    <mergeCell ref="AW101:AW102"/>
    <mergeCell ref="AX101:AX102"/>
    <mergeCell ref="AY101:AY102"/>
    <mergeCell ref="AZ101:AZ102"/>
    <mergeCell ref="BA101:BA102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09:AV110"/>
    <mergeCell ref="AW109:AW110"/>
    <mergeCell ref="AX109:AX110"/>
    <mergeCell ref="AY109:AY110"/>
    <mergeCell ref="AZ109:AZ110"/>
    <mergeCell ref="BA109:BA110"/>
    <mergeCell ref="AV112:AV113"/>
    <mergeCell ref="AW112:AW113"/>
    <mergeCell ref="AX112:AX113"/>
    <mergeCell ref="AY112:AY113"/>
    <mergeCell ref="AZ112:AZ113"/>
    <mergeCell ref="BA112:BA113"/>
    <mergeCell ref="AV116:AV117"/>
    <mergeCell ref="AW116:AW117"/>
    <mergeCell ref="AX116:AX117"/>
    <mergeCell ref="AY116:AY117"/>
    <mergeCell ref="AZ116:AZ117"/>
    <mergeCell ref="BA116:BA117"/>
    <mergeCell ref="AV119:AV120"/>
    <mergeCell ref="AW119:AW120"/>
    <mergeCell ref="AX119:AX120"/>
    <mergeCell ref="AY119:AY120"/>
    <mergeCell ref="AZ119:AZ120"/>
    <mergeCell ref="BA119:BA120"/>
    <mergeCell ref="AV121:AV123"/>
    <mergeCell ref="AW121:AW123"/>
    <mergeCell ref="AX121:AX123"/>
    <mergeCell ref="AY121:AY123"/>
    <mergeCell ref="AZ121:AZ123"/>
    <mergeCell ref="BA121:BA123"/>
    <mergeCell ref="AV125:AV126"/>
    <mergeCell ref="AW125:AW126"/>
    <mergeCell ref="AX125:AX126"/>
    <mergeCell ref="AY125:AY126"/>
    <mergeCell ref="AZ125:AZ126"/>
    <mergeCell ref="BA125:BA126"/>
    <mergeCell ref="AV136:AV138"/>
    <mergeCell ref="AW136:AW138"/>
    <mergeCell ref="AX136:AX138"/>
    <mergeCell ref="AY136:AY138"/>
    <mergeCell ref="AZ136:AZ138"/>
    <mergeCell ref="BA136:BA138"/>
    <mergeCell ref="AV139:AV141"/>
    <mergeCell ref="AW139:AW141"/>
    <mergeCell ref="AX139:AX141"/>
    <mergeCell ref="AY139:AY141"/>
    <mergeCell ref="AZ139:AZ141"/>
    <mergeCell ref="BA139:BA141"/>
    <mergeCell ref="AV142:AV143"/>
    <mergeCell ref="AW142:AW143"/>
    <mergeCell ref="AX142:AX143"/>
    <mergeCell ref="AY142:AY143"/>
    <mergeCell ref="AZ142:AZ143"/>
    <mergeCell ref="BA142:BA143"/>
    <mergeCell ref="AV144:AV147"/>
    <mergeCell ref="AW144:AW147"/>
    <mergeCell ref="AX144:AX147"/>
    <mergeCell ref="AY144:AY147"/>
    <mergeCell ref="AZ144:AZ147"/>
    <mergeCell ref="BA144:BA147"/>
    <mergeCell ref="AV149:AV151"/>
    <mergeCell ref="AW149:AW151"/>
    <mergeCell ref="AX149:AX151"/>
    <mergeCell ref="AY149:AY151"/>
    <mergeCell ref="AZ149:AZ151"/>
    <mergeCell ref="BA149:BA151"/>
    <mergeCell ref="AV152:AV154"/>
    <mergeCell ref="AW152:AW154"/>
    <mergeCell ref="AX152:AX154"/>
    <mergeCell ref="AY152:AY154"/>
    <mergeCell ref="AZ152:AZ154"/>
    <mergeCell ref="BA152:BA154"/>
    <mergeCell ref="AV155:AV156"/>
    <mergeCell ref="AW155:AW156"/>
    <mergeCell ref="AX155:AX156"/>
    <mergeCell ref="AY155:AY156"/>
    <mergeCell ref="AZ155:AZ156"/>
    <mergeCell ref="BA155:BA156"/>
    <mergeCell ref="AV163:AV166"/>
    <mergeCell ref="AW163:AW166"/>
    <mergeCell ref="AX163:AX166"/>
    <mergeCell ref="AY163:AY166"/>
    <mergeCell ref="AZ163:AZ166"/>
    <mergeCell ref="BA163:BA166"/>
    <mergeCell ref="AV177:AV178"/>
    <mergeCell ref="AW177:AW178"/>
    <mergeCell ref="AX177:AX178"/>
    <mergeCell ref="AY177:AY178"/>
    <mergeCell ref="AZ177:AZ178"/>
    <mergeCell ref="BA177:BA178"/>
    <mergeCell ref="AV181:AV183"/>
    <mergeCell ref="AW181:AW183"/>
    <mergeCell ref="AX181:AX183"/>
    <mergeCell ref="AY181:AY183"/>
    <mergeCell ref="AZ181:AZ183"/>
    <mergeCell ref="BA181:BA183"/>
    <mergeCell ref="AV184:AV186"/>
    <mergeCell ref="AW184:AW186"/>
    <mergeCell ref="AX184:AX186"/>
    <mergeCell ref="AY184:AY186"/>
    <mergeCell ref="AZ184:AZ186"/>
    <mergeCell ref="BA184:BA186"/>
    <mergeCell ref="AV187:AV189"/>
    <mergeCell ref="AW187:AW189"/>
    <mergeCell ref="AX187:AX189"/>
    <mergeCell ref="AY187:AY189"/>
    <mergeCell ref="AZ187:AZ189"/>
    <mergeCell ref="BA187:BA189"/>
    <mergeCell ref="AV196:AV197"/>
    <mergeCell ref="AW196:AW197"/>
    <mergeCell ref="AX196:AX197"/>
    <mergeCell ref="AY196:AY197"/>
    <mergeCell ref="AZ196:AZ197"/>
    <mergeCell ref="BA196:BA197"/>
    <mergeCell ref="AV198:AV200"/>
    <mergeCell ref="AW198:AW200"/>
    <mergeCell ref="AX198:AX200"/>
    <mergeCell ref="AY198:AY200"/>
    <mergeCell ref="AZ198:AZ200"/>
    <mergeCell ref="BA198:BA200"/>
    <mergeCell ref="AV203:AV204"/>
    <mergeCell ref="AW203:AW204"/>
    <mergeCell ref="AX203:AX204"/>
    <mergeCell ref="AY203:AY204"/>
    <mergeCell ref="AZ203:AZ204"/>
    <mergeCell ref="BA203:BA204"/>
    <mergeCell ref="AV206:AV208"/>
    <mergeCell ref="AW206:AW208"/>
    <mergeCell ref="AX206:AX208"/>
    <mergeCell ref="AY206:AY208"/>
    <mergeCell ref="AZ206:AZ208"/>
    <mergeCell ref="BA206:BA208"/>
    <mergeCell ref="AV209:AV210"/>
    <mergeCell ref="AW209:AW210"/>
    <mergeCell ref="AX209:AX210"/>
    <mergeCell ref="AY209:AY210"/>
    <mergeCell ref="AZ209:AZ210"/>
    <mergeCell ref="BA209:BA210"/>
    <mergeCell ref="AV211:AV212"/>
    <mergeCell ref="AW211:AW212"/>
    <mergeCell ref="AX211:AX212"/>
    <mergeCell ref="AY211:AY212"/>
    <mergeCell ref="AZ211:AZ212"/>
    <mergeCell ref="BA211:BA212"/>
    <mergeCell ref="AV213:AV214"/>
    <mergeCell ref="AW213:AW214"/>
    <mergeCell ref="AX213:AX214"/>
    <mergeCell ref="AY213:AY214"/>
    <mergeCell ref="AZ213:AZ214"/>
    <mergeCell ref="BA213:BA214"/>
    <mergeCell ref="AV218:AV221"/>
    <mergeCell ref="AW218:AW221"/>
    <mergeCell ref="AX218:AX221"/>
    <mergeCell ref="AY218:AY221"/>
    <mergeCell ref="AZ218:AZ221"/>
    <mergeCell ref="BA218:BA221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7:AV229"/>
    <mergeCell ref="AW227:AW229"/>
    <mergeCell ref="AX227:AX229"/>
    <mergeCell ref="AY227:AY229"/>
    <mergeCell ref="AZ227:AZ229"/>
    <mergeCell ref="BA227:BA229"/>
    <mergeCell ref="AV230:AV231"/>
    <mergeCell ref="AW230:AW231"/>
    <mergeCell ref="AX230:AX231"/>
    <mergeCell ref="AY230:AY231"/>
    <mergeCell ref="AZ230:AZ231"/>
    <mergeCell ref="BA230:BA231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AV236:AV238"/>
    <mergeCell ref="AW236:AW238"/>
    <mergeCell ref="AX236:AX238"/>
    <mergeCell ref="AY236:AY238"/>
    <mergeCell ref="AZ236:AZ238"/>
    <mergeCell ref="BA236:BA238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51:AV253"/>
    <mergeCell ref="AW251:AW253"/>
    <mergeCell ref="AX251:AX253"/>
    <mergeCell ref="AY251:AY253"/>
    <mergeCell ref="AZ251:AZ253"/>
    <mergeCell ref="BA251:BA253"/>
    <mergeCell ref="AV261:AV262"/>
    <mergeCell ref="AW261:AW262"/>
    <mergeCell ref="AX261:AX262"/>
    <mergeCell ref="AY261:AY262"/>
    <mergeCell ref="AZ261:AZ262"/>
    <mergeCell ref="BA261:BA262"/>
    <mergeCell ref="AV266:AV269"/>
    <mergeCell ref="AW266:AW269"/>
    <mergeCell ref="AX266:AX269"/>
    <mergeCell ref="AY266:AY269"/>
    <mergeCell ref="AZ266:AZ269"/>
    <mergeCell ref="BA266:BA269"/>
    <mergeCell ref="AV278:AV280"/>
    <mergeCell ref="AW278:AW280"/>
    <mergeCell ref="AX278:AX280"/>
    <mergeCell ref="AY278:AY280"/>
    <mergeCell ref="AZ278:AZ280"/>
    <mergeCell ref="BA278:BA280"/>
    <mergeCell ref="AV284:AV286"/>
    <mergeCell ref="AW284:AW286"/>
    <mergeCell ref="AX284:AX286"/>
    <mergeCell ref="AY284:AY286"/>
    <mergeCell ref="AZ284:AZ286"/>
    <mergeCell ref="BA284:BA286"/>
    <mergeCell ref="AV289:AV290"/>
    <mergeCell ref="AW289:AW290"/>
    <mergeCell ref="AX289:AX290"/>
    <mergeCell ref="AY289:AY290"/>
    <mergeCell ref="AZ289:AZ290"/>
    <mergeCell ref="BA289:BA290"/>
    <mergeCell ref="AV291:AV293"/>
    <mergeCell ref="AW291:AW293"/>
    <mergeCell ref="AX291:AX293"/>
    <mergeCell ref="AY291:AY293"/>
    <mergeCell ref="AZ291:AZ293"/>
    <mergeCell ref="BA291:BA293"/>
    <mergeCell ref="AV295:AV296"/>
    <mergeCell ref="AW295:AW296"/>
    <mergeCell ref="AX295:AX296"/>
    <mergeCell ref="AY295:AY296"/>
    <mergeCell ref="AZ295:AZ296"/>
    <mergeCell ref="BA295:BA296"/>
    <mergeCell ref="AV303:AV305"/>
    <mergeCell ref="AW303:AW305"/>
    <mergeCell ref="AX303:AX305"/>
    <mergeCell ref="AY303:AY305"/>
    <mergeCell ref="AZ303:AZ305"/>
    <mergeCell ref="BA303:BA305"/>
    <mergeCell ref="AV309:AV312"/>
    <mergeCell ref="AW309:AW312"/>
    <mergeCell ref="AX309:AX312"/>
    <mergeCell ref="AY309:AY312"/>
    <mergeCell ref="AZ309:AZ312"/>
    <mergeCell ref="BA309:BA312"/>
    <mergeCell ref="AV315:AV317"/>
    <mergeCell ref="AW315:AW317"/>
    <mergeCell ref="AX315:AX317"/>
    <mergeCell ref="AY315:AY317"/>
    <mergeCell ref="AZ315:AZ317"/>
    <mergeCell ref="BA315:BA317"/>
    <mergeCell ref="AV318:AV320"/>
    <mergeCell ref="AW318:AW320"/>
    <mergeCell ref="AX318:AX320"/>
    <mergeCell ref="AY318:AY320"/>
    <mergeCell ref="AZ318:AZ320"/>
    <mergeCell ref="BA318:BA320"/>
    <mergeCell ref="AV321:AV322"/>
    <mergeCell ref="AW321:AW322"/>
    <mergeCell ref="AX321:AX322"/>
    <mergeCell ref="AY321:AY322"/>
    <mergeCell ref="AZ321:AZ322"/>
    <mergeCell ref="BA321:BA322"/>
    <mergeCell ref="AV323:AV325"/>
    <mergeCell ref="AW323:AW325"/>
    <mergeCell ref="AX323:AX325"/>
    <mergeCell ref="AY323:AY325"/>
    <mergeCell ref="AZ323:AZ325"/>
    <mergeCell ref="BA323:BA325"/>
    <mergeCell ref="AV329:AV334"/>
    <mergeCell ref="AW329:AW334"/>
    <mergeCell ref="AX329:AX334"/>
    <mergeCell ref="AY329:AY334"/>
    <mergeCell ref="AZ329:AZ334"/>
    <mergeCell ref="BA329:BA334"/>
    <mergeCell ref="AV335:AV340"/>
    <mergeCell ref="AW335:AW340"/>
    <mergeCell ref="AX335:AX340"/>
    <mergeCell ref="AY335:AY340"/>
    <mergeCell ref="AZ335:AZ340"/>
    <mergeCell ref="BA335:BA340"/>
    <mergeCell ref="AV341:AV346"/>
    <mergeCell ref="AW341:AW346"/>
    <mergeCell ref="AX341:AX346"/>
    <mergeCell ref="AY341:AY346"/>
    <mergeCell ref="AZ341:AZ346"/>
    <mergeCell ref="BA341:BA346"/>
    <mergeCell ref="AV364:AV367"/>
    <mergeCell ref="AW364:AW367"/>
    <mergeCell ref="AX364:AX367"/>
    <mergeCell ref="AY364:AY367"/>
    <mergeCell ref="AZ364:AZ367"/>
    <mergeCell ref="BA364:BA367"/>
    <mergeCell ref="AV368:AV371"/>
    <mergeCell ref="AW368:AW371"/>
    <mergeCell ref="AX368:AX371"/>
    <mergeCell ref="AY368:AY371"/>
    <mergeCell ref="AZ368:AZ371"/>
    <mergeCell ref="BA368:BA371"/>
    <mergeCell ref="AV373:AV374"/>
    <mergeCell ref="AW373:AW374"/>
    <mergeCell ref="AX373:AX374"/>
    <mergeCell ref="AY373:AY374"/>
    <mergeCell ref="AZ373:AZ374"/>
    <mergeCell ref="BA373:BA374"/>
    <mergeCell ref="AV377:AV378"/>
    <mergeCell ref="AW377:AW378"/>
    <mergeCell ref="AX377:AX378"/>
    <mergeCell ref="AY377:AY378"/>
    <mergeCell ref="AZ377:AZ378"/>
    <mergeCell ref="BA377:BA378"/>
    <mergeCell ref="AV380:AV381"/>
    <mergeCell ref="AW380:AW381"/>
    <mergeCell ref="AX380:AX381"/>
    <mergeCell ref="AY380:AY381"/>
    <mergeCell ref="AZ380:AZ381"/>
    <mergeCell ref="BA380:BA381"/>
    <mergeCell ref="AV385:AV387"/>
    <mergeCell ref="AW385:AW387"/>
    <mergeCell ref="AX385:AX387"/>
    <mergeCell ref="AY385:AY387"/>
    <mergeCell ref="AZ385:AZ387"/>
    <mergeCell ref="BA385:BA387"/>
    <mergeCell ref="AV388:AV390"/>
    <mergeCell ref="AW388:AW390"/>
    <mergeCell ref="AX388:AX390"/>
    <mergeCell ref="AY388:AY390"/>
    <mergeCell ref="AZ388:AZ390"/>
    <mergeCell ref="BA388:BA390"/>
    <mergeCell ref="AV391:AV393"/>
    <mergeCell ref="AW391:AW393"/>
    <mergeCell ref="AX391:AX393"/>
    <mergeCell ref="AY391:AY393"/>
    <mergeCell ref="AZ391:AZ393"/>
    <mergeCell ref="BA391:BA393"/>
    <mergeCell ref="AV409:AV411"/>
    <mergeCell ref="AW409:AW411"/>
    <mergeCell ref="AX409:AX411"/>
    <mergeCell ref="AY409:AY411"/>
    <mergeCell ref="AZ409:AZ411"/>
    <mergeCell ref="BA409:BA411"/>
    <mergeCell ref="AV413:AV414"/>
    <mergeCell ref="AW413:AW414"/>
    <mergeCell ref="AX413:AX414"/>
    <mergeCell ref="AY413:AY414"/>
    <mergeCell ref="AZ413:AZ414"/>
    <mergeCell ref="BA413:BA414"/>
    <mergeCell ref="AV415:AV418"/>
    <mergeCell ref="AW415:AW418"/>
    <mergeCell ref="AX415:AX418"/>
    <mergeCell ref="AY415:AY418"/>
    <mergeCell ref="AZ415:AZ418"/>
    <mergeCell ref="BA415:BA418"/>
    <mergeCell ref="AV432:AV434"/>
    <mergeCell ref="AW432:AW434"/>
    <mergeCell ref="AX432:AX434"/>
    <mergeCell ref="AY432:AY434"/>
    <mergeCell ref="AZ432:AZ434"/>
    <mergeCell ref="BA432:BA434"/>
    <mergeCell ref="AV435:AV437"/>
    <mergeCell ref="AW435:AW437"/>
    <mergeCell ref="AX435:AX437"/>
    <mergeCell ref="AY435:AY437"/>
    <mergeCell ref="AZ435:AZ437"/>
    <mergeCell ref="BA435:BA437"/>
    <mergeCell ref="AV438:AV440"/>
    <mergeCell ref="AW438:AW440"/>
    <mergeCell ref="AX438:AX440"/>
    <mergeCell ref="AY438:AY440"/>
    <mergeCell ref="AZ438:AZ440"/>
    <mergeCell ref="BA438:BA440"/>
    <mergeCell ref="AV441:AV444"/>
    <mergeCell ref="AW441:AW444"/>
    <mergeCell ref="AX441:AX444"/>
    <mergeCell ref="AY441:AY444"/>
    <mergeCell ref="AZ441:AZ444"/>
    <mergeCell ref="BA441:BA444"/>
    <mergeCell ref="AV445:AV448"/>
    <mergeCell ref="AW445:AW448"/>
    <mergeCell ref="AX445:AX448"/>
    <mergeCell ref="AY445:AY448"/>
    <mergeCell ref="AZ445:AZ448"/>
    <mergeCell ref="BA445:BA448"/>
    <mergeCell ref="AV449:AV451"/>
    <mergeCell ref="AW449:AW451"/>
    <mergeCell ref="AX449:AX451"/>
    <mergeCell ref="AY449:AY451"/>
    <mergeCell ref="AZ449:AZ451"/>
    <mergeCell ref="BA449:BA451"/>
    <mergeCell ref="AV452:AV454"/>
    <mergeCell ref="AW452:AW454"/>
    <mergeCell ref="AX452:AX454"/>
    <mergeCell ref="AY452:AY454"/>
    <mergeCell ref="AZ452:AZ454"/>
    <mergeCell ref="BA452:BA454"/>
    <mergeCell ref="AV455:AV457"/>
    <mergeCell ref="AW455:AW457"/>
    <mergeCell ref="AX455:AX457"/>
    <mergeCell ref="AY455:AY457"/>
    <mergeCell ref="AZ455:AZ457"/>
    <mergeCell ref="BA455:BA457"/>
    <mergeCell ref="AV459:AV460"/>
    <mergeCell ref="AW459:AW460"/>
    <mergeCell ref="AX459:AX460"/>
    <mergeCell ref="AY459:AY460"/>
    <mergeCell ref="AZ459:AZ460"/>
    <mergeCell ref="BA459:BA460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5:AV467"/>
    <mergeCell ref="AW465:AW467"/>
    <mergeCell ref="AX465:AX467"/>
    <mergeCell ref="AY465:AY467"/>
    <mergeCell ref="AZ465:AZ467"/>
    <mergeCell ref="BA465:BA467"/>
    <mergeCell ref="AV472:AV473"/>
    <mergeCell ref="AW472:AW473"/>
    <mergeCell ref="AX472:AX473"/>
    <mergeCell ref="AY472:AY473"/>
    <mergeCell ref="AZ472:AZ473"/>
    <mergeCell ref="BA472:BA473"/>
    <mergeCell ref="AV478:AV479"/>
    <mergeCell ref="AW478:AW479"/>
    <mergeCell ref="AX478:AX479"/>
    <mergeCell ref="AY478:AY479"/>
    <mergeCell ref="AZ478:AZ479"/>
    <mergeCell ref="BA478:BA479"/>
    <mergeCell ref="AV480:AV484"/>
    <mergeCell ref="AW480:AW484"/>
    <mergeCell ref="AX480:AX484"/>
    <mergeCell ref="AY480:AY484"/>
    <mergeCell ref="AZ480:AZ484"/>
    <mergeCell ref="BA480:BA484"/>
    <mergeCell ref="AV489:AV491"/>
    <mergeCell ref="AW489:AW491"/>
    <mergeCell ref="AX489:AX491"/>
    <mergeCell ref="AY489:AY491"/>
    <mergeCell ref="AZ489:AZ491"/>
    <mergeCell ref="BA489:BA491"/>
    <mergeCell ref="AV502:AV505"/>
    <mergeCell ref="AW502:AW505"/>
    <mergeCell ref="AX502:AX505"/>
    <mergeCell ref="AY502:AY505"/>
    <mergeCell ref="AZ502:AZ505"/>
    <mergeCell ref="BA502:BA505"/>
    <mergeCell ref="AV509:AV510"/>
    <mergeCell ref="AW509:AW510"/>
    <mergeCell ref="AX509:AX510"/>
    <mergeCell ref="AY509:AY510"/>
    <mergeCell ref="AZ509:AZ510"/>
    <mergeCell ref="BA509:BA510"/>
    <mergeCell ref="AV515:AV517"/>
    <mergeCell ref="AW515:AW517"/>
    <mergeCell ref="AX515:AX517"/>
    <mergeCell ref="AY515:AY517"/>
    <mergeCell ref="AZ515:AZ517"/>
    <mergeCell ref="BA515:BA517"/>
    <mergeCell ref="AV518:AV521"/>
    <mergeCell ref="AW518:AW521"/>
    <mergeCell ref="AX518:AX521"/>
    <mergeCell ref="AY518:AY521"/>
    <mergeCell ref="AZ518:AZ521"/>
    <mergeCell ref="BA518:BA521"/>
    <mergeCell ref="AV522:AV527"/>
    <mergeCell ref="AW522:AW527"/>
    <mergeCell ref="AX522:AX527"/>
    <mergeCell ref="AY522:AY527"/>
    <mergeCell ref="AZ522:AZ527"/>
    <mergeCell ref="BA522:BA527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AV541:AV543"/>
    <mergeCell ref="AW541:AW543"/>
    <mergeCell ref="AX541:AX543"/>
    <mergeCell ref="AY541:AY543"/>
    <mergeCell ref="AZ541:AZ543"/>
    <mergeCell ref="BA541:BA543"/>
    <mergeCell ref="AV544:AV546"/>
    <mergeCell ref="AW544:AW546"/>
    <mergeCell ref="AX544:AX546"/>
    <mergeCell ref="AY544:AY546"/>
    <mergeCell ref="AZ544:AZ546"/>
    <mergeCell ref="BA544:BA546"/>
    <mergeCell ref="AV547:AV549"/>
    <mergeCell ref="AW547:AW549"/>
    <mergeCell ref="AX547:AX549"/>
    <mergeCell ref="AY547:AY549"/>
    <mergeCell ref="AZ547:AZ549"/>
    <mergeCell ref="BA547:BA549"/>
    <mergeCell ref="AV550:AV552"/>
    <mergeCell ref="AW550:AW552"/>
    <mergeCell ref="AX550:AX552"/>
    <mergeCell ref="AY550:AY552"/>
    <mergeCell ref="AZ550:AZ552"/>
    <mergeCell ref="BA550:BA552"/>
    <mergeCell ref="AV553:AV555"/>
    <mergeCell ref="AW553:AW555"/>
    <mergeCell ref="AX553:AX555"/>
    <mergeCell ref="AY553:AY555"/>
    <mergeCell ref="AZ553:AZ555"/>
    <mergeCell ref="BA553:BA555"/>
    <mergeCell ref="AV558:AV561"/>
    <mergeCell ref="AW558:AW561"/>
    <mergeCell ref="AX558:AX561"/>
    <mergeCell ref="AY558:AY561"/>
    <mergeCell ref="AZ558:AZ561"/>
    <mergeCell ref="BA558:BA561"/>
    <mergeCell ref="AV563:AV568"/>
    <mergeCell ref="AW563:AW568"/>
    <mergeCell ref="AX563:AX568"/>
    <mergeCell ref="AY563:AY568"/>
    <mergeCell ref="AZ563:AZ568"/>
    <mergeCell ref="BA563:BA568"/>
    <mergeCell ref="AV569:AV570"/>
    <mergeCell ref="AW569:AW570"/>
    <mergeCell ref="AX569:AX570"/>
    <mergeCell ref="AY569:AY570"/>
    <mergeCell ref="AZ569:AZ570"/>
    <mergeCell ref="BA569:BA570"/>
    <mergeCell ref="AV571:AV573"/>
    <mergeCell ref="AW571:AW573"/>
    <mergeCell ref="AX571:AX573"/>
    <mergeCell ref="AY571:AY573"/>
    <mergeCell ref="AZ571:AZ573"/>
    <mergeCell ref="BA571:BA573"/>
    <mergeCell ref="AV575:AV576"/>
    <mergeCell ref="AW575:AW576"/>
    <mergeCell ref="AX575:AX576"/>
    <mergeCell ref="AY575:AY576"/>
    <mergeCell ref="AZ575:AZ576"/>
    <mergeCell ref="BA575:BA576"/>
    <mergeCell ref="AV578:AV581"/>
    <mergeCell ref="AW578:AW581"/>
    <mergeCell ref="AX578:AX581"/>
    <mergeCell ref="AY578:AY581"/>
    <mergeCell ref="AZ578:AZ581"/>
    <mergeCell ref="BA578:BA581"/>
    <mergeCell ref="AV590:AV591"/>
    <mergeCell ref="AW590:AW591"/>
    <mergeCell ref="AX590:AX591"/>
    <mergeCell ref="AY590:AY591"/>
    <mergeCell ref="AZ590:AZ591"/>
    <mergeCell ref="BA590:BA591"/>
    <mergeCell ref="AV593:AV596"/>
    <mergeCell ref="AW593:AW596"/>
    <mergeCell ref="AX593:AX596"/>
    <mergeCell ref="AY593:AY596"/>
    <mergeCell ref="AZ593:AZ596"/>
    <mergeCell ref="BA593:BA596"/>
    <mergeCell ref="AV600:AV601"/>
    <mergeCell ref="AW600:AW601"/>
    <mergeCell ref="AX600:AX601"/>
    <mergeCell ref="AY600:AY601"/>
    <mergeCell ref="AZ600:AZ601"/>
    <mergeCell ref="BA600:BA601"/>
    <mergeCell ref="AV612:AV613"/>
    <mergeCell ref="AW612:AW613"/>
    <mergeCell ref="AX612:AX613"/>
    <mergeCell ref="AY612:AY613"/>
    <mergeCell ref="AZ612:AZ613"/>
    <mergeCell ref="BA612:BA613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29:AV630"/>
    <mergeCell ref="AW629:AW630"/>
    <mergeCell ref="AX629:AX630"/>
    <mergeCell ref="AY629:AY630"/>
    <mergeCell ref="AZ629:AZ630"/>
    <mergeCell ref="BA629:BA630"/>
    <mergeCell ref="AV634:AV636"/>
    <mergeCell ref="AW634:AW636"/>
    <mergeCell ref="AX634:AX636"/>
    <mergeCell ref="AY634:AY636"/>
    <mergeCell ref="AZ634:AZ636"/>
    <mergeCell ref="BA634:BA636"/>
    <mergeCell ref="AV637:AV638"/>
    <mergeCell ref="AW637:AW638"/>
    <mergeCell ref="AX637:AX638"/>
    <mergeCell ref="AY637:AY638"/>
    <mergeCell ref="AZ637:AZ638"/>
    <mergeCell ref="BA637:BA638"/>
    <mergeCell ref="AV639:AV640"/>
    <mergeCell ref="AW639:AW640"/>
    <mergeCell ref="AX639:AX640"/>
    <mergeCell ref="AY639:AY640"/>
    <mergeCell ref="AZ639:AZ640"/>
    <mergeCell ref="BA639:BA640"/>
    <mergeCell ref="AV641:AV644"/>
    <mergeCell ref="AW641:AW644"/>
    <mergeCell ref="AX641:AX644"/>
    <mergeCell ref="AY641:AY644"/>
    <mergeCell ref="AZ641:AZ644"/>
    <mergeCell ref="BA641:BA644"/>
    <mergeCell ref="AV645:AV649"/>
    <mergeCell ref="AW645:AW649"/>
    <mergeCell ref="AX645:AX649"/>
    <mergeCell ref="AY645:AY649"/>
    <mergeCell ref="AZ645:AZ649"/>
    <mergeCell ref="BA645:BA649"/>
    <mergeCell ref="AV650:AV652"/>
    <mergeCell ref="AW650:AW652"/>
    <mergeCell ref="AX650:AX652"/>
    <mergeCell ref="AY650:AY652"/>
    <mergeCell ref="AZ650:AZ652"/>
    <mergeCell ref="BA650:BA652"/>
    <mergeCell ref="AV653:AV654"/>
    <mergeCell ref="AW653:AW654"/>
    <mergeCell ref="AX653:AX654"/>
    <mergeCell ref="AY653:AY654"/>
    <mergeCell ref="AZ653:AZ654"/>
    <mergeCell ref="BA653:BA654"/>
    <mergeCell ref="AV658:AV659"/>
    <mergeCell ref="AW658:AW659"/>
    <mergeCell ref="AX658:AX659"/>
    <mergeCell ref="AY658:AY659"/>
    <mergeCell ref="AZ658:AZ659"/>
    <mergeCell ref="BA658:BA659"/>
    <mergeCell ref="AV661:AV662"/>
    <mergeCell ref="AW661:AW662"/>
    <mergeCell ref="AX661:AX662"/>
    <mergeCell ref="AY661:AY662"/>
    <mergeCell ref="AZ661:AZ662"/>
    <mergeCell ref="BA661:BA662"/>
    <mergeCell ref="AV663:AV665"/>
    <mergeCell ref="AW663:AW665"/>
    <mergeCell ref="AX663:AX665"/>
    <mergeCell ref="AY663:AY665"/>
    <mergeCell ref="AZ663:AZ665"/>
    <mergeCell ref="BA663:BA665"/>
    <mergeCell ref="AV670:AV679"/>
    <mergeCell ref="AW670:AW679"/>
    <mergeCell ref="AX670:AX679"/>
    <mergeCell ref="AY670:AY679"/>
    <mergeCell ref="AZ670:AZ679"/>
    <mergeCell ref="BA670:BA679"/>
    <mergeCell ref="AV682:AV685"/>
    <mergeCell ref="AW682:AW685"/>
    <mergeCell ref="AX682:AX685"/>
    <mergeCell ref="AY682:AY685"/>
    <mergeCell ref="AZ682:AZ685"/>
    <mergeCell ref="BA682:BA685"/>
    <mergeCell ref="AV686:AV689"/>
    <mergeCell ref="AW686:AW689"/>
    <mergeCell ref="AX686:AX689"/>
    <mergeCell ref="AY686:AY689"/>
    <mergeCell ref="AZ686:AZ689"/>
    <mergeCell ref="BA686:BA689"/>
    <mergeCell ref="AV690:AV692"/>
    <mergeCell ref="AW690:AW692"/>
    <mergeCell ref="AX690:AX692"/>
    <mergeCell ref="AY690:AY692"/>
    <mergeCell ref="AZ690:AZ692"/>
    <mergeCell ref="BA690:BA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1"/>
    <mergeCell ref="AW699:AW701"/>
    <mergeCell ref="AX699:AX701"/>
    <mergeCell ref="AY699:AY701"/>
    <mergeCell ref="AZ699:AZ701"/>
    <mergeCell ref="BA699:BA701"/>
    <mergeCell ref="AV706:AV708"/>
    <mergeCell ref="AW706:AW708"/>
    <mergeCell ref="AX706:AX708"/>
    <mergeCell ref="AY706:AY708"/>
    <mergeCell ref="AZ706:AZ708"/>
    <mergeCell ref="BA706:BA708"/>
    <mergeCell ref="AV711:AV715"/>
    <mergeCell ref="AW711:AW715"/>
    <mergeCell ref="AX711:AX715"/>
    <mergeCell ref="AY711:AY715"/>
    <mergeCell ref="AZ711:AZ715"/>
    <mergeCell ref="BA711:BA715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9"/>
    <mergeCell ref="AW727:AW729"/>
    <mergeCell ref="AX727:AX729"/>
    <mergeCell ref="AY727:AY729"/>
    <mergeCell ref="AZ727:AZ729"/>
    <mergeCell ref="BA727:BA729"/>
    <mergeCell ref="AV730:AV731"/>
    <mergeCell ref="AW730:AW731"/>
    <mergeCell ref="AX730:AX731"/>
    <mergeCell ref="AY730:AY731"/>
    <mergeCell ref="AZ730:AZ731"/>
    <mergeCell ref="BA730:BA731"/>
    <mergeCell ref="AV732:AV736"/>
    <mergeCell ref="AW732:AW736"/>
    <mergeCell ref="AX732:AX736"/>
    <mergeCell ref="AY732:AY736"/>
    <mergeCell ref="AZ732:AZ736"/>
    <mergeCell ref="BA732:BA736"/>
    <mergeCell ref="AV737:AV739"/>
    <mergeCell ref="AW737:AW739"/>
    <mergeCell ref="AX737:AX739"/>
    <mergeCell ref="AY737:AY739"/>
    <mergeCell ref="AZ737:AZ739"/>
    <mergeCell ref="BA737:BA739"/>
    <mergeCell ref="AV740:AV741"/>
    <mergeCell ref="AW740:AW741"/>
    <mergeCell ref="AX740:AX741"/>
    <mergeCell ref="AY740:AY741"/>
    <mergeCell ref="AZ740:AZ741"/>
    <mergeCell ref="BA740:BA741"/>
    <mergeCell ref="AV742:AV744"/>
    <mergeCell ref="AW742:AW744"/>
    <mergeCell ref="AX742:AX744"/>
    <mergeCell ref="AY742:AY744"/>
    <mergeCell ref="AZ742:AZ744"/>
    <mergeCell ref="BA742:BA744"/>
    <mergeCell ref="AV745:AV746"/>
    <mergeCell ref="AW745:AW746"/>
    <mergeCell ref="AX745:AX746"/>
    <mergeCell ref="AY745:AY746"/>
    <mergeCell ref="AZ745:AZ746"/>
    <mergeCell ref="BA745:BA746"/>
    <mergeCell ref="AV747:AV751"/>
    <mergeCell ref="AW747:AW751"/>
    <mergeCell ref="AX747:AX751"/>
    <mergeCell ref="AY747:AY751"/>
    <mergeCell ref="AZ747:AZ751"/>
    <mergeCell ref="BA747:BA751"/>
    <mergeCell ref="AV752:AV755"/>
    <mergeCell ref="AW752:AW755"/>
    <mergeCell ref="AX752:AX755"/>
    <mergeCell ref="AY752:AY755"/>
    <mergeCell ref="AZ752:AZ755"/>
    <mergeCell ref="BA752:BA755"/>
    <mergeCell ref="AV759:AV762"/>
    <mergeCell ref="AW759:AW762"/>
    <mergeCell ref="AX759:AX762"/>
    <mergeCell ref="AY759:AY762"/>
    <mergeCell ref="AZ759:AZ762"/>
    <mergeCell ref="BA759:BA762"/>
    <mergeCell ref="AV763:AV767"/>
    <mergeCell ref="AW763:AW767"/>
    <mergeCell ref="AX763:AX767"/>
    <mergeCell ref="AY763:AY767"/>
    <mergeCell ref="AZ763:AZ767"/>
    <mergeCell ref="BA763:BA767"/>
    <mergeCell ref="AV768:AV770"/>
    <mergeCell ref="AW768:AW770"/>
    <mergeCell ref="AX768:AX770"/>
    <mergeCell ref="AY768:AY770"/>
    <mergeCell ref="AZ768:AZ770"/>
    <mergeCell ref="BA768:BA770"/>
    <mergeCell ref="AV771:AV773"/>
    <mergeCell ref="AW771:AW773"/>
    <mergeCell ref="AX771:AX773"/>
    <mergeCell ref="AY771:AY773"/>
    <mergeCell ref="AZ771:AZ773"/>
    <mergeCell ref="BA771:BA773"/>
    <mergeCell ref="AV774:AV777"/>
    <mergeCell ref="AW774:AW777"/>
    <mergeCell ref="AX774:AX777"/>
    <mergeCell ref="AY774:AY777"/>
    <mergeCell ref="AZ774:AZ777"/>
    <mergeCell ref="BA774:BA777"/>
    <mergeCell ref="AV778:AV781"/>
    <mergeCell ref="AW778:AW781"/>
    <mergeCell ref="AX778:AX781"/>
    <mergeCell ref="AY778:AY781"/>
    <mergeCell ref="AZ778:AZ781"/>
    <mergeCell ref="BA778:BA781"/>
    <mergeCell ref="AV782:AV785"/>
    <mergeCell ref="AW782:AW785"/>
    <mergeCell ref="AX782:AX785"/>
    <mergeCell ref="AY782:AY785"/>
    <mergeCell ref="AZ782:AZ785"/>
    <mergeCell ref="BA782:BA785"/>
    <mergeCell ref="AV786:AV790"/>
    <mergeCell ref="AW786:AW790"/>
    <mergeCell ref="AX786:AX790"/>
    <mergeCell ref="AY786:AY790"/>
    <mergeCell ref="AZ786:AZ790"/>
    <mergeCell ref="BA786:BA790"/>
    <mergeCell ref="AV791:AV794"/>
    <mergeCell ref="AW791:AW794"/>
    <mergeCell ref="AX791:AX794"/>
    <mergeCell ref="AY791:AY794"/>
    <mergeCell ref="AZ791:AZ794"/>
    <mergeCell ref="BA791:BA794"/>
    <mergeCell ref="AV795:AV797"/>
    <mergeCell ref="AW795:AW797"/>
    <mergeCell ref="AX795:AX797"/>
    <mergeCell ref="AY795:AY797"/>
    <mergeCell ref="AZ795:AZ797"/>
    <mergeCell ref="BA795:BA797"/>
    <mergeCell ref="AV798:AV799"/>
    <mergeCell ref="AW798:AW799"/>
    <mergeCell ref="AX798:AX799"/>
    <mergeCell ref="AY798:AY799"/>
    <mergeCell ref="AZ798:AZ799"/>
    <mergeCell ref="BA798:BA799"/>
    <mergeCell ref="AV800:AV805"/>
    <mergeCell ref="AW800:AW805"/>
    <mergeCell ref="AX800:AX805"/>
    <mergeCell ref="AY800:AY805"/>
    <mergeCell ref="AZ800:AZ805"/>
    <mergeCell ref="BA800:BA805"/>
    <mergeCell ref="AV806:AV810"/>
    <mergeCell ref="AW806:AW810"/>
    <mergeCell ref="AX806:AX810"/>
    <mergeCell ref="AY806:AY810"/>
    <mergeCell ref="AZ806:AZ810"/>
    <mergeCell ref="BA806:BA810"/>
    <mergeCell ref="AV811:AV814"/>
    <mergeCell ref="AW811:AW814"/>
    <mergeCell ref="AX811:AX814"/>
    <mergeCell ref="AY811:AY814"/>
    <mergeCell ref="AZ811:AZ814"/>
    <mergeCell ref="BA811:BA814"/>
    <mergeCell ref="AV815:AV816"/>
    <mergeCell ref="AW815:AW816"/>
    <mergeCell ref="AX815:AX816"/>
    <mergeCell ref="AY815:AY816"/>
    <mergeCell ref="AZ815:AZ816"/>
    <mergeCell ref="BA815:BA816"/>
    <mergeCell ref="AV817:AV821"/>
    <mergeCell ref="AW817:AW821"/>
    <mergeCell ref="AX817:AX821"/>
    <mergeCell ref="AY817:AY821"/>
    <mergeCell ref="AZ817:AZ821"/>
    <mergeCell ref="BA817:BA821"/>
    <mergeCell ref="AV822:AV825"/>
    <mergeCell ref="AW822:AW825"/>
    <mergeCell ref="AX822:AX825"/>
    <mergeCell ref="AY822:AY825"/>
    <mergeCell ref="AZ822:AZ825"/>
    <mergeCell ref="BA822:BA825"/>
    <mergeCell ref="AV826:AV829"/>
    <mergeCell ref="AW826:AW829"/>
    <mergeCell ref="AX826:AX829"/>
    <mergeCell ref="AY826:AY829"/>
    <mergeCell ref="AZ826:AZ829"/>
    <mergeCell ref="BA826:BA829"/>
    <mergeCell ref="AV830:AV833"/>
    <mergeCell ref="AW830:AW833"/>
    <mergeCell ref="AX830:AX833"/>
    <mergeCell ref="AY830:AY833"/>
    <mergeCell ref="AZ830:AZ833"/>
    <mergeCell ref="BA830:BA833"/>
    <mergeCell ref="AV834:AV838"/>
    <mergeCell ref="AW834:AW838"/>
    <mergeCell ref="AX834:AX838"/>
    <mergeCell ref="AY834:AY838"/>
    <mergeCell ref="AZ834:AZ838"/>
    <mergeCell ref="BA834:BA838"/>
    <mergeCell ref="AV839:AV841"/>
    <mergeCell ref="AW839:AW841"/>
    <mergeCell ref="AX839:AX841"/>
    <mergeCell ref="AY839:AY841"/>
    <mergeCell ref="AZ839:AZ841"/>
    <mergeCell ref="BA839:BA841"/>
    <mergeCell ref="AV842:AV844"/>
    <mergeCell ref="AW842:AW844"/>
    <mergeCell ref="AX842:AX844"/>
    <mergeCell ref="AY842:AY844"/>
    <mergeCell ref="AZ842:AZ844"/>
    <mergeCell ref="BA842:BA844"/>
    <mergeCell ref="AV845:AV849"/>
    <mergeCell ref="AW845:AW849"/>
    <mergeCell ref="AX845:AX849"/>
    <mergeCell ref="AY845:AY849"/>
    <mergeCell ref="AZ845:AZ849"/>
    <mergeCell ref="BA845:BA849"/>
    <mergeCell ref="AV850:AV854"/>
    <mergeCell ref="AW850:AW854"/>
    <mergeCell ref="AX850:AX854"/>
    <mergeCell ref="AY850:AY854"/>
    <mergeCell ref="AZ850:AZ854"/>
    <mergeCell ref="BA850:BA854"/>
    <mergeCell ref="AV855:AV859"/>
    <mergeCell ref="AW855:AW859"/>
    <mergeCell ref="AX855:AX859"/>
    <mergeCell ref="AY855:AY859"/>
    <mergeCell ref="AZ855:AZ859"/>
    <mergeCell ref="BA855:BA859"/>
    <mergeCell ref="AV860:AV864"/>
    <mergeCell ref="AW860:AW864"/>
    <mergeCell ref="AX860:AX864"/>
    <mergeCell ref="AY860:AY864"/>
    <mergeCell ref="AZ860:AZ864"/>
    <mergeCell ref="BA860:BA864"/>
    <mergeCell ref="AV866:AV868"/>
    <mergeCell ref="AW866:AW868"/>
    <mergeCell ref="AX866:AX868"/>
    <mergeCell ref="AY866:AY868"/>
    <mergeCell ref="AZ866:AZ868"/>
    <mergeCell ref="BA866:BA868"/>
    <mergeCell ref="AV869:AV872"/>
    <mergeCell ref="AW869:AW872"/>
    <mergeCell ref="AX869:AX872"/>
    <mergeCell ref="AY869:AY872"/>
    <mergeCell ref="AZ869:AZ872"/>
    <mergeCell ref="BA869:BA872"/>
    <mergeCell ref="AV873:AV876"/>
    <mergeCell ref="AW873:AW876"/>
    <mergeCell ref="AX873:AX876"/>
    <mergeCell ref="AY873:AY876"/>
    <mergeCell ref="AZ873:AZ876"/>
    <mergeCell ref="BA873:BA876"/>
    <mergeCell ref="AV877:AV880"/>
    <mergeCell ref="AW877:AW880"/>
    <mergeCell ref="AX877:AX880"/>
    <mergeCell ref="AY877:AY880"/>
    <mergeCell ref="AZ877:AZ880"/>
    <mergeCell ref="BA877:BA880"/>
    <mergeCell ref="AV882:AV885"/>
    <mergeCell ref="AW882:AW885"/>
    <mergeCell ref="AX882:AX885"/>
    <mergeCell ref="AY882:AY885"/>
    <mergeCell ref="AZ882:AZ885"/>
    <mergeCell ref="BA882:BA885"/>
    <mergeCell ref="AV886:AV889"/>
    <mergeCell ref="AW886:AW889"/>
    <mergeCell ref="AX886:AX889"/>
    <mergeCell ref="AY886:AY889"/>
    <mergeCell ref="AZ886:AZ889"/>
    <mergeCell ref="BA886:BA889"/>
    <mergeCell ref="AV891:AV894"/>
    <mergeCell ref="AW891:AW894"/>
    <mergeCell ref="AX891:AX894"/>
    <mergeCell ref="AY891:AY894"/>
    <mergeCell ref="AZ891:AZ894"/>
    <mergeCell ref="BA891:BA894"/>
    <mergeCell ref="AV895:AV897"/>
    <mergeCell ref="AW895:AW897"/>
    <mergeCell ref="AX895:AX897"/>
    <mergeCell ref="AY895:AY897"/>
    <mergeCell ref="AZ895:AZ897"/>
    <mergeCell ref="BA895:BA897"/>
    <mergeCell ref="AV898:AV901"/>
    <mergeCell ref="AW898:AW901"/>
    <mergeCell ref="AX898:AX901"/>
    <mergeCell ref="AY898:AY901"/>
    <mergeCell ref="AZ898:AZ901"/>
    <mergeCell ref="BA898:BA901"/>
    <mergeCell ref="AV902:AV905"/>
    <mergeCell ref="AW902:AW905"/>
    <mergeCell ref="AX902:AX905"/>
    <mergeCell ref="AY902:AY905"/>
    <mergeCell ref="AZ902:AZ905"/>
    <mergeCell ref="BA902:BA905"/>
    <mergeCell ref="AV906:AV907"/>
    <mergeCell ref="AW906:AW907"/>
    <mergeCell ref="AX906:AX907"/>
    <mergeCell ref="AY906:AY907"/>
    <mergeCell ref="AZ906:AZ907"/>
    <mergeCell ref="BA906:BA907"/>
    <mergeCell ref="AV908:AV911"/>
    <mergeCell ref="AW908:AW911"/>
    <mergeCell ref="AX908:AX911"/>
    <mergeCell ref="AY908:AY911"/>
    <mergeCell ref="AZ908:AZ911"/>
    <mergeCell ref="BA908:BA911"/>
    <mergeCell ref="AV912:AV915"/>
    <mergeCell ref="AW912:AW915"/>
    <mergeCell ref="AX912:AX915"/>
    <mergeCell ref="AY912:AY915"/>
    <mergeCell ref="AZ912:AZ915"/>
    <mergeCell ref="BA912:BA915"/>
    <mergeCell ref="AV916:AV919"/>
    <mergeCell ref="AW916:AW919"/>
    <mergeCell ref="AX916:AX919"/>
    <mergeCell ref="AY916:AY919"/>
    <mergeCell ref="AZ916:AZ919"/>
    <mergeCell ref="BA916:BA919"/>
    <mergeCell ref="AV924:AV927"/>
    <mergeCell ref="AW924:AW927"/>
    <mergeCell ref="AX924:AX927"/>
    <mergeCell ref="AY924:AY927"/>
    <mergeCell ref="AZ924:AZ927"/>
    <mergeCell ref="BA924:BA927"/>
    <mergeCell ref="AV928:AV931"/>
    <mergeCell ref="AW928:AW931"/>
    <mergeCell ref="AX928:AX931"/>
    <mergeCell ref="AY928:AY931"/>
    <mergeCell ref="AZ928:AZ931"/>
    <mergeCell ref="BA928:BA931"/>
    <mergeCell ref="AV944:AV945"/>
    <mergeCell ref="AW944:AW945"/>
    <mergeCell ref="AX944:AX945"/>
    <mergeCell ref="AY944:AY945"/>
    <mergeCell ref="AZ944:AZ945"/>
    <mergeCell ref="BA944:BA945"/>
    <mergeCell ref="AV949:AV951"/>
    <mergeCell ref="AW949:AW951"/>
    <mergeCell ref="AX949:AX951"/>
    <mergeCell ref="AY949:AY951"/>
    <mergeCell ref="AZ949:AZ951"/>
    <mergeCell ref="BA949:BA951"/>
    <mergeCell ref="AV952:AV954"/>
    <mergeCell ref="AW952:AW954"/>
    <mergeCell ref="AX952:AX954"/>
    <mergeCell ref="AY952:AY954"/>
    <mergeCell ref="AZ952:AZ954"/>
    <mergeCell ref="BA952:BA954"/>
    <mergeCell ref="AV955:AV957"/>
    <mergeCell ref="AW955:AW957"/>
    <mergeCell ref="AX955:AX957"/>
    <mergeCell ref="AY955:AY957"/>
    <mergeCell ref="AZ955:AZ957"/>
    <mergeCell ref="BA955:BA957"/>
    <mergeCell ref="AV958:AV960"/>
    <mergeCell ref="AW958:AW960"/>
    <mergeCell ref="AX958:AX960"/>
    <mergeCell ref="AY958:AY960"/>
    <mergeCell ref="AZ958:AZ960"/>
    <mergeCell ref="BA958:BA960"/>
    <mergeCell ref="AV961:AV964"/>
    <mergeCell ref="AW961:AW964"/>
    <mergeCell ref="AX961:AX964"/>
    <mergeCell ref="AY961:AY964"/>
    <mergeCell ref="AZ961:AZ964"/>
    <mergeCell ref="BA961:BA964"/>
    <mergeCell ref="AV965:AV967"/>
    <mergeCell ref="AW965:AW967"/>
    <mergeCell ref="AX965:AX967"/>
    <mergeCell ref="AY965:AY967"/>
    <mergeCell ref="AZ965:AZ967"/>
    <mergeCell ref="BA965:BA967"/>
    <mergeCell ref="AV968:AV970"/>
    <mergeCell ref="AW968:AW970"/>
    <mergeCell ref="AX968:AX970"/>
    <mergeCell ref="AY968:AY970"/>
    <mergeCell ref="AZ968:AZ970"/>
    <mergeCell ref="BA968:BA970"/>
    <mergeCell ref="AV971:AV973"/>
    <mergeCell ref="AW971:AW973"/>
    <mergeCell ref="AX971:AX973"/>
    <mergeCell ref="AY971:AY973"/>
    <mergeCell ref="AZ971:AZ973"/>
    <mergeCell ref="BA971:BA973"/>
    <mergeCell ref="AV974:AV976"/>
    <mergeCell ref="AW974:AW976"/>
    <mergeCell ref="AX974:AX976"/>
    <mergeCell ref="AY974:AY976"/>
    <mergeCell ref="AZ974:AZ976"/>
    <mergeCell ref="BA974:BA976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3:AV994"/>
    <mergeCell ref="AW993:AW994"/>
    <mergeCell ref="AX993:AX994"/>
    <mergeCell ref="AY993:AY994"/>
    <mergeCell ref="AZ993:AZ994"/>
    <mergeCell ref="BA993:BA994"/>
    <mergeCell ref="AV1001:AV1002"/>
    <mergeCell ref="AW1001:AW1002"/>
    <mergeCell ref="AX1001:AX1002"/>
    <mergeCell ref="AY1001:AY1002"/>
    <mergeCell ref="AZ1001:AZ1002"/>
    <mergeCell ref="BA1001:BA1002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AV1014:AV1016"/>
    <mergeCell ref="AW1014:AW1016"/>
    <mergeCell ref="AX1014:AX1016"/>
    <mergeCell ref="AY1014:AY1016"/>
    <mergeCell ref="AZ1014:AZ1016"/>
    <mergeCell ref="BA1014:BA1016"/>
    <mergeCell ref="AV1017:AV1019"/>
    <mergeCell ref="AW1017:AW1019"/>
    <mergeCell ref="AX1017:AX1019"/>
    <mergeCell ref="AY1017:AY1019"/>
    <mergeCell ref="AZ1017:AZ1019"/>
    <mergeCell ref="BA1017:BA1019"/>
    <mergeCell ref="AV1020:AV1023"/>
    <mergeCell ref="AW1020:AW1023"/>
    <mergeCell ref="AX1020:AX1023"/>
    <mergeCell ref="AY1020:AY1023"/>
    <mergeCell ref="AZ1020:AZ1023"/>
    <mergeCell ref="BA1020:BA1023"/>
    <mergeCell ref="AV1025:AV1026"/>
    <mergeCell ref="AW1025:AW1026"/>
    <mergeCell ref="AX1025:AX1026"/>
    <mergeCell ref="AY1025:AY1026"/>
    <mergeCell ref="AZ1025:AZ1026"/>
    <mergeCell ref="BA1025:BA1026"/>
    <mergeCell ref="AV1028:AV1029"/>
    <mergeCell ref="AW1028:AW1029"/>
    <mergeCell ref="AX1028:AX1029"/>
    <mergeCell ref="AY1028:AY1029"/>
    <mergeCell ref="AZ1028:AZ1029"/>
    <mergeCell ref="BA1028:BA1029"/>
    <mergeCell ref="AV1031:AV1033"/>
    <mergeCell ref="AW1031:AW1033"/>
    <mergeCell ref="AX1031:AX1033"/>
    <mergeCell ref="AY1031:AY1033"/>
    <mergeCell ref="AZ1031:AZ1033"/>
    <mergeCell ref="BA1031:BA1033"/>
    <mergeCell ref="AV1036:AV1037"/>
    <mergeCell ref="AW1036:AW1037"/>
    <mergeCell ref="AX1036:AX1037"/>
    <mergeCell ref="AY1036:AY1037"/>
    <mergeCell ref="AZ1036:AZ1037"/>
    <mergeCell ref="BA1036:BA1037"/>
    <mergeCell ref="AV1041:AV1043"/>
    <mergeCell ref="AW1041:AW1043"/>
    <mergeCell ref="AX1041:AX1043"/>
    <mergeCell ref="AY1041:AY1043"/>
    <mergeCell ref="AZ1041:AZ1043"/>
    <mergeCell ref="BA1041:BA1043"/>
    <mergeCell ref="AV1044:AV1045"/>
    <mergeCell ref="AW1044:AW1045"/>
    <mergeCell ref="AX1044:AX1045"/>
    <mergeCell ref="AY1044:AY1045"/>
    <mergeCell ref="AZ1044:AZ1045"/>
    <mergeCell ref="BA1044:BA1045"/>
    <mergeCell ref="AV1046:AV1049"/>
    <mergeCell ref="AW1046:AW1049"/>
    <mergeCell ref="AX1046:AX1049"/>
    <mergeCell ref="AY1046:AY1049"/>
    <mergeCell ref="AZ1046:AZ1049"/>
    <mergeCell ref="BA1046:BA1049"/>
    <mergeCell ref="AV1050:AV1053"/>
    <mergeCell ref="AW1050:AW1053"/>
    <mergeCell ref="AX1050:AX1053"/>
    <mergeCell ref="AY1050:AY1053"/>
    <mergeCell ref="AZ1050:AZ1053"/>
    <mergeCell ref="BA1050:BA1053"/>
    <mergeCell ref="AV1055:AV1056"/>
    <mergeCell ref="AW1055:AW1056"/>
    <mergeCell ref="AX1055:AX1056"/>
    <mergeCell ref="AY1055:AY1056"/>
    <mergeCell ref="AZ1055:AZ1056"/>
    <mergeCell ref="BA1055:BA1056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5:AV1066"/>
    <mergeCell ref="AW1065:AW1066"/>
    <mergeCell ref="AX1065:AX1066"/>
    <mergeCell ref="AY1065:AY1066"/>
    <mergeCell ref="AZ1065:AZ1066"/>
    <mergeCell ref="BA1065:BA1066"/>
    <mergeCell ref="AV1074:AV1077"/>
    <mergeCell ref="AW1074:AW1077"/>
    <mergeCell ref="AX1074:AX1077"/>
    <mergeCell ref="AY1074:AY1077"/>
    <mergeCell ref="AZ1074:AZ1077"/>
    <mergeCell ref="BA1074:BA1077"/>
    <mergeCell ref="AV1082:AV1087"/>
    <mergeCell ref="AW1082:AW1087"/>
    <mergeCell ref="AX1082:AX1087"/>
    <mergeCell ref="AY1082:AY1087"/>
    <mergeCell ref="AZ1082:AZ1087"/>
    <mergeCell ref="BA1082:BA1087"/>
    <mergeCell ref="AV1088:AV1093"/>
    <mergeCell ref="AW1088:AW1093"/>
    <mergeCell ref="AX1088:AX1093"/>
    <mergeCell ref="AY1088:AY1093"/>
    <mergeCell ref="AZ1088:AZ1093"/>
    <mergeCell ref="BA1088:BA1093"/>
    <mergeCell ref="AV1094:AV1095"/>
    <mergeCell ref="AW1094:AW1095"/>
    <mergeCell ref="AX1094:AX1095"/>
    <mergeCell ref="AY1094:AY1095"/>
    <mergeCell ref="AZ1094:AZ1095"/>
    <mergeCell ref="BA1094:BA1095"/>
    <mergeCell ref="AV1096:AV1101"/>
    <mergeCell ref="AW1096:AW1101"/>
    <mergeCell ref="AX1096:AX1101"/>
    <mergeCell ref="AY1096:AY1101"/>
    <mergeCell ref="AZ1096:AZ1101"/>
    <mergeCell ref="BA1096:BA1101"/>
    <mergeCell ref="AV1105:AV1106"/>
    <mergeCell ref="AW1105:AW1106"/>
    <mergeCell ref="AX1105:AX1106"/>
    <mergeCell ref="AY1105:AY1106"/>
    <mergeCell ref="AZ1105:AZ1106"/>
    <mergeCell ref="BA1105:BA1106"/>
    <mergeCell ref="AV1117:AV1119"/>
    <mergeCell ref="AW1117:AW1119"/>
    <mergeCell ref="AX1117:AX1119"/>
    <mergeCell ref="AY1117:AY1119"/>
    <mergeCell ref="AZ1117:AZ1119"/>
    <mergeCell ref="BA1117:BA1119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7:AV1128"/>
    <mergeCell ref="AW1127:AW1128"/>
    <mergeCell ref="AX1127:AX1128"/>
    <mergeCell ref="AY1127:AY1128"/>
    <mergeCell ref="AZ1127:AZ1128"/>
    <mergeCell ref="BA1127:BA1128"/>
    <mergeCell ref="AV1129:AV1131"/>
    <mergeCell ref="AW1129:AW1131"/>
    <mergeCell ref="AX1129:AX1131"/>
    <mergeCell ref="AY1129:AY1131"/>
    <mergeCell ref="AZ1129:AZ1131"/>
    <mergeCell ref="BA1129:BA1131"/>
    <mergeCell ref="AV1132:AV1134"/>
    <mergeCell ref="AW1132:AW1134"/>
    <mergeCell ref="AX1132:AX1134"/>
    <mergeCell ref="AY1132:AY1134"/>
    <mergeCell ref="AZ1132:AZ1134"/>
    <mergeCell ref="BA1132:BA1134"/>
    <mergeCell ref="AV1135:AV1136"/>
    <mergeCell ref="AW1135:AW1136"/>
    <mergeCell ref="AX1135:AX1136"/>
    <mergeCell ref="AY1135:AY1136"/>
    <mergeCell ref="AZ1135:AZ1136"/>
    <mergeCell ref="BA1135:BA1136"/>
    <mergeCell ref="AV1138:AV1139"/>
    <mergeCell ref="AW1138:AW1139"/>
    <mergeCell ref="AX1138:AX1139"/>
    <mergeCell ref="AY1138:AY1139"/>
    <mergeCell ref="AZ1138:AZ1139"/>
    <mergeCell ref="BA1138:BA1139"/>
    <mergeCell ref="AV1142:AV1143"/>
    <mergeCell ref="AW1142:AW1143"/>
    <mergeCell ref="AX1142:AX1143"/>
    <mergeCell ref="AY1142:AY1143"/>
    <mergeCell ref="AZ1142:AZ1143"/>
    <mergeCell ref="BA1142:BA1143"/>
    <mergeCell ref="AV1144:AV1146"/>
    <mergeCell ref="AW1144:AW1146"/>
    <mergeCell ref="AX1144:AX1146"/>
    <mergeCell ref="AY1144:AY1146"/>
    <mergeCell ref="AZ1144:AZ1146"/>
    <mergeCell ref="BA1144:BA1146"/>
    <mergeCell ref="AV1150:AV1152"/>
    <mergeCell ref="AW1150:AW1152"/>
    <mergeCell ref="AX1150:AX1152"/>
    <mergeCell ref="AY1150:AY1152"/>
    <mergeCell ref="AZ1150:AZ1152"/>
    <mergeCell ref="BA1150:BA1152"/>
    <mergeCell ref="AV1153:AV1155"/>
    <mergeCell ref="AW1153:AW1155"/>
    <mergeCell ref="AX1153:AX1155"/>
    <mergeCell ref="AY1153:AY1155"/>
    <mergeCell ref="AZ1153:AZ1155"/>
    <mergeCell ref="BA1153:BA1155"/>
    <mergeCell ref="AV1156:AV1158"/>
    <mergeCell ref="AW1156:AW1158"/>
    <mergeCell ref="AX1156:AX1158"/>
    <mergeCell ref="AY1156:AY1158"/>
    <mergeCell ref="AZ1156:AZ1158"/>
    <mergeCell ref="BA1156:BA1158"/>
    <mergeCell ref="AV1164:AV1165"/>
    <mergeCell ref="AW1164:AW1165"/>
    <mergeCell ref="AX1164:AX1165"/>
    <mergeCell ref="AY1164:AY1165"/>
    <mergeCell ref="AZ1164:AZ1165"/>
    <mergeCell ref="BA1164:BA1165"/>
    <mergeCell ref="AV1169:AV1170"/>
    <mergeCell ref="AW1169:AW1170"/>
    <mergeCell ref="AX1169:AX1170"/>
    <mergeCell ref="AY1169:AY1170"/>
    <mergeCell ref="AZ1169:AZ1170"/>
    <mergeCell ref="BA1169:BA1170"/>
    <mergeCell ref="AV1172:AV1173"/>
    <mergeCell ref="AW1172:AW1173"/>
    <mergeCell ref="AX1172:AX1173"/>
    <mergeCell ref="AY1172:AY1173"/>
    <mergeCell ref="AZ1172:AZ1173"/>
    <mergeCell ref="BA1172:BA1173"/>
    <mergeCell ref="AV1181:AV1183"/>
    <mergeCell ref="AW1181:AW1183"/>
    <mergeCell ref="AX1181:AX1183"/>
    <mergeCell ref="AY1181:AY1183"/>
    <mergeCell ref="AZ1181:AZ1183"/>
    <mergeCell ref="BA1181:BA1183"/>
    <mergeCell ref="AV1184:AV1187"/>
    <mergeCell ref="AW1184:AW1187"/>
    <mergeCell ref="AX1184:AX1187"/>
    <mergeCell ref="AY1184:AY1187"/>
    <mergeCell ref="AZ1184:AZ1187"/>
    <mergeCell ref="BA1184:BA1187"/>
    <mergeCell ref="AV1198:AV1199"/>
    <mergeCell ref="AW1198:AW1199"/>
    <mergeCell ref="AX1198:AX1199"/>
    <mergeCell ref="AY1198:AY1199"/>
    <mergeCell ref="AZ1198:AZ1199"/>
    <mergeCell ref="BA1198:BA1199"/>
    <mergeCell ref="AV1200:AV1201"/>
    <mergeCell ref="AW1200:AW1201"/>
    <mergeCell ref="AX1200:AX1201"/>
    <mergeCell ref="AY1200:AY1201"/>
    <mergeCell ref="AZ1200:AZ1201"/>
    <mergeCell ref="BA1200:BA1201"/>
    <mergeCell ref="AV1206:AV1208"/>
    <mergeCell ref="AW1206:AW1208"/>
    <mergeCell ref="AX1206:AX1208"/>
    <mergeCell ref="AY1206:AY1208"/>
    <mergeCell ref="AZ1206:AZ1208"/>
    <mergeCell ref="BA1206:BA1208"/>
    <mergeCell ref="AV1212:AV1215"/>
    <mergeCell ref="AW1212:AW1215"/>
    <mergeCell ref="AX1212:AX1215"/>
    <mergeCell ref="AY1212:AY1215"/>
    <mergeCell ref="AZ1212:AZ1215"/>
    <mergeCell ref="BA1212:BA1215"/>
    <mergeCell ref="AV1216:AV1220"/>
    <mergeCell ref="AW1216:AW1220"/>
    <mergeCell ref="AX1216:AX1220"/>
    <mergeCell ref="AY1216:AY1220"/>
    <mergeCell ref="AZ1216:AZ1220"/>
    <mergeCell ref="BA1216:BA1220"/>
    <mergeCell ref="AV1221:AV1225"/>
    <mergeCell ref="AW1221:AW1225"/>
    <mergeCell ref="AX1221:AX1225"/>
    <mergeCell ref="AY1221:AY1225"/>
    <mergeCell ref="AZ1221:AZ1225"/>
    <mergeCell ref="BA1221:BA1225"/>
    <mergeCell ref="AV1227:AV1228"/>
    <mergeCell ref="AW1227:AW1228"/>
    <mergeCell ref="AX1227:AX1228"/>
    <mergeCell ref="AY1227:AY1228"/>
    <mergeCell ref="AZ1227:AZ1228"/>
    <mergeCell ref="BA1227:BA1228"/>
    <mergeCell ref="AV1229:AV1230"/>
    <mergeCell ref="AW1229:AW1230"/>
    <mergeCell ref="AX1229:AX1230"/>
    <mergeCell ref="AY1229:AY1230"/>
    <mergeCell ref="AZ1229:AZ1230"/>
    <mergeCell ref="BA1229:BA1230"/>
    <mergeCell ref="AV1232:AV1233"/>
    <mergeCell ref="AW1232:AW1233"/>
    <mergeCell ref="AX1232:AX1233"/>
    <mergeCell ref="AY1232:AY1233"/>
    <mergeCell ref="AZ1232:AZ1233"/>
    <mergeCell ref="BA1232:BA1233"/>
    <mergeCell ref="AV1235:AV1236"/>
    <mergeCell ref="AW1235:AW1236"/>
    <mergeCell ref="AX1235:AX1236"/>
    <mergeCell ref="AY1235:AY1236"/>
    <mergeCell ref="AZ1235:AZ1236"/>
    <mergeCell ref="BA1235:BA1236"/>
    <mergeCell ref="AV1246:AV1248"/>
    <mergeCell ref="AW1246:AW1248"/>
    <mergeCell ref="AX1246:AX1248"/>
    <mergeCell ref="AY1246:AY1248"/>
    <mergeCell ref="AZ1246:AZ1248"/>
    <mergeCell ref="BA1246:BA1248"/>
    <mergeCell ref="AV1252:AV1253"/>
    <mergeCell ref="AW1252:AW1253"/>
    <mergeCell ref="AX1252:AX1253"/>
    <mergeCell ref="AY1252:AY1253"/>
    <mergeCell ref="AZ1252:AZ1253"/>
    <mergeCell ref="BA1252:BA1253"/>
    <mergeCell ref="AV1254:AV1257"/>
    <mergeCell ref="AW1254:AW1257"/>
    <mergeCell ref="AX1254:AX1257"/>
    <mergeCell ref="AY1254:AY1257"/>
    <mergeCell ref="AZ1254:AZ1257"/>
    <mergeCell ref="BA1254:BA1257"/>
    <mergeCell ref="AV1264:AV1265"/>
    <mergeCell ref="AW1264:AW1265"/>
    <mergeCell ref="AX1264:AX1265"/>
    <mergeCell ref="AY1264:AY1265"/>
    <mergeCell ref="AZ1264:AZ1265"/>
    <mergeCell ref="BA1264:BA1265"/>
    <mergeCell ref="AV1267:AV1269"/>
    <mergeCell ref="AW1267:AW1269"/>
    <mergeCell ref="AX1267:AX1269"/>
    <mergeCell ref="AY1267:AY1269"/>
    <mergeCell ref="AZ1267:AZ1269"/>
    <mergeCell ref="BA1267:BA1269"/>
    <mergeCell ref="AV1274:AV1275"/>
    <mergeCell ref="AW1274:AW1275"/>
    <mergeCell ref="AX1274:AX1275"/>
    <mergeCell ref="AY1274:AY1275"/>
    <mergeCell ref="AZ1274:AZ1275"/>
    <mergeCell ref="BA1274:BA1275"/>
    <mergeCell ref="AV1277:AV1278"/>
    <mergeCell ref="AW1277:AW1278"/>
    <mergeCell ref="AX1277:AX1278"/>
    <mergeCell ref="AY1277:AY1278"/>
    <mergeCell ref="AZ1277:AZ1278"/>
    <mergeCell ref="BA1277:BA1278"/>
    <mergeCell ref="AV1290:AV1292"/>
    <mergeCell ref="AW1290:AW1292"/>
    <mergeCell ref="AX1290:AX1292"/>
    <mergeCell ref="AY1290:AY1292"/>
    <mergeCell ref="AZ1290:AZ1292"/>
    <mergeCell ref="BA1290:BA1292"/>
    <mergeCell ref="AV1293:AV1294"/>
    <mergeCell ref="AW1293:AW1294"/>
    <mergeCell ref="AX1293:AX1294"/>
    <mergeCell ref="AY1293:AY1294"/>
    <mergeCell ref="AZ1293:AZ1294"/>
    <mergeCell ref="BA1293:BA1294"/>
    <mergeCell ref="AV1295:AV1296"/>
    <mergeCell ref="AW1295:AW1296"/>
    <mergeCell ref="AX1295:AX1296"/>
    <mergeCell ref="AY1295:AY1296"/>
    <mergeCell ref="AZ1295:AZ1296"/>
    <mergeCell ref="BA1295:BA1296"/>
    <mergeCell ref="AV1297:AV1298"/>
    <mergeCell ref="AW1297:AW1298"/>
    <mergeCell ref="AX1297:AX1298"/>
    <mergeCell ref="AY1297:AY1298"/>
    <mergeCell ref="AZ1297:AZ1298"/>
    <mergeCell ref="BA1297:BA1298"/>
    <mergeCell ref="AV1301:AV1302"/>
    <mergeCell ref="AW1301:AW1302"/>
    <mergeCell ref="AX1301:AX1302"/>
    <mergeCell ref="AY1301:AY1302"/>
    <mergeCell ref="AZ1301:AZ1302"/>
    <mergeCell ref="BA1301:BA1302"/>
    <mergeCell ref="AV1309:AV1310"/>
    <mergeCell ref="AW1309:AW1310"/>
    <mergeCell ref="AX1309:AX1310"/>
    <mergeCell ref="AY1309:AY1310"/>
    <mergeCell ref="AZ1309:AZ1310"/>
    <mergeCell ref="BA1309:BA1310"/>
    <mergeCell ref="AV1312:AV1313"/>
    <mergeCell ref="AW1312:AW1313"/>
    <mergeCell ref="AX1312:AX1313"/>
    <mergeCell ref="AY1312:AY1313"/>
    <mergeCell ref="AZ1312:AZ1313"/>
    <mergeCell ref="BA1312:BA1313"/>
    <mergeCell ref="AV1314:AV1315"/>
    <mergeCell ref="AW1314:AW1315"/>
    <mergeCell ref="AX1314:AX1315"/>
    <mergeCell ref="AY1314:AY1315"/>
    <mergeCell ref="AZ1314:AZ1315"/>
    <mergeCell ref="BA1314:BA1315"/>
    <mergeCell ref="AV1316:AV1317"/>
    <mergeCell ref="AW1316:AW1317"/>
    <mergeCell ref="AX1316:AX1317"/>
    <mergeCell ref="AY1316:AY1317"/>
    <mergeCell ref="AZ1316:AZ1317"/>
    <mergeCell ref="BA1316:BA1317"/>
    <mergeCell ref="AV1318:AV1319"/>
    <mergeCell ref="AW1318:AW1319"/>
    <mergeCell ref="AX1318:AX1319"/>
    <mergeCell ref="AY1318:AY1319"/>
    <mergeCell ref="AZ1318:AZ1319"/>
    <mergeCell ref="BA1318:BA1319"/>
    <mergeCell ref="AV1320:AV1325"/>
    <mergeCell ref="AW1320:AW1325"/>
    <mergeCell ref="AX1320:AX1325"/>
    <mergeCell ref="AY1320:AY1325"/>
    <mergeCell ref="AZ1320:AZ1325"/>
    <mergeCell ref="BA1320:BA1325"/>
    <mergeCell ref="AV1326:AV1330"/>
    <mergeCell ref="AW1326:AW1330"/>
    <mergeCell ref="AX1326:AX1330"/>
    <mergeCell ref="AY1326:AY1330"/>
    <mergeCell ref="AZ1326:AZ1330"/>
    <mergeCell ref="BA1326:BA1330"/>
    <mergeCell ref="AV1331:AV1336"/>
    <mergeCell ref="AW1331:AW1336"/>
    <mergeCell ref="AX1331:AX1336"/>
    <mergeCell ref="AY1331:AY1336"/>
    <mergeCell ref="AZ1331:AZ1336"/>
    <mergeCell ref="BA1331:BA1336"/>
    <mergeCell ref="AV1337:AV1339"/>
    <mergeCell ref="AW1337:AW1339"/>
    <mergeCell ref="AX1337:AX1339"/>
    <mergeCell ref="AY1337:AY1339"/>
    <mergeCell ref="AZ1337:AZ1339"/>
    <mergeCell ref="BA1337:BA1339"/>
    <mergeCell ref="AV1340:AV1341"/>
    <mergeCell ref="AW1340:AW1341"/>
    <mergeCell ref="AX1340:AX1341"/>
    <mergeCell ref="AY1340:AY1341"/>
    <mergeCell ref="AZ1340:AZ1341"/>
    <mergeCell ref="BA1340:BA1341"/>
    <mergeCell ref="AV1342:AV1344"/>
    <mergeCell ref="AW1342:AW1344"/>
    <mergeCell ref="AX1342:AX1344"/>
    <mergeCell ref="AY1342:AY1344"/>
    <mergeCell ref="AZ1342:AZ1344"/>
    <mergeCell ref="BA1342:BA1344"/>
    <mergeCell ref="AV1345:AV1347"/>
    <mergeCell ref="AW1345:AW1347"/>
    <mergeCell ref="AX1345:AX1347"/>
    <mergeCell ref="AY1345:AY1347"/>
    <mergeCell ref="AZ1345:AZ1347"/>
    <mergeCell ref="BA1345:BA1347"/>
    <mergeCell ref="AV1348:AV1349"/>
    <mergeCell ref="AW1348:AW1349"/>
    <mergeCell ref="AX1348:AX1349"/>
    <mergeCell ref="AY1348:AY1349"/>
    <mergeCell ref="AZ1348:AZ1349"/>
    <mergeCell ref="BA1348:BA1349"/>
    <mergeCell ref="AV1350:AV1352"/>
    <mergeCell ref="AW1350:AW1352"/>
    <mergeCell ref="AX1350:AX1352"/>
    <mergeCell ref="AY1350:AY1352"/>
    <mergeCell ref="AZ1350:AZ1352"/>
    <mergeCell ref="BA1350:BA1352"/>
    <mergeCell ref="AV1355:AV1359"/>
    <mergeCell ref="AW1355:AW1359"/>
    <mergeCell ref="AX1355:AX1359"/>
    <mergeCell ref="AY1355:AY1359"/>
    <mergeCell ref="AZ1355:AZ1359"/>
    <mergeCell ref="BA1355:BA1359"/>
    <mergeCell ref="AV1360:AV1363"/>
    <mergeCell ref="AW1360:AW1363"/>
    <mergeCell ref="AX1360:AX1363"/>
    <mergeCell ref="AY1360:AY1363"/>
    <mergeCell ref="AZ1360:AZ1363"/>
    <mergeCell ref="BA1360:BA1363"/>
    <mergeCell ref="AV1370:AV1371"/>
    <mergeCell ref="AW1370:AW1371"/>
    <mergeCell ref="AX1370:AX1371"/>
    <mergeCell ref="AY1370:AY1371"/>
    <mergeCell ref="AZ1370:AZ1371"/>
    <mergeCell ref="BA1370:BA1371"/>
    <mergeCell ref="AV1373:AV1374"/>
    <mergeCell ref="AW1373:AW1374"/>
    <mergeCell ref="AX1373:AX1374"/>
    <mergeCell ref="AY1373:AY1374"/>
    <mergeCell ref="AZ1373:AZ1374"/>
    <mergeCell ref="BA1373:BA1374"/>
    <mergeCell ref="AV1375:AV1378"/>
    <mergeCell ref="AW1375:AW1378"/>
    <mergeCell ref="AX1375:AX1378"/>
    <mergeCell ref="AY1375:AY1378"/>
    <mergeCell ref="AZ1375:AZ1378"/>
    <mergeCell ref="BA1375:BA1378"/>
    <mergeCell ref="AV1379:AV1380"/>
    <mergeCell ref="AW1379:AW1380"/>
    <mergeCell ref="AX1379:AX1380"/>
    <mergeCell ref="AY1379:AY1380"/>
    <mergeCell ref="AZ1379:AZ1380"/>
    <mergeCell ref="BA1379:BA1380"/>
    <mergeCell ref="AV1381:AV1382"/>
    <mergeCell ref="AW1381:AW1382"/>
    <mergeCell ref="AX1381:AX1382"/>
    <mergeCell ref="AY1381:AY1382"/>
    <mergeCell ref="AZ1381:AZ1382"/>
    <mergeCell ref="BA1381:BA1382"/>
    <mergeCell ref="AV1383:AV1384"/>
    <mergeCell ref="AW1383:AW1384"/>
    <mergeCell ref="AX1383:AX1384"/>
    <mergeCell ref="AY1383:AY1384"/>
    <mergeCell ref="AZ1383:AZ1384"/>
    <mergeCell ref="BA1383:BA1384"/>
    <mergeCell ref="AV1385:AV1386"/>
    <mergeCell ref="AW1385:AW1386"/>
    <mergeCell ref="AX1385:AX1386"/>
    <mergeCell ref="AY1385:AY1386"/>
    <mergeCell ref="AZ1385:AZ1386"/>
    <mergeCell ref="BA1385:BA1386"/>
    <mergeCell ref="AV1387:AV1391"/>
    <mergeCell ref="AW1387:AW1391"/>
    <mergeCell ref="AX1387:AX1391"/>
    <mergeCell ref="AY1387:AY1391"/>
    <mergeCell ref="AZ1387:AZ1391"/>
    <mergeCell ref="BA1387:BA1391"/>
    <mergeCell ref="AV1400:AV1401"/>
    <mergeCell ref="AW1400:AW1401"/>
    <mergeCell ref="AX1400:AX1401"/>
    <mergeCell ref="AY1400:AY1401"/>
    <mergeCell ref="AZ1400:AZ1401"/>
    <mergeCell ref="BA1400:BA1401"/>
    <mergeCell ref="AV1405:AV1406"/>
    <mergeCell ref="AW1405:AW1406"/>
    <mergeCell ref="AX1405:AX1406"/>
    <mergeCell ref="AY1405:AY1406"/>
    <mergeCell ref="AZ1405:AZ1406"/>
    <mergeCell ref="BA1405:BA1406"/>
    <mergeCell ref="AV1407:AV1408"/>
    <mergeCell ref="AW1407:AW1408"/>
    <mergeCell ref="AX1407:AX1408"/>
    <mergeCell ref="AY1407:AY1408"/>
    <mergeCell ref="AZ1407:AZ1408"/>
    <mergeCell ref="BA1407:BA1408"/>
    <mergeCell ref="AV1413:AV1415"/>
    <mergeCell ref="AW1413:AW1415"/>
    <mergeCell ref="AX1413:AX1415"/>
    <mergeCell ref="AY1413:AY1415"/>
    <mergeCell ref="AZ1413:AZ1415"/>
    <mergeCell ref="BA1413:BA1415"/>
    <mergeCell ref="AV1416:AV1418"/>
    <mergeCell ref="AW1416:AW1418"/>
    <mergeCell ref="AX1416:AX1418"/>
    <mergeCell ref="AY1416:AY1418"/>
    <mergeCell ref="AZ1416:AZ1418"/>
    <mergeCell ref="BA1416:BA1418"/>
    <mergeCell ref="AV1426:AV1427"/>
    <mergeCell ref="AW1426:AW1427"/>
    <mergeCell ref="AX1426:AX1427"/>
    <mergeCell ref="AY1426:AY1427"/>
    <mergeCell ref="AZ1426:AZ1427"/>
    <mergeCell ref="BA1426:BA1427"/>
    <mergeCell ref="AV1429:AV1431"/>
    <mergeCell ref="AW1429:AW1431"/>
    <mergeCell ref="AX1429:AX1431"/>
    <mergeCell ref="AY1429:AY1431"/>
    <mergeCell ref="AZ1429:AZ1431"/>
    <mergeCell ref="BA1429:BA1431"/>
    <mergeCell ref="AV1432:AV1434"/>
    <mergeCell ref="AW1432:AW1434"/>
    <mergeCell ref="AX1432:AX1434"/>
    <mergeCell ref="AY1432:AY1434"/>
    <mergeCell ref="AZ1432:AZ1434"/>
    <mergeCell ref="BA1432:BA1434"/>
    <mergeCell ref="AV1435:AV1437"/>
    <mergeCell ref="AW1435:AW1437"/>
    <mergeCell ref="AX1435:AX1437"/>
    <mergeCell ref="AY1435:AY1437"/>
    <mergeCell ref="AZ1435:AZ1437"/>
    <mergeCell ref="BA1435:BA1437"/>
    <mergeCell ref="AV1447:AV1448"/>
    <mergeCell ref="AW1447:AW1448"/>
    <mergeCell ref="AX1447:AX1448"/>
    <mergeCell ref="AY1447:AY1448"/>
    <mergeCell ref="AZ1447:AZ1448"/>
    <mergeCell ref="BA1447:BA1448"/>
    <mergeCell ref="AV1449:AV1450"/>
    <mergeCell ref="AW1449:AW1450"/>
    <mergeCell ref="AX1449:AX1450"/>
    <mergeCell ref="AY1449:AY1450"/>
    <mergeCell ref="AZ1449:AZ1450"/>
    <mergeCell ref="BA1449:BA1450"/>
    <mergeCell ref="AV1452:AV1454"/>
    <mergeCell ref="AW1452:AW1454"/>
    <mergeCell ref="AX1452:AX1454"/>
    <mergeCell ref="AY1452:AY1454"/>
    <mergeCell ref="AZ1452:AZ1454"/>
    <mergeCell ref="BA1452:BA1454"/>
    <mergeCell ref="AV1456:AV1457"/>
    <mergeCell ref="AW1456:AW1457"/>
    <mergeCell ref="AX1456:AX1457"/>
    <mergeCell ref="AY1456:AY1457"/>
    <mergeCell ref="AZ1456:AZ1457"/>
    <mergeCell ref="BA1456:BA1457"/>
    <mergeCell ref="AV1462:AV1466"/>
    <mergeCell ref="AW1462:AW1466"/>
    <mergeCell ref="AX1462:AX1466"/>
    <mergeCell ref="AY1462:AY1466"/>
    <mergeCell ref="AZ1462:AZ1466"/>
    <mergeCell ref="BA1462:BA1466"/>
    <mergeCell ref="AV1471:AV1472"/>
    <mergeCell ref="AW1471:AW1472"/>
    <mergeCell ref="AX1471:AX1472"/>
    <mergeCell ref="AY1471:AY1472"/>
    <mergeCell ref="AZ1471:AZ1472"/>
    <mergeCell ref="BA1471:BA1472"/>
    <mergeCell ref="AV1474:AV1475"/>
    <mergeCell ref="AW1474:AW1475"/>
    <mergeCell ref="AX1474:AX1475"/>
    <mergeCell ref="AY1474:AY1475"/>
    <mergeCell ref="AZ1474:AZ1475"/>
    <mergeCell ref="BA1474:BA1475"/>
    <mergeCell ref="AV1479:AV1481"/>
    <mergeCell ref="AW1479:AW1481"/>
    <mergeCell ref="AX1479:AX1481"/>
    <mergeCell ref="AY1479:AY1481"/>
    <mergeCell ref="AZ1479:AZ1481"/>
    <mergeCell ref="BA1479:BA1481"/>
    <mergeCell ref="AV1483:AV1488"/>
    <mergeCell ref="AW1483:AW1488"/>
    <mergeCell ref="AX1483:AX1488"/>
    <mergeCell ref="AY1483:AY1488"/>
    <mergeCell ref="AZ1483:AZ1488"/>
    <mergeCell ref="BA1483:BA1488"/>
    <mergeCell ref="AV1490:AV1491"/>
    <mergeCell ref="AW1490:AW1491"/>
    <mergeCell ref="AX1490:AX1491"/>
    <mergeCell ref="AY1490:AY1491"/>
    <mergeCell ref="AZ1490:AZ1491"/>
    <mergeCell ref="BA1490:BA1491"/>
    <mergeCell ref="AV1493:AV1494"/>
    <mergeCell ref="AW1493:AW1494"/>
    <mergeCell ref="AX1493:AX1494"/>
    <mergeCell ref="AY1493:AY1494"/>
    <mergeCell ref="AZ1493:AZ1494"/>
    <mergeCell ref="BA1493:BA1494"/>
    <mergeCell ref="AV1498:AV1499"/>
    <mergeCell ref="AW1498:AW1499"/>
    <mergeCell ref="AX1498:AX1499"/>
    <mergeCell ref="AY1498:AY1499"/>
    <mergeCell ref="AZ1498:AZ1499"/>
    <mergeCell ref="BA1498:BA1499"/>
    <mergeCell ref="AV1501:AV1502"/>
    <mergeCell ref="AW1501:AW1502"/>
    <mergeCell ref="AX1501:AX1502"/>
    <mergeCell ref="AY1501:AY1502"/>
    <mergeCell ref="AZ1501:AZ1502"/>
    <mergeCell ref="BA1501:BA1502"/>
    <mergeCell ref="AV1507:AV1509"/>
    <mergeCell ref="AW1507:AW1509"/>
    <mergeCell ref="AX1507:AX1509"/>
    <mergeCell ref="AY1507:AY1509"/>
    <mergeCell ref="AZ1507:AZ1509"/>
    <mergeCell ref="BA1507:BA1509"/>
    <mergeCell ref="AV1510:AV1512"/>
    <mergeCell ref="AW1510:AW1512"/>
    <mergeCell ref="AX1510:AX1512"/>
    <mergeCell ref="AY1510:AY1512"/>
    <mergeCell ref="AZ1510:AZ1512"/>
    <mergeCell ref="BA1510:BA1512"/>
    <mergeCell ref="AV1519:AV1520"/>
    <mergeCell ref="AW1519:AW1520"/>
    <mergeCell ref="AX1519:AX1520"/>
    <mergeCell ref="AY1519:AY1520"/>
    <mergeCell ref="AZ1519:AZ1520"/>
    <mergeCell ref="BA1519:BA1520"/>
    <mergeCell ref="AV1521:AV1522"/>
    <mergeCell ref="AW1521:AW1522"/>
    <mergeCell ref="AX1521:AX1522"/>
    <mergeCell ref="AY1521:AY1522"/>
    <mergeCell ref="AZ1521:AZ1522"/>
    <mergeCell ref="BA1521:BA1522"/>
    <mergeCell ref="AV1523:AV1524"/>
    <mergeCell ref="AW1523:AW1524"/>
    <mergeCell ref="AX1523:AX1524"/>
    <mergeCell ref="AY1523:AY1524"/>
    <mergeCell ref="AZ1523:AZ1524"/>
    <mergeCell ref="BA1523:BA1524"/>
    <mergeCell ref="AV1527:AV1528"/>
    <mergeCell ref="AW1527:AW1528"/>
    <mergeCell ref="AX1527:AX1528"/>
    <mergeCell ref="AY1527:AY1528"/>
    <mergeCell ref="AZ1527:AZ1528"/>
    <mergeCell ref="BA1527:BA1528"/>
    <mergeCell ref="AV1529:AV1530"/>
    <mergeCell ref="AW1529:AW1530"/>
    <mergeCell ref="AX1529:AX1530"/>
    <mergeCell ref="AY1529:AY1530"/>
    <mergeCell ref="AZ1529:AZ1530"/>
    <mergeCell ref="BA1529:BA1530"/>
    <mergeCell ref="AV1534:AV1535"/>
    <mergeCell ref="AW1534:AW1535"/>
    <mergeCell ref="AX1534:AX1535"/>
    <mergeCell ref="AY1534:AY1535"/>
    <mergeCell ref="AZ1534:AZ1535"/>
    <mergeCell ref="BA1534:BA1535"/>
    <mergeCell ref="AV1537:AV1539"/>
    <mergeCell ref="AW1537:AW1539"/>
    <mergeCell ref="AX1537:AX1539"/>
    <mergeCell ref="AY1537:AY1539"/>
    <mergeCell ref="AZ1537:AZ1539"/>
    <mergeCell ref="BA1537:BA1539"/>
    <mergeCell ref="AV1544:AV1545"/>
    <mergeCell ref="AW1544:AW1545"/>
    <mergeCell ref="AX1544:AX1545"/>
    <mergeCell ref="AY1544:AY1545"/>
    <mergeCell ref="AZ1544:AZ1545"/>
    <mergeCell ref="BA1544:BA1545"/>
    <mergeCell ref="AV1551:AV1555"/>
    <mergeCell ref="AW1551:AW1555"/>
    <mergeCell ref="AX1551:AX1555"/>
    <mergeCell ref="AY1551:AY1555"/>
    <mergeCell ref="AZ1551:AZ1555"/>
    <mergeCell ref="BA1551:BA1555"/>
    <mergeCell ref="AV1556:AV1560"/>
    <mergeCell ref="AW1556:AW1560"/>
    <mergeCell ref="AX1556:AX1560"/>
    <mergeCell ref="AY1556:AY1560"/>
    <mergeCell ref="AZ1556:AZ1560"/>
    <mergeCell ref="BA1556:BA1560"/>
    <mergeCell ref="AV1561:AV1564"/>
    <mergeCell ref="AW1561:AW1564"/>
    <mergeCell ref="AX1561:AX1564"/>
    <mergeCell ref="AY1561:AY1564"/>
    <mergeCell ref="AZ1561:AZ1564"/>
    <mergeCell ref="BA1561:BA1564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2"/>
    <mergeCell ref="AW1569:AW1572"/>
    <mergeCell ref="AX1569:AX1572"/>
    <mergeCell ref="AY1569:AY1572"/>
    <mergeCell ref="AZ1569:AZ1572"/>
    <mergeCell ref="BA1569:BA1572"/>
    <mergeCell ref="AV1573:AV1575"/>
    <mergeCell ref="AW1573:AW1575"/>
    <mergeCell ref="AX1573:AX1575"/>
    <mergeCell ref="AY1573:AY1575"/>
    <mergeCell ref="AZ1573:AZ1575"/>
    <mergeCell ref="BA1573:BA1575"/>
    <mergeCell ref="AV1582:AV1583"/>
    <mergeCell ref="AW1582:AW1583"/>
    <mergeCell ref="AX1582:AX1583"/>
    <mergeCell ref="AY1582:AY1583"/>
    <mergeCell ref="AZ1582:AZ1583"/>
    <mergeCell ref="BA1582:BA1583"/>
    <mergeCell ref="AV1584:AV1586"/>
    <mergeCell ref="AW1584:AW1586"/>
    <mergeCell ref="AX1584:AX1586"/>
    <mergeCell ref="AY1584:AY1586"/>
    <mergeCell ref="AZ1584:AZ1586"/>
    <mergeCell ref="BA1584:BA1586"/>
    <mergeCell ref="AV1587:AV1588"/>
    <mergeCell ref="AW1587:AW1588"/>
    <mergeCell ref="AX1587:AX1588"/>
    <mergeCell ref="AY1587:AY1588"/>
    <mergeCell ref="AZ1587:AZ1588"/>
    <mergeCell ref="BA1587:BA1588"/>
    <mergeCell ref="AV1591:AV1592"/>
    <mergeCell ref="AW1591:AW1592"/>
    <mergeCell ref="AX1591:AX1592"/>
    <mergeCell ref="AY1591:AY1592"/>
    <mergeCell ref="AZ1591:AZ1592"/>
    <mergeCell ref="BA1591:BA1592"/>
    <mergeCell ref="AV1593:AV1594"/>
    <mergeCell ref="AW1593:AW1594"/>
    <mergeCell ref="AX1593:AX1594"/>
    <mergeCell ref="AY1593:AY1594"/>
    <mergeCell ref="AZ1593:AZ1594"/>
    <mergeCell ref="BA1593:BA1594"/>
    <mergeCell ref="AV1606:AV1609"/>
    <mergeCell ref="AW1606:AW1609"/>
    <mergeCell ref="AX1606:AX1609"/>
    <mergeCell ref="AY1606:AY1609"/>
    <mergeCell ref="AZ1606:AZ1609"/>
    <mergeCell ref="BA1606:BA1609"/>
    <mergeCell ref="AV1615:AV1616"/>
    <mergeCell ref="AW1615:AW1616"/>
    <mergeCell ref="AX1615:AX1616"/>
    <mergeCell ref="AY1615:AY1616"/>
    <mergeCell ref="AZ1615:AZ1616"/>
    <mergeCell ref="BA1615:BA1616"/>
    <mergeCell ref="AV1618:AV1620"/>
    <mergeCell ref="AW1618:AW1620"/>
    <mergeCell ref="AX1618:AX1620"/>
    <mergeCell ref="AY1618:AY1620"/>
    <mergeCell ref="AZ1618:AZ1620"/>
    <mergeCell ref="BA1618:BA1620"/>
    <mergeCell ref="AV1623:AV1625"/>
    <mergeCell ref="AW1623:AW1625"/>
    <mergeCell ref="AX1623:AX1625"/>
    <mergeCell ref="AY1623:AY1625"/>
    <mergeCell ref="AZ1623:AZ1625"/>
    <mergeCell ref="BA1623:BA1625"/>
    <mergeCell ref="AV1626:AV1627"/>
    <mergeCell ref="AW1626:AW1627"/>
    <mergeCell ref="AX1626:AX1627"/>
    <mergeCell ref="AY1626:AY1627"/>
    <mergeCell ref="AZ1626:AZ1627"/>
    <mergeCell ref="BA1626:BA1627"/>
    <mergeCell ref="AV1629:AV1632"/>
    <mergeCell ref="AW1629:AW1632"/>
    <mergeCell ref="AX1629:AX1632"/>
    <mergeCell ref="AY1629:AY1632"/>
    <mergeCell ref="AZ1629:AZ1632"/>
    <mergeCell ref="BA1629:BA1632"/>
    <mergeCell ref="AV1640:AV1641"/>
    <mergeCell ref="AW1640:AW1641"/>
    <mergeCell ref="AX1640:AX1641"/>
    <mergeCell ref="AY1640:AY1641"/>
    <mergeCell ref="AZ1640:AZ1641"/>
    <mergeCell ref="BA1640:BA1641"/>
    <mergeCell ref="AV1644:AV1645"/>
    <mergeCell ref="AW1644:AW1645"/>
    <mergeCell ref="AX1644:AX1645"/>
    <mergeCell ref="AY1644:AY1645"/>
    <mergeCell ref="AZ1644:AZ1645"/>
    <mergeCell ref="BA1644:BA1645"/>
    <mergeCell ref="AV1650:AV1654"/>
    <mergeCell ref="AW1650:AW1654"/>
    <mergeCell ref="AX1650:AX1654"/>
    <mergeCell ref="AY1650:AY1654"/>
    <mergeCell ref="AZ1650:AZ1654"/>
    <mergeCell ref="BA1650:BA1654"/>
    <mergeCell ref="AV1655:AV1658"/>
    <mergeCell ref="AW1655:AW1658"/>
    <mergeCell ref="AX1655:AX1658"/>
    <mergeCell ref="AY1655:AY1658"/>
    <mergeCell ref="AZ1655:AZ1658"/>
    <mergeCell ref="BA1655:BA1658"/>
    <mergeCell ref="AV1659:AV1660"/>
    <mergeCell ref="AW1659:AW1660"/>
    <mergeCell ref="AX1659:AX1660"/>
    <mergeCell ref="AY1659:AY1660"/>
    <mergeCell ref="AZ1659:AZ1660"/>
    <mergeCell ref="BA1659:BA1660"/>
    <mergeCell ref="AV1661:AV1666"/>
    <mergeCell ref="AW1661:AW1666"/>
    <mergeCell ref="AX1661:AX1666"/>
    <mergeCell ref="AY1661:AY1666"/>
    <mergeCell ref="AZ1661:AZ1666"/>
    <mergeCell ref="BA1661:BA1666"/>
    <mergeCell ref="AV1667:AV1672"/>
    <mergeCell ref="AW1667:AW1672"/>
    <mergeCell ref="AX1667:AX1672"/>
    <mergeCell ref="AY1667:AY1672"/>
    <mergeCell ref="AZ1667:AZ1672"/>
    <mergeCell ref="BA1667:BA1672"/>
    <mergeCell ref="AV1674:AV1677"/>
    <mergeCell ref="AW1674:AW1677"/>
    <mergeCell ref="AX1674:AX1677"/>
    <mergeCell ref="AY1674:AY1677"/>
    <mergeCell ref="AZ1674:AZ1677"/>
    <mergeCell ref="BA1674:BA1677"/>
    <mergeCell ref="AV1678:AV1681"/>
    <mergeCell ref="AW1678:AW1681"/>
    <mergeCell ref="AX1678:AX1681"/>
    <mergeCell ref="AY1678:AY1681"/>
    <mergeCell ref="AZ1678:AZ1681"/>
    <mergeCell ref="BA1678:BA1681"/>
    <mergeCell ref="AV1683:AV1686"/>
    <mergeCell ref="AW1683:AW1686"/>
    <mergeCell ref="AX1683:AX1686"/>
    <mergeCell ref="AY1683:AY1686"/>
    <mergeCell ref="AZ1683:AZ1686"/>
    <mergeCell ref="BA1683:BA1686"/>
    <mergeCell ref="AV1687:AV1690"/>
    <mergeCell ref="AW1687:AW1690"/>
    <mergeCell ref="AX1687:AX1690"/>
    <mergeCell ref="AY1687:AY1690"/>
    <mergeCell ref="AZ1687:AZ1690"/>
    <mergeCell ref="BA1687:BA1690"/>
    <mergeCell ref="AV1691:AV1693"/>
    <mergeCell ref="AW1691:AW1693"/>
    <mergeCell ref="AX1691:AX1693"/>
    <mergeCell ref="AY1691:AY1693"/>
    <mergeCell ref="AZ1691:AZ1693"/>
    <mergeCell ref="BA1691:BA1693"/>
    <mergeCell ref="AV1694:AV1699"/>
    <mergeCell ref="AW1694:AW1699"/>
    <mergeCell ref="AX1694:AX1699"/>
    <mergeCell ref="AY1694:AY1699"/>
    <mergeCell ref="AZ1694:AZ1699"/>
    <mergeCell ref="BA1694:BA1699"/>
    <mergeCell ref="AV1700:AV1703"/>
    <mergeCell ref="AW1700:AW1703"/>
    <mergeCell ref="AX1700:AX1703"/>
    <mergeCell ref="AY1700:AY1703"/>
    <mergeCell ref="AZ1700:AZ1703"/>
    <mergeCell ref="BA1700:BA1703"/>
    <mergeCell ref="AV1704:AV1708"/>
    <mergeCell ref="AW1704:AW1708"/>
    <mergeCell ref="AX1704:AX1708"/>
    <mergeCell ref="AY1704:AY1708"/>
    <mergeCell ref="AZ1704:AZ1708"/>
    <mergeCell ref="BA1704:BA1708"/>
    <mergeCell ref="AV1709:AV1713"/>
    <mergeCell ref="AW1709:AW1713"/>
    <mergeCell ref="AX1709:AX1713"/>
    <mergeCell ref="AY1709:AY1713"/>
    <mergeCell ref="AZ1709:AZ1713"/>
    <mergeCell ref="BA1709:BA1713"/>
    <mergeCell ref="AV1714:AV1718"/>
    <mergeCell ref="AW1714:AW1718"/>
    <mergeCell ref="AX1714:AX1718"/>
    <mergeCell ref="AY1714:AY1718"/>
    <mergeCell ref="AZ1714:AZ1718"/>
    <mergeCell ref="BA1714:BA1718"/>
    <mergeCell ref="AV1719:AV1720"/>
    <mergeCell ref="AW1719:AW1720"/>
    <mergeCell ref="AX1719:AX1720"/>
    <mergeCell ref="AY1719:AY1720"/>
    <mergeCell ref="AZ1719:AZ1720"/>
    <mergeCell ref="BA1719:BA1720"/>
    <mergeCell ref="AV1721:AV1725"/>
    <mergeCell ref="AW1721:AW1725"/>
    <mergeCell ref="AX1721:AX1725"/>
    <mergeCell ref="AY1721:AY1725"/>
    <mergeCell ref="AZ1721:AZ1725"/>
    <mergeCell ref="BA1721:BA1725"/>
    <mergeCell ref="AV1726:AV1728"/>
    <mergeCell ref="AW1726:AW1728"/>
    <mergeCell ref="AX1726:AX1728"/>
    <mergeCell ref="AY1726:AY1728"/>
    <mergeCell ref="AZ1726:AZ1728"/>
    <mergeCell ref="BA1726:BA1728"/>
    <mergeCell ref="AV1729:AV1734"/>
    <mergeCell ref="AW1729:AW1734"/>
    <mergeCell ref="AX1729:AX1734"/>
    <mergeCell ref="AY1729:AY1734"/>
    <mergeCell ref="AZ1729:AZ1734"/>
    <mergeCell ref="BA1729:BA1734"/>
    <mergeCell ref="AV1735:AV1740"/>
    <mergeCell ref="AW1735:AW1740"/>
    <mergeCell ref="AX1735:AX1740"/>
    <mergeCell ref="AY1735:AY1740"/>
    <mergeCell ref="AZ1735:AZ1740"/>
    <mergeCell ref="BA1735:BA1740"/>
    <mergeCell ref="AV1741:AV1744"/>
    <mergeCell ref="AW1741:AW1744"/>
    <mergeCell ref="AX1741:AX1744"/>
    <mergeCell ref="AY1741:AY1744"/>
    <mergeCell ref="AZ1741:AZ1744"/>
    <mergeCell ref="BA1741:BA1744"/>
    <mergeCell ref="AV1745:AV1749"/>
    <mergeCell ref="AW1745:AW1749"/>
    <mergeCell ref="AX1745:AX1749"/>
    <mergeCell ref="AY1745:AY1749"/>
    <mergeCell ref="AZ1745:AZ1749"/>
    <mergeCell ref="BA1745:BA1749"/>
    <mergeCell ref="AV1750:AV1753"/>
    <mergeCell ref="AW1750:AW1753"/>
    <mergeCell ref="AX1750:AX1753"/>
    <mergeCell ref="AY1750:AY1753"/>
    <mergeCell ref="AZ1750:AZ1753"/>
    <mergeCell ref="BA1750:BA1753"/>
    <mergeCell ref="AV1754:AV1759"/>
    <mergeCell ref="AW1754:AW1759"/>
    <mergeCell ref="AX1754:AX1759"/>
    <mergeCell ref="AY1754:AY1759"/>
    <mergeCell ref="AZ1754:AZ1759"/>
    <mergeCell ref="BA1754:BA1759"/>
    <mergeCell ref="AV1760:AV1764"/>
    <mergeCell ref="AW1760:AW1764"/>
    <mergeCell ref="AX1760:AX1764"/>
    <mergeCell ref="AY1760:AY1764"/>
    <mergeCell ref="AZ1760:AZ1764"/>
    <mergeCell ref="BA1760:BA1764"/>
    <mergeCell ref="AV1765:AV1767"/>
    <mergeCell ref="AW1765:AW1767"/>
    <mergeCell ref="AX1765:AX1767"/>
    <mergeCell ref="AY1765:AY1767"/>
    <mergeCell ref="AZ1765:AZ1767"/>
    <mergeCell ref="BA1765:BA1767"/>
    <mergeCell ref="AV1768:AV1770"/>
    <mergeCell ref="AW1768:AW1770"/>
    <mergeCell ref="AX1768:AX1770"/>
    <mergeCell ref="AY1768:AY1770"/>
    <mergeCell ref="AZ1768:AZ1770"/>
    <mergeCell ref="BA1768:BA1770"/>
    <mergeCell ref="AV1771:AV1773"/>
    <mergeCell ref="AW1771:AW1773"/>
    <mergeCell ref="AX1771:AX1773"/>
    <mergeCell ref="AY1771:AY1773"/>
    <mergeCell ref="AZ1771:AZ1773"/>
    <mergeCell ref="BA1771:BA1773"/>
    <mergeCell ref="AV1774:AV1776"/>
    <mergeCell ref="AW1774:AW1776"/>
    <mergeCell ref="AX1774:AX1776"/>
    <mergeCell ref="AY1774:AY1776"/>
    <mergeCell ref="AZ1774:AZ1776"/>
    <mergeCell ref="BA1774:BA1776"/>
    <mergeCell ref="AV1777:AV1779"/>
    <mergeCell ref="AW1777:AW1779"/>
    <mergeCell ref="AX1777:AX1779"/>
    <mergeCell ref="AY1777:AY1779"/>
    <mergeCell ref="AZ1777:AZ1779"/>
    <mergeCell ref="BA1777:BA1779"/>
    <mergeCell ref="AV1780:AV1782"/>
    <mergeCell ref="AW1780:AW1782"/>
    <mergeCell ref="AX1780:AX1782"/>
    <mergeCell ref="AY1780:AY1782"/>
    <mergeCell ref="AZ1780:AZ1782"/>
    <mergeCell ref="BA1780:BA1782"/>
    <mergeCell ref="AV1786:AV1787"/>
    <mergeCell ref="AW1786:AW1787"/>
    <mergeCell ref="AX1786:AX1787"/>
    <mergeCell ref="AY1786:AY1787"/>
    <mergeCell ref="AZ1786:AZ1787"/>
    <mergeCell ref="BA1786:BA1787"/>
    <mergeCell ref="AV1788:AV1789"/>
    <mergeCell ref="AW1788:AW1789"/>
    <mergeCell ref="AX1788:AX1789"/>
    <mergeCell ref="AY1788:AY1789"/>
    <mergeCell ref="AZ1788:AZ1789"/>
    <mergeCell ref="BA1788:BA1789"/>
    <mergeCell ref="AV1794:AV1795"/>
    <mergeCell ref="AW1794:AW1795"/>
    <mergeCell ref="AX1794:AX1795"/>
    <mergeCell ref="AY1794:AY1795"/>
    <mergeCell ref="AZ1794:AZ1795"/>
    <mergeCell ref="BA1794:BA1795"/>
    <mergeCell ref="AV1799:AV1800"/>
    <mergeCell ref="AW1799:AW1800"/>
    <mergeCell ref="AX1799:AX1800"/>
    <mergeCell ref="AY1799:AY1800"/>
    <mergeCell ref="AZ1799:AZ1800"/>
    <mergeCell ref="BA1799:BA1800"/>
    <mergeCell ref="AV1806:AV1808"/>
    <mergeCell ref="AW1806:AW1808"/>
    <mergeCell ref="AX1806:AX1808"/>
    <mergeCell ref="AY1806:AY1808"/>
    <mergeCell ref="AZ1806:AZ1808"/>
    <mergeCell ref="BA1806:BA1808"/>
    <mergeCell ref="AV1809:AV1811"/>
    <mergeCell ref="AW1809:AW1811"/>
    <mergeCell ref="AX1809:AX1811"/>
    <mergeCell ref="AY1809:AY1811"/>
    <mergeCell ref="AZ1809:AZ1811"/>
    <mergeCell ref="BA1809:BA1811"/>
    <mergeCell ref="AV1812:AV1813"/>
    <mergeCell ref="AW1812:AW1813"/>
    <mergeCell ref="AX1812:AX1813"/>
    <mergeCell ref="AY1812:AY1813"/>
    <mergeCell ref="AZ1812:AZ1813"/>
    <mergeCell ref="BA1812:BA1813"/>
    <mergeCell ref="AV1815:AV1817"/>
    <mergeCell ref="AW1815:AW1817"/>
    <mergeCell ref="AX1815:AX1817"/>
    <mergeCell ref="AY1815:AY1817"/>
    <mergeCell ref="AZ1815:AZ1817"/>
    <mergeCell ref="BA1815:BA1817"/>
    <mergeCell ref="AV1818:AV1819"/>
    <mergeCell ref="AW1818:AW1819"/>
    <mergeCell ref="AX1818:AX1819"/>
    <mergeCell ref="AY1818:AY1819"/>
    <mergeCell ref="AZ1818:AZ1819"/>
    <mergeCell ref="BA1818:BA1819"/>
    <mergeCell ref="AV1820:AV1821"/>
    <mergeCell ref="AW1820:AW1821"/>
    <mergeCell ref="AX1820:AX1821"/>
    <mergeCell ref="AY1820:AY1821"/>
    <mergeCell ref="AZ1820:AZ1821"/>
    <mergeCell ref="BA1820:BA1821"/>
    <mergeCell ref="AV1823:AV1825"/>
    <mergeCell ref="AW1823:AW1825"/>
    <mergeCell ref="AX1823:AX1825"/>
    <mergeCell ref="AY1823:AY1825"/>
    <mergeCell ref="AZ1823:AZ1825"/>
    <mergeCell ref="BA1823:BA1825"/>
    <mergeCell ref="AV1826:AV1828"/>
    <mergeCell ref="AW1826:AW1828"/>
    <mergeCell ref="AX1826:AX1828"/>
    <mergeCell ref="AY1826:AY1828"/>
    <mergeCell ref="AZ1826:AZ1828"/>
    <mergeCell ref="BA1826:BA1828"/>
    <mergeCell ref="AV1829:AV1831"/>
    <mergeCell ref="AW1829:AW1831"/>
    <mergeCell ref="AX1829:AX1831"/>
    <mergeCell ref="AY1829:AY1831"/>
    <mergeCell ref="AZ1829:AZ1831"/>
    <mergeCell ref="BA1829:BA1831"/>
    <mergeCell ref="AV1832:AV1835"/>
    <mergeCell ref="AW1832:AW1835"/>
    <mergeCell ref="AX1832:AX1835"/>
    <mergeCell ref="AY1832:AY1835"/>
    <mergeCell ref="AZ1832:AZ1835"/>
    <mergeCell ref="BA1832:BA1835"/>
    <mergeCell ref="AV1836:AV1838"/>
    <mergeCell ref="AW1836:AW1838"/>
    <mergeCell ref="AX1836:AX1838"/>
    <mergeCell ref="AY1836:AY1838"/>
    <mergeCell ref="AZ1836:AZ1838"/>
    <mergeCell ref="BA1836:BA1838"/>
    <mergeCell ref="AV1839:AV1846"/>
    <mergeCell ref="AW1839:AW1846"/>
    <mergeCell ref="AX1839:AX1846"/>
    <mergeCell ref="AY1839:AY1846"/>
    <mergeCell ref="AZ1839:AZ1846"/>
    <mergeCell ref="BA1839:BA1846"/>
    <mergeCell ref="AV1847:AV1855"/>
    <mergeCell ref="AW1847:AW1855"/>
    <mergeCell ref="AX1847:AX1855"/>
    <mergeCell ref="AY1847:AY1855"/>
    <mergeCell ref="AZ1847:AZ1855"/>
    <mergeCell ref="BA1847:BA1855"/>
    <mergeCell ref="AV1864:AV1869"/>
    <mergeCell ref="AW1864:AW1869"/>
    <mergeCell ref="AX1864:AX1869"/>
    <mergeCell ref="AY1864:AY1869"/>
    <mergeCell ref="AZ1864:AZ1869"/>
    <mergeCell ref="BA1864:BA1869"/>
    <mergeCell ref="AV1872:AV1873"/>
    <mergeCell ref="AW1872:AW1873"/>
    <mergeCell ref="AX1872:AX1873"/>
    <mergeCell ref="AY1872:AY1873"/>
    <mergeCell ref="AZ1872:AZ1873"/>
    <mergeCell ref="BA1872:BA1873"/>
    <mergeCell ref="AV1879:AV1880"/>
    <mergeCell ref="AW1879:AW1880"/>
    <mergeCell ref="AX1879:AX1880"/>
    <mergeCell ref="AY1879:AY1880"/>
    <mergeCell ref="AZ1879:AZ1880"/>
    <mergeCell ref="BA1879:BA1880"/>
    <mergeCell ref="AV1881:AV1882"/>
    <mergeCell ref="AW1881:AW1882"/>
    <mergeCell ref="AX1881:AX1882"/>
    <mergeCell ref="AY1881:AY1882"/>
    <mergeCell ref="AZ1881:AZ1882"/>
    <mergeCell ref="BA1881:BA1882"/>
    <mergeCell ref="AV1883:AV1885"/>
    <mergeCell ref="AW1883:AW1885"/>
    <mergeCell ref="AX1883:AX1885"/>
    <mergeCell ref="AY1883:AY1885"/>
    <mergeCell ref="AZ1883:AZ1885"/>
    <mergeCell ref="BA1883:BA1885"/>
    <mergeCell ref="AV1886:AV1888"/>
    <mergeCell ref="AW1886:AW1888"/>
    <mergeCell ref="AX1886:AX1888"/>
    <mergeCell ref="AY1886:AY1888"/>
    <mergeCell ref="AZ1886:AZ1888"/>
    <mergeCell ref="BA1886:BA1888"/>
    <mergeCell ref="AV1890:AV1892"/>
    <mergeCell ref="AW1890:AW1892"/>
    <mergeCell ref="AX1890:AX1892"/>
    <mergeCell ref="AY1890:AY1892"/>
    <mergeCell ref="AZ1890:AZ1892"/>
    <mergeCell ref="BA1890:BA1892"/>
    <mergeCell ref="AV1895:AV1897"/>
    <mergeCell ref="AW1895:AW1897"/>
    <mergeCell ref="AX1895:AX1897"/>
    <mergeCell ref="AY1895:AY1897"/>
    <mergeCell ref="AZ1895:AZ1897"/>
    <mergeCell ref="BA1895:BA1897"/>
    <mergeCell ref="AV1907:AV1908"/>
    <mergeCell ref="AW1907:AW1908"/>
    <mergeCell ref="AX1907:AX1908"/>
    <mergeCell ref="AY1907:AY1908"/>
    <mergeCell ref="AZ1907:AZ1908"/>
    <mergeCell ref="BA1907:BA1908"/>
    <mergeCell ref="AV1911:AV1912"/>
    <mergeCell ref="AW1911:AW1912"/>
    <mergeCell ref="AX1911:AX1912"/>
    <mergeCell ref="AY1911:AY1912"/>
    <mergeCell ref="AZ1911:AZ1912"/>
    <mergeCell ref="BA1911:BA1912"/>
    <mergeCell ref="AV1917:AV1918"/>
    <mergeCell ref="AW1917:AW1918"/>
    <mergeCell ref="AX1917:AX1918"/>
    <mergeCell ref="AY1917:AY1918"/>
    <mergeCell ref="AZ1917:AZ1918"/>
    <mergeCell ref="BA1917:BA1918"/>
    <mergeCell ref="AV1923:AV1924"/>
    <mergeCell ref="AW1923:AW1924"/>
    <mergeCell ref="AX1923:AX1924"/>
    <mergeCell ref="AY1923:AY1924"/>
    <mergeCell ref="AZ1923:AZ1924"/>
    <mergeCell ref="BA1923:BA1924"/>
    <mergeCell ref="AV1927:AV1930"/>
    <mergeCell ref="AW1927:AW1930"/>
    <mergeCell ref="AX1927:AX1930"/>
    <mergeCell ref="AY1927:AY1930"/>
    <mergeCell ref="AZ1927:AZ1930"/>
    <mergeCell ref="BA1927:BA1930"/>
    <mergeCell ref="AV1931:AV1934"/>
    <mergeCell ref="AW1931:AW1934"/>
    <mergeCell ref="AX1931:AX1934"/>
    <mergeCell ref="AY1931:AY1934"/>
    <mergeCell ref="AZ1931:AZ1934"/>
    <mergeCell ref="BA1931:BA1934"/>
    <mergeCell ref="AV1935:AV1936"/>
    <mergeCell ref="AW1935:AW1936"/>
    <mergeCell ref="AX1935:AX1936"/>
    <mergeCell ref="AY1935:AY1936"/>
    <mergeCell ref="AZ1935:AZ1936"/>
    <mergeCell ref="BA1935:BA1936"/>
    <mergeCell ref="AV1937:AV1938"/>
    <mergeCell ref="AW1937:AW1938"/>
    <mergeCell ref="AX1937:AX1938"/>
    <mergeCell ref="AY1937:AY1938"/>
    <mergeCell ref="AZ1937:AZ1938"/>
    <mergeCell ref="BA1937:BA1938"/>
    <mergeCell ref="AV1943:AV1944"/>
    <mergeCell ref="AW1943:AW1944"/>
    <mergeCell ref="AX1943:AX1944"/>
    <mergeCell ref="AY1943:AY1944"/>
    <mergeCell ref="AZ1943:AZ1944"/>
    <mergeCell ref="BA1943:BA1944"/>
    <mergeCell ref="AV1946:AV1947"/>
    <mergeCell ref="AW1946:AW1947"/>
    <mergeCell ref="AX1946:AX1947"/>
    <mergeCell ref="AY1946:AY1947"/>
    <mergeCell ref="AZ1946:AZ1947"/>
    <mergeCell ref="BA1946:BA1947"/>
    <mergeCell ref="AV1948:AV1950"/>
    <mergeCell ref="AW1948:AW1950"/>
    <mergeCell ref="AX1948:AX1950"/>
    <mergeCell ref="AY1948:AY1950"/>
    <mergeCell ref="AZ1948:AZ1950"/>
    <mergeCell ref="BA1948:BA1950"/>
    <mergeCell ref="AV1956:AV1957"/>
    <mergeCell ref="AW1956:AW1957"/>
    <mergeCell ref="AX1956:AX1957"/>
    <mergeCell ref="AY1956:AY1957"/>
    <mergeCell ref="AZ1956:AZ1957"/>
    <mergeCell ref="BA1956:BA1957"/>
    <mergeCell ref="AV1964:AV1967"/>
    <mergeCell ref="AW1964:AW1967"/>
    <mergeCell ref="AX1964:AX1967"/>
    <mergeCell ref="AY1964:AY1967"/>
    <mergeCell ref="AZ1964:AZ1967"/>
    <mergeCell ref="BA1964:BA1967"/>
    <mergeCell ref="AV1968:AV1971"/>
    <mergeCell ref="AW1968:AW1971"/>
    <mergeCell ref="AX1968:AX1971"/>
    <mergeCell ref="AY1968:AY1971"/>
    <mergeCell ref="AZ1968:AZ1971"/>
    <mergeCell ref="BA1968:BA1971"/>
    <mergeCell ref="AV1974:AV1975"/>
    <mergeCell ref="AW1974:AW1975"/>
    <mergeCell ref="AX1974:AX1975"/>
    <mergeCell ref="AY1974:AY1975"/>
    <mergeCell ref="AZ1974:AZ1975"/>
    <mergeCell ref="BA1974:BA1975"/>
    <mergeCell ref="AV1976:AV1977"/>
    <mergeCell ref="AW1976:AW1977"/>
    <mergeCell ref="AX1976:AX1977"/>
    <mergeCell ref="AY1976:AY1977"/>
    <mergeCell ref="AZ1976:AZ1977"/>
    <mergeCell ref="BA1976:BA1977"/>
    <mergeCell ref="AV1980:AV1983"/>
    <mergeCell ref="AW1980:AW1983"/>
    <mergeCell ref="AX1980:AX1983"/>
    <mergeCell ref="AY1980:AY1983"/>
    <mergeCell ref="AZ1980:AZ1983"/>
    <mergeCell ref="BA1980:BA1983"/>
    <mergeCell ref="AV1984:AV1985"/>
    <mergeCell ref="AW1984:AW1985"/>
    <mergeCell ref="AX1984:AX1985"/>
    <mergeCell ref="AY1984:AY1985"/>
    <mergeCell ref="AZ1984:AZ1985"/>
    <mergeCell ref="BA1984:BA1985"/>
    <mergeCell ref="AV1987:AV1988"/>
    <mergeCell ref="AW1987:AW1988"/>
    <mergeCell ref="AX1987:AX1988"/>
    <mergeCell ref="AY1987:AY1988"/>
    <mergeCell ref="AZ1987:AZ1988"/>
    <mergeCell ref="BA1987:BA1988"/>
    <mergeCell ref="AV1989:AV1990"/>
    <mergeCell ref="AW1989:AW1990"/>
    <mergeCell ref="AX1989:AX1990"/>
    <mergeCell ref="AY1989:AY1990"/>
    <mergeCell ref="AZ1989:AZ1990"/>
    <mergeCell ref="BA1989:BA1990"/>
    <mergeCell ref="AV1991:AV1993"/>
    <mergeCell ref="AW1991:AW1993"/>
    <mergeCell ref="AX1991:AX1993"/>
    <mergeCell ref="AY1991:AY1993"/>
    <mergeCell ref="AZ1991:AZ1993"/>
    <mergeCell ref="BA1991:BA1993"/>
    <mergeCell ref="AV1994:AV1996"/>
    <mergeCell ref="AW1994:AW1996"/>
    <mergeCell ref="AX1994:AX1996"/>
    <mergeCell ref="AY1994:AY1996"/>
    <mergeCell ref="AZ1994:AZ1996"/>
    <mergeCell ref="BA1994:BA1996"/>
    <mergeCell ref="AV1997:AV1999"/>
    <mergeCell ref="AW1997:AW1999"/>
    <mergeCell ref="AX1997:AX1999"/>
    <mergeCell ref="AY1997:AY1999"/>
    <mergeCell ref="AZ1997:AZ1999"/>
    <mergeCell ref="BA1997:BA1999"/>
    <mergeCell ref="AV2000:AV2002"/>
    <mergeCell ref="AW2000:AW2002"/>
    <mergeCell ref="AX2000:AX2002"/>
    <mergeCell ref="AY2000:AY2002"/>
    <mergeCell ref="AZ2000:AZ2002"/>
    <mergeCell ref="BA2000:BA2002"/>
    <mergeCell ref="AV2003:AV2004"/>
    <mergeCell ref="AW2003:AW2004"/>
    <mergeCell ref="AX2003:AX2004"/>
    <mergeCell ref="AY2003:AY2004"/>
    <mergeCell ref="AZ2003:AZ2004"/>
    <mergeCell ref="BA2003:BA2004"/>
    <mergeCell ref="AV2013:AV2014"/>
    <mergeCell ref="AW2013:AW2014"/>
    <mergeCell ref="AX2013:AX2014"/>
    <mergeCell ref="AY2013:AY2014"/>
    <mergeCell ref="AZ2013:AZ2014"/>
    <mergeCell ref="BA2013:BA2014"/>
    <mergeCell ref="AV2016:AV2019"/>
    <mergeCell ref="AW2016:AW2019"/>
    <mergeCell ref="AX2016:AX2019"/>
    <mergeCell ref="AY2016:AY2019"/>
    <mergeCell ref="AZ2016:AZ2019"/>
    <mergeCell ref="BA2016:BA2019"/>
    <mergeCell ref="AV2021:AV2024"/>
    <mergeCell ref="AW2021:AW2024"/>
    <mergeCell ref="AX2021:AX2024"/>
    <mergeCell ref="AY2021:AY2024"/>
    <mergeCell ref="AZ2021:AZ2024"/>
    <mergeCell ref="BA2021:BA2024"/>
    <mergeCell ref="AV2035:AV2037"/>
    <mergeCell ref="AW2035:AW2037"/>
    <mergeCell ref="AX2035:AX2037"/>
    <mergeCell ref="AY2035:AY2037"/>
    <mergeCell ref="AZ2035:AZ2037"/>
    <mergeCell ref="BA2035:BA2037"/>
    <mergeCell ref="AV2038:AV2039"/>
    <mergeCell ref="AW2038:AW2039"/>
    <mergeCell ref="AX2038:AX2039"/>
    <mergeCell ref="AY2038:AY2039"/>
    <mergeCell ref="AZ2038:AZ2039"/>
    <mergeCell ref="BA2038:BA2039"/>
    <mergeCell ref="AV2040:AV2041"/>
    <mergeCell ref="AW2040:AW2041"/>
    <mergeCell ref="AX2040:AX2041"/>
    <mergeCell ref="AY2040:AY2041"/>
    <mergeCell ref="AZ2040:AZ2041"/>
    <mergeCell ref="BA2040:BA2041"/>
    <mergeCell ref="AV2043:AV2044"/>
    <mergeCell ref="AW2043:AW2044"/>
    <mergeCell ref="AX2043:AX2044"/>
    <mergeCell ref="AY2043:AY2044"/>
    <mergeCell ref="AZ2043:AZ2044"/>
    <mergeCell ref="BA2043:BA2044"/>
    <mergeCell ref="AV2045:AV2046"/>
    <mergeCell ref="AW2045:AW2046"/>
    <mergeCell ref="AX2045:AX2046"/>
    <mergeCell ref="AY2045:AY2046"/>
    <mergeCell ref="AZ2045:AZ2046"/>
    <mergeCell ref="BA2045:BA2046"/>
    <mergeCell ref="AV2047:AV2048"/>
    <mergeCell ref="AW2047:AW2048"/>
    <mergeCell ref="AX2047:AX2048"/>
    <mergeCell ref="AY2047:AY2048"/>
    <mergeCell ref="AZ2047:AZ2048"/>
    <mergeCell ref="BA2047:BA2048"/>
    <mergeCell ref="AV2050:AV2051"/>
    <mergeCell ref="AW2050:AW2051"/>
    <mergeCell ref="AX2050:AX2051"/>
    <mergeCell ref="AY2050:AY2051"/>
    <mergeCell ref="AZ2050:AZ2051"/>
    <mergeCell ref="BA2050:BA2051"/>
    <mergeCell ref="AV2060:AV2061"/>
    <mergeCell ref="AW2060:AW2061"/>
    <mergeCell ref="AX2060:AX2061"/>
    <mergeCell ref="AY2060:AY2061"/>
    <mergeCell ref="AZ2060:AZ2061"/>
    <mergeCell ref="BA2060:BA2061"/>
    <mergeCell ref="AV2062:AV2064"/>
    <mergeCell ref="AW2062:AW2064"/>
    <mergeCell ref="AX2062:AX2064"/>
    <mergeCell ref="AY2062:AY2064"/>
    <mergeCell ref="AZ2062:AZ2064"/>
    <mergeCell ref="BA2062:BA2064"/>
    <mergeCell ref="AV2065:AV2067"/>
    <mergeCell ref="AW2065:AW2067"/>
    <mergeCell ref="AX2065:AX2067"/>
    <mergeCell ref="AY2065:AY2067"/>
    <mergeCell ref="AZ2065:AZ2067"/>
    <mergeCell ref="BA2065:BA2067"/>
    <mergeCell ref="AV2068:AV2070"/>
    <mergeCell ref="AW2068:AW2070"/>
    <mergeCell ref="AX2068:AX2070"/>
    <mergeCell ref="AY2068:AY2070"/>
    <mergeCell ref="AZ2068:AZ2070"/>
    <mergeCell ref="BA2068:BA2070"/>
    <mergeCell ref="AV2071:AV2073"/>
    <mergeCell ref="AW2071:AW2073"/>
    <mergeCell ref="AX2071:AX2073"/>
    <mergeCell ref="AY2071:AY2073"/>
    <mergeCell ref="AZ2071:AZ2073"/>
    <mergeCell ref="BA2071:BA2073"/>
    <mergeCell ref="AV2074:AV2076"/>
    <mergeCell ref="AW2074:AW2076"/>
    <mergeCell ref="AX2074:AX2076"/>
    <mergeCell ref="AY2074:AY2076"/>
    <mergeCell ref="AZ2074:AZ2076"/>
    <mergeCell ref="BA2074:BA2076"/>
    <mergeCell ref="AV2077:AV2078"/>
    <mergeCell ref="AW2077:AW2078"/>
    <mergeCell ref="AX2077:AX2078"/>
    <mergeCell ref="AY2077:AY2078"/>
    <mergeCell ref="AZ2077:AZ2078"/>
    <mergeCell ref="BA2077:BA2078"/>
    <mergeCell ref="AV2080:AV2082"/>
    <mergeCell ref="AW2080:AW2082"/>
    <mergeCell ref="AX2080:AX2082"/>
    <mergeCell ref="AY2080:AY2082"/>
    <mergeCell ref="AZ2080:AZ2082"/>
    <mergeCell ref="BA2080:BA2082"/>
    <mergeCell ref="AV2088:AV2090"/>
    <mergeCell ref="AW2088:AW2090"/>
    <mergeCell ref="AX2088:AX2090"/>
    <mergeCell ref="AY2088:AY2090"/>
    <mergeCell ref="AZ2088:AZ2090"/>
    <mergeCell ref="BA2088:BA2090"/>
    <mergeCell ref="AV2092:AV2094"/>
    <mergeCell ref="AW2092:AW2094"/>
    <mergeCell ref="AX2092:AX2094"/>
    <mergeCell ref="AY2092:AY2094"/>
    <mergeCell ref="AZ2092:AZ2094"/>
    <mergeCell ref="BA2092:BA2094"/>
    <mergeCell ref="AV2096:AV2097"/>
    <mergeCell ref="AW2096:AW2097"/>
    <mergeCell ref="AX2096:AX2097"/>
    <mergeCell ref="AY2096:AY2097"/>
    <mergeCell ref="AZ2096:AZ2097"/>
    <mergeCell ref="BA2096:BA2097"/>
    <mergeCell ref="AV2099:AV2100"/>
    <mergeCell ref="AW2099:AW2100"/>
    <mergeCell ref="AX2099:AX2100"/>
    <mergeCell ref="AY2099:AY2100"/>
    <mergeCell ref="AZ2099:AZ2100"/>
    <mergeCell ref="BA2099:BA2100"/>
    <mergeCell ref="AV2101:AV2102"/>
    <mergeCell ref="AW2101:AW2102"/>
    <mergeCell ref="AX2101:AX2102"/>
    <mergeCell ref="AY2101:AY2102"/>
    <mergeCell ref="AZ2101:AZ2102"/>
    <mergeCell ref="BA2101:BA2102"/>
    <mergeCell ref="AV2103:AV2104"/>
    <mergeCell ref="AW2103:AW2104"/>
    <mergeCell ref="AX2103:AX2104"/>
    <mergeCell ref="AY2103:AY2104"/>
    <mergeCell ref="AZ2103:AZ2104"/>
    <mergeCell ref="BA2103:BA2104"/>
    <mergeCell ref="AV2105:AV2106"/>
    <mergeCell ref="AW2105:AW2106"/>
    <mergeCell ref="AX2105:AX2106"/>
    <mergeCell ref="AY2105:AY2106"/>
    <mergeCell ref="AZ2105:AZ2106"/>
    <mergeCell ref="BA2105:BA2106"/>
    <mergeCell ref="AV2107:AV2108"/>
    <mergeCell ref="AW2107:AW2108"/>
    <mergeCell ref="AX2107:AX2108"/>
    <mergeCell ref="AY2107:AY2108"/>
    <mergeCell ref="AZ2107:AZ2108"/>
    <mergeCell ref="BA2107:BA2108"/>
    <mergeCell ref="AV2109:AV2114"/>
    <mergeCell ref="AW2109:AW2114"/>
    <mergeCell ref="AX2109:AX2114"/>
    <mergeCell ref="AY2109:AY2114"/>
    <mergeCell ref="AZ2109:AZ2114"/>
    <mergeCell ref="BA2109:BA2114"/>
    <mergeCell ref="AV2115:AV2120"/>
    <mergeCell ref="AW2115:AW2120"/>
    <mergeCell ref="AX2115:AX2120"/>
    <mergeCell ref="AY2115:AY2120"/>
    <mergeCell ref="AZ2115:AZ2120"/>
    <mergeCell ref="BA2115:BA2120"/>
    <mergeCell ref="AV2121:AV2126"/>
    <mergeCell ref="AW2121:AW2126"/>
    <mergeCell ref="AX2121:AX2126"/>
    <mergeCell ref="AY2121:AY2126"/>
    <mergeCell ref="AZ2121:AZ2126"/>
    <mergeCell ref="BA2121:BA2126"/>
    <mergeCell ref="AV2129:AV2134"/>
    <mergeCell ref="AW2129:AW2134"/>
    <mergeCell ref="AX2129:AX2134"/>
    <mergeCell ref="AY2129:AY2134"/>
    <mergeCell ref="AZ2129:AZ2134"/>
    <mergeCell ref="BA2129:BA2134"/>
    <mergeCell ref="AV2135:AV2136"/>
    <mergeCell ref="AW2135:AW2136"/>
    <mergeCell ref="AX2135:AX2136"/>
    <mergeCell ref="AY2135:AY2136"/>
    <mergeCell ref="AZ2135:AZ2136"/>
    <mergeCell ref="BA2135:BA2136"/>
    <mergeCell ref="AV2140:AV2141"/>
    <mergeCell ref="AW2140:AW2141"/>
    <mergeCell ref="AX2140:AX2141"/>
    <mergeCell ref="AY2140:AY2141"/>
    <mergeCell ref="AZ2140:AZ2141"/>
    <mergeCell ref="BA2140:BA2141"/>
    <mergeCell ref="AV2142:AV2145"/>
    <mergeCell ref="AW2142:AW2145"/>
    <mergeCell ref="AX2142:AX2145"/>
    <mergeCell ref="AY2142:AY2145"/>
    <mergeCell ref="AZ2142:AZ2145"/>
    <mergeCell ref="BA2142:BA2145"/>
    <mergeCell ref="AV2146:AV2147"/>
    <mergeCell ref="AW2146:AW2147"/>
    <mergeCell ref="AX2146:AX2147"/>
    <mergeCell ref="AY2146:AY2147"/>
    <mergeCell ref="AZ2146:AZ2147"/>
    <mergeCell ref="BA2146:BA2147"/>
    <mergeCell ref="AV2148:AV2150"/>
    <mergeCell ref="AW2148:AW2150"/>
    <mergeCell ref="AX2148:AX2150"/>
    <mergeCell ref="AY2148:AY2150"/>
    <mergeCell ref="AZ2148:AZ2150"/>
    <mergeCell ref="BA2148:BA2150"/>
    <mergeCell ref="AV2151:AV2154"/>
    <mergeCell ref="AW2151:AW2154"/>
    <mergeCell ref="AX2151:AX2154"/>
    <mergeCell ref="AY2151:AY2154"/>
    <mergeCell ref="AZ2151:AZ2154"/>
    <mergeCell ref="BA2151:BA2154"/>
    <mergeCell ref="AV2157:AV2158"/>
    <mergeCell ref="AW2157:AW2158"/>
    <mergeCell ref="AX2157:AX2158"/>
    <mergeCell ref="AY2157:AY2158"/>
    <mergeCell ref="AZ2157:AZ2158"/>
    <mergeCell ref="BA2157:BA2158"/>
    <mergeCell ref="AV2159:AV2160"/>
    <mergeCell ref="AW2159:AW2160"/>
    <mergeCell ref="AX2159:AX2160"/>
    <mergeCell ref="AY2159:AY2160"/>
    <mergeCell ref="AZ2159:AZ2160"/>
    <mergeCell ref="BA2159:BA2160"/>
    <mergeCell ref="AV2164:AV2166"/>
    <mergeCell ref="AW2164:AW2166"/>
    <mergeCell ref="AX2164:AX2166"/>
    <mergeCell ref="AY2164:AY2166"/>
    <mergeCell ref="AZ2164:AZ2166"/>
    <mergeCell ref="BA2164:BA2166"/>
    <mergeCell ref="AV2167:AV2169"/>
    <mergeCell ref="AW2167:AW2169"/>
    <mergeCell ref="AX2167:AX2169"/>
    <mergeCell ref="AY2167:AY2169"/>
    <mergeCell ref="AZ2167:AZ2169"/>
    <mergeCell ref="BA2167:BA2169"/>
    <mergeCell ref="AV2178:AV2179"/>
    <mergeCell ref="AW2178:AW2179"/>
    <mergeCell ref="AX2178:AX2179"/>
    <mergeCell ref="AY2178:AY2179"/>
    <mergeCell ref="AZ2178:AZ2179"/>
    <mergeCell ref="BA2178:BA2179"/>
    <mergeCell ref="AV2181:AV2182"/>
    <mergeCell ref="AW2181:AW2182"/>
    <mergeCell ref="AX2181:AX2182"/>
    <mergeCell ref="AY2181:AY2182"/>
    <mergeCell ref="AZ2181:AZ2182"/>
    <mergeCell ref="BA2181:BA2182"/>
    <mergeCell ref="AV2183:AV2184"/>
    <mergeCell ref="AW2183:AW2184"/>
    <mergeCell ref="AX2183:AX2184"/>
    <mergeCell ref="AY2183:AY2184"/>
    <mergeCell ref="AZ2183:AZ2184"/>
    <mergeCell ref="BA2183:BA2184"/>
    <mergeCell ref="AV2185:AV2186"/>
    <mergeCell ref="AW2185:AW2186"/>
    <mergeCell ref="AX2185:AX2186"/>
    <mergeCell ref="AY2185:AY2186"/>
    <mergeCell ref="AZ2185:AZ2186"/>
    <mergeCell ref="BA2185:BA2186"/>
    <mergeCell ref="AV2188:AV2189"/>
    <mergeCell ref="AW2188:AW2189"/>
    <mergeCell ref="AX2188:AX2189"/>
    <mergeCell ref="AY2188:AY2189"/>
    <mergeCell ref="AZ2188:AZ2189"/>
    <mergeCell ref="BA2188:BA2189"/>
    <mergeCell ref="AV2191:AV2192"/>
    <mergeCell ref="AW2191:AW2192"/>
    <mergeCell ref="AX2191:AX2192"/>
    <mergeCell ref="AY2191:AY2192"/>
    <mergeCell ref="AZ2191:AZ2192"/>
    <mergeCell ref="BA2191:BA2192"/>
    <mergeCell ref="AV2193:AV2194"/>
    <mergeCell ref="AW2193:AW2194"/>
    <mergeCell ref="AX2193:AX2194"/>
    <mergeCell ref="AY2193:AY2194"/>
    <mergeCell ref="AZ2193:AZ2194"/>
    <mergeCell ref="BA2193:BA2194"/>
    <mergeCell ref="AV2196:AV2198"/>
    <mergeCell ref="AW2196:AW2198"/>
    <mergeCell ref="AX2196:AX2198"/>
    <mergeCell ref="AY2196:AY2198"/>
    <mergeCell ref="AZ2196:AZ2198"/>
    <mergeCell ref="BA2196:BA2198"/>
    <mergeCell ref="AV2199:AV2202"/>
    <mergeCell ref="AW2199:AW2202"/>
    <mergeCell ref="AX2199:AX2202"/>
    <mergeCell ref="AY2199:AY2202"/>
    <mergeCell ref="AZ2199:AZ2202"/>
    <mergeCell ref="BA2199:BA2202"/>
    <mergeCell ref="AV2203:AV2204"/>
    <mergeCell ref="AW2203:AW2204"/>
    <mergeCell ref="AX2203:AX2204"/>
    <mergeCell ref="AY2203:AY2204"/>
    <mergeCell ref="AZ2203:AZ2204"/>
    <mergeCell ref="BA2203:BA2204"/>
    <mergeCell ref="AV2206:AV2207"/>
    <mergeCell ref="AW2206:AW2207"/>
    <mergeCell ref="AX2206:AX2207"/>
    <mergeCell ref="AY2206:AY2207"/>
    <mergeCell ref="AZ2206:AZ2207"/>
    <mergeCell ref="BA2206:BA2207"/>
    <mergeCell ref="AV2212:AV2215"/>
    <mergeCell ref="AW2212:AW2215"/>
    <mergeCell ref="AX2212:AX2215"/>
    <mergeCell ref="AY2212:AY2215"/>
    <mergeCell ref="AZ2212:AZ2215"/>
    <mergeCell ref="BA2212:BA2215"/>
    <mergeCell ref="AV2216:AV2218"/>
    <mergeCell ref="AW2216:AW2218"/>
    <mergeCell ref="AX2216:AX2218"/>
    <mergeCell ref="AY2216:AY2218"/>
    <mergeCell ref="AZ2216:AZ2218"/>
    <mergeCell ref="BA2216:BA2218"/>
    <mergeCell ref="AV2219:AV2221"/>
    <mergeCell ref="AW2219:AW2221"/>
    <mergeCell ref="AX2219:AX2221"/>
    <mergeCell ref="AY2219:AY2221"/>
    <mergeCell ref="AZ2219:AZ2221"/>
    <mergeCell ref="BA2219:BA2221"/>
    <mergeCell ref="AV2222:AV2225"/>
    <mergeCell ref="AW2222:AW2225"/>
    <mergeCell ref="AX2222:AX2225"/>
    <mergeCell ref="AY2222:AY2225"/>
    <mergeCell ref="AZ2222:AZ2225"/>
    <mergeCell ref="BA2222:BA2225"/>
    <mergeCell ref="AV2233:AV2234"/>
    <mergeCell ref="AW2233:AW2234"/>
    <mergeCell ref="AX2233:AX2234"/>
    <mergeCell ref="AY2233:AY2234"/>
    <mergeCell ref="AZ2233:AZ2234"/>
    <mergeCell ref="BA2233:BA2234"/>
    <mergeCell ref="AV2235:AV2236"/>
    <mergeCell ref="AW2235:AW2236"/>
    <mergeCell ref="AX2235:AX2236"/>
    <mergeCell ref="AY2235:AY2236"/>
    <mergeCell ref="AZ2235:AZ2236"/>
    <mergeCell ref="BA2235:BA2236"/>
    <mergeCell ref="AV2237:AV2238"/>
    <mergeCell ref="AW2237:AW2238"/>
    <mergeCell ref="AX2237:AX2238"/>
    <mergeCell ref="AY2237:AY2238"/>
    <mergeCell ref="AZ2237:AZ2238"/>
    <mergeCell ref="BA2237:BA2238"/>
    <mergeCell ref="AV2240:AV2241"/>
    <mergeCell ref="AW2240:AW2241"/>
    <mergeCell ref="AX2240:AX2241"/>
    <mergeCell ref="AY2240:AY2241"/>
    <mergeCell ref="AZ2240:AZ2241"/>
    <mergeCell ref="BA2240:BA2241"/>
    <mergeCell ref="AV2243:AV2247"/>
    <mergeCell ref="AW2243:AW2247"/>
    <mergeCell ref="AX2243:AX2247"/>
    <mergeCell ref="AY2243:AY2247"/>
    <mergeCell ref="AZ2243:AZ2247"/>
    <mergeCell ref="BA2243:BA2247"/>
    <mergeCell ref="AV2257:AV2258"/>
    <mergeCell ref="AW2257:AW2258"/>
    <mergeCell ref="AX2257:AX2258"/>
    <mergeCell ref="AY2257:AY2258"/>
    <mergeCell ref="AZ2257:AZ2258"/>
    <mergeCell ref="BA2257:BA2258"/>
    <mergeCell ref="AV2259:AV2260"/>
    <mergeCell ref="AW2259:AW2260"/>
    <mergeCell ref="AX2259:AX2260"/>
    <mergeCell ref="AY2259:AY2260"/>
    <mergeCell ref="AZ2259:AZ2260"/>
    <mergeCell ref="BA2259:BA2260"/>
    <mergeCell ref="AV2262:AV2263"/>
    <mergeCell ref="AW2262:AW2263"/>
    <mergeCell ref="AX2262:AX2263"/>
    <mergeCell ref="AY2262:AY2263"/>
    <mergeCell ref="AZ2262:AZ2263"/>
    <mergeCell ref="BA2262:BA2263"/>
    <mergeCell ref="AV2267:AV2269"/>
    <mergeCell ref="AW2267:AW2269"/>
    <mergeCell ref="AX2267:AX2269"/>
    <mergeCell ref="AY2267:AY2269"/>
    <mergeCell ref="AZ2267:AZ2269"/>
    <mergeCell ref="BA2267:BA2269"/>
    <mergeCell ref="AV2272:AV2273"/>
    <mergeCell ref="AW2272:AW2273"/>
    <mergeCell ref="AX2272:AX2273"/>
    <mergeCell ref="AY2272:AY2273"/>
    <mergeCell ref="AZ2272:AZ2273"/>
    <mergeCell ref="BA2272:BA2273"/>
    <mergeCell ref="AV2277:AV2279"/>
    <mergeCell ref="AW2277:AW2279"/>
    <mergeCell ref="AX2277:AX2279"/>
    <mergeCell ref="AY2277:AY2279"/>
    <mergeCell ref="AZ2277:AZ2279"/>
    <mergeCell ref="BA2277:BA2279"/>
    <mergeCell ref="AV2280:AV2281"/>
    <mergeCell ref="AW2280:AW2281"/>
    <mergeCell ref="AX2280:AX2281"/>
    <mergeCell ref="AY2280:AY2281"/>
    <mergeCell ref="AZ2280:AZ2281"/>
    <mergeCell ref="BA2280:BA2281"/>
    <mergeCell ref="AV2282:AV2283"/>
    <mergeCell ref="AW2282:AW2283"/>
    <mergeCell ref="AX2282:AX2283"/>
    <mergeCell ref="AY2282:AY2283"/>
    <mergeCell ref="AZ2282:AZ2283"/>
    <mergeCell ref="BA2282:BA2283"/>
    <mergeCell ref="AV2286:AV2287"/>
    <mergeCell ref="AW2286:AW2287"/>
    <mergeCell ref="AX2286:AX2287"/>
    <mergeCell ref="AY2286:AY2287"/>
    <mergeCell ref="AZ2286:AZ2287"/>
    <mergeCell ref="BA2286:BA2287"/>
    <mergeCell ref="AV2291:AV2292"/>
    <mergeCell ref="AW2291:AW2292"/>
    <mergeCell ref="AX2291:AX2292"/>
    <mergeCell ref="AY2291:AY2292"/>
    <mergeCell ref="AZ2291:AZ2292"/>
    <mergeCell ref="BA2291:BA2292"/>
    <mergeCell ref="AV2293:AV2294"/>
    <mergeCell ref="AW2293:AW2294"/>
    <mergeCell ref="AX2293:AX2294"/>
    <mergeCell ref="AY2293:AY2294"/>
    <mergeCell ref="AZ2293:AZ2294"/>
    <mergeCell ref="BA2293:BA2294"/>
    <mergeCell ref="AV2295:AV2296"/>
    <mergeCell ref="AW2295:AW2296"/>
    <mergeCell ref="AX2295:AX2296"/>
    <mergeCell ref="AY2295:AY2296"/>
    <mergeCell ref="AZ2295:AZ2296"/>
    <mergeCell ref="BA2295:BA2296"/>
    <mergeCell ref="AV2297:AV2298"/>
    <mergeCell ref="AW2297:AW2298"/>
    <mergeCell ref="AX2297:AX2298"/>
    <mergeCell ref="AY2297:AY2298"/>
    <mergeCell ref="AZ2297:AZ2298"/>
    <mergeCell ref="BA2297:BA2298"/>
    <mergeCell ref="AV2303:AV2304"/>
    <mergeCell ref="AW2303:AW2304"/>
    <mergeCell ref="AX2303:AX2304"/>
    <mergeCell ref="AY2303:AY2304"/>
    <mergeCell ref="AZ2303:AZ2304"/>
    <mergeCell ref="BA2303:BA2304"/>
    <mergeCell ref="AV2308:AV2309"/>
    <mergeCell ref="AW2308:AW2309"/>
    <mergeCell ref="AX2308:AX2309"/>
    <mergeCell ref="AY2308:AY2309"/>
    <mergeCell ref="AZ2308:AZ2309"/>
    <mergeCell ref="BA2308:BA2309"/>
    <mergeCell ref="AV2311:AV2312"/>
    <mergeCell ref="AW2311:AW2312"/>
    <mergeCell ref="AX2311:AX2312"/>
    <mergeCell ref="AY2311:AY2312"/>
    <mergeCell ref="AZ2311:AZ2312"/>
    <mergeCell ref="BA2311:BA2312"/>
    <mergeCell ref="AV2323:AV2328"/>
    <mergeCell ref="AW2323:AW2328"/>
    <mergeCell ref="AX2323:AX2328"/>
    <mergeCell ref="AY2323:AY2328"/>
    <mergeCell ref="AZ2323:AZ2328"/>
    <mergeCell ref="BA2323:BA2328"/>
    <mergeCell ref="AV2329:AV2332"/>
    <mergeCell ref="AW2329:AW2332"/>
    <mergeCell ref="AX2329:AX2332"/>
    <mergeCell ref="AY2329:AY2332"/>
    <mergeCell ref="AZ2329:AZ2332"/>
    <mergeCell ref="BA2329:BA2332"/>
    <mergeCell ref="AV2333:AV2336"/>
    <mergeCell ref="AW2333:AW2336"/>
    <mergeCell ref="AX2333:AX2336"/>
    <mergeCell ref="AY2333:AY2336"/>
    <mergeCell ref="AZ2333:AZ2336"/>
    <mergeCell ref="BA2333:BA2336"/>
    <mergeCell ref="AV2340:AV2342"/>
    <mergeCell ref="AW2340:AW2342"/>
    <mergeCell ref="AX2340:AX2342"/>
    <mergeCell ref="AY2340:AY2342"/>
    <mergeCell ref="AZ2340:AZ2342"/>
    <mergeCell ref="BA2340:BA2342"/>
    <mergeCell ref="AV2343:AV2345"/>
    <mergeCell ref="AW2343:AW2345"/>
    <mergeCell ref="AX2343:AX2345"/>
    <mergeCell ref="AY2343:AY2345"/>
    <mergeCell ref="AZ2343:AZ2345"/>
    <mergeCell ref="BA2343:BA2345"/>
    <mergeCell ref="AV2346:AV2347"/>
    <mergeCell ref="AW2346:AW2347"/>
    <mergeCell ref="AX2346:AX2347"/>
    <mergeCell ref="AY2346:AY2347"/>
    <mergeCell ref="AZ2346:AZ2347"/>
    <mergeCell ref="BA2346:BA2347"/>
    <mergeCell ref="AV2351:AV2354"/>
    <mergeCell ref="AW2351:AW2354"/>
    <mergeCell ref="AX2351:AX2354"/>
    <mergeCell ref="AY2351:AY2354"/>
    <mergeCell ref="AZ2351:AZ2354"/>
    <mergeCell ref="BA2351:BA2354"/>
    <mergeCell ref="AV2355:AV2359"/>
    <mergeCell ref="AW2355:AW2359"/>
    <mergeCell ref="AX2355:AX2359"/>
    <mergeCell ref="AY2355:AY2359"/>
    <mergeCell ref="AZ2355:AZ2359"/>
    <mergeCell ref="BA2355:BA2359"/>
    <mergeCell ref="AV2363:AV2364"/>
    <mergeCell ref="AW2363:AW2364"/>
    <mergeCell ref="AX2363:AX2364"/>
    <mergeCell ref="AY2363:AY2364"/>
    <mergeCell ref="AZ2363:AZ2364"/>
    <mergeCell ref="BA2363:BA2364"/>
    <mergeCell ref="AV2365:AV2366"/>
    <mergeCell ref="AW2365:AW2366"/>
    <mergeCell ref="AX2365:AX2366"/>
    <mergeCell ref="AY2365:AY2366"/>
    <mergeCell ref="AZ2365:AZ2366"/>
    <mergeCell ref="BA2365:BA2366"/>
    <mergeCell ref="AV2367:AV2369"/>
    <mergeCell ref="AW2367:AW2369"/>
    <mergeCell ref="AX2367:AX2369"/>
    <mergeCell ref="AY2367:AY2369"/>
    <mergeCell ref="AZ2367:AZ2369"/>
    <mergeCell ref="BA2367:BA2369"/>
    <mergeCell ref="AV2370:AV2373"/>
    <mergeCell ref="AW2370:AW2373"/>
    <mergeCell ref="AX2370:AX2373"/>
    <mergeCell ref="AY2370:AY2373"/>
    <mergeCell ref="AZ2370:AZ2373"/>
    <mergeCell ref="BA2370:BA2373"/>
    <mergeCell ref="AV2378:AV2380"/>
    <mergeCell ref="AW2378:AW2380"/>
    <mergeCell ref="AX2378:AX2380"/>
    <mergeCell ref="AY2378:AY2380"/>
    <mergeCell ref="AZ2378:AZ2380"/>
    <mergeCell ref="BA2378:BA2380"/>
    <mergeCell ref="AV2381:AV2384"/>
    <mergeCell ref="AW2381:AW2384"/>
    <mergeCell ref="AX2381:AX2384"/>
    <mergeCell ref="AY2381:AY2384"/>
    <mergeCell ref="AZ2381:AZ2384"/>
    <mergeCell ref="BA2381:BA2384"/>
    <mergeCell ref="AV2385:AV2387"/>
    <mergeCell ref="AW2385:AW2387"/>
    <mergeCell ref="AX2385:AX2387"/>
    <mergeCell ref="AY2385:AY2387"/>
    <mergeCell ref="AZ2385:AZ2387"/>
    <mergeCell ref="BA2385:BA2387"/>
    <mergeCell ref="AV2388:AV2392"/>
    <mergeCell ref="AW2388:AW2392"/>
    <mergeCell ref="AX2388:AX2392"/>
    <mergeCell ref="AY2388:AY2392"/>
    <mergeCell ref="AZ2388:AZ2392"/>
    <mergeCell ref="BA2388:BA2392"/>
    <mergeCell ref="AV2393:AV2394"/>
    <mergeCell ref="AW2393:AW2394"/>
    <mergeCell ref="AX2393:AX2394"/>
    <mergeCell ref="AY2393:AY2394"/>
    <mergeCell ref="AZ2393:AZ2394"/>
    <mergeCell ref="BA2393:BA2394"/>
    <mergeCell ref="AV2395:AV2396"/>
    <mergeCell ref="AW2395:AW2396"/>
    <mergeCell ref="AX2395:AX2396"/>
    <mergeCell ref="AY2395:AY2396"/>
    <mergeCell ref="AZ2395:AZ2396"/>
    <mergeCell ref="BA2395:BA2396"/>
    <mergeCell ref="AV2399:AV2400"/>
    <mergeCell ref="AW2399:AW2400"/>
    <mergeCell ref="AX2399:AX2400"/>
    <mergeCell ref="AY2399:AY2400"/>
    <mergeCell ref="AZ2399:AZ2400"/>
    <mergeCell ref="BA2399:BA2400"/>
    <mergeCell ref="AV2401:AV2403"/>
    <mergeCell ref="AW2401:AW2403"/>
    <mergeCell ref="AX2401:AX2403"/>
    <mergeCell ref="AY2401:AY2403"/>
    <mergeCell ref="AZ2401:AZ2403"/>
    <mergeCell ref="BA2401:BA2403"/>
    <mergeCell ref="AV2404:AV2406"/>
    <mergeCell ref="AW2404:AW2406"/>
    <mergeCell ref="AX2404:AX2406"/>
    <mergeCell ref="AY2404:AY2406"/>
    <mergeCell ref="AZ2404:AZ2406"/>
    <mergeCell ref="BA2404:BA2406"/>
    <mergeCell ref="AV2407:AV2410"/>
    <mergeCell ref="AW2407:AW2410"/>
    <mergeCell ref="AX2407:AX2410"/>
    <mergeCell ref="AY2407:AY2410"/>
    <mergeCell ref="AZ2407:AZ2410"/>
    <mergeCell ref="BA2407:BA2410"/>
    <mergeCell ref="AV2411:AV2413"/>
    <mergeCell ref="AW2411:AW2413"/>
    <mergeCell ref="AX2411:AX2413"/>
    <mergeCell ref="AY2411:AY2413"/>
    <mergeCell ref="AZ2411:AZ2413"/>
    <mergeCell ref="BA2411:BA2413"/>
    <mergeCell ref="AV2414:AV2416"/>
    <mergeCell ref="AW2414:AW2416"/>
    <mergeCell ref="AX2414:AX2416"/>
    <mergeCell ref="AY2414:AY2416"/>
    <mergeCell ref="AZ2414:AZ2416"/>
    <mergeCell ref="BA2414:BA2416"/>
    <mergeCell ref="AV2417:AV2418"/>
    <mergeCell ref="AW2417:AW2418"/>
    <mergeCell ref="AX2417:AX2418"/>
    <mergeCell ref="AY2417:AY2418"/>
    <mergeCell ref="AZ2417:AZ2418"/>
    <mergeCell ref="BA2417:BA2418"/>
    <mergeCell ref="AV2420:AV2421"/>
    <mergeCell ref="AW2420:AW2421"/>
    <mergeCell ref="AX2420:AX2421"/>
    <mergeCell ref="AY2420:AY2421"/>
    <mergeCell ref="AZ2420:AZ2421"/>
    <mergeCell ref="BA2420:BA2421"/>
    <mergeCell ref="AV2422:AV2423"/>
    <mergeCell ref="AW2422:AW2423"/>
    <mergeCell ref="AX2422:AX2423"/>
    <mergeCell ref="AY2422:AY2423"/>
    <mergeCell ref="AZ2422:AZ2423"/>
    <mergeCell ref="BA2422:BA2423"/>
    <mergeCell ref="AV2424:AV2425"/>
    <mergeCell ref="AW2424:AW2425"/>
    <mergeCell ref="AX2424:AX2425"/>
    <mergeCell ref="AY2424:AY2425"/>
    <mergeCell ref="AZ2424:AZ2425"/>
    <mergeCell ref="BA2424:BA2425"/>
    <mergeCell ref="AV2426:AV2427"/>
    <mergeCell ref="AW2426:AW2427"/>
    <mergeCell ref="AX2426:AX2427"/>
    <mergeCell ref="AY2426:AY2427"/>
    <mergeCell ref="AZ2426:AZ2427"/>
    <mergeCell ref="BA2426:BA2427"/>
    <mergeCell ref="AV2430:AV2431"/>
    <mergeCell ref="AW2430:AW2431"/>
    <mergeCell ref="AX2430:AX2431"/>
    <mergeCell ref="AY2430:AY2431"/>
    <mergeCell ref="AZ2430:AZ2431"/>
    <mergeCell ref="BA2430:BA2431"/>
    <mergeCell ref="AV2433:AV2436"/>
    <mergeCell ref="AW2433:AW2436"/>
    <mergeCell ref="AX2433:AX2436"/>
    <mergeCell ref="AY2433:AY2436"/>
    <mergeCell ref="AZ2433:AZ2436"/>
    <mergeCell ref="BA2433:BA2436"/>
    <mergeCell ref="AV2443:AV2446"/>
    <mergeCell ref="AW2443:AW2446"/>
    <mergeCell ref="AX2443:AX2446"/>
    <mergeCell ref="AY2443:AY2446"/>
    <mergeCell ref="AZ2443:AZ2446"/>
    <mergeCell ref="BA2443:BA2446"/>
    <mergeCell ref="AV2447:AV2448"/>
    <mergeCell ref="AW2447:AW2448"/>
    <mergeCell ref="AX2447:AX2448"/>
    <mergeCell ref="AY2447:AY2448"/>
    <mergeCell ref="AZ2447:AZ2448"/>
    <mergeCell ref="BA2447:BA2448"/>
    <mergeCell ref="AV2452:AV2453"/>
    <mergeCell ref="AW2452:AW2453"/>
    <mergeCell ref="AX2452:AX2453"/>
    <mergeCell ref="AY2452:AY2453"/>
    <mergeCell ref="AZ2452:AZ2453"/>
    <mergeCell ref="BA2452:BA2453"/>
    <mergeCell ref="AV2461:AV2462"/>
    <mergeCell ref="AW2461:AW2462"/>
    <mergeCell ref="AX2461:AX2462"/>
    <mergeCell ref="AY2461:AY2462"/>
    <mergeCell ref="AZ2461:AZ2462"/>
    <mergeCell ref="BA2461:BA2462"/>
    <mergeCell ref="AV2463:AV2464"/>
    <mergeCell ref="AW2463:AW2464"/>
    <mergeCell ref="AX2463:AX2464"/>
    <mergeCell ref="AY2463:AY2464"/>
    <mergeCell ref="AZ2463:AZ2464"/>
    <mergeCell ref="BA2463:BA2464"/>
    <mergeCell ref="AV2476:AV2477"/>
    <mergeCell ref="AW2476:AW2477"/>
    <mergeCell ref="AX2476:AX2477"/>
    <mergeCell ref="AY2476:AY2477"/>
    <mergeCell ref="AZ2476:AZ2477"/>
    <mergeCell ref="BA2476:BA2477"/>
    <mergeCell ref="AV2479:AV2480"/>
    <mergeCell ref="AW2479:AW2480"/>
    <mergeCell ref="AX2479:AX2480"/>
    <mergeCell ref="AY2479:AY2480"/>
    <mergeCell ref="AZ2479:AZ2480"/>
    <mergeCell ref="BA2479:BA2480"/>
    <mergeCell ref="AV2486:AV2487"/>
    <mergeCell ref="AW2486:AW2487"/>
    <mergeCell ref="AX2486:AX2487"/>
    <mergeCell ref="AY2486:AY2487"/>
    <mergeCell ref="AZ2486:AZ2487"/>
    <mergeCell ref="BA2486:BA2487"/>
    <mergeCell ref="AV2488:AV2489"/>
    <mergeCell ref="AW2488:AW2489"/>
    <mergeCell ref="AX2488:AX2489"/>
    <mergeCell ref="AY2488:AY2489"/>
    <mergeCell ref="AZ2488:AZ2489"/>
    <mergeCell ref="BA2488:BA2489"/>
    <mergeCell ref="AV2492:AV2493"/>
    <mergeCell ref="AW2492:AW2493"/>
    <mergeCell ref="AX2492:AX2493"/>
    <mergeCell ref="AY2492:AY2493"/>
    <mergeCell ref="AZ2492:AZ2493"/>
    <mergeCell ref="BA2492:BA2493"/>
    <mergeCell ref="AV2502:AV2505"/>
    <mergeCell ref="AW2502:AW2505"/>
    <mergeCell ref="AX2502:AX2505"/>
    <mergeCell ref="AY2502:AY2505"/>
    <mergeCell ref="AZ2502:AZ2505"/>
    <mergeCell ref="BA2502:BA2505"/>
    <mergeCell ref="AV2508:AV2509"/>
    <mergeCell ref="AW2508:AW2509"/>
    <mergeCell ref="AX2508:AX2509"/>
    <mergeCell ref="AY2508:AY2509"/>
    <mergeCell ref="AZ2508:AZ2509"/>
    <mergeCell ref="BA2508:BA2509"/>
    <mergeCell ref="AV2512:AV2515"/>
    <mergeCell ref="AW2512:AW2515"/>
    <mergeCell ref="AX2512:AX2515"/>
    <mergeCell ref="AY2512:AY2515"/>
    <mergeCell ref="AZ2512:AZ2515"/>
    <mergeCell ref="BA2512:BA2515"/>
    <mergeCell ref="AV2517:AV2518"/>
    <mergeCell ref="AW2517:AW2518"/>
    <mergeCell ref="AX2517:AX2518"/>
    <mergeCell ref="AY2517:AY2518"/>
    <mergeCell ref="AZ2517:AZ2518"/>
    <mergeCell ref="BA2517:BA2518"/>
    <mergeCell ref="AV2519:AV2520"/>
    <mergeCell ref="AW2519:AW2520"/>
    <mergeCell ref="AX2519:AX2520"/>
    <mergeCell ref="AY2519:AY2520"/>
    <mergeCell ref="AZ2519:AZ2520"/>
    <mergeCell ref="BA2519:BA2520"/>
    <mergeCell ref="AV2521:AV2522"/>
    <mergeCell ref="AW2521:AW2522"/>
    <mergeCell ref="AX2521:AX2522"/>
    <mergeCell ref="AY2521:AY2522"/>
    <mergeCell ref="AZ2521:AZ2522"/>
    <mergeCell ref="BA2521:BA2522"/>
    <mergeCell ref="AV2528:AV2530"/>
    <mergeCell ref="AW2528:AW2530"/>
    <mergeCell ref="AX2528:AX2530"/>
    <mergeCell ref="AY2528:AY2530"/>
    <mergeCell ref="AZ2528:AZ2530"/>
    <mergeCell ref="BA2528:BA2530"/>
    <mergeCell ref="AV2531:AV2533"/>
    <mergeCell ref="AW2531:AW2533"/>
    <mergeCell ref="AX2531:AX2533"/>
    <mergeCell ref="AY2531:AY2533"/>
    <mergeCell ref="AZ2531:AZ2533"/>
    <mergeCell ref="BA2531:BA2533"/>
    <mergeCell ref="AV2534:AV2536"/>
    <mergeCell ref="AW2534:AW2536"/>
    <mergeCell ref="AX2534:AX2536"/>
    <mergeCell ref="AY2534:AY2536"/>
    <mergeCell ref="AZ2534:AZ2536"/>
    <mergeCell ref="BA2534:BA2536"/>
    <mergeCell ref="AV2543:AV2544"/>
    <mergeCell ref="AW2543:AW2544"/>
    <mergeCell ref="AX2543:AX2544"/>
    <mergeCell ref="AY2543:AY2544"/>
    <mergeCell ref="AZ2543:AZ2544"/>
    <mergeCell ref="BA2543:BA2544"/>
    <mergeCell ref="AV2550:AV2551"/>
    <mergeCell ref="AW2550:AW2551"/>
    <mergeCell ref="AX2550:AX2551"/>
    <mergeCell ref="AY2550:AY2551"/>
    <mergeCell ref="AZ2550:AZ2551"/>
    <mergeCell ref="BA2550:BA2551"/>
    <mergeCell ref="AV2557:AV2559"/>
    <mergeCell ref="AW2557:AW2559"/>
    <mergeCell ref="AX2557:AX2559"/>
    <mergeCell ref="AY2557:AY2559"/>
    <mergeCell ref="AZ2557:AZ2559"/>
    <mergeCell ref="BA2557:BA2559"/>
    <mergeCell ref="AV2560:AV2562"/>
    <mergeCell ref="AW2560:AW2562"/>
    <mergeCell ref="AX2560:AX2562"/>
    <mergeCell ref="AY2560:AY2562"/>
    <mergeCell ref="AZ2560:AZ2562"/>
    <mergeCell ref="BA2560:BA2562"/>
    <mergeCell ref="AV2563:AV2565"/>
    <mergeCell ref="AW2563:AW2565"/>
    <mergeCell ref="AX2563:AX2565"/>
    <mergeCell ref="AY2563:AY2565"/>
    <mergeCell ref="AZ2563:AZ2565"/>
    <mergeCell ref="BA2563:BA2565"/>
    <mergeCell ref="AV2566:AV2568"/>
    <mergeCell ref="AW2566:AW2568"/>
    <mergeCell ref="AX2566:AX2568"/>
    <mergeCell ref="AY2566:AY2568"/>
    <mergeCell ref="AZ2566:AZ2568"/>
    <mergeCell ref="BA2566:BA2568"/>
    <mergeCell ref="AV2571:AV2572"/>
    <mergeCell ref="AW2571:AW2572"/>
    <mergeCell ref="AX2571:AX2572"/>
    <mergeCell ref="AY2571:AY2572"/>
    <mergeCell ref="AZ2571:AZ2572"/>
    <mergeCell ref="BA2571:BA2572"/>
    <mergeCell ref="AV2576:AV2578"/>
    <mergeCell ref="AW2576:AW2578"/>
    <mergeCell ref="AX2576:AX2578"/>
    <mergeCell ref="AY2576:AY2578"/>
    <mergeCell ref="AZ2576:AZ2578"/>
    <mergeCell ref="BA2576:BA2578"/>
    <mergeCell ref="AV2586:AV2587"/>
    <mergeCell ref="AW2586:AW2587"/>
    <mergeCell ref="AX2586:AX2587"/>
    <mergeCell ref="AY2586:AY2587"/>
    <mergeCell ref="AZ2586:AZ2587"/>
    <mergeCell ref="BA2586:BA2587"/>
    <mergeCell ref="AV2592:AV2593"/>
    <mergeCell ref="AW2592:AW2593"/>
    <mergeCell ref="AX2592:AX2593"/>
    <mergeCell ref="AY2592:AY2593"/>
    <mergeCell ref="AZ2592:AZ2593"/>
    <mergeCell ref="BA2592:BA2593"/>
    <mergeCell ref="AV2595:AV2598"/>
    <mergeCell ref="AW2595:AW2598"/>
    <mergeCell ref="AX2595:AX2598"/>
    <mergeCell ref="AY2595:AY2598"/>
    <mergeCell ref="AZ2595:AZ2598"/>
    <mergeCell ref="BA2595:BA2598"/>
    <mergeCell ref="AV2599:AV2600"/>
    <mergeCell ref="AW2599:AW2600"/>
    <mergeCell ref="AX2599:AX2600"/>
    <mergeCell ref="AY2599:AY2600"/>
    <mergeCell ref="AZ2599:AZ2600"/>
    <mergeCell ref="BA2599:BA2600"/>
    <mergeCell ref="AV2601:AV2602"/>
    <mergeCell ref="AW2601:AW2602"/>
    <mergeCell ref="AX2601:AX2602"/>
    <mergeCell ref="AY2601:AY2602"/>
    <mergeCell ref="AZ2601:AZ2602"/>
    <mergeCell ref="BA2601:BA2602"/>
    <mergeCell ref="AV2603:AV2604"/>
    <mergeCell ref="AW2603:AW2604"/>
    <mergeCell ref="AX2603:AX2604"/>
    <mergeCell ref="AY2603:AY2604"/>
    <mergeCell ref="AZ2603:AZ2604"/>
    <mergeCell ref="BA2603:BA2604"/>
    <mergeCell ref="AV2606:AV2607"/>
    <mergeCell ref="AW2606:AW2607"/>
    <mergeCell ref="AX2606:AX2607"/>
    <mergeCell ref="AY2606:AY2607"/>
    <mergeCell ref="AZ2606:AZ2607"/>
    <mergeCell ref="BA2606:BA2607"/>
    <mergeCell ref="BB6:BB7"/>
    <mergeCell ref="BB163:BB164"/>
    <mergeCell ref="BB165:BB166"/>
    <mergeCell ref="BB234:BB235"/>
    <mergeCell ref="BB236:BB237"/>
    <mergeCell ref="BB251:BB252"/>
    <mergeCell ref="BB278:BB279"/>
    <mergeCell ref="BB284:BB286"/>
    <mergeCell ref="BB289:BB290"/>
    <mergeCell ref="BB291:BB293"/>
    <mergeCell ref="BB295:BB296"/>
    <mergeCell ref="BB329:BB330"/>
    <mergeCell ref="BB331:BB332"/>
    <mergeCell ref="BB333:BB334"/>
    <mergeCell ref="BB335:BB336"/>
    <mergeCell ref="BB337:BB338"/>
    <mergeCell ref="BB339:BB340"/>
    <mergeCell ref="BB341:BB342"/>
    <mergeCell ref="BB343:BB344"/>
    <mergeCell ref="BB345:BB346"/>
    <mergeCell ref="BB366:BB367"/>
    <mergeCell ref="BB415:BB416"/>
    <mergeCell ref="BB417:BB418"/>
    <mergeCell ref="BB452:BB453"/>
    <mergeCell ref="BB502:BB503"/>
    <mergeCell ref="BB504:BB505"/>
    <mergeCell ref="BB522:BB524"/>
    <mergeCell ref="BB525:BB527"/>
    <mergeCell ref="BB535:BB536"/>
    <mergeCell ref="BB537:BB538"/>
    <mergeCell ref="BB560:BB561"/>
    <mergeCell ref="BB563:BB564"/>
    <mergeCell ref="BB565:BB566"/>
    <mergeCell ref="BB567:BB568"/>
    <mergeCell ref="BB593:BB594"/>
    <mergeCell ref="BB595:BB596"/>
    <mergeCell ref="BB600:BB601"/>
    <mergeCell ref="BB670:BB671"/>
    <mergeCell ref="BB674:BB675"/>
    <mergeCell ref="BB677:BB678"/>
    <mergeCell ref="BB682:BB683"/>
    <mergeCell ref="BB684:BB685"/>
    <mergeCell ref="BB699:BB701"/>
    <mergeCell ref="BB944:BB945"/>
    <mergeCell ref="BB1082:BB1083"/>
    <mergeCell ref="BB1084:BB1085"/>
    <mergeCell ref="BB1086:BB1087"/>
    <mergeCell ref="BB1088:BB1089"/>
    <mergeCell ref="BB1090:BB1091"/>
    <mergeCell ref="BB1092:BB1093"/>
    <mergeCell ref="BB1094:BB1095"/>
    <mergeCell ref="BB1096:BB1097"/>
    <mergeCell ref="BB1098:BB1099"/>
    <mergeCell ref="BB1100:BB1101"/>
    <mergeCell ref="BB1184:BB1185"/>
    <mergeCell ref="BB1186:BB1187"/>
    <mergeCell ref="BB1291:BB1292"/>
    <mergeCell ref="BB1370:BB1371"/>
    <mergeCell ref="BB1426:BB1427"/>
    <mergeCell ref="BB1449:BB1450"/>
    <mergeCell ref="BB1471:BB1472"/>
    <mergeCell ref="BB1474:BB1475"/>
    <mergeCell ref="BB1479:BB1480"/>
    <mergeCell ref="BB1483:BB1484"/>
    <mergeCell ref="BB1485:BB1486"/>
    <mergeCell ref="BB1487:BB1488"/>
    <mergeCell ref="BB1501:BB1502"/>
    <mergeCell ref="BB1551:BB1552"/>
    <mergeCell ref="BB1553:BB1554"/>
    <mergeCell ref="BB1556:BB1557"/>
    <mergeCell ref="BB1558:BB1559"/>
    <mergeCell ref="BB1562:BB1563"/>
    <mergeCell ref="BB1567:BB1568"/>
    <mergeCell ref="BB1569:BB1570"/>
    <mergeCell ref="BB1571:BB1572"/>
    <mergeCell ref="BB1573:BB1574"/>
    <mergeCell ref="BB1591:BB1592"/>
    <mergeCell ref="BB1606:BB1607"/>
    <mergeCell ref="BB1608:BB1609"/>
    <mergeCell ref="BB1678:BB1679"/>
    <mergeCell ref="BB1687:BB1688"/>
    <mergeCell ref="BB1729:BB1730"/>
    <mergeCell ref="BB1731:BB1732"/>
    <mergeCell ref="BB1735:BB1736"/>
    <mergeCell ref="BB1737:BB1738"/>
    <mergeCell ref="BB1739:BB1740"/>
    <mergeCell ref="BB1746:BB1747"/>
    <mergeCell ref="BB1754:BB1755"/>
    <mergeCell ref="BB1757:BB1758"/>
    <mergeCell ref="BB1826:BB1827"/>
    <mergeCell ref="BB1832:BB1833"/>
    <mergeCell ref="BB1834:BB1835"/>
    <mergeCell ref="BB1841:BB1846"/>
    <mergeCell ref="BB1850:BB1855"/>
    <mergeCell ref="BB1884:BB1885"/>
    <mergeCell ref="BB1886:BB1887"/>
    <mergeCell ref="BB1890:BB1891"/>
    <mergeCell ref="BB1895:BB1896"/>
    <mergeCell ref="BB1935:BB1936"/>
    <mergeCell ref="BB1937:BB1938"/>
    <mergeCell ref="BB1964:BB1965"/>
    <mergeCell ref="BB1966:BB1967"/>
    <mergeCell ref="BB1968:BB1969"/>
    <mergeCell ref="BB1970:BB1971"/>
    <mergeCell ref="BB2043:BB2044"/>
    <mergeCell ref="BB2045:BB2046"/>
    <mergeCell ref="BB2047:BB2048"/>
    <mergeCell ref="BB2060:BB2061"/>
    <mergeCell ref="BB2109:BB2110"/>
    <mergeCell ref="BB2111:BB2112"/>
    <mergeCell ref="BB2113:BB2114"/>
    <mergeCell ref="BB2115:BB2116"/>
    <mergeCell ref="BB2117:BB2118"/>
    <mergeCell ref="BB2119:BB2120"/>
    <mergeCell ref="BB2121:BB2122"/>
    <mergeCell ref="BB2123:BB2124"/>
    <mergeCell ref="BB2125:BB2126"/>
    <mergeCell ref="BB2129:BB2130"/>
    <mergeCell ref="BB2131:BB2132"/>
    <mergeCell ref="BB2133:BB2134"/>
    <mergeCell ref="BB2135:BB2136"/>
    <mergeCell ref="BB2244:BB2245"/>
    <mergeCell ref="BB2246:BB2247"/>
    <mergeCell ref="BB2267:BB2269"/>
    <mergeCell ref="BB2303:BB2304"/>
    <mergeCell ref="BB2323:BB2324"/>
    <mergeCell ref="BB2325:BB2326"/>
    <mergeCell ref="BB2327:BB2328"/>
    <mergeCell ref="BB2329:BB2330"/>
    <mergeCell ref="BB2331:BB2332"/>
    <mergeCell ref="BB2333:BB2334"/>
    <mergeCell ref="BB2335:BB2336"/>
    <mergeCell ref="BB2356:BB2357"/>
    <mergeCell ref="BB2363:BB2364"/>
    <mergeCell ref="BB2367:BB2368"/>
    <mergeCell ref="BB2370:BB2371"/>
    <mergeCell ref="BB2372:BB2373"/>
    <mergeCell ref="BB2420:BB2421"/>
    <mergeCell ref="BB2422:BB2423"/>
    <mergeCell ref="BB2424:BB2425"/>
    <mergeCell ref="BB2550:BB255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4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11489</v>
      </c>
      <c r="C2" s="0" t="s">
        <v>11490</v>
      </c>
      <c r="D2" s="0" t="s">
        <v>11491</v>
      </c>
      <c r="E2" s="0" t="s">
        <v>59</v>
      </c>
    </row>
    <row r="3">
      <c r="A3" s="1" t="s">
        <v>59</v>
      </c>
      <c r="B3" s="1" t="s">
        <v>60</v>
      </c>
      <c r="C3" s="1" t="s">
        <v>61</v>
      </c>
      <c r="D3" s="1" t="s">
        <v>62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59</v>
      </c>
      <c r="B4" s="1" t="s">
        <v>60</v>
      </c>
      <c r="C4" s="1" t="s">
        <v>61</v>
      </c>
      <c r="D4" s="1" t="s">
        <v>62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11492</v>
      </c>
      <c r="J4" s="1" t="s">
        <v>11493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11494</v>
      </c>
      <c r="P4" s="1" t="s">
        <v>11495</v>
      </c>
    </row>
    <row r="5">
      <c r="A5" s="1" t="s">
        <v>59</v>
      </c>
      <c r="B5" s="1" t="s">
        <v>60</v>
      </c>
      <c r="C5" s="1" t="s">
        <v>61</v>
      </c>
      <c r="D5" s="1" t="s">
        <v>62</v>
      </c>
      <c r="E5" s="1" t="s">
        <v>11496</v>
      </c>
      <c r="F5" s="1" t="s">
        <v>11497</v>
      </c>
      <c r="G5" s="1" t="s">
        <v>11496</v>
      </c>
      <c r="H5" s="1" t="s">
        <v>11497</v>
      </c>
      <c r="I5" s="1" t="s">
        <v>11492</v>
      </c>
      <c r="J5" s="1" t="s">
        <v>11493</v>
      </c>
      <c r="K5" s="1" t="s">
        <v>11498</v>
      </c>
      <c r="L5" s="1" t="s">
        <v>11499</v>
      </c>
      <c r="M5" s="1" t="s">
        <v>11498</v>
      </c>
      <c r="N5" s="1" t="s">
        <v>11499</v>
      </c>
      <c r="O5" s="1" t="s">
        <v>11494</v>
      </c>
      <c r="P5" s="1" t="s">
        <v>11495</v>
      </c>
    </row>
    <row r="6">
      <c r="A6" s="2" t="s">
        <v>1242</v>
      </c>
      <c r="B6" s="2" t="s">
        <v>1157</v>
      </c>
      <c r="C6" s="2" t="s">
        <v>1862</v>
      </c>
      <c r="D6" s="2" t="s">
        <v>7849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1242</v>
      </c>
      <c r="B7" s="2" t="s">
        <v>701</v>
      </c>
      <c r="C7" s="2" t="s">
        <v>969</v>
      </c>
      <c r="D7" s="2" t="s">
        <v>3334</v>
      </c>
      <c r="E7" s="4" t="s">
        <v>233</v>
      </c>
      <c r="F7" s="8" t="s">
        <v>233</v>
      </c>
      <c r="G7" s="4" t="s">
        <v>233</v>
      </c>
      <c r="H7" s="8" t="s">
        <v>233</v>
      </c>
      <c r="I7" s="7" t="s">
        <v>233</v>
      </c>
      <c r="J7" s="7" t="s">
        <v>233</v>
      </c>
      <c r="K7" s="4"/>
      <c r="L7" s="8"/>
      <c r="M7" s="4"/>
      <c r="N7" s="8"/>
      <c r="O7" s="7"/>
      <c r="P7" s="7"/>
    </row>
    <row r="8">
      <c r="A8" s="2" t="s">
        <v>1242</v>
      </c>
      <c r="B8" s="2" t="s">
        <v>701</v>
      </c>
      <c r="C8" s="2" t="s">
        <v>969</v>
      </c>
      <c r="D8" s="2" t="s">
        <v>1078</v>
      </c>
      <c r="E8" s="4" t="s">
        <v>233</v>
      </c>
      <c r="F8" s="8" t="s">
        <v>233</v>
      </c>
      <c r="G8" s="4" t="s">
        <v>233</v>
      </c>
      <c r="H8" s="8" t="s">
        <v>233</v>
      </c>
      <c r="I8" s="7" t="s">
        <v>233</v>
      </c>
      <c r="J8" s="7" t="s">
        <v>233</v>
      </c>
      <c r="K8" s="4"/>
      <c r="L8" s="8"/>
      <c r="M8" s="4"/>
      <c r="N8" s="8"/>
      <c r="O8" s="7"/>
      <c r="P8" s="7"/>
    </row>
    <row r="9">
      <c r="A9" s="2" t="s">
        <v>1242</v>
      </c>
      <c r="B9" s="2" t="s">
        <v>701</v>
      </c>
      <c r="C9" s="2" t="s">
        <v>969</v>
      </c>
      <c r="D9" s="2" t="s">
        <v>970</v>
      </c>
      <c r="E9" s="4" t="s">
        <v>233</v>
      </c>
      <c r="F9" s="8" t="s">
        <v>233</v>
      </c>
      <c r="G9" s="4" t="s">
        <v>233</v>
      </c>
      <c r="H9" s="8" t="s">
        <v>233</v>
      </c>
      <c r="I9" s="7" t="s">
        <v>233</v>
      </c>
      <c r="J9" s="7" t="s">
        <v>233</v>
      </c>
      <c r="K9" s="4"/>
      <c r="L9" s="8"/>
      <c r="M9" s="4"/>
      <c r="N9" s="8"/>
      <c r="O9" s="7"/>
      <c r="P9" s="7"/>
    </row>
    <row r="10">
      <c r="A10" s="2" t="s">
        <v>1242</v>
      </c>
      <c r="B10" s="2" t="s">
        <v>701</v>
      </c>
      <c r="C10" s="2" t="s">
        <v>1862</v>
      </c>
      <c r="D10" s="2" t="s">
        <v>1863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1242</v>
      </c>
      <c r="B11" s="2" t="s">
        <v>701</v>
      </c>
      <c r="C11" s="2" t="s">
        <v>912</v>
      </c>
      <c r="D11" s="2" t="s">
        <v>1139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1242</v>
      </c>
      <c r="B12" s="2" t="s">
        <v>1750</v>
      </c>
      <c r="C12" s="2" t="s">
        <v>969</v>
      </c>
      <c r="D12" s="2" t="s">
        <v>970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1242</v>
      </c>
      <c r="B13" s="2" t="s">
        <v>2145</v>
      </c>
      <c r="C13" s="2" t="s">
        <v>969</v>
      </c>
      <c r="D13" s="2" t="s">
        <v>970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1242</v>
      </c>
      <c r="B14" s="2" t="s">
        <v>2145</v>
      </c>
      <c r="C14" s="2" t="s">
        <v>912</v>
      </c>
      <c r="D14" s="2" t="s">
        <v>1139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1242</v>
      </c>
      <c r="B15" s="2" t="s">
        <v>1607</v>
      </c>
      <c r="C15" s="2" t="s">
        <v>3474</v>
      </c>
      <c r="D15" s="2" t="s">
        <v>3475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1242</v>
      </c>
      <c r="B16" s="2" t="s">
        <v>1607</v>
      </c>
      <c r="C16" s="2" t="s">
        <v>1862</v>
      </c>
      <c r="D16" s="2" t="s">
        <v>3734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1242</v>
      </c>
      <c r="B17" s="2" t="s">
        <v>1607</v>
      </c>
      <c r="C17" s="2" t="s">
        <v>912</v>
      </c>
      <c r="D17" s="2" t="s">
        <v>913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1242</v>
      </c>
      <c r="B18" s="2" t="s">
        <v>1986</v>
      </c>
      <c r="C18" s="2" t="s">
        <v>3474</v>
      </c>
      <c r="D18" s="2" t="s">
        <v>3475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1242</v>
      </c>
      <c r="B19" s="2" t="s">
        <v>1986</v>
      </c>
      <c r="C19" s="2" t="s">
        <v>969</v>
      </c>
      <c r="D19" s="2" t="s">
        <v>1078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1242</v>
      </c>
      <c r="B20" s="2" t="s">
        <v>1986</v>
      </c>
      <c r="C20" s="2" t="s">
        <v>1862</v>
      </c>
      <c r="D20" s="2" t="s">
        <v>3734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1242</v>
      </c>
      <c r="B21" s="2" t="s">
        <v>1986</v>
      </c>
      <c r="C21" s="2" t="s">
        <v>1194</v>
      </c>
      <c r="D21" s="2" t="s">
        <v>1987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1242</v>
      </c>
      <c r="B22" s="2" t="s">
        <v>3135</v>
      </c>
      <c r="C22" s="2" t="s">
        <v>3474</v>
      </c>
      <c r="D22" s="2" t="s">
        <v>3475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1242</v>
      </c>
      <c r="B23" s="2" t="s">
        <v>3135</v>
      </c>
      <c r="C23" s="2" t="s">
        <v>1862</v>
      </c>
      <c r="D23" s="2" t="s">
        <v>3734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1242</v>
      </c>
      <c r="B24" s="2" t="s">
        <v>3135</v>
      </c>
      <c r="C24" s="2" t="s">
        <v>912</v>
      </c>
      <c r="D24" s="2" t="s">
        <v>913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1242</v>
      </c>
      <c r="B25" s="2" t="s">
        <v>3135</v>
      </c>
      <c r="C25" s="2" t="s">
        <v>1194</v>
      </c>
      <c r="D25" s="2" t="s">
        <v>1987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1242</v>
      </c>
      <c r="B26" s="2" t="s">
        <v>887</v>
      </c>
      <c r="C26" s="2" t="s">
        <v>1862</v>
      </c>
      <c r="D26" s="2" t="s">
        <v>3734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1242</v>
      </c>
      <c r="B27" s="2" t="s">
        <v>1781</v>
      </c>
      <c r="C27" s="2" t="s">
        <v>969</v>
      </c>
      <c r="D27" s="2" t="s">
        <v>1078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1242</v>
      </c>
      <c r="B28" s="2" t="s">
        <v>1781</v>
      </c>
      <c r="C28" s="2" t="s">
        <v>912</v>
      </c>
      <c r="D28" s="2" t="s">
        <v>913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1242</v>
      </c>
      <c r="B29" s="2" t="s">
        <v>1781</v>
      </c>
      <c r="C29" s="2" t="s">
        <v>1194</v>
      </c>
      <c r="D29" s="2" t="s">
        <v>1195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1242</v>
      </c>
      <c r="B30" s="2" t="s">
        <v>9503</v>
      </c>
      <c r="C30" s="2" t="s">
        <v>969</v>
      </c>
      <c r="D30" s="2" t="s">
        <v>1078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1242</v>
      </c>
      <c r="B31" s="2" t="s">
        <v>901</v>
      </c>
      <c r="C31" s="2" t="s">
        <v>3474</v>
      </c>
      <c r="D31" s="2" t="s">
        <v>6638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1242</v>
      </c>
      <c r="B32" s="2" t="s">
        <v>901</v>
      </c>
      <c r="C32" s="2" t="s">
        <v>969</v>
      </c>
      <c r="D32" s="2" t="s">
        <v>1078</v>
      </c>
      <c r="E32" s="4" t="s">
        <v>233</v>
      </c>
      <c r="F32" s="8" t="s">
        <v>233</v>
      </c>
      <c r="G32" s="4" t="s">
        <v>233</v>
      </c>
      <c r="H32" s="8" t="s">
        <v>233</v>
      </c>
      <c r="I32" s="7" t="s">
        <v>233</v>
      </c>
      <c r="J32" s="7" t="s">
        <v>233</v>
      </c>
      <c r="K32" s="4"/>
      <c r="L32" s="8"/>
      <c r="M32" s="4"/>
      <c r="N32" s="8"/>
      <c r="O32" s="7"/>
      <c r="P32" s="7"/>
    </row>
    <row r="33">
      <c r="A33" s="2" t="s">
        <v>1242</v>
      </c>
      <c r="B33" s="2" t="s">
        <v>901</v>
      </c>
      <c r="C33" s="2" t="s">
        <v>969</v>
      </c>
      <c r="D33" s="2" t="s">
        <v>970</v>
      </c>
      <c r="E33" s="4" t="s">
        <v>233</v>
      </c>
      <c r="F33" s="8" t="s">
        <v>233</v>
      </c>
      <c r="G33" s="4" t="s">
        <v>233</v>
      </c>
      <c r="H33" s="8" t="s">
        <v>233</v>
      </c>
      <c r="I33" s="7" t="s">
        <v>233</v>
      </c>
      <c r="J33" s="7" t="s">
        <v>233</v>
      </c>
      <c r="K33" s="4"/>
      <c r="L33" s="8"/>
      <c r="M33" s="4"/>
      <c r="N33" s="8"/>
      <c r="O33" s="7"/>
      <c r="P33" s="7"/>
    </row>
    <row r="34">
      <c r="A34" s="2" t="s">
        <v>1242</v>
      </c>
      <c r="B34" s="2" t="s">
        <v>901</v>
      </c>
      <c r="C34" s="2" t="s">
        <v>912</v>
      </c>
      <c r="D34" s="2" t="s">
        <v>1139</v>
      </c>
      <c r="E34" s="4" t="s">
        <v>233</v>
      </c>
      <c r="F34" s="8" t="s">
        <v>233</v>
      </c>
      <c r="G34" s="4" t="s">
        <v>233</v>
      </c>
      <c r="H34" s="8" t="s">
        <v>233</v>
      </c>
      <c r="I34" s="7" t="s">
        <v>233</v>
      </c>
      <c r="J34" s="7" t="s">
        <v>233</v>
      </c>
      <c r="K34" s="4"/>
      <c r="L34" s="8"/>
      <c r="M34" s="4"/>
      <c r="N34" s="8"/>
      <c r="O34" s="7"/>
      <c r="P34" s="7"/>
    </row>
    <row r="35">
      <c r="A35" s="2" t="s">
        <v>1242</v>
      </c>
      <c r="B35" s="2" t="s">
        <v>901</v>
      </c>
      <c r="C35" s="2" t="s">
        <v>912</v>
      </c>
      <c r="D35" s="2" t="s">
        <v>913</v>
      </c>
      <c r="E35" s="4" t="s">
        <v>233</v>
      </c>
      <c r="F35" s="8" t="s">
        <v>233</v>
      </c>
      <c r="G35" s="4" t="s">
        <v>233</v>
      </c>
      <c r="H35" s="8" t="s">
        <v>233</v>
      </c>
      <c r="I35" s="7" t="s">
        <v>233</v>
      </c>
      <c r="J35" s="7" t="s">
        <v>233</v>
      </c>
      <c r="K35" s="4"/>
      <c r="L35" s="8"/>
      <c r="M35" s="4"/>
      <c r="N35" s="8"/>
      <c r="O35" s="7"/>
      <c r="P35" s="7"/>
    </row>
    <row r="36">
      <c r="A36" s="2" t="s">
        <v>1242</v>
      </c>
      <c r="B36" s="2" t="s">
        <v>901</v>
      </c>
      <c r="C36" s="2" t="s">
        <v>1194</v>
      </c>
      <c r="D36" s="2" t="s">
        <v>1195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1242</v>
      </c>
      <c r="B37" s="2" t="s">
        <v>530</v>
      </c>
      <c r="C37" s="2" t="s">
        <v>969</v>
      </c>
      <c r="D37" s="2" t="s">
        <v>3334</v>
      </c>
      <c r="E37" s="4" t="s">
        <v>233</v>
      </c>
      <c r="F37" s="8" t="s">
        <v>233</v>
      </c>
      <c r="G37" s="4" t="s">
        <v>233</v>
      </c>
      <c r="H37" s="8" t="s">
        <v>233</v>
      </c>
      <c r="I37" s="7" t="s">
        <v>233</v>
      </c>
      <c r="J37" s="7" t="s">
        <v>233</v>
      </c>
      <c r="K37" s="4"/>
      <c r="L37" s="8"/>
      <c r="M37" s="4"/>
      <c r="N37" s="8"/>
      <c r="O37" s="7"/>
      <c r="P37" s="7"/>
    </row>
    <row r="38">
      <c r="A38" s="2" t="s">
        <v>1242</v>
      </c>
      <c r="B38" s="2" t="s">
        <v>530</v>
      </c>
      <c r="C38" s="2" t="s">
        <v>969</v>
      </c>
      <c r="D38" s="2" t="s">
        <v>1078</v>
      </c>
      <c r="E38" s="4" t="s">
        <v>233</v>
      </c>
      <c r="F38" s="8" t="s">
        <v>233</v>
      </c>
      <c r="G38" s="4" t="s">
        <v>233</v>
      </c>
      <c r="H38" s="8" t="s">
        <v>233</v>
      </c>
      <c r="I38" s="7" t="s">
        <v>233</v>
      </c>
      <c r="J38" s="7" t="s">
        <v>233</v>
      </c>
      <c r="K38" s="4"/>
      <c r="L38" s="8"/>
      <c r="M38" s="4"/>
      <c r="N38" s="8"/>
      <c r="O38" s="7"/>
      <c r="P38" s="7"/>
    </row>
    <row r="39">
      <c r="A39" s="2" t="s">
        <v>1242</v>
      </c>
      <c r="B39" s="2" t="s">
        <v>530</v>
      </c>
      <c r="C39" s="2" t="s">
        <v>969</v>
      </c>
      <c r="D39" s="2" t="s">
        <v>970</v>
      </c>
      <c r="E39" s="4" t="s">
        <v>233</v>
      </c>
      <c r="F39" s="8" t="s">
        <v>233</v>
      </c>
      <c r="G39" s="4" t="s">
        <v>233</v>
      </c>
      <c r="H39" s="8" t="s">
        <v>233</v>
      </c>
      <c r="I39" s="7" t="s">
        <v>233</v>
      </c>
      <c r="J39" s="7" t="s">
        <v>233</v>
      </c>
      <c r="K39" s="4"/>
      <c r="L39" s="8"/>
      <c r="M39" s="4"/>
      <c r="N39" s="8"/>
      <c r="O39" s="7"/>
      <c r="P39" s="7"/>
    </row>
    <row r="40">
      <c r="A40" s="2" t="s">
        <v>1242</v>
      </c>
      <c r="B40" s="2" t="s">
        <v>530</v>
      </c>
      <c r="C40" s="2" t="s">
        <v>1862</v>
      </c>
      <c r="D40" s="2" t="s">
        <v>1944</v>
      </c>
      <c r="E40" s="4" t="s">
        <v>233</v>
      </c>
      <c r="F40" s="8" t="s">
        <v>233</v>
      </c>
      <c r="G40" s="4" t="s">
        <v>233</v>
      </c>
      <c r="H40" s="8" t="s">
        <v>233</v>
      </c>
      <c r="I40" s="7" t="s">
        <v>233</v>
      </c>
      <c r="J40" s="7" t="s">
        <v>233</v>
      </c>
      <c r="K40" s="4"/>
      <c r="L40" s="8"/>
      <c r="M40" s="4"/>
      <c r="N40" s="8"/>
      <c r="O40" s="7"/>
      <c r="P40" s="7"/>
    </row>
    <row r="41">
      <c r="A41" s="2" t="s">
        <v>1242</v>
      </c>
      <c r="B41" s="2" t="s">
        <v>530</v>
      </c>
      <c r="C41" s="2" t="s">
        <v>1862</v>
      </c>
      <c r="D41" s="2" t="s">
        <v>7849</v>
      </c>
      <c r="E41" s="4" t="s">
        <v>233</v>
      </c>
      <c r="F41" s="8" t="s">
        <v>233</v>
      </c>
      <c r="G41" s="4" t="s">
        <v>233</v>
      </c>
      <c r="H41" s="8" t="s">
        <v>233</v>
      </c>
      <c r="I41" s="7" t="s">
        <v>233</v>
      </c>
      <c r="J41" s="7" t="s">
        <v>233</v>
      </c>
      <c r="K41" s="4"/>
      <c r="L41" s="8"/>
      <c r="M41" s="4"/>
      <c r="N41" s="8"/>
      <c r="O41" s="7"/>
      <c r="P41" s="7"/>
    </row>
    <row r="42">
      <c r="A42" s="2" t="s">
        <v>1242</v>
      </c>
      <c r="B42" s="2" t="s">
        <v>530</v>
      </c>
      <c r="C42" s="2" t="s">
        <v>1862</v>
      </c>
      <c r="D42" s="2" t="s">
        <v>1863</v>
      </c>
      <c r="E42" s="4" t="s">
        <v>233</v>
      </c>
      <c r="F42" s="8" t="s">
        <v>233</v>
      </c>
      <c r="G42" s="4" t="s">
        <v>233</v>
      </c>
      <c r="H42" s="8" t="s">
        <v>233</v>
      </c>
      <c r="I42" s="7" t="s">
        <v>233</v>
      </c>
      <c r="J42" s="7" t="s">
        <v>233</v>
      </c>
      <c r="K42" s="4"/>
      <c r="L42" s="8"/>
      <c r="M42" s="4"/>
      <c r="N42" s="8"/>
      <c r="O42" s="7"/>
      <c r="P42" s="7"/>
    </row>
    <row r="43">
      <c r="A43" s="2" t="s">
        <v>1242</v>
      </c>
      <c r="B43" s="2" t="s">
        <v>530</v>
      </c>
      <c r="C43" s="2" t="s">
        <v>1862</v>
      </c>
      <c r="D43" s="2" t="s">
        <v>9859</v>
      </c>
      <c r="E43" s="4" t="s">
        <v>233</v>
      </c>
      <c r="F43" s="8" t="s">
        <v>233</v>
      </c>
      <c r="G43" s="4" t="s">
        <v>233</v>
      </c>
      <c r="H43" s="8" t="s">
        <v>233</v>
      </c>
      <c r="I43" s="7" t="s">
        <v>233</v>
      </c>
      <c r="J43" s="7" t="s">
        <v>233</v>
      </c>
      <c r="K43" s="4"/>
      <c r="L43" s="8"/>
      <c r="M43" s="4"/>
      <c r="N43" s="8"/>
      <c r="O43" s="7"/>
      <c r="P43" s="7"/>
    </row>
    <row r="44">
      <c r="A44" s="2" t="s">
        <v>1242</v>
      </c>
      <c r="B44" s="2" t="s">
        <v>530</v>
      </c>
      <c r="C44" s="2" t="s">
        <v>912</v>
      </c>
      <c r="D44" s="2" t="s">
        <v>1139</v>
      </c>
      <c r="E44" s="4" t="s">
        <v>233</v>
      </c>
      <c r="F44" s="8" t="s">
        <v>233</v>
      </c>
      <c r="G44" s="4" t="s">
        <v>233</v>
      </c>
      <c r="H44" s="8" t="s">
        <v>233</v>
      </c>
      <c r="I44" s="7" t="s">
        <v>233</v>
      </c>
      <c r="J44" s="7" t="s">
        <v>233</v>
      </c>
      <c r="K44" s="4"/>
      <c r="L44" s="8"/>
      <c r="M44" s="4"/>
      <c r="N44" s="8"/>
      <c r="O44" s="7"/>
      <c r="P44" s="7"/>
    </row>
    <row r="45">
      <c r="A45" s="2" t="s">
        <v>1242</v>
      </c>
      <c r="B45" s="2" t="s">
        <v>530</v>
      </c>
      <c r="C45" s="2" t="s">
        <v>912</v>
      </c>
      <c r="D45" s="2" t="s">
        <v>913</v>
      </c>
      <c r="E45" s="4" t="s">
        <v>233</v>
      </c>
      <c r="F45" s="8" t="s">
        <v>233</v>
      </c>
      <c r="G45" s="4" t="s">
        <v>233</v>
      </c>
      <c r="H45" s="8" t="s">
        <v>233</v>
      </c>
      <c r="I45" s="7" t="s">
        <v>233</v>
      </c>
      <c r="J45" s="7" t="s">
        <v>233</v>
      </c>
      <c r="K45" s="4"/>
      <c r="L45" s="8"/>
      <c r="M45" s="4"/>
      <c r="N45" s="8"/>
      <c r="O45" s="7"/>
      <c r="P45" s="7"/>
    </row>
    <row r="46">
      <c r="A46" s="2" t="s">
        <v>1242</v>
      </c>
      <c r="B46" s="2" t="s">
        <v>530</v>
      </c>
      <c r="C46" s="2" t="s">
        <v>1616</v>
      </c>
      <c r="D46" s="2" t="s">
        <v>1617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1242</v>
      </c>
      <c r="B47" s="2" t="s">
        <v>334</v>
      </c>
      <c r="C47" s="2" t="s">
        <v>969</v>
      </c>
      <c r="D47" s="2" t="s">
        <v>3334</v>
      </c>
      <c r="E47" s="4" t="s">
        <v>233</v>
      </c>
      <c r="F47" s="8" t="s">
        <v>233</v>
      </c>
      <c r="G47" s="4" t="s">
        <v>233</v>
      </c>
      <c r="H47" s="8" t="s">
        <v>233</v>
      </c>
      <c r="I47" s="7" t="s">
        <v>233</v>
      </c>
      <c r="J47" s="7" t="s">
        <v>233</v>
      </c>
      <c r="K47" s="4"/>
      <c r="L47" s="8"/>
      <c r="M47" s="4"/>
      <c r="N47" s="8"/>
      <c r="O47" s="7"/>
      <c r="P47" s="7"/>
    </row>
    <row r="48">
      <c r="A48" s="2" t="s">
        <v>1242</v>
      </c>
      <c r="B48" s="2" t="s">
        <v>334</v>
      </c>
      <c r="C48" s="2" t="s">
        <v>969</v>
      </c>
      <c r="D48" s="2" t="s">
        <v>1078</v>
      </c>
      <c r="E48" s="4" t="s">
        <v>233</v>
      </c>
      <c r="F48" s="8" t="s">
        <v>233</v>
      </c>
      <c r="G48" s="4" t="s">
        <v>233</v>
      </c>
      <c r="H48" s="8" t="s">
        <v>233</v>
      </c>
      <c r="I48" s="7" t="s">
        <v>233</v>
      </c>
      <c r="J48" s="7" t="s">
        <v>233</v>
      </c>
      <c r="K48" s="4"/>
      <c r="L48" s="8"/>
      <c r="M48" s="4"/>
      <c r="N48" s="8"/>
      <c r="O48" s="7"/>
      <c r="P48" s="7"/>
    </row>
    <row r="49">
      <c r="A49" s="2" t="s">
        <v>1242</v>
      </c>
      <c r="B49" s="2" t="s">
        <v>334</v>
      </c>
      <c r="C49" s="2" t="s">
        <v>1862</v>
      </c>
      <c r="D49" s="2" t="s">
        <v>3334</v>
      </c>
      <c r="E49" s="4" t="s">
        <v>233</v>
      </c>
      <c r="F49" s="8" t="s">
        <v>233</v>
      </c>
      <c r="G49" s="4" t="s">
        <v>233</v>
      </c>
      <c r="H49" s="8" t="s">
        <v>233</v>
      </c>
      <c r="I49" s="7" t="s">
        <v>233</v>
      </c>
      <c r="J49" s="7" t="s">
        <v>233</v>
      </c>
      <c r="K49" s="4"/>
      <c r="L49" s="8"/>
      <c r="M49" s="4"/>
      <c r="N49" s="8"/>
      <c r="O49" s="7"/>
      <c r="P49" s="7"/>
    </row>
    <row r="50">
      <c r="A50" s="2" t="s">
        <v>1242</v>
      </c>
      <c r="B50" s="2" t="s">
        <v>334</v>
      </c>
      <c r="C50" s="2" t="s">
        <v>1862</v>
      </c>
      <c r="D50" s="2" t="s">
        <v>7849</v>
      </c>
      <c r="E50" s="4" t="s">
        <v>233</v>
      </c>
      <c r="F50" s="8" t="s">
        <v>233</v>
      </c>
      <c r="G50" s="4" t="s">
        <v>233</v>
      </c>
      <c r="H50" s="8" t="s">
        <v>233</v>
      </c>
      <c r="I50" s="7" t="s">
        <v>233</v>
      </c>
      <c r="J50" s="7" t="s">
        <v>233</v>
      </c>
      <c r="K50" s="4"/>
      <c r="L50" s="8"/>
      <c r="M50" s="4"/>
      <c r="N50" s="8"/>
      <c r="O50" s="7"/>
      <c r="P50" s="7"/>
    </row>
    <row r="51">
      <c r="A51" s="2" t="s">
        <v>1242</v>
      </c>
      <c r="B51" s="2" t="s">
        <v>1321</v>
      </c>
      <c r="C51" s="2" t="s">
        <v>969</v>
      </c>
      <c r="D51" s="2" t="s">
        <v>1078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1242</v>
      </c>
      <c r="B52" s="2" t="s">
        <v>3501</v>
      </c>
      <c r="C52" s="2" t="s">
        <v>3474</v>
      </c>
      <c r="D52" s="2" t="s">
        <v>3475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1242</v>
      </c>
      <c r="B53" s="2" t="s">
        <v>3501</v>
      </c>
      <c r="C53" s="2" t="s">
        <v>969</v>
      </c>
      <c r="D53" s="2" t="s">
        <v>970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1242</v>
      </c>
      <c r="B54" s="2" t="s">
        <v>3501</v>
      </c>
      <c r="C54" s="2" t="s">
        <v>912</v>
      </c>
      <c r="D54" s="2" t="s">
        <v>1139</v>
      </c>
      <c r="E54" s="4" t="s">
        <v>233</v>
      </c>
      <c r="F54" s="8" t="s">
        <v>233</v>
      </c>
      <c r="G54" s="4" t="s">
        <v>233</v>
      </c>
      <c r="H54" s="8" t="s">
        <v>233</v>
      </c>
      <c r="I54" s="7" t="s">
        <v>233</v>
      </c>
      <c r="J54" s="7" t="s">
        <v>233</v>
      </c>
      <c r="K54" s="4"/>
      <c r="L54" s="8"/>
      <c r="M54" s="4"/>
      <c r="N54" s="8"/>
      <c r="O54" s="7"/>
      <c r="P54" s="7"/>
    </row>
    <row r="55">
      <c r="A55" s="2" t="s">
        <v>1242</v>
      </c>
      <c r="B55" s="2" t="s">
        <v>3501</v>
      </c>
      <c r="C55" s="2" t="s">
        <v>912</v>
      </c>
      <c r="D55" s="2" t="s">
        <v>913</v>
      </c>
      <c r="E55" s="4" t="s">
        <v>233</v>
      </c>
      <c r="F55" s="8" t="s">
        <v>233</v>
      </c>
      <c r="G55" s="4" t="s">
        <v>233</v>
      </c>
      <c r="H55" s="8" t="s">
        <v>233</v>
      </c>
      <c r="I55" s="7" t="s">
        <v>233</v>
      </c>
      <c r="J55" s="7" t="s">
        <v>233</v>
      </c>
      <c r="K55" s="4"/>
      <c r="L55" s="8"/>
      <c r="M55" s="4"/>
      <c r="N55" s="8"/>
      <c r="O55" s="7"/>
      <c r="P55" s="7"/>
    </row>
    <row r="56">
      <c r="A56" s="2" t="s">
        <v>1242</v>
      </c>
      <c r="B56" s="2" t="s">
        <v>243</v>
      </c>
      <c r="C56" s="2" t="s">
        <v>969</v>
      </c>
      <c r="D56" s="2" t="s">
        <v>970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1242</v>
      </c>
      <c r="B57" s="2" t="s">
        <v>1335</v>
      </c>
      <c r="C57" s="2" t="s">
        <v>969</v>
      </c>
      <c r="D57" s="2" t="s">
        <v>970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1242</v>
      </c>
      <c r="B58" s="2" t="s">
        <v>1335</v>
      </c>
      <c r="C58" s="2" t="s">
        <v>1862</v>
      </c>
      <c r="D58" s="2" t="s">
        <v>3734</v>
      </c>
      <c r="E58" s="4" t="s">
        <v>233</v>
      </c>
      <c r="F58" s="8" t="s">
        <v>233</v>
      </c>
      <c r="G58" s="4" t="s">
        <v>233</v>
      </c>
      <c r="H58" s="8" t="s">
        <v>233</v>
      </c>
      <c r="I58" s="7" t="s">
        <v>233</v>
      </c>
      <c r="J58" s="7" t="s">
        <v>233</v>
      </c>
      <c r="K58" s="4"/>
      <c r="L58" s="8"/>
      <c r="M58" s="4"/>
      <c r="N58" s="8"/>
      <c r="O58" s="7"/>
      <c r="P58" s="7"/>
    </row>
    <row r="59">
      <c r="A59" s="2" t="s">
        <v>1242</v>
      </c>
      <c r="B59" s="2" t="s">
        <v>1335</v>
      </c>
      <c r="C59" s="2" t="s">
        <v>1862</v>
      </c>
      <c r="D59" s="2" t="s">
        <v>1863</v>
      </c>
      <c r="E59" s="4" t="s">
        <v>233</v>
      </c>
      <c r="F59" s="8" t="s">
        <v>233</v>
      </c>
      <c r="G59" s="4" t="s">
        <v>233</v>
      </c>
      <c r="H59" s="8" t="s">
        <v>233</v>
      </c>
      <c r="I59" s="7" t="s">
        <v>233</v>
      </c>
      <c r="J59" s="7" t="s">
        <v>233</v>
      </c>
      <c r="K59" s="4"/>
      <c r="L59" s="8"/>
      <c r="M59" s="4"/>
      <c r="N59" s="8"/>
      <c r="O59" s="7"/>
      <c r="P59" s="7"/>
    </row>
    <row r="60">
      <c r="A60" s="2" t="s">
        <v>1242</v>
      </c>
      <c r="B60" s="2" t="s">
        <v>1335</v>
      </c>
      <c r="C60" s="2" t="s">
        <v>1862</v>
      </c>
      <c r="D60" s="2" t="s">
        <v>6347</v>
      </c>
      <c r="E60" s="4" t="s">
        <v>233</v>
      </c>
      <c r="F60" s="8" t="s">
        <v>233</v>
      </c>
      <c r="G60" s="4" t="s">
        <v>233</v>
      </c>
      <c r="H60" s="8" t="s">
        <v>233</v>
      </c>
      <c r="I60" s="7" t="s">
        <v>233</v>
      </c>
      <c r="J60" s="7" t="s">
        <v>233</v>
      </c>
      <c r="K60" s="4"/>
      <c r="L60" s="8"/>
      <c r="M60" s="4"/>
      <c r="N60" s="8"/>
      <c r="O60" s="7"/>
      <c r="P60" s="7"/>
    </row>
    <row r="61">
      <c r="A61" s="2" t="s">
        <v>1242</v>
      </c>
      <c r="B61" s="2" t="s">
        <v>1335</v>
      </c>
      <c r="C61" s="2" t="s">
        <v>1616</v>
      </c>
      <c r="D61" s="2" t="s">
        <v>1617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2691</v>
      </c>
      <c r="B62" s="2" t="s">
        <v>701</v>
      </c>
      <c r="C62" s="2" t="s">
        <v>2692</v>
      </c>
      <c r="D62" s="2" t="s">
        <v>2693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2691</v>
      </c>
      <c r="B63" s="2" t="s">
        <v>5279</v>
      </c>
      <c r="C63" s="2" t="s">
        <v>2692</v>
      </c>
      <c r="D63" s="2" t="s">
        <v>2693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2691</v>
      </c>
      <c r="B64" s="2" t="s">
        <v>901</v>
      </c>
      <c r="C64" s="2" t="s">
        <v>2692</v>
      </c>
      <c r="D64" s="2" t="s">
        <v>2693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928</v>
      </c>
      <c r="B65" s="2" t="s">
        <v>901</v>
      </c>
      <c r="C65" s="2" t="s">
        <v>1757</v>
      </c>
      <c r="D65" s="2" t="s">
        <v>930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928</v>
      </c>
      <c r="B66" s="2" t="s">
        <v>901</v>
      </c>
      <c r="C66" s="2" t="s">
        <v>961</v>
      </c>
      <c r="D66" s="2" t="s">
        <v>2028</v>
      </c>
      <c r="E66" s="4" t="s">
        <v>233</v>
      </c>
      <c r="F66" s="8" t="s">
        <v>233</v>
      </c>
      <c r="G66" s="4" t="s">
        <v>233</v>
      </c>
      <c r="H66" s="8" t="s">
        <v>233</v>
      </c>
      <c r="I66" s="7" t="s">
        <v>233</v>
      </c>
      <c r="J66" s="7" t="s">
        <v>233</v>
      </c>
      <c r="K66" s="4"/>
      <c r="L66" s="8"/>
      <c r="M66" s="4"/>
      <c r="N66" s="8"/>
      <c r="O66" s="7"/>
      <c r="P66" s="7"/>
    </row>
    <row r="67">
      <c r="A67" s="2" t="s">
        <v>928</v>
      </c>
      <c r="B67" s="2" t="s">
        <v>901</v>
      </c>
      <c r="C67" s="2" t="s">
        <v>961</v>
      </c>
      <c r="D67" s="2" t="s">
        <v>939</v>
      </c>
      <c r="E67" s="4" t="s">
        <v>233</v>
      </c>
      <c r="F67" s="8" t="s">
        <v>233</v>
      </c>
      <c r="G67" s="4" t="s">
        <v>233</v>
      </c>
      <c r="H67" s="8" t="s">
        <v>233</v>
      </c>
      <c r="I67" s="7" t="s">
        <v>233</v>
      </c>
      <c r="J67" s="7" t="s">
        <v>233</v>
      </c>
      <c r="K67" s="4"/>
      <c r="L67" s="8"/>
      <c r="M67" s="4"/>
      <c r="N67" s="8"/>
      <c r="O67" s="7"/>
      <c r="P67" s="7"/>
    </row>
    <row r="68">
      <c r="A68" s="2" t="s">
        <v>928</v>
      </c>
      <c r="B68" s="2" t="s">
        <v>911</v>
      </c>
      <c r="C68" s="2" t="s">
        <v>6647</v>
      </c>
      <c r="D68" s="2" t="s">
        <v>6648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928</v>
      </c>
      <c r="B69" s="2" t="s">
        <v>911</v>
      </c>
      <c r="C69" s="2" t="s">
        <v>961</v>
      </c>
      <c r="D69" s="2" t="s">
        <v>2028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928</v>
      </c>
      <c r="B70" s="2" t="s">
        <v>530</v>
      </c>
      <c r="C70" s="2" t="s">
        <v>6647</v>
      </c>
      <c r="D70" s="2" t="s">
        <v>6648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928</v>
      </c>
      <c r="B71" s="2" t="s">
        <v>530</v>
      </c>
      <c r="C71" s="2" t="s">
        <v>1757</v>
      </c>
      <c r="D71" s="2" t="s">
        <v>7319</v>
      </c>
      <c r="E71" s="4" t="s">
        <v>233</v>
      </c>
      <c r="F71" s="8" t="s">
        <v>233</v>
      </c>
      <c r="G71" s="4" t="s">
        <v>233</v>
      </c>
      <c r="H71" s="8" t="s">
        <v>233</v>
      </c>
      <c r="I71" s="7" t="s">
        <v>233</v>
      </c>
      <c r="J71" s="7" t="s">
        <v>233</v>
      </c>
      <c r="K71" s="4"/>
      <c r="L71" s="8"/>
      <c r="M71" s="4"/>
      <c r="N71" s="8"/>
      <c r="O71" s="7"/>
      <c r="P71" s="7"/>
    </row>
    <row r="72">
      <c r="A72" s="2" t="s">
        <v>928</v>
      </c>
      <c r="B72" s="2" t="s">
        <v>530</v>
      </c>
      <c r="C72" s="2" t="s">
        <v>1757</v>
      </c>
      <c r="D72" s="2" t="s">
        <v>939</v>
      </c>
      <c r="E72" s="4" t="s">
        <v>233</v>
      </c>
      <c r="F72" s="8" t="s">
        <v>233</v>
      </c>
      <c r="G72" s="4" t="s">
        <v>233</v>
      </c>
      <c r="H72" s="8" t="s">
        <v>233</v>
      </c>
      <c r="I72" s="7" t="s">
        <v>233</v>
      </c>
      <c r="J72" s="7" t="s">
        <v>233</v>
      </c>
      <c r="K72" s="4"/>
      <c r="L72" s="8"/>
      <c r="M72" s="4"/>
      <c r="N72" s="8"/>
      <c r="O72" s="7"/>
      <c r="P72" s="7"/>
    </row>
    <row r="73">
      <c r="A73" s="2" t="s">
        <v>928</v>
      </c>
      <c r="B73" s="2" t="s">
        <v>530</v>
      </c>
      <c r="C73" s="2" t="s">
        <v>1757</v>
      </c>
      <c r="D73" s="2" t="s">
        <v>930</v>
      </c>
      <c r="E73" s="4" t="s">
        <v>233</v>
      </c>
      <c r="F73" s="8" t="s">
        <v>233</v>
      </c>
      <c r="G73" s="4" t="s">
        <v>233</v>
      </c>
      <c r="H73" s="8" t="s">
        <v>233</v>
      </c>
      <c r="I73" s="7" t="s">
        <v>233</v>
      </c>
      <c r="J73" s="7" t="s">
        <v>233</v>
      </c>
      <c r="K73" s="4"/>
      <c r="L73" s="8"/>
      <c r="M73" s="4"/>
      <c r="N73" s="8"/>
      <c r="O73" s="7"/>
      <c r="P73" s="7"/>
    </row>
    <row r="74">
      <c r="A74" s="2" t="s">
        <v>928</v>
      </c>
      <c r="B74" s="2" t="s">
        <v>530</v>
      </c>
      <c r="C74" s="2" t="s">
        <v>8593</v>
      </c>
      <c r="D74" s="2" t="s">
        <v>8594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928</v>
      </c>
      <c r="B75" s="2" t="s">
        <v>530</v>
      </c>
      <c r="C75" s="2" t="s">
        <v>961</v>
      </c>
      <c r="D75" s="2" t="s">
        <v>2028</v>
      </c>
      <c r="E75" s="4" t="s">
        <v>233</v>
      </c>
      <c r="F75" s="8" t="s">
        <v>233</v>
      </c>
      <c r="G75" s="4" t="s">
        <v>233</v>
      </c>
      <c r="H75" s="8" t="s">
        <v>233</v>
      </c>
      <c r="I75" s="7" t="s">
        <v>233</v>
      </c>
      <c r="J75" s="7" t="s">
        <v>233</v>
      </c>
      <c r="K75" s="4"/>
      <c r="L75" s="8"/>
      <c r="M75" s="4"/>
      <c r="N75" s="8"/>
      <c r="O75" s="7"/>
      <c r="P75" s="7"/>
    </row>
    <row r="76">
      <c r="A76" s="2" t="s">
        <v>928</v>
      </c>
      <c r="B76" s="2" t="s">
        <v>530</v>
      </c>
      <c r="C76" s="2" t="s">
        <v>961</v>
      </c>
      <c r="D76" s="2" t="s">
        <v>939</v>
      </c>
      <c r="E76" s="4" t="s">
        <v>233</v>
      </c>
      <c r="F76" s="8" t="s">
        <v>233</v>
      </c>
      <c r="G76" s="4" t="s">
        <v>233</v>
      </c>
      <c r="H76" s="8" t="s">
        <v>233</v>
      </c>
      <c r="I76" s="7" t="s">
        <v>233</v>
      </c>
      <c r="J76" s="7" t="s">
        <v>233</v>
      </c>
      <c r="K76" s="4"/>
      <c r="L76" s="8"/>
      <c r="M76" s="4"/>
      <c r="N76" s="8"/>
      <c r="O76" s="7"/>
      <c r="P76" s="7"/>
    </row>
    <row r="77">
      <c r="A77" s="2" t="s">
        <v>928</v>
      </c>
      <c r="B77" s="2" t="s">
        <v>530</v>
      </c>
      <c r="C77" s="2" t="s">
        <v>961</v>
      </c>
      <c r="D77" s="2" t="s">
        <v>930</v>
      </c>
      <c r="E77" s="4" t="s">
        <v>233</v>
      </c>
      <c r="F77" s="8" t="s">
        <v>233</v>
      </c>
      <c r="G77" s="4" t="s">
        <v>233</v>
      </c>
      <c r="H77" s="8" t="s">
        <v>233</v>
      </c>
      <c r="I77" s="7" t="s">
        <v>233</v>
      </c>
      <c r="J77" s="7" t="s">
        <v>233</v>
      </c>
      <c r="K77" s="4"/>
      <c r="L77" s="8"/>
      <c r="M77" s="4"/>
      <c r="N77" s="8"/>
      <c r="O77" s="7"/>
      <c r="P77" s="7"/>
    </row>
    <row r="78">
      <c r="A78" s="2" t="s">
        <v>928</v>
      </c>
      <c r="B78" s="2" t="s">
        <v>530</v>
      </c>
      <c r="C78" s="2" t="s">
        <v>1101</v>
      </c>
      <c r="D78" s="2" t="s">
        <v>1102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928</v>
      </c>
      <c r="B79" s="2" t="s">
        <v>530</v>
      </c>
      <c r="C79" s="2" t="s">
        <v>9728</v>
      </c>
      <c r="D79" s="2" t="s">
        <v>9729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928</v>
      </c>
      <c r="B80" s="2" t="s">
        <v>530</v>
      </c>
      <c r="C80" s="2" t="s">
        <v>929</v>
      </c>
      <c r="D80" s="2" t="s">
        <v>939</v>
      </c>
      <c r="E80" s="4" t="s">
        <v>233</v>
      </c>
      <c r="F80" s="8" t="s">
        <v>233</v>
      </c>
      <c r="G80" s="4" t="s">
        <v>233</v>
      </c>
      <c r="H80" s="8" t="s">
        <v>233</v>
      </c>
      <c r="I80" s="7" t="s">
        <v>233</v>
      </c>
      <c r="J80" s="7" t="s">
        <v>233</v>
      </c>
      <c r="K80" s="4"/>
      <c r="L80" s="8"/>
      <c r="M80" s="4"/>
      <c r="N80" s="8"/>
      <c r="O80" s="7"/>
      <c r="P80" s="7"/>
    </row>
    <row r="81">
      <c r="A81" s="2" t="s">
        <v>928</v>
      </c>
      <c r="B81" s="2" t="s">
        <v>530</v>
      </c>
      <c r="C81" s="2" t="s">
        <v>929</v>
      </c>
      <c r="D81" s="2" t="s">
        <v>930</v>
      </c>
      <c r="E81" s="4" t="s">
        <v>233</v>
      </c>
      <c r="F81" s="8" t="s">
        <v>233</v>
      </c>
      <c r="G81" s="4" t="s">
        <v>233</v>
      </c>
      <c r="H81" s="8" t="s">
        <v>233</v>
      </c>
      <c r="I81" s="7" t="s">
        <v>233</v>
      </c>
      <c r="J81" s="7" t="s">
        <v>233</v>
      </c>
      <c r="K81" s="4"/>
      <c r="L81" s="8"/>
      <c r="M81" s="4"/>
      <c r="N81" s="8"/>
      <c r="O81" s="7"/>
      <c r="P81" s="7"/>
    </row>
    <row r="82">
      <c r="A82" s="2" t="s">
        <v>928</v>
      </c>
      <c r="B82" s="2" t="s">
        <v>1321</v>
      </c>
      <c r="C82" s="2" t="s">
        <v>1757</v>
      </c>
      <c r="D82" s="2" t="s">
        <v>6648</v>
      </c>
      <c r="E82" s="4" t="s">
        <v>233</v>
      </c>
      <c r="F82" s="8" t="s">
        <v>233</v>
      </c>
      <c r="G82" s="4" t="s">
        <v>233</v>
      </c>
      <c r="H82" s="8" t="s">
        <v>233</v>
      </c>
      <c r="I82" s="7" t="s">
        <v>233</v>
      </c>
      <c r="J82" s="7" t="s">
        <v>233</v>
      </c>
      <c r="K82" s="4"/>
      <c r="L82" s="8"/>
      <c r="M82" s="4"/>
      <c r="N82" s="8"/>
      <c r="O82" s="7"/>
      <c r="P82" s="7"/>
    </row>
    <row r="83">
      <c r="A83" s="2" t="s">
        <v>928</v>
      </c>
      <c r="B83" s="2" t="s">
        <v>1321</v>
      </c>
      <c r="C83" s="2" t="s">
        <v>1757</v>
      </c>
      <c r="D83" s="2" t="s">
        <v>7319</v>
      </c>
      <c r="E83" s="4" t="s">
        <v>233</v>
      </c>
      <c r="F83" s="8" t="s">
        <v>233</v>
      </c>
      <c r="G83" s="4" t="s">
        <v>233</v>
      </c>
      <c r="H83" s="8" t="s">
        <v>233</v>
      </c>
      <c r="I83" s="7" t="s">
        <v>233</v>
      </c>
      <c r="J83" s="7" t="s">
        <v>233</v>
      </c>
      <c r="K83" s="4"/>
      <c r="L83" s="8"/>
      <c r="M83" s="4"/>
      <c r="N83" s="8"/>
      <c r="O83" s="7"/>
      <c r="P83" s="7"/>
    </row>
    <row r="84">
      <c r="A84" s="2" t="s">
        <v>928</v>
      </c>
      <c r="B84" s="2" t="s">
        <v>1321</v>
      </c>
      <c r="C84" s="2" t="s">
        <v>961</v>
      </c>
      <c r="D84" s="2" t="s">
        <v>939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928</v>
      </c>
      <c r="B85" s="2" t="s">
        <v>1321</v>
      </c>
      <c r="C85" s="2" t="s">
        <v>1101</v>
      </c>
      <c r="D85" s="2" t="s">
        <v>1102</v>
      </c>
      <c r="E85" s="4" t="s">
        <v>233</v>
      </c>
      <c r="F85" s="8" t="s">
        <v>233</v>
      </c>
      <c r="G85" s="4" t="s">
        <v>233</v>
      </c>
      <c r="H85" s="8" t="s">
        <v>233</v>
      </c>
      <c r="I85" s="7" t="s">
        <v>233</v>
      </c>
      <c r="J85" s="7" t="s">
        <v>233</v>
      </c>
      <c r="K85" s="4"/>
      <c r="L85" s="8"/>
      <c r="M85" s="4"/>
      <c r="N85" s="8"/>
      <c r="O85" s="7"/>
      <c r="P85" s="7"/>
    </row>
    <row r="86">
      <c r="A86" s="2" t="s">
        <v>928</v>
      </c>
      <c r="B86" s="2" t="s">
        <v>1321</v>
      </c>
      <c r="C86" s="2" t="s">
        <v>1101</v>
      </c>
      <c r="D86" s="2" t="s">
        <v>5001</v>
      </c>
      <c r="E86" s="4" t="s">
        <v>233</v>
      </c>
      <c r="F86" s="8" t="s">
        <v>233</v>
      </c>
      <c r="G86" s="4" t="s">
        <v>233</v>
      </c>
      <c r="H86" s="8" t="s">
        <v>233</v>
      </c>
      <c r="I86" s="7" t="s">
        <v>233</v>
      </c>
      <c r="J86" s="7" t="s">
        <v>233</v>
      </c>
      <c r="K86" s="4"/>
      <c r="L86" s="8"/>
      <c r="M86" s="4"/>
      <c r="N86" s="8"/>
      <c r="O86" s="7"/>
      <c r="P86" s="7"/>
    </row>
    <row r="87">
      <c r="A87" s="2" t="s">
        <v>928</v>
      </c>
      <c r="B87" s="2" t="s">
        <v>947</v>
      </c>
      <c r="C87" s="2" t="s">
        <v>1757</v>
      </c>
      <c r="D87" s="2" t="s">
        <v>7319</v>
      </c>
      <c r="E87" s="4" t="s">
        <v>233</v>
      </c>
      <c r="F87" s="8" t="s">
        <v>233</v>
      </c>
      <c r="G87" s="4" t="s">
        <v>233</v>
      </c>
      <c r="H87" s="8" t="s">
        <v>233</v>
      </c>
      <c r="I87" s="7" t="s">
        <v>233</v>
      </c>
      <c r="J87" s="7" t="s">
        <v>233</v>
      </c>
      <c r="K87" s="4"/>
      <c r="L87" s="8"/>
      <c r="M87" s="4"/>
      <c r="N87" s="8"/>
      <c r="O87" s="7"/>
      <c r="P87" s="7"/>
    </row>
    <row r="88">
      <c r="A88" s="2" t="s">
        <v>928</v>
      </c>
      <c r="B88" s="2" t="s">
        <v>947</v>
      </c>
      <c r="C88" s="2" t="s">
        <v>1757</v>
      </c>
      <c r="D88" s="2" t="s">
        <v>930</v>
      </c>
      <c r="E88" s="4" t="s">
        <v>233</v>
      </c>
      <c r="F88" s="8" t="s">
        <v>233</v>
      </c>
      <c r="G88" s="4" t="s">
        <v>233</v>
      </c>
      <c r="H88" s="8" t="s">
        <v>233</v>
      </c>
      <c r="I88" s="7" t="s">
        <v>233</v>
      </c>
      <c r="J88" s="7" t="s">
        <v>233</v>
      </c>
      <c r="K88" s="4"/>
      <c r="L88" s="8"/>
      <c r="M88" s="4"/>
      <c r="N88" s="8"/>
      <c r="O88" s="7"/>
      <c r="P88" s="7"/>
    </row>
    <row r="89">
      <c r="A89" s="2" t="s">
        <v>928</v>
      </c>
      <c r="B89" s="2" t="s">
        <v>947</v>
      </c>
      <c r="C89" s="2" t="s">
        <v>961</v>
      </c>
      <c r="D89" s="2" t="s">
        <v>939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928</v>
      </c>
      <c r="B90" s="2" t="s">
        <v>947</v>
      </c>
      <c r="C90" s="2" t="s">
        <v>1101</v>
      </c>
      <c r="D90" s="2" t="s">
        <v>1102</v>
      </c>
      <c r="E90" s="4" t="s">
        <v>233</v>
      </c>
      <c r="F90" s="8" t="s">
        <v>233</v>
      </c>
      <c r="G90" s="4" t="s">
        <v>233</v>
      </c>
      <c r="H90" s="8" t="s">
        <v>233</v>
      </c>
      <c r="I90" s="7" t="s">
        <v>233</v>
      </c>
      <c r="J90" s="7" t="s">
        <v>233</v>
      </c>
      <c r="K90" s="4"/>
      <c r="L90" s="8"/>
      <c r="M90" s="4"/>
      <c r="N90" s="8"/>
      <c r="O90" s="7"/>
      <c r="P90" s="7"/>
    </row>
    <row r="91">
      <c r="A91" s="2" t="s">
        <v>928</v>
      </c>
      <c r="B91" s="2" t="s">
        <v>947</v>
      </c>
      <c r="C91" s="2" t="s">
        <v>1101</v>
      </c>
      <c r="D91" s="2" t="s">
        <v>5001</v>
      </c>
      <c r="E91" s="4" t="s">
        <v>233</v>
      </c>
      <c r="F91" s="8" t="s">
        <v>233</v>
      </c>
      <c r="G91" s="4" t="s">
        <v>233</v>
      </c>
      <c r="H91" s="8" t="s">
        <v>233</v>
      </c>
      <c r="I91" s="7" t="s">
        <v>233</v>
      </c>
      <c r="J91" s="7" t="s">
        <v>233</v>
      </c>
      <c r="K91" s="4"/>
      <c r="L91" s="8"/>
      <c r="M91" s="4"/>
      <c r="N91" s="8"/>
      <c r="O91" s="7"/>
      <c r="P91" s="7"/>
    </row>
    <row r="92">
      <c r="A92" s="2" t="s">
        <v>928</v>
      </c>
      <c r="B92" s="2" t="s">
        <v>947</v>
      </c>
      <c r="C92" s="2" t="s">
        <v>929</v>
      </c>
      <c r="D92" s="2" t="s">
        <v>939</v>
      </c>
      <c r="E92" s="4" t="s">
        <v>233</v>
      </c>
      <c r="F92" s="8" t="s">
        <v>233</v>
      </c>
      <c r="G92" s="4" t="s">
        <v>233</v>
      </c>
      <c r="H92" s="8" t="s">
        <v>233</v>
      </c>
      <c r="I92" s="7" t="s">
        <v>233</v>
      </c>
      <c r="J92" s="7" t="s">
        <v>233</v>
      </c>
      <c r="K92" s="4"/>
      <c r="L92" s="8"/>
      <c r="M92" s="4"/>
      <c r="N92" s="8"/>
      <c r="O92" s="7"/>
      <c r="P92" s="7"/>
    </row>
    <row r="93">
      <c r="A93" s="2" t="s">
        <v>928</v>
      </c>
      <c r="B93" s="2" t="s">
        <v>947</v>
      </c>
      <c r="C93" s="2" t="s">
        <v>929</v>
      </c>
      <c r="D93" s="2" t="s">
        <v>930</v>
      </c>
      <c r="E93" s="4" t="s">
        <v>233</v>
      </c>
      <c r="F93" s="8" t="s">
        <v>233</v>
      </c>
      <c r="G93" s="4" t="s">
        <v>233</v>
      </c>
      <c r="H93" s="8" t="s">
        <v>233</v>
      </c>
      <c r="I93" s="7" t="s">
        <v>233</v>
      </c>
      <c r="J93" s="7" t="s">
        <v>233</v>
      </c>
      <c r="K93" s="4"/>
      <c r="L93" s="8"/>
      <c r="M93" s="4"/>
      <c r="N93" s="8"/>
      <c r="O93" s="7"/>
      <c r="P93" s="7"/>
    </row>
    <row r="94">
      <c r="A94" s="2" t="s">
        <v>928</v>
      </c>
      <c r="B94" s="2" t="s">
        <v>1130</v>
      </c>
      <c r="C94" s="2" t="s">
        <v>961</v>
      </c>
      <c r="D94" s="2" t="s">
        <v>939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928</v>
      </c>
      <c r="B95" s="2" t="s">
        <v>1130</v>
      </c>
      <c r="C95" s="2" t="s">
        <v>929</v>
      </c>
      <c r="D95" s="2" t="s">
        <v>939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264</v>
      </c>
      <c r="B96" s="2" t="s">
        <v>446</v>
      </c>
      <c r="C96" s="2" t="s">
        <v>266</v>
      </c>
      <c r="D96" s="2" t="s">
        <v>390</v>
      </c>
      <c r="E96" s="4" t="s">
        <v>233</v>
      </c>
      <c r="F96" s="8" t="s">
        <v>233</v>
      </c>
      <c r="G96" s="4" t="s">
        <v>233</v>
      </c>
      <c r="H96" s="8" t="s">
        <v>233</v>
      </c>
      <c r="I96" s="7" t="s">
        <v>233</v>
      </c>
      <c r="J96" s="7" t="s">
        <v>233</v>
      </c>
      <c r="K96" s="4"/>
      <c r="L96" s="8"/>
      <c r="M96" s="4"/>
      <c r="N96" s="8"/>
      <c r="O96" s="7"/>
      <c r="P96" s="7"/>
    </row>
    <row r="97">
      <c r="A97" s="2" t="s">
        <v>264</v>
      </c>
      <c r="B97" s="2" t="s">
        <v>446</v>
      </c>
      <c r="C97" s="2" t="s">
        <v>266</v>
      </c>
      <c r="D97" s="2" t="s">
        <v>267</v>
      </c>
      <c r="E97" s="4" t="s">
        <v>233</v>
      </c>
      <c r="F97" s="8" t="s">
        <v>233</v>
      </c>
      <c r="G97" s="4" t="s">
        <v>233</v>
      </c>
      <c r="H97" s="8" t="s">
        <v>233</v>
      </c>
      <c r="I97" s="7" t="s">
        <v>233</v>
      </c>
      <c r="J97" s="7" t="s">
        <v>233</v>
      </c>
      <c r="K97" s="4"/>
      <c r="L97" s="8"/>
      <c r="M97" s="4"/>
      <c r="N97" s="8"/>
      <c r="O97" s="7"/>
      <c r="P97" s="7"/>
    </row>
    <row r="98">
      <c r="A98" s="2" t="s">
        <v>264</v>
      </c>
      <c r="B98" s="2" t="s">
        <v>990</v>
      </c>
      <c r="C98" s="2" t="s">
        <v>969</v>
      </c>
      <c r="D98" s="2" t="s">
        <v>2383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264</v>
      </c>
      <c r="B99" s="2" t="s">
        <v>911</v>
      </c>
      <c r="C99" s="2" t="s">
        <v>969</v>
      </c>
      <c r="D99" s="2" t="s">
        <v>970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264</v>
      </c>
      <c r="B100" s="2" t="s">
        <v>911</v>
      </c>
      <c r="C100" s="2" t="s">
        <v>266</v>
      </c>
      <c r="D100" s="2" t="s">
        <v>390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264</v>
      </c>
      <c r="B101" s="2" t="s">
        <v>530</v>
      </c>
      <c r="C101" s="2" t="s">
        <v>230</v>
      </c>
      <c r="D101" s="2" t="s">
        <v>3058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264</v>
      </c>
      <c r="B102" s="2" t="s">
        <v>530</v>
      </c>
      <c r="C102" s="2" t="s">
        <v>969</v>
      </c>
      <c r="D102" s="2" t="s">
        <v>2383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264</v>
      </c>
      <c r="B103" s="2" t="s">
        <v>530</v>
      </c>
      <c r="C103" s="2" t="s">
        <v>487</v>
      </c>
      <c r="D103" s="2" t="s">
        <v>9776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264</v>
      </c>
      <c r="B104" s="2" t="s">
        <v>334</v>
      </c>
      <c r="C104" s="2" t="s">
        <v>969</v>
      </c>
      <c r="D104" s="2" t="s">
        <v>1078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264</v>
      </c>
      <c r="B105" s="2" t="s">
        <v>3789</v>
      </c>
      <c r="C105" s="2" t="s">
        <v>230</v>
      </c>
      <c r="D105" s="2" t="s">
        <v>3058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264</v>
      </c>
      <c r="B106" s="2" t="s">
        <v>3789</v>
      </c>
      <c r="C106" s="2" t="s">
        <v>969</v>
      </c>
      <c r="D106" s="2" t="s">
        <v>2383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264</v>
      </c>
      <c r="B107" s="2" t="s">
        <v>3789</v>
      </c>
      <c r="C107" s="2" t="s">
        <v>266</v>
      </c>
      <c r="D107" s="2" t="s">
        <v>390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264</v>
      </c>
      <c r="B108" s="2" t="s">
        <v>3789</v>
      </c>
      <c r="C108" s="2" t="s">
        <v>1616</v>
      </c>
      <c r="D108" s="2" t="s">
        <v>1617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264</v>
      </c>
      <c r="B109" s="2" t="s">
        <v>265</v>
      </c>
      <c r="C109" s="2" t="s">
        <v>969</v>
      </c>
      <c r="D109" s="2" t="s">
        <v>2383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264</v>
      </c>
      <c r="B110" s="2" t="s">
        <v>265</v>
      </c>
      <c r="C110" s="2" t="s">
        <v>266</v>
      </c>
      <c r="D110" s="2" t="s">
        <v>390</v>
      </c>
      <c r="E110" s="4" t="s">
        <v>233</v>
      </c>
      <c r="F110" s="8" t="s">
        <v>233</v>
      </c>
      <c r="G110" s="4" t="s">
        <v>233</v>
      </c>
      <c r="H110" s="8" t="s">
        <v>233</v>
      </c>
      <c r="I110" s="7" t="s">
        <v>233</v>
      </c>
      <c r="J110" s="7" t="s">
        <v>233</v>
      </c>
      <c r="K110" s="4"/>
      <c r="L110" s="8"/>
      <c r="M110" s="4"/>
      <c r="N110" s="8"/>
      <c r="O110" s="7"/>
      <c r="P110" s="7"/>
    </row>
    <row r="111">
      <c r="A111" s="2" t="s">
        <v>264</v>
      </c>
      <c r="B111" s="2" t="s">
        <v>265</v>
      </c>
      <c r="C111" s="2" t="s">
        <v>266</v>
      </c>
      <c r="D111" s="2" t="s">
        <v>2295</v>
      </c>
      <c r="E111" s="4" t="s">
        <v>233</v>
      </c>
      <c r="F111" s="8" t="s">
        <v>233</v>
      </c>
      <c r="G111" s="4" t="s">
        <v>233</v>
      </c>
      <c r="H111" s="8" t="s">
        <v>233</v>
      </c>
      <c r="I111" s="7" t="s">
        <v>233</v>
      </c>
      <c r="J111" s="7" t="s">
        <v>233</v>
      </c>
      <c r="K111" s="4"/>
      <c r="L111" s="8"/>
      <c r="M111" s="4"/>
      <c r="N111" s="8"/>
      <c r="O111" s="7"/>
      <c r="P111" s="7"/>
    </row>
    <row r="112">
      <c r="A112" s="2" t="s">
        <v>264</v>
      </c>
      <c r="B112" s="2" t="s">
        <v>265</v>
      </c>
      <c r="C112" s="2" t="s">
        <v>266</v>
      </c>
      <c r="D112" s="2" t="s">
        <v>267</v>
      </c>
      <c r="E112" s="4" t="s">
        <v>233</v>
      </c>
      <c r="F112" s="8" t="s">
        <v>233</v>
      </c>
      <c r="G112" s="4" t="s">
        <v>233</v>
      </c>
      <c r="H112" s="8" t="s">
        <v>233</v>
      </c>
      <c r="I112" s="7" t="s">
        <v>233</v>
      </c>
      <c r="J112" s="7" t="s">
        <v>233</v>
      </c>
      <c r="K112" s="4"/>
      <c r="L112" s="8"/>
      <c r="M112" s="4"/>
      <c r="N112" s="8"/>
      <c r="O112" s="7"/>
      <c r="P112" s="7"/>
    </row>
    <row r="113">
      <c r="A113" s="2" t="s">
        <v>264</v>
      </c>
      <c r="B113" s="2" t="s">
        <v>265</v>
      </c>
      <c r="C113" s="2" t="s">
        <v>1194</v>
      </c>
      <c r="D113" s="2" t="s">
        <v>9776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264</v>
      </c>
      <c r="B114" s="2" t="s">
        <v>265</v>
      </c>
      <c r="C114" s="2" t="s">
        <v>487</v>
      </c>
      <c r="D114" s="2" t="s">
        <v>488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264</v>
      </c>
      <c r="B115" s="2" t="s">
        <v>1050</v>
      </c>
      <c r="C115" s="2" t="s">
        <v>230</v>
      </c>
      <c r="D115" s="2" t="s">
        <v>3058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264</v>
      </c>
      <c r="B116" s="2" t="s">
        <v>1050</v>
      </c>
      <c r="C116" s="2" t="s">
        <v>969</v>
      </c>
      <c r="D116" s="2" t="s">
        <v>1231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264</v>
      </c>
      <c r="B117" s="2" t="s">
        <v>1050</v>
      </c>
      <c r="C117" s="2" t="s">
        <v>1616</v>
      </c>
      <c r="D117" s="2" t="s">
        <v>3058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264</v>
      </c>
      <c r="B118" s="2" t="s">
        <v>1130</v>
      </c>
      <c r="C118" s="2" t="s">
        <v>969</v>
      </c>
      <c r="D118" s="2" t="s">
        <v>2383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1017</v>
      </c>
      <c r="B119" s="2" t="s">
        <v>990</v>
      </c>
      <c r="C119" s="2" t="s">
        <v>3887</v>
      </c>
      <c r="D119" s="2" t="s">
        <v>3888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1017</v>
      </c>
      <c r="B120" s="2" t="s">
        <v>990</v>
      </c>
      <c r="C120" s="2" t="s">
        <v>1018</v>
      </c>
      <c r="D120" s="2" t="s">
        <v>1019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1017</v>
      </c>
      <c r="B121" s="2" t="s">
        <v>1607</v>
      </c>
      <c r="C121" s="2" t="s">
        <v>1565</v>
      </c>
      <c r="D121" s="2" t="s">
        <v>1566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1017</v>
      </c>
      <c r="B122" s="2" t="s">
        <v>3135</v>
      </c>
      <c r="C122" s="2" t="s">
        <v>1565</v>
      </c>
      <c r="D122" s="2" t="s">
        <v>1566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1017</v>
      </c>
      <c r="B123" s="2" t="s">
        <v>901</v>
      </c>
      <c r="C123" s="2" t="s">
        <v>1018</v>
      </c>
      <c r="D123" s="2" t="s">
        <v>1019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1017</v>
      </c>
      <c r="B124" s="2" t="s">
        <v>901</v>
      </c>
      <c r="C124" s="2" t="s">
        <v>1565</v>
      </c>
      <c r="D124" s="2" t="s">
        <v>1566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1017</v>
      </c>
      <c r="B125" s="2" t="s">
        <v>911</v>
      </c>
      <c r="C125" s="2" t="s">
        <v>7419</v>
      </c>
      <c r="D125" s="2" t="s">
        <v>992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1017</v>
      </c>
      <c r="B126" s="2" t="s">
        <v>530</v>
      </c>
      <c r="C126" s="2" t="s">
        <v>1018</v>
      </c>
      <c r="D126" s="2" t="s">
        <v>1019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1017</v>
      </c>
      <c r="B127" s="2" t="s">
        <v>530</v>
      </c>
      <c r="C127" s="2" t="s">
        <v>1565</v>
      </c>
      <c r="D127" s="2" t="s">
        <v>1566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1017</v>
      </c>
      <c r="B128" s="2" t="s">
        <v>334</v>
      </c>
      <c r="C128" s="2" t="s">
        <v>1565</v>
      </c>
      <c r="D128" s="2" t="s">
        <v>1566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1017</v>
      </c>
      <c r="B129" s="2" t="s">
        <v>1130</v>
      </c>
      <c r="C129" s="2" t="s">
        <v>1565</v>
      </c>
      <c r="D129" s="2" t="s">
        <v>1566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1017</v>
      </c>
      <c r="B130" s="2" t="s">
        <v>1335</v>
      </c>
      <c r="C130" s="2" t="s">
        <v>1565</v>
      </c>
      <c r="D130" s="2" t="s">
        <v>1566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228</v>
      </c>
      <c r="B131" s="2" t="s">
        <v>701</v>
      </c>
      <c r="C131" s="2" t="s">
        <v>230</v>
      </c>
      <c r="D131" s="2" t="s">
        <v>231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228</v>
      </c>
      <c r="B132" s="2" t="s">
        <v>701</v>
      </c>
      <c r="C132" s="2" t="s">
        <v>3775</v>
      </c>
      <c r="D132" s="2" t="s">
        <v>3776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228</v>
      </c>
      <c r="B133" s="2" t="s">
        <v>701</v>
      </c>
      <c r="C133" s="2" t="s">
        <v>3847</v>
      </c>
      <c r="D133" s="2" t="s">
        <v>6161</v>
      </c>
      <c r="E133" s="4" t="s">
        <v>233</v>
      </c>
      <c r="F133" s="8" t="s">
        <v>233</v>
      </c>
      <c r="G133" s="4" t="s">
        <v>233</v>
      </c>
      <c r="H133" s="8" t="s">
        <v>233</v>
      </c>
      <c r="I133" s="7" t="s">
        <v>233</v>
      </c>
      <c r="J133" s="7" t="s">
        <v>233</v>
      </c>
      <c r="K133" s="4"/>
      <c r="L133" s="8"/>
      <c r="M133" s="4"/>
      <c r="N133" s="8"/>
      <c r="O133" s="7"/>
      <c r="P133" s="7"/>
    </row>
    <row r="134">
      <c r="A134" s="2" t="s">
        <v>228</v>
      </c>
      <c r="B134" s="2" t="s">
        <v>701</v>
      </c>
      <c r="C134" s="2" t="s">
        <v>3847</v>
      </c>
      <c r="D134" s="2" t="s">
        <v>3848</v>
      </c>
      <c r="E134" s="4" t="s">
        <v>233</v>
      </c>
      <c r="F134" s="8" t="s">
        <v>233</v>
      </c>
      <c r="G134" s="4" t="s">
        <v>233</v>
      </c>
      <c r="H134" s="8" t="s">
        <v>233</v>
      </c>
      <c r="I134" s="7" t="s">
        <v>233</v>
      </c>
      <c r="J134" s="7" t="s">
        <v>233</v>
      </c>
      <c r="K134" s="4"/>
      <c r="L134" s="8"/>
      <c r="M134" s="4"/>
      <c r="N134" s="8"/>
      <c r="O134" s="7"/>
      <c r="P134" s="7"/>
    </row>
    <row r="135">
      <c r="A135" s="2" t="s">
        <v>228</v>
      </c>
      <c r="B135" s="2" t="s">
        <v>701</v>
      </c>
      <c r="C135" s="2" t="s">
        <v>3847</v>
      </c>
      <c r="D135" s="2" t="s">
        <v>6221</v>
      </c>
      <c r="E135" s="4" t="s">
        <v>233</v>
      </c>
      <c r="F135" s="8" t="s">
        <v>233</v>
      </c>
      <c r="G135" s="4" t="s">
        <v>233</v>
      </c>
      <c r="H135" s="8" t="s">
        <v>233</v>
      </c>
      <c r="I135" s="7" t="s">
        <v>233</v>
      </c>
      <c r="J135" s="7" t="s">
        <v>233</v>
      </c>
      <c r="K135" s="4"/>
      <c r="L135" s="8"/>
      <c r="M135" s="4"/>
      <c r="N135" s="8"/>
      <c r="O135" s="7"/>
      <c r="P135" s="7"/>
    </row>
    <row r="136">
      <c r="A136" s="2" t="s">
        <v>228</v>
      </c>
      <c r="B136" s="2" t="s">
        <v>701</v>
      </c>
      <c r="C136" s="2" t="s">
        <v>3847</v>
      </c>
      <c r="D136" s="2" t="s">
        <v>11440</v>
      </c>
      <c r="E136" s="4" t="s">
        <v>233</v>
      </c>
      <c r="F136" s="8" t="s">
        <v>233</v>
      </c>
      <c r="G136" s="4" t="s">
        <v>233</v>
      </c>
      <c r="H136" s="8" t="s">
        <v>233</v>
      </c>
      <c r="I136" s="7" t="s">
        <v>233</v>
      </c>
      <c r="J136" s="7" t="s">
        <v>233</v>
      </c>
      <c r="K136" s="4"/>
      <c r="L136" s="8"/>
      <c r="M136" s="4"/>
      <c r="N136" s="8"/>
      <c r="O136" s="7"/>
      <c r="P136" s="7"/>
    </row>
    <row r="137">
      <c r="A137" s="2" t="s">
        <v>228</v>
      </c>
      <c r="B137" s="2" t="s">
        <v>701</v>
      </c>
      <c r="C137" s="2" t="s">
        <v>9690</v>
      </c>
      <c r="D137" s="2" t="s">
        <v>9691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228</v>
      </c>
      <c r="B138" s="2" t="s">
        <v>446</v>
      </c>
      <c r="C138" s="2" t="s">
        <v>230</v>
      </c>
      <c r="D138" s="2" t="s">
        <v>231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228</v>
      </c>
      <c r="B139" s="2" t="s">
        <v>990</v>
      </c>
      <c r="C139" s="2" t="s">
        <v>230</v>
      </c>
      <c r="D139" s="2" t="s">
        <v>231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228</v>
      </c>
      <c r="B140" s="2" t="s">
        <v>990</v>
      </c>
      <c r="C140" s="2" t="s">
        <v>1194</v>
      </c>
      <c r="D140" s="2" t="s">
        <v>1987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228</v>
      </c>
      <c r="B141" s="2" t="s">
        <v>990</v>
      </c>
      <c r="C141" s="2" t="s">
        <v>1616</v>
      </c>
      <c r="D141" s="2" t="s">
        <v>2599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228</v>
      </c>
      <c r="B142" s="2" t="s">
        <v>901</v>
      </c>
      <c r="C142" s="2" t="s">
        <v>230</v>
      </c>
      <c r="D142" s="2" t="s">
        <v>231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228</v>
      </c>
      <c r="B143" s="2" t="s">
        <v>901</v>
      </c>
      <c r="C143" s="2" t="s">
        <v>487</v>
      </c>
      <c r="D143" s="2" t="s">
        <v>488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228</v>
      </c>
      <c r="B144" s="2" t="s">
        <v>911</v>
      </c>
      <c r="C144" s="2" t="s">
        <v>230</v>
      </c>
      <c r="D144" s="2" t="s">
        <v>231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228</v>
      </c>
      <c r="B145" s="2" t="s">
        <v>911</v>
      </c>
      <c r="C145" s="2" t="s">
        <v>969</v>
      </c>
      <c r="D145" s="2" t="s">
        <v>970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228</v>
      </c>
      <c r="B146" s="2" t="s">
        <v>911</v>
      </c>
      <c r="C146" s="2" t="s">
        <v>1616</v>
      </c>
      <c r="D146" s="2" t="s">
        <v>2599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228</v>
      </c>
      <c r="B147" s="2" t="s">
        <v>530</v>
      </c>
      <c r="C147" s="2" t="s">
        <v>230</v>
      </c>
      <c r="D147" s="2" t="s">
        <v>231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228</v>
      </c>
      <c r="B148" s="2" t="s">
        <v>530</v>
      </c>
      <c r="C148" s="2" t="s">
        <v>969</v>
      </c>
      <c r="D148" s="2" t="s">
        <v>1078</v>
      </c>
      <c r="E148" s="4" t="s">
        <v>233</v>
      </c>
      <c r="F148" s="8" t="s">
        <v>233</v>
      </c>
      <c r="G148" s="4" t="s">
        <v>233</v>
      </c>
      <c r="H148" s="8" t="s">
        <v>233</v>
      </c>
      <c r="I148" s="7" t="s">
        <v>233</v>
      </c>
      <c r="J148" s="7" t="s">
        <v>233</v>
      </c>
      <c r="K148" s="4"/>
      <c r="L148" s="8"/>
      <c r="M148" s="4"/>
      <c r="N148" s="8"/>
      <c r="O148" s="7"/>
      <c r="P148" s="7"/>
    </row>
    <row r="149">
      <c r="A149" s="2" t="s">
        <v>228</v>
      </c>
      <c r="B149" s="2" t="s">
        <v>530</v>
      </c>
      <c r="C149" s="2" t="s">
        <v>969</v>
      </c>
      <c r="D149" s="2" t="s">
        <v>970</v>
      </c>
      <c r="E149" s="4" t="s">
        <v>233</v>
      </c>
      <c r="F149" s="8" t="s">
        <v>233</v>
      </c>
      <c r="G149" s="4" t="s">
        <v>233</v>
      </c>
      <c r="H149" s="8" t="s">
        <v>233</v>
      </c>
      <c r="I149" s="7" t="s">
        <v>233</v>
      </c>
      <c r="J149" s="7" t="s">
        <v>233</v>
      </c>
      <c r="K149" s="4"/>
      <c r="L149" s="8"/>
      <c r="M149" s="4"/>
      <c r="N149" s="8"/>
      <c r="O149" s="7"/>
      <c r="P149" s="7"/>
    </row>
    <row r="150">
      <c r="A150" s="2" t="s">
        <v>228</v>
      </c>
      <c r="B150" s="2" t="s">
        <v>530</v>
      </c>
      <c r="C150" s="2" t="s">
        <v>1862</v>
      </c>
      <c r="D150" s="2" t="s">
        <v>1863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228</v>
      </c>
      <c r="B151" s="2" t="s">
        <v>530</v>
      </c>
      <c r="C151" s="2" t="s">
        <v>1194</v>
      </c>
      <c r="D151" s="2" t="s">
        <v>1195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228</v>
      </c>
      <c r="B152" s="2" t="s">
        <v>530</v>
      </c>
      <c r="C152" s="2" t="s">
        <v>1616</v>
      </c>
      <c r="D152" s="2" t="s">
        <v>1617</v>
      </c>
      <c r="E152" s="4" t="s">
        <v>233</v>
      </c>
      <c r="F152" s="8" t="s">
        <v>233</v>
      </c>
      <c r="G152" s="4" t="s">
        <v>233</v>
      </c>
      <c r="H152" s="8" t="s">
        <v>233</v>
      </c>
      <c r="I152" s="7" t="s">
        <v>233</v>
      </c>
      <c r="J152" s="7" t="s">
        <v>233</v>
      </c>
      <c r="K152" s="4"/>
      <c r="L152" s="8"/>
      <c r="M152" s="4"/>
      <c r="N152" s="8"/>
      <c r="O152" s="7"/>
      <c r="P152" s="7"/>
    </row>
    <row r="153">
      <c r="A153" s="2" t="s">
        <v>228</v>
      </c>
      <c r="B153" s="2" t="s">
        <v>530</v>
      </c>
      <c r="C153" s="2" t="s">
        <v>1616</v>
      </c>
      <c r="D153" s="2" t="s">
        <v>2599</v>
      </c>
      <c r="E153" s="4" t="s">
        <v>233</v>
      </c>
      <c r="F153" s="8" t="s">
        <v>233</v>
      </c>
      <c r="G153" s="4" t="s">
        <v>233</v>
      </c>
      <c r="H153" s="8" t="s">
        <v>233</v>
      </c>
      <c r="I153" s="7" t="s">
        <v>233</v>
      </c>
      <c r="J153" s="7" t="s">
        <v>233</v>
      </c>
      <c r="K153" s="4"/>
      <c r="L153" s="8"/>
      <c r="M153" s="4"/>
      <c r="N153" s="8"/>
      <c r="O153" s="7"/>
      <c r="P153" s="7"/>
    </row>
    <row r="154">
      <c r="A154" s="2" t="s">
        <v>228</v>
      </c>
      <c r="B154" s="2" t="s">
        <v>334</v>
      </c>
      <c r="C154" s="2" t="s">
        <v>969</v>
      </c>
      <c r="D154" s="2" t="s">
        <v>970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228</v>
      </c>
      <c r="B155" s="2" t="s">
        <v>229</v>
      </c>
      <c r="C155" s="2" t="s">
        <v>230</v>
      </c>
      <c r="D155" s="2" t="s">
        <v>231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228</v>
      </c>
      <c r="B156" s="2" t="s">
        <v>3846</v>
      </c>
      <c r="C156" s="2" t="s">
        <v>3775</v>
      </c>
      <c r="D156" s="2" t="s">
        <v>3776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228</v>
      </c>
      <c r="B157" s="2" t="s">
        <v>3846</v>
      </c>
      <c r="C157" s="2" t="s">
        <v>3847</v>
      </c>
      <c r="D157" s="2" t="s">
        <v>3848</v>
      </c>
      <c r="E157" s="4" t="s">
        <v>233</v>
      </c>
      <c r="F157" s="8" t="s">
        <v>233</v>
      </c>
      <c r="G157" s="4" t="s">
        <v>233</v>
      </c>
      <c r="H157" s="8" t="s">
        <v>233</v>
      </c>
      <c r="I157" s="7" t="s">
        <v>233</v>
      </c>
      <c r="J157" s="7" t="s">
        <v>233</v>
      </c>
      <c r="K157" s="4"/>
      <c r="L157" s="8"/>
      <c r="M157" s="4"/>
      <c r="N157" s="8"/>
      <c r="O157" s="7"/>
      <c r="P157" s="7"/>
    </row>
    <row r="158">
      <c r="A158" s="2" t="s">
        <v>228</v>
      </c>
      <c r="B158" s="2" t="s">
        <v>3846</v>
      </c>
      <c r="C158" s="2" t="s">
        <v>3847</v>
      </c>
      <c r="D158" s="2" t="s">
        <v>6221</v>
      </c>
      <c r="E158" s="4" t="s">
        <v>233</v>
      </c>
      <c r="F158" s="8" t="s">
        <v>233</v>
      </c>
      <c r="G158" s="4" t="s">
        <v>233</v>
      </c>
      <c r="H158" s="8" t="s">
        <v>233</v>
      </c>
      <c r="I158" s="7" t="s">
        <v>233</v>
      </c>
      <c r="J158" s="7" t="s">
        <v>233</v>
      </c>
      <c r="K158" s="4"/>
      <c r="L158" s="8"/>
      <c r="M158" s="4"/>
      <c r="N158" s="8"/>
      <c r="O158" s="7"/>
      <c r="P158" s="7"/>
    </row>
    <row r="159">
      <c r="A159" s="2" t="s">
        <v>228</v>
      </c>
      <c r="B159" s="2" t="s">
        <v>1050</v>
      </c>
      <c r="C159" s="2" t="s">
        <v>230</v>
      </c>
      <c r="D159" s="2" t="s">
        <v>231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228</v>
      </c>
      <c r="B160" s="2" t="s">
        <v>1050</v>
      </c>
      <c r="C160" s="2" t="s">
        <v>969</v>
      </c>
      <c r="D160" s="2" t="s">
        <v>970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228</v>
      </c>
      <c r="B161" s="2" t="s">
        <v>1050</v>
      </c>
      <c r="C161" s="2" t="s">
        <v>3847</v>
      </c>
      <c r="D161" s="2" t="s">
        <v>3848</v>
      </c>
      <c r="E161" s="4" t="s">
        <v>233</v>
      </c>
      <c r="F161" s="8" t="s">
        <v>233</v>
      </c>
      <c r="G161" s="4" t="s">
        <v>233</v>
      </c>
      <c r="H161" s="8" t="s">
        <v>233</v>
      </c>
      <c r="I161" s="7" t="s">
        <v>233</v>
      </c>
      <c r="J161" s="7" t="s">
        <v>233</v>
      </c>
      <c r="K161" s="4"/>
      <c r="L161" s="8"/>
      <c r="M161" s="4"/>
      <c r="N161" s="8"/>
      <c r="O161" s="7"/>
      <c r="P161" s="7"/>
    </row>
    <row r="162">
      <c r="A162" s="2" t="s">
        <v>228</v>
      </c>
      <c r="B162" s="2" t="s">
        <v>1050</v>
      </c>
      <c r="C162" s="2" t="s">
        <v>3847</v>
      </c>
      <c r="D162" s="2" t="s">
        <v>6221</v>
      </c>
      <c r="E162" s="4" t="s">
        <v>233</v>
      </c>
      <c r="F162" s="8" t="s">
        <v>233</v>
      </c>
      <c r="G162" s="4" t="s">
        <v>233</v>
      </c>
      <c r="H162" s="8" t="s">
        <v>233</v>
      </c>
      <c r="I162" s="7" t="s">
        <v>233</v>
      </c>
      <c r="J162" s="7" t="s">
        <v>233</v>
      </c>
      <c r="K162" s="4"/>
      <c r="L162" s="8"/>
      <c r="M162" s="4"/>
      <c r="N162" s="8"/>
      <c r="O162" s="7"/>
      <c r="P162" s="7"/>
    </row>
    <row r="163">
      <c r="A163" s="2" t="s">
        <v>228</v>
      </c>
      <c r="B163" s="2" t="s">
        <v>1130</v>
      </c>
      <c r="C163" s="2" t="s">
        <v>1616</v>
      </c>
      <c r="D163" s="2" t="s">
        <v>2599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228</v>
      </c>
      <c r="B164" s="2" t="s">
        <v>1335</v>
      </c>
      <c r="C164" s="2" t="s">
        <v>969</v>
      </c>
      <c r="D164" s="2" t="s">
        <v>1078</v>
      </c>
      <c r="E164" s="4" t="s">
        <v>233</v>
      </c>
      <c r="F164" s="8" t="s">
        <v>233</v>
      </c>
      <c r="G164" s="4" t="s">
        <v>233</v>
      </c>
      <c r="H164" s="8" t="s">
        <v>233</v>
      </c>
      <c r="I164" s="7" t="s">
        <v>233</v>
      </c>
      <c r="J164" s="7" t="s">
        <v>233</v>
      </c>
      <c r="K164" s="4"/>
      <c r="L164" s="8"/>
      <c r="M164" s="4"/>
      <c r="N164" s="8"/>
      <c r="O164" s="7"/>
      <c r="P164" s="7"/>
    </row>
    <row r="165">
      <c r="A165" s="2" t="s">
        <v>228</v>
      </c>
      <c r="B165" s="2" t="s">
        <v>1335</v>
      </c>
      <c r="C165" s="2" t="s">
        <v>969</v>
      </c>
      <c r="D165" s="2" t="s">
        <v>970</v>
      </c>
      <c r="E165" s="4" t="s">
        <v>233</v>
      </c>
      <c r="F165" s="8" t="s">
        <v>233</v>
      </c>
      <c r="G165" s="4" t="s">
        <v>233</v>
      </c>
      <c r="H165" s="8" t="s">
        <v>233</v>
      </c>
      <c r="I165" s="7" t="s">
        <v>233</v>
      </c>
      <c r="J165" s="7" t="s">
        <v>233</v>
      </c>
      <c r="K165" s="4"/>
      <c r="L165" s="8"/>
      <c r="M165" s="4"/>
      <c r="N165" s="8"/>
      <c r="O165" s="7"/>
      <c r="P165" s="7"/>
    </row>
    <row r="166">
      <c r="A166" s="2" t="s">
        <v>228</v>
      </c>
      <c r="B166" s="2" t="s">
        <v>1335</v>
      </c>
      <c r="C166" s="2" t="s">
        <v>3847</v>
      </c>
      <c r="D166" s="2" t="s">
        <v>3848</v>
      </c>
      <c r="E166" s="4" t="s">
        <v>233</v>
      </c>
      <c r="F166" s="8" t="s">
        <v>233</v>
      </c>
      <c r="G166" s="4" t="s">
        <v>233</v>
      </c>
      <c r="H166" s="8" t="s">
        <v>233</v>
      </c>
      <c r="I166" s="7" t="s">
        <v>233</v>
      </c>
      <c r="J166" s="7" t="s">
        <v>233</v>
      </c>
      <c r="K166" s="4"/>
      <c r="L166" s="8"/>
      <c r="M166" s="4"/>
      <c r="N166" s="8"/>
      <c r="O166" s="7"/>
      <c r="P166" s="7"/>
    </row>
    <row r="167">
      <c r="A167" s="2" t="s">
        <v>228</v>
      </c>
      <c r="B167" s="2" t="s">
        <v>1335</v>
      </c>
      <c r="C167" s="2" t="s">
        <v>3847</v>
      </c>
      <c r="D167" s="2" t="s">
        <v>6221</v>
      </c>
      <c r="E167" s="4" t="s">
        <v>233</v>
      </c>
      <c r="F167" s="8" t="s">
        <v>233</v>
      </c>
      <c r="G167" s="4" t="s">
        <v>233</v>
      </c>
      <c r="H167" s="8" t="s">
        <v>233</v>
      </c>
      <c r="I167" s="7" t="s">
        <v>233</v>
      </c>
      <c r="J167" s="7" t="s">
        <v>233</v>
      </c>
      <c r="K167" s="4"/>
      <c r="L167" s="8"/>
      <c r="M167" s="4"/>
      <c r="N167" s="8"/>
      <c r="O167" s="7"/>
      <c r="P167" s="7"/>
    </row>
    <row r="168">
      <c r="A168" s="2" t="s">
        <v>228</v>
      </c>
      <c r="B168" s="2" t="s">
        <v>1335</v>
      </c>
      <c r="C168" s="2" t="s">
        <v>1616</v>
      </c>
      <c r="D168" s="2" t="s">
        <v>1617</v>
      </c>
      <c r="E168" s="4" t="s">
        <v>233</v>
      </c>
      <c r="F168" s="8" t="s">
        <v>233</v>
      </c>
      <c r="G168" s="4" t="s">
        <v>233</v>
      </c>
      <c r="H168" s="8" t="s">
        <v>233</v>
      </c>
      <c r="I168" s="7" t="s">
        <v>233</v>
      </c>
      <c r="J168" s="7" t="s">
        <v>233</v>
      </c>
      <c r="K168" s="4"/>
      <c r="L168" s="8"/>
      <c r="M168" s="4"/>
      <c r="N168" s="8"/>
      <c r="O168" s="7"/>
      <c r="P168" s="7"/>
    </row>
    <row r="169">
      <c r="A169" s="2" t="s">
        <v>228</v>
      </c>
      <c r="B169" s="2" t="s">
        <v>1335</v>
      </c>
      <c r="C169" s="2" t="s">
        <v>1616</v>
      </c>
      <c r="D169" s="2" t="s">
        <v>2599</v>
      </c>
      <c r="E169" s="4" t="s">
        <v>233</v>
      </c>
      <c r="F169" s="8" t="s">
        <v>233</v>
      </c>
      <c r="G169" s="4" t="s">
        <v>233</v>
      </c>
      <c r="H169" s="8" t="s">
        <v>233</v>
      </c>
      <c r="I169" s="7" t="s">
        <v>233</v>
      </c>
      <c r="J169" s="7" t="s">
        <v>233</v>
      </c>
      <c r="K169" s="4"/>
      <c r="L169" s="8"/>
      <c r="M169" s="4"/>
      <c r="N169" s="8"/>
      <c r="O169" s="7"/>
      <c r="P169" s="7"/>
    </row>
    <row r="170">
      <c r="A170" s="2" t="s">
        <v>1066</v>
      </c>
      <c r="B170" s="2" t="s">
        <v>1157</v>
      </c>
      <c r="C170" s="2" t="s">
        <v>1713</v>
      </c>
      <c r="D170" s="2" t="s">
        <v>1714</v>
      </c>
      <c r="E170" s="4" t="s">
        <v>233</v>
      </c>
      <c r="F170" s="8" t="s">
        <v>233</v>
      </c>
      <c r="G170" s="4" t="s">
        <v>233</v>
      </c>
      <c r="H170" s="8" t="s">
        <v>233</v>
      </c>
      <c r="I170" s="7" t="s">
        <v>233</v>
      </c>
      <c r="J170" s="7" t="s">
        <v>233</v>
      </c>
      <c r="K170" s="4"/>
      <c r="L170" s="8"/>
      <c r="M170" s="4"/>
      <c r="N170" s="8"/>
      <c r="O170" s="7"/>
      <c r="P170" s="7"/>
    </row>
    <row r="171">
      <c r="A171" s="2" t="s">
        <v>1066</v>
      </c>
      <c r="B171" s="2" t="s">
        <v>1157</v>
      </c>
      <c r="C171" s="2" t="s">
        <v>1713</v>
      </c>
      <c r="D171" s="2" t="s">
        <v>1913</v>
      </c>
      <c r="E171" s="4" t="s">
        <v>233</v>
      </c>
      <c r="F171" s="8" t="s">
        <v>233</v>
      </c>
      <c r="G171" s="4" t="s">
        <v>233</v>
      </c>
      <c r="H171" s="8" t="s">
        <v>233</v>
      </c>
      <c r="I171" s="7" t="s">
        <v>233</v>
      </c>
      <c r="J171" s="7" t="s">
        <v>233</v>
      </c>
      <c r="K171" s="4"/>
      <c r="L171" s="8"/>
      <c r="M171" s="4"/>
      <c r="N171" s="8"/>
      <c r="O171" s="7"/>
      <c r="P171" s="7"/>
    </row>
    <row r="172">
      <c r="A172" s="2" t="s">
        <v>1066</v>
      </c>
      <c r="B172" s="2" t="s">
        <v>1157</v>
      </c>
      <c r="C172" s="2" t="s">
        <v>1067</v>
      </c>
      <c r="D172" s="2" t="s">
        <v>2543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1066</v>
      </c>
      <c r="B173" s="2" t="s">
        <v>1157</v>
      </c>
      <c r="C173" s="2" t="s">
        <v>1919</v>
      </c>
      <c r="D173" s="2" t="s">
        <v>1920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1066</v>
      </c>
      <c r="B174" s="2" t="s">
        <v>1157</v>
      </c>
      <c r="C174" s="2" t="s">
        <v>1090</v>
      </c>
      <c r="D174" s="2" t="s">
        <v>1091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1066</v>
      </c>
      <c r="B175" s="2" t="s">
        <v>1157</v>
      </c>
      <c r="C175" s="2" t="s">
        <v>1923</v>
      </c>
      <c r="D175" s="2" t="s">
        <v>1924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1066</v>
      </c>
      <c r="B176" s="2" t="s">
        <v>1157</v>
      </c>
      <c r="C176" s="2" t="s">
        <v>1782</v>
      </c>
      <c r="D176" s="2" t="s">
        <v>2309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1066</v>
      </c>
      <c r="B177" s="2" t="s">
        <v>1781</v>
      </c>
      <c r="C177" s="2" t="s">
        <v>1782</v>
      </c>
      <c r="D177" s="2" t="s">
        <v>1783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1066</v>
      </c>
      <c r="B178" s="2" t="s">
        <v>901</v>
      </c>
      <c r="C178" s="2" t="s">
        <v>1713</v>
      </c>
      <c r="D178" s="2" t="s">
        <v>1714</v>
      </c>
      <c r="E178" s="4" t="s">
        <v>233</v>
      </c>
      <c r="F178" s="8" t="s">
        <v>233</v>
      </c>
      <c r="G178" s="4" t="s">
        <v>233</v>
      </c>
      <c r="H178" s="8" t="s">
        <v>233</v>
      </c>
      <c r="I178" s="7" t="s">
        <v>233</v>
      </c>
      <c r="J178" s="7" t="s">
        <v>233</v>
      </c>
      <c r="K178" s="4"/>
      <c r="L178" s="8"/>
      <c r="M178" s="4"/>
      <c r="N178" s="8"/>
      <c r="O178" s="7"/>
      <c r="P178" s="7"/>
    </row>
    <row r="179">
      <c r="A179" s="2" t="s">
        <v>1066</v>
      </c>
      <c r="B179" s="2" t="s">
        <v>901</v>
      </c>
      <c r="C179" s="2" t="s">
        <v>1713</v>
      </c>
      <c r="D179" s="2" t="s">
        <v>1913</v>
      </c>
      <c r="E179" s="4" t="s">
        <v>233</v>
      </c>
      <c r="F179" s="8" t="s">
        <v>233</v>
      </c>
      <c r="G179" s="4" t="s">
        <v>233</v>
      </c>
      <c r="H179" s="8" t="s">
        <v>233</v>
      </c>
      <c r="I179" s="7" t="s">
        <v>233</v>
      </c>
      <c r="J179" s="7" t="s">
        <v>233</v>
      </c>
      <c r="K179" s="4"/>
      <c r="L179" s="8"/>
      <c r="M179" s="4"/>
      <c r="N179" s="8"/>
      <c r="O179" s="7"/>
      <c r="P179" s="7"/>
    </row>
    <row r="180">
      <c r="A180" s="2" t="s">
        <v>1066</v>
      </c>
      <c r="B180" s="2" t="s">
        <v>901</v>
      </c>
      <c r="C180" s="2" t="s">
        <v>1067</v>
      </c>
      <c r="D180" s="2" t="s">
        <v>2650</v>
      </c>
      <c r="E180" s="4" t="s">
        <v>233</v>
      </c>
      <c r="F180" s="8" t="s">
        <v>233</v>
      </c>
      <c r="G180" s="4" t="s">
        <v>233</v>
      </c>
      <c r="H180" s="8" t="s">
        <v>233</v>
      </c>
      <c r="I180" s="7" t="s">
        <v>233</v>
      </c>
      <c r="J180" s="7" t="s">
        <v>233</v>
      </c>
      <c r="K180" s="4"/>
      <c r="L180" s="8"/>
      <c r="M180" s="4"/>
      <c r="N180" s="8"/>
      <c r="O180" s="7"/>
      <c r="P180" s="7"/>
    </row>
    <row r="181">
      <c r="A181" s="2" t="s">
        <v>1066</v>
      </c>
      <c r="B181" s="2" t="s">
        <v>901</v>
      </c>
      <c r="C181" s="2" t="s">
        <v>1067</v>
      </c>
      <c r="D181" s="2" t="s">
        <v>2543</v>
      </c>
      <c r="E181" s="4" t="s">
        <v>233</v>
      </c>
      <c r="F181" s="8" t="s">
        <v>233</v>
      </c>
      <c r="G181" s="4" t="s">
        <v>233</v>
      </c>
      <c r="H181" s="8" t="s">
        <v>233</v>
      </c>
      <c r="I181" s="7" t="s">
        <v>233</v>
      </c>
      <c r="J181" s="7" t="s">
        <v>233</v>
      </c>
      <c r="K181" s="4"/>
      <c r="L181" s="8"/>
      <c r="M181" s="4"/>
      <c r="N181" s="8"/>
      <c r="O181" s="7"/>
      <c r="P181" s="7"/>
    </row>
    <row r="182">
      <c r="A182" s="2" t="s">
        <v>1066</v>
      </c>
      <c r="B182" s="2" t="s">
        <v>901</v>
      </c>
      <c r="C182" s="2" t="s">
        <v>1067</v>
      </c>
      <c r="D182" s="2" t="s">
        <v>1068</v>
      </c>
      <c r="E182" s="4" t="s">
        <v>233</v>
      </c>
      <c r="F182" s="8" t="s">
        <v>233</v>
      </c>
      <c r="G182" s="4" t="s">
        <v>233</v>
      </c>
      <c r="H182" s="8" t="s">
        <v>233</v>
      </c>
      <c r="I182" s="7" t="s">
        <v>233</v>
      </c>
      <c r="J182" s="7" t="s">
        <v>233</v>
      </c>
      <c r="K182" s="4"/>
      <c r="L182" s="8"/>
      <c r="M182" s="4"/>
      <c r="N182" s="8"/>
      <c r="O182" s="7"/>
      <c r="P182" s="7"/>
    </row>
    <row r="183">
      <c r="A183" s="2" t="s">
        <v>1066</v>
      </c>
      <c r="B183" s="2" t="s">
        <v>901</v>
      </c>
      <c r="C183" s="2" t="s">
        <v>2140</v>
      </c>
      <c r="D183" s="2" t="s">
        <v>4141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1066</v>
      </c>
      <c r="B184" s="2" t="s">
        <v>901</v>
      </c>
      <c r="C184" s="2" t="s">
        <v>10723</v>
      </c>
      <c r="D184" s="2" t="s">
        <v>8524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1066</v>
      </c>
      <c r="B185" s="2" t="s">
        <v>901</v>
      </c>
      <c r="C185" s="2" t="s">
        <v>1919</v>
      </c>
      <c r="D185" s="2" t="s">
        <v>3467</v>
      </c>
      <c r="E185" s="4" t="s">
        <v>233</v>
      </c>
      <c r="F185" s="8" t="s">
        <v>233</v>
      </c>
      <c r="G185" s="4" t="s">
        <v>233</v>
      </c>
      <c r="H185" s="8" t="s">
        <v>233</v>
      </c>
      <c r="I185" s="7" t="s">
        <v>233</v>
      </c>
      <c r="J185" s="7" t="s">
        <v>233</v>
      </c>
      <c r="K185" s="4"/>
      <c r="L185" s="8"/>
      <c r="M185" s="4"/>
      <c r="N185" s="8"/>
      <c r="O185" s="7"/>
      <c r="P185" s="7"/>
    </row>
    <row r="186">
      <c r="A186" s="2" t="s">
        <v>1066</v>
      </c>
      <c r="B186" s="2" t="s">
        <v>901</v>
      </c>
      <c r="C186" s="2" t="s">
        <v>1919</v>
      </c>
      <c r="D186" s="2" t="s">
        <v>1920</v>
      </c>
      <c r="E186" s="4" t="s">
        <v>233</v>
      </c>
      <c r="F186" s="8" t="s">
        <v>233</v>
      </c>
      <c r="G186" s="4" t="s">
        <v>233</v>
      </c>
      <c r="H186" s="8" t="s">
        <v>233</v>
      </c>
      <c r="I186" s="7" t="s">
        <v>233</v>
      </c>
      <c r="J186" s="7" t="s">
        <v>233</v>
      </c>
      <c r="K186" s="4"/>
      <c r="L186" s="8"/>
      <c r="M186" s="4"/>
      <c r="N186" s="8"/>
      <c r="O186" s="7"/>
      <c r="P186" s="7"/>
    </row>
    <row r="187">
      <c r="A187" s="2" t="s">
        <v>1066</v>
      </c>
      <c r="B187" s="2" t="s">
        <v>901</v>
      </c>
      <c r="C187" s="2" t="s">
        <v>1919</v>
      </c>
      <c r="D187" s="2" t="s">
        <v>1112</v>
      </c>
      <c r="E187" s="4" t="s">
        <v>233</v>
      </c>
      <c r="F187" s="8" t="s">
        <v>233</v>
      </c>
      <c r="G187" s="4" t="s">
        <v>233</v>
      </c>
      <c r="H187" s="8" t="s">
        <v>233</v>
      </c>
      <c r="I187" s="7" t="s">
        <v>233</v>
      </c>
      <c r="J187" s="7" t="s">
        <v>233</v>
      </c>
      <c r="K187" s="4"/>
      <c r="L187" s="8"/>
      <c r="M187" s="4"/>
      <c r="N187" s="8"/>
      <c r="O187" s="7"/>
      <c r="P187" s="7"/>
    </row>
    <row r="188">
      <c r="A188" s="2" t="s">
        <v>1066</v>
      </c>
      <c r="B188" s="2" t="s">
        <v>901</v>
      </c>
      <c r="C188" s="2" t="s">
        <v>1322</v>
      </c>
      <c r="D188" s="2" t="s">
        <v>2279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1066</v>
      </c>
      <c r="B189" s="2" t="s">
        <v>901</v>
      </c>
      <c r="C189" s="2" t="s">
        <v>1090</v>
      </c>
      <c r="D189" s="2" t="s">
        <v>1091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1066</v>
      </c>
      <c r="B190" s="2" t="s">
        <v>901</v>
      </c>
      <c r="C190" s="2" t="s">
        <v>1923</v>
      </c>
      <c r="D190" s="2" t="s">
        <v>1924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1066</v>
      </c>
      <c r="B191" s="2" t="s">
        <v>901</v>
      </c>
      <c r="C191" s="2" t="s">
        <v>2333</v>
      </c>
      <c r="D191" s="2" t="s">
        <v>2334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1066</v>
      </c>
      <c r="B192" s="2" t="s">
        <v>901</v>
      </c>
      <c r="C192" s="2" t="s">
        <v>2037</v>
      </c>
      <c r="D192" s="2" t="s">
        <v>2038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1066</v>
      </c>
      <c r="B193" s="2" t="s">
        <v>901</v>
      </c>
      <c r="C193" s="2" t="s">
        <v>1111</v>
      </c>
      <c r="D193" s="2" t="s">
        <v>1112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1066</v>
      </c>
      <c r="B194" s="2" t="s">
        <v>901</v>
      </c>
      <c r="C194" s="2" t="s">
        <v>2285</v>
      </c>
      <c r="D194" s="2" t="s">
        <v>2286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1066</v>
      </c>
      <c r="B195" s="2" t="s">
        <v>901</v>
      </c>
      <c r="C195" s="2" t="s">
        <v>1782</v>
      </c>
      <c r="D195" s="2" t="s">
        <v>2131</v>
      </c>
      <c r="E195" s="4" t="s">
        <v>233</v>
      </c>
      <c r="F195" s="8" t="s">
        <v>233</v>
      </c>
      <c r="G195" s="4" t="s">
        <v>233</v>
      </c>
      <c r="H195" s="8" t="s">
        <v>233</v>
      </c>
      <c r="I195" s="7" t="s">
        <v>233</v>
      </c>
      <c r="J195" s="7" t="s">
        <v>233</v>
      </c>
      <c r="K195" s="4"/>
      <c r="L195" s="8"/>
      <c r="M195" s="4"/>
      <c r="N195" s="8"/>
      <c r="O195" s="7"/>
      <c r="P195" s="7"/>
    </row>
    <row r="196">
      <c r="A196" s="2" t="s">
        <v>1066</v>
      </c>
      <c r="B196" s="2" t="s">
        <v>901</v>
      </c>
      <c r="C196" s="2" t="s">
        <v>1782</v>
      </c>
      <c r="D196" s="2" t="s">
        <v>7233</v>
      </c>
      <c r="E196" s="4" t="s">
        <v>233</v>
      </c>
      <c r="F196" s="8" t="s">
        <v>233</v>
      </c>
      <c r="G196" s="4" t="s">
        <v>233</v>
      </c>
      <c r="H196" s="8" t="s">
        <v>233</v>
      </c>
      <c r="I196" s="7" t="s">
        <v>233</v>
      </c>
      <c r="J196" s="7" t="s">
        <v>233</v>
      </c>
      <c r="K196" s="4"/>
      <c r="L196" s="8"/>
      <c r="M196" s="4"/>
      <c r="N196" s="8"/>
      <c r="O196" s="7"/>
      <c r="P196" s="7"/>
    </row>
    <row r="197">
      <c r="A197" s="2" t="s">
        <v>1066</v>
      </c>
      <c r="B197" s="2" t="s">
        <v>901</v>
      </c>
      <c r="C197" s="2" t="s">
        <v>1782</v>
      </c>
      <c r="D197" s="2" t="s">
        <v>1783</v>
      </c>
      <c r="E197" s="4" t="s">
        <v>233</v>
      </c>
      <c r="F197" s="8" t="s">
        <v>233</v>
      </c>
      <c r="G197" s="4" t="s">
        <v>233</v>
      </c>
      <c r="H197" s="8" t="s">
        <v>233</v>
      </c>
      <c r="I197" s="7" t="s">
        <v>233</v>
      </c>
      <c r="J197" s="7" t="s">
        <v>233</v>
      </c>
      <c r="K197" s="4"/>
      <c r="L197" s="8"/>
      <c r="M197" s="4"/>
      <c r="N197" s="8"/>
      <c r="O197" s="7"/>
      <c r="P197" s="7"/>
    </row>
    <row r="198">
      <c r="A198" s="2" t="s">
        <v>1066</v>
      </c>
      <c r="B198" s="2" t="s">
        <v>901</v>
      </c>
      <c r="C198" s="2" t="s">
        <v>1782</v>
      </c>
      <c r="D198" s="2" t="s">
        <v>2309</v>
      </c>
      <c r="E198" s="4" t="s">
        <v>233</v>
      </c>
      <c r="F198" s="8" t="s">
        <v>233</v>
      </c>
      <c r="G198" s="4" t="s">
        <v>233</v>
      </c>
      <c r="H198" s="8" t="s">
        <v>233</v>
      </c>
      <c r="I198" s="7" t="s">
        <v>233</v>
      </c>
      <c r="J198" s="7" t="s">
        <v>233</v>
      </c>
      <c r="K198" s="4"/>
      <c r="L198" s="8"/>
      <c r="M198" s="4"/>
      <c r="N198" s="8"/>
      <c r="O198" s="7"/>
      <c r="P198" s="7"/>
    </row>
    <row r="199">
      <c r="A199" s="2" t="s">
        <v>1066</v>
      </c>
      <c r="B199" s="2" t="s">
        <v>901</v>
      </c>
      <c r="C199" s="2" t="s">
        <v>1969</v>
      </c>
      <c r="D199" s="2" t="s">
        <v>1970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1066</v>
      </c>
      <c r="B200" s="2" t="s">
        <v>901</v>
      </c>
      <c r="C200" s="2" t="s">
        <v>1851</v>
      </c>
      <c r="D200" s="2" t="s">
        <v>1852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1066</v>
      </c>
      <c r="B201" s="2" t="s">
        <v>901</v>
      </c>
      <c r="C201" s="2" t="s">
        <v>5853</v>
      </c>
      <c r="D201" s="2" t="s">
        <v>2650</v>
      </c>
      <c r="E201" s="4" t="s">
        <v>233</v>
      </c>
      <c r="F201" s="8" t="s">
        <v>233</v>
      </c>
      <c r="G201" s="4" t="s">
        <v>233</v>
      </c>
      <c r="H201" s="8" t="s">
        <v>233</v>
      </c>
      <c r="I201" s="7" t="s">
        <v>233</v>
      </c>
      <c r="J201" s="7" t="s">
        <v>233</v>
      </c>
      <c r="K201" s="4"/>
      <c r="L201" s="8"/>
      <c r="M201" s="4"/>
      <c r="N201" s="8"/>
      <c r="O201" s="7"/>
      <c r="P201" s="7"/>
    </row>
    <row r="202">
      <c r="A202" s="2" t="s">
        <v>1066</v>
      </c>
      <c r="B202" s="2" t="s">
        <v>901</v>
      </c>
      <c r="C202" s="2" t="s">
        <v>5853</v>
      </c>
      <c r="D202" s="2" t="s">
        <v>8553</v>
      </c>
      <c r="E202" s="4" t="s">
        <v>233</v>
      </c>
      <c r="F202" s="8" t="s">
        <v>233</v>
      </c>
      <c r="G202" s="4" t="s">
        <v>233</v>
      </c>
      <c r="H202" s="8" t="s">
        <v>233</v>
      </c>
      <c r="I202" s="7" t="s">
        <v>233</v>
      </c>
      <c r="J202" s="7" t="s">
        <v>233</v>
      </c>
      <c r="K202" s="4"/>
      <c r="L202" s="8"/>
      <c r="M202" s="4"/>
      <c r="N202" s="8"/>
      <c r="O202" s="7"/>
      <c r="P202" s="7"/>
    </row>
    <row r="203">
      <c r="A203" s="2" t="s">
        <v>1066</v>
      </c>
      <c r="B203" s="2" t="s">
        <v>901</v>
      </c>
      <c r="C203" s="2" t="s">
        <v>5853</v>
      </c>
      <c r="D203" s="2" t="s">
        <v>8524</v>
      </c>
      <c r="E203" s="4" t="s">
        <v>233</v>
      </c>
      <c r="F203" s="8" t="s">
        <v>233</v>
      </c>
      <c r="G203" s="4" t="s">
        <v>233</v>
      </c>
      <c r="H203" s="8" t="s">
        <v>233</v>
      </c>
      <c r="I203" s="7" t="s">
        <v>233</v>
      </c>
      <c r="J203" s="7" t="s">
        <v>233</v>
      </c>
      <c r="K203" s="4"/>
      <c r="L203" s="8"/>
      <c r="M203" s="4"/>
      <c r="N203" s="8"/>
      <c r="O203" s="7"/>
      <c r="P203" s="7"/>
    </row>
    <row r="204">
      <c r="A204" s="2" t="s">
        <v>1066</v>
      </c>
      <c r="B204" s="2" t="s">
        <v>901</v>
      </c>
      <c r="C204" s="2" t="s">
        <v>5853</v>
      </c>
      <c r="D204" s="2" t="s">
        <v>2543</v>
      </c>
      <c r="E204" s="4" t="s">
        <v>233</v>
      </c>
      <c r="F204" s="8" t="s">
        <v>233</v>
      </c>
      <c r="G204" s="4" t="s">
        <v>233</v>
      </c>
      <c r="H204" s="8" t="s">
        <v>233</v>
      </c>
      <c r="I204" s="7" t="s">
        <v>233</v>
      </c>
      <c r="J204" s="7" t="s">
        <v>233</v>
      </c>
      <c r="K204" s="4"/>
      <c r="L204" s="8"/>
      <c r="M204" s="4"/>
      <c r="N204" s="8"/>
      <c r="O204" s="7"/>
      <c r="P204" s="7"/>
    </row>
    <row r="205">
      <c r="A205" s="2" t="s">
        <v>1066</v>
      </c>
      <c r="B205" s="2" t="s">
        <v>901</v>
      </c>
      <c r="C205" s="2" t="s">
        <v>5853</v>
      </c>
      <c r="D205" s="2" t="s">
        <v>1852</v>
      </c>
      <c r="E205" s="4" t="s">
        <v>233</v>
      </c>
      <c r="F205" s="8" t="s">
        <v>233</v>
      </c>
      <c r="G205" s="4" t="s">
        <v>233</v>
      </c>
      <c r="H205" s="8" t="s">
        <v>233</v>
      </c>
      <c r="I205" s="7" t="s">
        <v>233</v>
      </c>
      <c r="J205" s="7" t="s">
        <v>233</v>
      </c>
      <c r="K205" s="4"/>
      <c r="L205" s="8"/>
      <c r="M205" s="4"/>
      <c r="N205" s="8"/>
      <c r="O205" s="7"/>
      <c r="P205" s="7"/>
    </row>
    <row r="206">
      <c r="A206" s="2" t="s">
        <v>1066</v>
      </c>
      <c r="B206" s="2" t="s">
        <v>530</v>
      </c>
      <c r="C206" s="2" t="s">
        <v>1713</v>
      </c>
      <c r="D206" s="2" t="s">
        <v>1714</v>
      </c>
      <c r="E206" s="4" t="s">
        <v>233</v>
      </c>
      <c r="F206" s="8" t="s">
        <v>233</v>
      </c>
      <c r="G206" s="4" t="s">
        <v>233</v>
      </c>
      <c r="H206" s="8" t="s">
        <v>233</v>
      </c>
      <c r="I206" s="7" t="s">
        <v>233</v>
      </c>
      <c r="J206" s="7" t="s">
        <v>233</v>
      </c>
      <c r="K206" s="4"/>
      <c r="L206" s="8"/>
      <c r="M206" s="4"/>
      <c r="N206" s="8"/>
      <c r="O206" s="7"/>
      <c r="P206" s="7"/>
    </row>
    <row r="207">
      <c r="A207" s="2" t="s">
        <v>1066</v>
      </c>
      <c r="B207" s="2" t="s">
        <v>530</v>
      </c>
      <c r="C207" s="2" t="s">
        <v>1713</v>
      </c>
      <c r="D207" s="2" t="s">
        <v>1913</v>
      </c>
      <c r="E207" s="4" t="s">
        <v>233</v>
      </c>
      <c r="F207" s="8" t="s">
        <v>233</v>
      </c>
      <c r="G207" s="4" t="s">
        <v>233</v>
      </c>
      <c r="H207" s="8" t="s">
        <v>233</v>
      </c>
      <c r="I207" s="7" t="s">
        <v>233</v>
      </c>
      <c r="J207" s="7" t="s">
        <v>233</v>
      </c>
      <c r="K207" s="4"/>
      <c r="L207" s="8"/>
      <c r="M207" s="4"/>
      <c r="N207" s="8"/>
      <c r="O207" s="7"/>
      <c r="P207" s="7"/>
    </row>
    <row r="208">
      <c r="A208" s="2" t="s">
        <v>1066</v>
      </c>
      <c r="B208" s="2" t="s">
        <v>530</v>
      </c>
      <c r="C208" s="2" t="s">
        <v>1067</v>
      </c>
      <c r="D208" s="2" t="s">
        <v>2543</v>
      </c>
      <c r="E208" s="4" t="s">
        <v>233</v>
      </c>
      <c r="F208" s="8" t="s">
        <v>233</v>
      </c>
      <c r="G208" s="4" t="s">
        <v>233</v>
      </c>
      <c r="H208" s="8" t="s">
        <v>233</v>
      </c>
      <c r="I208" s="7" t="s">
        <v>233</v>
      </c>
      <c r="J208" s="7" t="s">
        <v>233</v>
      </c>
      <c r="K208" s="4"/>
      <c r="L208" s="8"/>
      <c r="M208" s="4"/>
      <c r="N208" s="8"/>
      <c r="O208" s="7"/>
      <c r="P208" s="7"/>
    </row>
    <row r="209">
      <c r="A209" s="2" t="s">
        <v>1066</v>
      </c>
      <c r="B209" s="2" t="s">
        <v>530</v>
      </c>
      <c r="C209" s="2" t="s">
        <v>1067</v>
      </c>
      <c r="D209" s="2" t="s">
        <v>7323</v>
      </c>
      <c r="E209" s="4" t="s">
        <v>233</v>
      </c>
      <c r="F209" s="8" t="s">
        <v>233</v>
      </c>
      <c r="G209" s="4" t="s">
        <v>233</v>
      </c>
      <c r="H209" s="8" t="s">
        <v>233</v>
      </c>
      <c r="I209" s="7" t="s">
        <v>233</v>
      </c>
      <c r="J209" s="7" t="s">
        <v>233</v>
      </c>
      <c r="K209" s="4"/>
      <c r="L209" s="8"/>
      <c r="M209" s="4"/>
      <c r="N209" s="8"/>
      <c r="O209" s="7"/>
      <c r="P209" s="7"/>
    </row>
    <row r="210">
      <c r="A210" s="2" t="s">
        <v>1066</v>
      </c>
      <c r="B210" s="2" t="s">
        <v>530</v>
      </c>
      <c r="C210" s="2" t="s">
        <v>1067</v>
      </c>
      <c r="D210" s="2" t="s">
        <v>1068</v>
      </c>
      <c r="E210" s="4" t="s">
        <v>233</v>
      </c>
      <c r="F210" s="8" t="s">
        <v>233</v>
      </c>
      <c r="G210" s="4" t="s">
        <v>233</v>
      </c>
      <c r="H210" s="8" t="s">
        <v>233</v>
      </c>
      <c r="I210" s="7" t="s">
        <v>233</v>
      </c>
      <c r="J210" s="7" t="s">
        <v>233</v>
      </c>
      <c r="K210" s="4"/>
      <c r="L210" s="8"/>
      <c r="M210" s="4"/>
      <c r="N210" s="8"/>
      <c r="O210" s="7"/>
      <c r="P210" s="7"/>
    </row>
    <row r="211">
      <c r="A211" s="2" t="s">
        <v>1066</v>
      </c>
      <c r="B211" s="2" t="s">
        <v>530</v>
      </c>
      <c r="C211" s="2" t="s">
        <v>2140</v>
      </c>
      <c r="D211" s="2" t="s">
        <v>4141</v>
      </c>
      <c r="E211" s="4" t="s">
        <v>233</v>
      </c>
      <c r="F211" s="8" t="s">
        <v>233</v>
      </c>
      <c r="G211" s="4" t="s">
        <v>233</v>
      </c>
      <c r="H211" s="8" t="s">
        <v>233</v>
      </c>
      <c r="I211" s="7" t="s">
        <v>233</v>
      </c>
      <c r="J211" s="7" t="s">
        <v>233</v>
      </c>
      <c r="K211" s="4"/>
      <c r="L211" s="8"/>
      <c r="M211" s="4"/>
      <c r="N211" s="8"/>
      <c r="O211" s="7"/>
      <c r="P211" s="7"/>
    </row>
    <row r="212">
      <c r="A212" s="2" t="s">
        <v>1066</v>
      </c>
      <c r="B212" s="2" t="s">
        <v>530</v>
      </c>
      <c r="C212" s="2" t="s">
        <v>2140</v>
      </c>
      <c r="D212" s="2" t="s">
        <v>3232</v>
      </c>
      <c r="E212" s="4" t="s">
        <v>233</v>
      </c>
      <c r="F212" s="8" t="s">
        <v>233</v>
      </c>
      <c r="G212" s="4" t="s">
        <v>233</v>
      </c>
      <c r="H212" s="8" t="s">
        <v>233</v>
      </c>
      <c r="I212" s="7" t="s">
        <v>233</v>
      </c>
      <c r="J212" s="7" t="s">
        <v>233</v>
      </c>
      <c r="K212" s="4"/>
      <c r="L212" s="8"/>
      <c r="M212" s="4"/>
      <c r="N212" s="8"/>
      <c r="O212" s="7"/>
      <c r="P212" s="7"/>
    </row>
    <row r="213">
      <c r="A213" s="2" t="s">
        <v>1066</v>
      </c>
      <c r="B213" s="2" t="s">
        <v>530</v>
      </c>
      <c r="C213" s="2" t="s">
        <v>2140</v>
      </c>
      <c r="D213" s="2" t="s">
        <v>2141</v>
      </c>
      <c r="E213" s="4" t="s">
        <v>233</v>
      </c>
      <c r="F213" s="8" t="s">
        <v>233</v>
      </c>
      <c r="G213" s="4" t="s">
        <v>233</v>
      </c>
      <c r="H213" s="8" t="s">
        <v>233</v>
      </c>
      <c r="I213" s="7" t="s">
        <v>233</v>
      </c>
      <c r="J213" s="7" t="s">
        <v>233</v>
      </c>
      <c r="K213" s="4"/>
      <c r="L213" s="8"/>
      <c r="M213" s="4"/>
      <c r="N213" s="8"/>
      <c r="O213" s="7"/>
      <c r="P213" s="7"/>
    </row>
    <row r="214">
      <c r="A214" s="2" t="s">
        <v>1066</v>
      </c>
      <c r="B214" s="2" t="s">
        <v>530</v>
      </c>
      <c r="C214" s="2" t="s">
        <v>2140</v>
      </c>
      <c r="D214" s="2" t="s">
        <v>243</v>
      </c>
      <c r="E214" s="4" t="s">
        <v>233</v>
      </c>
      <c r="F214" s="8" t="s">
        <v>233</v>
      </c>
      <c r="G214" s="4" t="s">
        <v>233</v>
      </c>
      <c r="H214" s="8" t="s">
        <v>233</v>
      </c>
      <c r="I214" s="7" t="s">
        <v>233</v>
      </c>
      <c r="J214" s="7" t="s">
        <v>233</v>
      </c>
      <c r="K214" s="4"/>
      <c r="L214" s="8"/>
      <c r="M214" s="4"/>
      <c r="N214" s="8"/>
      <c r="O214" s="7"/>
      <c r="P214" s="7"/>
    </row>
    <row r="215">
      <c r="A215" s="2" t="s">
        <v>1066</v>
      </c>
      <c r="B215" s="2" t="s">
        <v>530</v>
      </c>
      <c r="C215" s="2" t="s">
        <v>1919</v>
      </c>
      <c r="D215" s="2" t="s">
        <v>3467</v>
      </c>
      <c r="E215" s="4" t="s">
        <v>233</v>
      </c>
      <c r="F215" s="8" t="s">
        <v>233</v>
      </c>
      <c r="G215" s="4" t="s">
        <v>233</v>
      </c>
      <c r="H215" s="8" t="s">
        <v>233</v>
      </c>
      <c r="I215" s="7" t="s">
        <v>233</v>
      </c>
      <c r="J215" s="7" t="s">
        <v>233</v>
      </c>
      <c r="K215" s="4"/>
      <c r="L215" s="8"/>
      <c r="M215" s="4"/>
      <c r="N215" s="8"/>
      <c r="O215" s="7"/>
      <c r="P215" s="7"/>
    </row>
    <row r="216">
      <c r="A216" s="2" t="s">
        <v>1066</v>
      </c>
      <c r="B216" s="2" t="s">
        <v>530</v>
      </c>
      <c r="C216" s="2" t="s">
        <v>1919</v>
      </c>
      <c r="D216" s="2" t="s">
        <v>1920</v>
      </c>
      <c r="E216" s="4" t="s">
        <v>233</v>
      </c>
      <c r="F216" s="8" t="s">
        <v>233</v>
      </c>
      <c r="G216" s="4" t="s">
        <v>233</v>
      </c>
      <c r="H216" s="8" t="s">
        <v>233</v>
      </c>
      <c r="I216" s="7" t="s">
        <v>233</v>
      </c>
      <c r="J216" s="7" t="s">
        <v>233</v>
      </c>
      <c r="K216" s="4"/>
      <c r="L216" s="8"/>
      <c r="M216" s="4"/>
      <c r="N216" s="8"/>
      <c r="O216" s="7"/>
      <c r="P216" s="7"/>
    </row>
    <row r="217">
      <c r="A217" s="2" t="s">
        <v>1066</v>
      </c>
      <c r="B217" s="2" t="s">
        <v>530</v>
      </c>
      <c r="C217" s="2" t="s">
        <v>4806</v>
      </c>
      <c r="D217" s="2" t="s">
        <v>4807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1066</v>
      </c>
      <c r="B218" s="2" t="s">
        <v>530</v>
      </c>
      <c r="C218" s="2" t="s">
        <v>5551</v>
      </c>
      <c r="D218" s="2" t="s">
        <v>5552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1066</v>
      </c>
      <c r="B219" s="2" t="s">
        <v>530</v>
      </c>
      <c r="C219" s="2" t="s">
        <v>11063</v>
      </c>
      <c r="D219" s="2" t="s">
        <v>11064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1066</v>
      </c>
      <c r="B220" s="2" t="s">
        <v>530</v>
      </c>
      <c r="C220" s="2" t="s">
        <v>1090</v>
      </c>
      <c r="D220" s="2" t="s">
        <v>1091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1066</v>
      </c>
      <c r="B221" s="2" t="s">
        <v>530</v>
      </c>
      <c r="C221" s="2" t="s">
        <v>1923</v>
      </c>
      <c r="D221" s="2" t="s">
        <v>2543</v>
      </c>
      <c r="E221" s="4" t="s">
        <v>233</v>
      </c>
      <c r="F221" s="8" t="s">
        <v>233</v>
      </c>
      <c r="G221" s="4" t="s">
        <v>233</v>
      </c>
      <c r="H221" s="8" t="s">
        <v>233</v>
      </c>
      <c r="I221" s="7" t="s">
        <v>233</v>
      </c>
      <c r="J221" s="7" t="s">
        <v>233</v>
      </c>
      <c r="K221" s="4"/>
      <c r="L221" s="8"/>
      <c r="M221" s="4"/>
      <c r="N221" s="8"/>
      <c r="O221" s="7"/>
      <c r="P221" s="7"/>
    </row>
    <row r="222">
      <c r="A222" s="2" t="s">
        <v>1066</v>
      </c>
      <c r="B222" s="2" t="s">
        <v>530</v>
      </c>
      <c r="C222" s="2" t="s">
        <v>1923</v>
      </c>
      <c r="D222" s="2" t="s">
        <v>1924</v>
      </c>
      <c r="E222" s="4" t="s">
        <v>233</v>
      </c>
      <c r="F222" s="8" t="s">
        <v>233</v>
      </c>
      <c r="G222" s="4" t="s">
        <v>233</v>
      </c>
      <c r="H222" s="8" t="s">
        <v>233</v>
      </c>
      <c r="I222" s="7" t="s">
        <v>233</v>
      </c>
      <c r="J222" s="7" t="s">
        <v>233</v>
      </c>
      <c r="K222" s="4"/>
      <c r="L222" s="8"/>
      <c r="M222" s="4"/>
      <c r="N222" s="8"/>
      <c r="O222" s="7"/>
      <c r="P222" s="7"/>
    </row>
    <row r="223">
      <c r="A223" s="2" t="s">
        <v>1066</v>
      </c>
      <c r="B223" s="2" t="s">
        <v>530</v>
      </c>
      <c r="C223" s="2" t="s">
        <v>2333</v>
      </c>
      <c r="D223" s="2" t="s">
        <v>2334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1066</v>
      </c>
      <c r="B224" s="2" t="s">
        <v>530</v>
      </c>
      <c r="C224" s="2" t="s">
        <v>1464</v>
      </c>
      <c r="D224" s="2" t="s">
        <v>1465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1066</v>
      </c>
      <c r="B225" s="2" t="s">
        <v>530</v>
      </c>
      <c r="C225" s="2" t="s">
        <v>2037</v>
      </c>
      <c r="D225" s="2" t="s">
        <v>2038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1066</v>
      </c>
      <c r="B226" s="2" t="s">
        <v>530</v>
      </c>
      <c r="C226" s="2" t="s">
        <v>1111</v>
      </c>
      <c r="D226" s="2" t="s">
        <v>1723</v>
      </c>
      <c r="E226" s="4" t="s">
        <v>233</v>
      </c>
      <c r="F226" s="8" t="s">
        <v>233</v>
      </c>
      <c r="G226" s="4" t="s">
        <v>233</v>
      </c>
      <c r="H226" s="8" t="s">
        <v>233</v>
      </c>
      <c r="I226" s="7" t="s">
        <v>233</v>
      </c>
      <c r="J226" s="7" t="s">
        <v>233</v>
      </c>
      <c r="K226" s="4"/>
      <c r="L226" s="8"/>
      <c r="M226" s="4"/>
      <c r="N226" s="8"/>
      <c r="O226" s="7"/>
      <c r="P226" s="7"/>
    </row>
    <row r="227">
      <c r="A227" s="2" t="s">
        <v>1066</v>
      </c>
      <c r="B227" s="2" t="s">
        <v>530</v>
      </c>
      <c r="C227" s="2" t="s">
        <v>1111</v>
      </c>
      <c r="D227" s="2" t="s">
        <v>1112</v>
      </c>
      <c r="E227" s="4" t="s">
        <v>233</v>
      </c>
      <c r="F227" s="8" t="s">
        <v>233</v>
      </c>
      <c r="G227" s="4" t="s">
        <v>233</v>
      </c>
      <c r="H227" s="8" t="s">
        <v>233</v>
      </c>
      <c r="I227" s="7" t="s">
        <v>233</v>
      </c>
      <c r="J227" s="7" t="s">
        <v>233</v>
      </c>
      <c r="K227" s="4"/>
      <c r="L227" s="8"/>
      <c r="M227" s="4"/>
      <c r="N227" s="8"/>
      <c r="O227" s="7"/>
      <c r="P227" s="7"/>
    </row>
    <row r="228">
      <c r="A228" s="2" t="s">
        <v>1066</v>
      </c>
      <c r="B228" s="2" t="s">
        <v>530</v>
      </c>
      <c r="C228" s="2" t="s">
        <v>1111</v>
      </c>
      <c r="D228" s="2" t="s">
        <v>1974</v>
      </c>
      <c r="E228" s="4" t="s">
        <v>233</v>
      </c>
      <c r="F228" s="8" t="s">
        <v>233</v>
      </c>
      <c r="G228" s="4" t="s">
        <v>233</v>
      </c>
      <c r="H228" s="8" t="s">
        <v>233</v>
      </c>
      <c r="I228" s="7" t="s">
        <v>233</v>
      </c>
      <c r="J228" s="7" t="s">
        <v>233</v>
      </c>
      <c r="K228" s="4"/>
      <c r="L228" s="8"/>
      <c r="M228" s="4"/>
      <c r="N228" s="8"/>
      <c r="O228" s="7"/>
      <c r="P228" s="7"/>
    </row>
    <row r="229">
      <c r="A229" s="2" t="s">
        <v>1066</v>
      </c>
      <c r="B229" s="2" t="s">
        <v>530</v>
      </c>
      <c r="C229" s="2" t="s">
        <v>1782</v>
      </c>
      <c r="D229" s="2" t="s">
        <v>2131</v>
      </c>
      <c r="E229" s="4" t="s">
        <v>233</v>
      </c>
      <c r="F229" s="8" t="s">
        <v>233</v>
      </c>
      <c r="G229" s="4" t="s">
        <v>233</v>
      </c>
      <c r="H229" s="8" t="s">
        <v>233</v>
      </c>
      <c r="I229" s="7" t="s">
        <v>233</v>
      </c>
      <c r="J229" s="7" t="s">
        <v>233</v>
      </c>
      <c r="K229" s="4"/>
      <c r="L229" s="8"/>
      <c r="M229" s="4"/>
      <c r="N229" s="8"/>
      <c r="O229" s="7"/>
      <c r="P229" s="7"/>
    </row>
    <row r="230">
      <c r="A230" s="2" t="s">
        <v>1066</v>
      </c>
      <c r="B230" s="2" t="s">
        <v>530</v>
      </c>
      <c r="C230" s="2" t="s">
        <v>1782</v>
      </c>
      <c r="D230" s="2" t="s">
        <v>1783</v>
      </c>
      <c r="E230" s="4" t="s">
        <v>233</v>
      </c>
      <c r="F230" s="8" t="s">
        <v>233</v>
      </c>
      <c r="G230" s="4" t="s">
        <v>233</v>
      </c>
      <c r="H230" s="8" t="s">
        <v>233</v>
      </c>
      <c r="I230" s="7" t="s">
        <v>233</v>
      </c>
      <c r="J230" s="7" t="s">
        <v>233</v>
      </c>
      <c r="K230" s="4"/>
      <c r="L230" s="8"/>
      <c r="M230" s="4"/>
      <c r="N230" s="8"/>
      <c r="O230" s="7"/>
      <c r="P230" s="7"/>
    </row>
    <row r="231">
      <c r="A231" s="2" t="s">
        <v>1066</v>
      </c>
      <c r="B231" s="2" t="s">
        <v>530</v>
      </c>
      <c r="C231" s="2" t="s">
        <v>1782</v>
      </c>
      <c r="D231" s="2" t="s">
        <v>2309</v>
      </c>
      <c r="E231" s="4" t="s">
        <v>233</v>
      </c>
      <c r="F231" s="8" t="s">
        <v>233</v>
      </c>
      <c r="G231" s="4" t="s">
        <v>233</v>
      </c>
      <c r="H231" s="8" t="s">
        <v>233</v>
      </c>
      <c r="I231" s="7" t="s">
        <v>233</v>
      </c>
      <c r="J231" s="7" t="s">
        <v>233</v>
      </c>
      <c r="K231" s="4"/>
      <c r="L231" s="8"/>
      <c r="M231" s="4"/>
      <c r="N231" s="8"/>
      <c r="O231" s="7"/>
      <c r="P231" s="7"/>
    </row>
    <row r="232">
      <c r="A232" s="2" t="s">
        <v>1066</v>
      </c>
      <c r="B232" s="2" t="s">
        <v>530</v>
      </c>
      <c r="C232" s="2" t="s">
        <v>1851</v>
      </c>
      <c r="D232" s="2" t="s">
        <v>1852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1066</v>
      </c>
      <c r="B233" s="2" t="s">
        <v>1321</v>
      </c>
      <c r="C233" s="2" t="s">
        <v>1713</v>
      </c>
      <c r="D233" s="2" t="s">
        <v>1913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1066</v>
      </c>
      <c r="B234" s="2" t="s">
        <v>1321</v>
      </c>
      <c r="C234" s="2" t="s">
        <v>2140</v>
      </c>
      <c r="D234" s="2" t="s">
        <v>2141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1066</v>
      </c>
      <c r="B235" s="2" t="s">
        <v>1321</v>
      </c>
      <c r="C235" s="2" t="s">
        <v>1919</v>
      </c>
      <c r="D235" s="2" t="s">
        <v>3467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1066</v>
      </c>
      <c r="B236" s="2" t="s">
        <v>1321</v>
      </c>
      <c r="C236" s="2" t="s">
        <v>1322</v>
      </c>
      <c r="D236" s="2" t="s">
        <v>2279</v>
      </c>
      <c r="E236" s="4" t="s">
        <v>233</v>
      </c>
      <c r="F236" s="8" t="s">
        <v>233</v>
      </c>
      <c r="G236" s="4" t="s">
        <v>233</v>
      </c>
      <c r="H236" s="8" t="s">
        <v>233</v>
      </c>
      <c r="I236" s="7" t="s">
        <v>233</v>
      </c>
      <c r="J236" s="7" t="s">
        <v>233</v>
      </c>
      <c r="K236" s="4"/>
      <c r="L236" s="8"/>
      <c r="M236" s="4"/>
      <c r="N236" s="8"/>
      <c r="O236" s="7"/>
      <c r="P236" s="7"/>
    </row>
    <row r="237">
      <c r="A237" s="2" t="s">
        <v>1066</v>
      </c>
      <c r="B237" s="2" t="s">
        <v>1321</v>
      </c>
      <c r="C237" s="2" t="s">
        <v>1322</v>
      </c>
      <c r="D237" s="2" t="s">
        <v>243</v>
      </c>
      <c r="E237" s="4" t="s">
        <v>233</v>
      </c>
      <c r="F237" s="8" t="s">
        <v>233</v>
      </c>
      <c r="G237" s="4" t="s">
        <v>233</v>
      </c>
      <c r="H237" s="8" t="s">
        <v>233</v>
      </c>
      <c r="I237" s="7" t="s">
        <v>233</v>
      </c>
      <c r="J237" s="7" t="s">
        <v>233</v>
      </c>
      <c r="K237" s="4"/>
      <c r="L237" s="8"/>
      <c r="M237" s="4"/>
      <c r="N237" s="8"/>
      <c r="O237" s="7"/>
      <c r="P237" s="7"/>
    </row>
    <row r="238">
      <c r="A238" s="2" t="s">
        <v>1066</v>
      </c>
      <c r="B238" s="2" t="s">
        <v>1321</v>
      </c>
      <c r="C238" s="2" t="s">
        <v>1923</v>
      </c>
      <c r="D238" s="2" t="s">
        <v>1924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1066</v>
      </c>
      <c r="B239" s="2" t="s">
        <v>1321</v>
      </c>
      <c r="C239" s="2" t="s">
        <v>2285</v>
      </c>
      <c r="D239" s="2" t="s">
        <v>2286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1066</v>
      </c>
      <c r="B240" s="2" t="s">
        <v>1321</v>
      </c>
      <c r="C240" s="2" t="s">
        <v>1782</v>
      </c>
      <c r="D240" s="2" t="s">
        <v>7233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1066</v>
      </c>
      <c r="B241" s="2" t="s">
        <v>1321</v>
      </c>
      <c r="C241" s="2" t="s">
        <v>5853</v>
      </c>
      <c r="D241" s="2" t="s">
        <v>5854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1066</v>
      </c>
      <c r="B242" s="2" t="s">
        <v>947</v>
      </c>
      <c r="C242" s="2" t="s">
        <v>1713</v>
      </c>
      <c r="D242" s="2" t="s">
        <v>1913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1066</v>
      </c>
      <c r="B243" s="2" t="s">
        <v>947</v>
      </c>
      <c r="C243" s="2" t="s">
        <v>1067</v>
      </c>
      <c r="D243" s="2" t="s">
        <v>2650</v>
      </c>
      <c r="E243" s="4" t="s">
        <v>233</v>
      </c>
      <c r="F243" s="8" t="s">
        <v>233</v>
      </c>
      <c r="G243" s="4" t="s">
        <v>233</v>
      </c>
      <c r="H243" s="8" t="s">
        <v>233</v>
      </c>
      <c r="I243" s="7" t="s">
        <v>233</v>
      </c>
      <c r="J243" s="7" t="s">
        <v>233</v>
      </c>
      <c r="K243" s="4"/>
      <c r="L243" s="8"/>
      <c r="M243" s="4"/>
      <c r="N243" s="8"/>
      <c r="O243" s="7"/>
      <c r="P243" s="7"/>
    </row>
    <row r="244">
      <c r="A244" s="2" t="s">
        <v>1066</v>
      </c>
      <c r="B244" s="2" t="s">
        <v>947</v>
      </c>
      <c r="C244" s="2" t="s">
        <v>1067</v>
      </c>
      <c r="D244" s="2" t="s">
        <v>2543</v>
      </c>
      <c r="E244" s="4" t="s">
        <v>233</v>
      </c>
      <c r="F244" s="8" t="s">
        <v>233</v>
      </c>
      <c r="G244" s="4" t="s">
        <v>233</v>
      </c>
      <c r="H244" s="8" t="s">
        <v>233</v>
      </c>
      <c r="I244" s="7" t="s">
        <v>233</v>
      </c>
      <c r="J244" s="7" t="s">
        <v>233</v>
      </c>
      <c r="K244" s="4"/>
      <c r="L244" s="8"/>
      <c r="M244" s="4"/>
      <c r="N244" s="8"/>
      <c r="O244" s="7"/>
      <c r="P244" s="7"/>
    </row>
    <row r="245">
      <c r="A245" s="2" t="s">
        <v>1066</v>
      </c>
      <c r="B245" s="2" t="s">
        <v>947</v>
      </c>
      <c r="C245" s="2" t="s">
        <v>1067</v>
      </c>
      <c r="D245" s="2" t="s">
        <v>1068</v>
      </c>
      <c r="E245" s="4" t="s">
        <v>233</v>
      </c>
      <c r="F245" s="8" t="s">
        <v>233</v>
      </c>
      <c r="G245" s="4" t="s">
        <v>233</v>
      </c>
      <c r="H245" s="8" t="s">
        <v>233</v>
      </c>
      <c r="I245" s="7" t="s">
        <v>233</v>
      </c>
      <c r="J245" s="7" t="s">
        <v>233</v>
      </c>
      <c r="K245" s="4"/>
      <c r="L245" s="8"/>
      <c r="M245" s="4"/>
      <c r="N245" s="8"/>
      <c r="O245" s="7"/>
      <c r="P245" s="7"/>
    </row>
    <row r="246">
      <c r="A246" s="2" t="s">
        <v>1066</v>
      </c>
      <c r="B246" s="2" t="s">
        <v>947</v>
      </c>
      <c r="C246" s="2" t="s">
        <v>1067</v>
      </c>
      <c r="D246" s="2" t="s">
        <v>243</v>
      </c>
      <c r="E246" s="4" t="s">
        <v>233</v>
      </c>
      <c r="F246" s="8" t="s">
        <v>233</v>
      </c>
      <c r="G246" s="4" t="s">
        <v>233</v>
      </c>
      <c r="H246" s="8" t="s">
        <v>233</v>
      </c>
      <c r="I246" s="7" t="s">
        <v>233</v>
      </c>
      <c r="J246" s="7" t="s">
        <v>233</v>
      </c>
      <c r="K246" s="4"/>
      <c r="L246" s="8"/>
      <c r="M246" s="4"/>
      <c r="N246" s="8"/>
      <c r="O246" s="7"/>
      <c r="P246" s="7"/>
    </row>
    <row r="247">
      <c r="A247" s="2" t="s">
        <v>1066</v>
      </c>
      <c r="B247" s="2" t="s">
        <v>947</v>
      </c>
      <c r="C247" s="2" t="s">
        <v>2140</v>
      </c>
      <c r="D247" s="2" t="s">
        <v>4141</v>
      </c>
      <c r="E247" s="4" t="s">
        <v>233</v>
      </c>
      <c r="F247" s="8" t="s">
        <v>233</v>
      </c>
      <c r="G247" s="4" t="s">
        <v>233</v>
      </c>
      <c r="H247" s="8" t="s">
        <v>233</v>
      </c>
      <c r="I247" s="7" t="s">
        <v>233</v>
      </c>
      <c r="J247" s="7" t="s">
        <v>233</v>
      </c>
      <c r="K247" s="4"/>
      <c r="L247" s="8"/>
      <c r="M247" s="4"/>
      <c r="N247" s="8"/>
      <c r="O247" s="7"/>
      <c r="P247" s="7"/>
    </row>
    <row r="248">
      <c r="A248" s="2" t="s">
        <v>1066</v>
      </c>
      <c r="B248" s="2" t="s">
        <v>947</v>
      </c>
      <c r="C248" s="2" t="s">
        <v>2140</v>
      </c>
      <c r="D248" s="2" t="s">
        <v>2141</v>
      </c>
      <c r="E248" s="4" t="s">
        <v>233</v>
      </c>
      <c r="F248" s="8" t="s">
        <v>233</v>
      </c>
      <c r="G248" s="4" t="s">
        <v>233</v>
      </c>
      <c r="H248" s="8" t="s">
        <v>233</v>
      </c>
      <c r="I248" s="7" t="s">
        <v>233</v>
      </c>
      <c r="J248" s="7" t="s">
        <v>233</v>
      </c>
      <c r="K248" s="4"/>
      <c r="L248" s="8"/>
      <c r="M248" s="4"/>
      <c r="N248" s="8"/>
      <c r="O248" s="7"/>
      <c r="P248" s="7"/>
    </row>
    <row r="249">
      <c r="A249" s="2" t="s">
        <v>1066</v>
      </c>
      <c r="B249" s="2" t="s">
        <v>947</v>
      </c>
      <c r="C249" s="2" t="s">
        <v>1919</v>
      </c>
      <c r="D249" s="2" t="s">
        <v>1920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1066</v>
      </c>
      <c r="B250" s="2" t="s">
        <v>947</v>
      </c>
      <c r="C250" s="2" t="s">
        <v>1322</v>
      </c>
      <c r="D250" s="2" t="s">
        <v>2279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1066</v>
      </c>
      <c r="B251" s="2" t="s">
        <v>947</v>
      </c>
      <c r="C251" s="2" t="s">
        <v>1090</v>
      </c>
      <c r="D251" s="2" t="s">
        <v>1091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1066</v>
      </c>
      <c r="B252" s="2" t="s">
        <v>947</v>
      </c>
      <c r="C252" s="2" t="s">
        <v>2333</v>
      </c>
      <c r="D252" s="2" t="s">
        <v>2334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1066</v>
      </c>
      <c r="B253" s="2" t="s">
        <v>947</v>
      </c>
      <c r="C253" s="2" t="s">
        <v>2037</v>
      </c>
      <c r="D253" s="2" t="s">
        <v>2038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1066</v>
      </c>
      <c r="B254" s="2" t="s">
        <v>947</v>
      </c>
      <c r="C254" s="2" t="s">
        <v>1111</v>
      </c>
      <c r="D254" s="2" t="s">
        <v>1112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1066</v>
      </c>
      <c r="B255" s="2" t="s">
        <v>947</v>
      </c>
      <c r="C255" s="2" t="s">
        <v>2285</v>
      </c>
      <c r="D255" s="2" t="s">
        <v>2286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1066</v>
      </c>
      <c r="B256" s="2" t="s">
        <v>947</v>
      </c>
      <c r="C256" s="2" t="s">
        <v>1782</v>
      </c>
      <c r="D256" s="2" t="s">
        <v>2131</v>
      </c>
      <c r="E256" s="4" t="s">
        <v>233</v>
      </c>
      <c r="F256" s="8" t="s">
        <v>233</v>
      </c>
      <c r="G256" s="4" t="s">
        <v>233</v>
      </c>
      <c r="H256" s="8" t="s">
        <v>233</v>
      </c>
      <c r="I256" s="7" t="s">
        <v>233</v>
      </c>
      <c r="J256" s="7" t="s">
        <v>233</v>
      </c>
      <c r="K256" s="4"/>
      <c r="L256" s="8"/>
      <c r="M256" s="4"/>
      <c r="N256" s="8"/>
      <c r="O256" s="7"/>
      <c r="P256" s="7"/>
    </row>
    <row r="257">
      <c r="A257" s="2" t="s">
        <v>1066</v>
      </c>
      <c r="B257" s="2" t="s">
        <v>947</v>
      </c>
      <c r="C257" s="2" t="s">
        <v>1782</v>
      </c>
      <c r="D257" s="2" t="s">
        <v>7233</v>
      </c>
      <c r="E257" s="4" t="s">
        <v>233</v>
      </c>
      <c r="F257" s="8" t="s">
        <v>233</v>
      </c>
      <c r="G257" s="4" t="s">
        <v>233</v>
      </c>
      <c r="H257" s="8" t="s">
        <v>233</v>
      </c>
      <c r="I257" s="7" t="s">
        <v>233</v>
      </c>
      <c r="J257" s="7" t="s">
        <v>233</v>
      </c>
      <c r="K257" s="4"/>
      <c r="L257" s="8"/>
      <c r="M257" s="4"/>
      <c r="N257" s="8"/>
      <c r="O257" s="7"/>
      <c r="P257" s="7"/>
    </row>
    <row r="258">
      <c r="A258" s="2" t="s">
        <v>1066</v>
      </c>
      <c r="B258" s="2" t="s">
        <v>947</v>
      </c>
      <c r="C258" s="2" t="s">
        <v>1782</v>
      </c>
      <c r="D258" s="2" t="s">
        <v>2309</v>
      </c>
      <c r="E258" s="4" t="s">
        <v>233</v>
      </c>
      <c r="F258" s="8" t="s">
        <v>233</v>
      </c>
      <c r="G258" s="4" t="s">
        <v>233</v>
      </c>
      <c r="H258" s="8" t="s">
        <v>233</v>
      </c>
      <c r="I258" s="7" t="s">
        <v>233</v>
      </c>
      <c r="J258" s="7" t="s">
        <v>233</v>
      </c>
      <c r="K258" s="4"/>
      <c r="L258" s="8"/>
      <c r="M258" s="4"/>
      <c r="N258" s="8"/>
      <c r="O258" s="7"/>
      <c r="P258" s="7"/>
    </row>
    <row r="259">
      <c r="A259" s="2" t="s">
        <v>1066</v>
      </c>
      <c r="B259" s="2" t="s">
        <v>947</v>
      </c>
      <c r="C259" s="2" t="s">
        <v>1851</v>
      </c>
      <c r="D259" s="2" t="s">
        <v>1852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886</v>
      </c>
      <c r="B260" s="2" t="s">
        <v>1157</v>
      </c>
      <c r="C260" s="2" t="s">
        <v>888</v>
      </c>
      <c r="D260" s="2" t="s">
        <v>889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886</v>
      </c>
      <c r="B261" s="2" t="s">
        <v>1157</v>
      </c>
      <c r="C261" s="2" t="s">
        <v>1167</v>
      </c>
      <c r="D261" s="2" t="s">
        <v>1168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886</v>
      </c>
      <c r="B262" s="2" t="s">
        <v>887</v>
      </c>
      <c r="C262" s="2" t="s">
        <v>888</v>
      </c>
      <c r="D262" s="2" t="s">
        <v>889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886</v>
      </c>
      <c r="B263" s="2" t="s">
        <v>887</v>
      </c>
      <c r="C263" s="2" t="s">
        <v>1326</v>
      </c>
      <c r="D263" s="2" t="s">
        <v>1327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886</v>
      </c>
      <c r="B264" s="2" t="s">
        <v>887</v>
      </c>
      <c r="C264" s="2" t="s">
        <v>1122</v>
      </c>
      <c r="D264" s="2" t="s">
        <v>1123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886</v>
      </c>
      <c r="B265" s="2" t="s">
        <v>887</v>
      </c>
      <c r="C265" s="2" t="s">
        <v>3762</v>
      </c>
      <c r="D265" s="2" t="s">
        <v>3763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886</v>
      </c>
      <c r="B266" s="2" t="s">
        <v>887</v>
      </c>
      <c r="C266" s="2" t="s">
        <v>1167</v>
      </c>
      <c r="D266" s="2" t="s">
        <v>1168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886</v>
      </c>
      <c r="B267" s="2" t="s">
        <v>901</v>
      </c>
      <c r="C267" s="2" t="s">
        <v>888</v>
      </c>
      <c r="D267" s="2" t="s">
        <v>889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886</v>
      </c>
      <c r="B268" s="2" t="s">
        <v>901</v>
      </c>
      <c r="C268" s="2" t="s">
        <v>1326</v>
      </c>
      <c r="D268" s="2" t="s">
        <v>1327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886</v>
      </c>
      <c r="B269" s="2" t="s">
        <v>901</v>
      </c>
      <c r="C269" s="2" t="s">
        <v>1122</v>
      </c>
      <c r="D269" s="2" t="s">
        <v>1123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886</v>
      </c>
      <c r="B270" s="2" t="s">
        <v>901</v>
      </c>
      <c r="C270" s="2" t="s">
        <v>1167</v>
      </c>
      <c r="D270" s="2" t="s">
        <v>1168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886</v>
      </c>
      <c r="B271" s="2" t="s">
        <v>947</v>
      </c>
      <c r="C271" s="2" t="s">
        <v>888</v>
      </c>
      <c r="D271" s="2" t="s">
        <v>889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886</v>
      </c>
      <c r="B272" s="2" t="s">
        <v>947</v>
      </c>
      <c r="C272" s="2" t="s">
        <v>1326</v>
      </c>
      <c r="D272" s="2" t="s">
        <v>1327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886</v>
      </c>
      <c r="B273" s="2" t="s">
        <v>947</v>
      </c>
      <c r="C273" s="2" t="s">
        <v>1167</v>
      </c>
      <c r="D273" s="2" t="s">
        <v>1168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886</v>
      </c>
      <c r="B274" s="2" t="s">
        <v>1130</v>
      </c>
      <c r="C274" s="2" t="s">
        <v>1326</v>
      </c>
      <c r="D274" s="2" t="s">
        <v>1327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886</v>
      </c>
      <c r="B275" s="2" t="s">
        <v>1130</v>
      </c>
      <c r="C275" s="2" t="s">
        <v>1167</v>
      </c>
      <c r="D275" s="2" t="s">
        <v>1168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2965</v>
      </c>
      <c r="B276" s="2" t="s">
        <v>1277</v>
      </c>
      <c r="C276" s="2" t="s">
        <v>2966</v>
      </c>
      <c r="D276" s="2" t="s">
        <v>2967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1276</v>
      </c>
      <c r="B277" s="2" t="s">
        <v>1277</v>
      </c>
      <c r="C277" s="2" t="s">
        <v>1278</v>
      </c>
      <c r="D277" s="2" t="s">
        <v>1279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1414</v>
      </c>
      <c r="B278" s="2" t="s">
        <v>530</v>
      </c>
      <c r="C278" s="2" t="s">
        <v>1414</v>
      </c>
      <c r="D278" s="2" t="s">
        <v>1414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333</v>
      </c>
      <c r="B279" s="2" t="s">
        <v>701</v>
      </c>
      <c r="C279" s="2" t="s">
        <v>335</v>
      </c>
      <c r="D279" s="2" t="s">
        <v>336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333</v>
      </c>
      <c r="B280" s="2" t="s">
        <v>446</v>
      </c>
      <c r="C280" s="2" t="s">
        <v>487</v>
      </c>
      <c r="D280" s="2" t="s">
        <v>488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333</v>
      </c>
      <c r="B281" s="2" t="s">
        <v>446</v>
      </c>
      <c r="C281" s="2" t="s">
        <v>335</v>
      </c>
      <c r="D281" s="2" t="s">
        <v>336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333</v>
      </c>
      <c r="B282" s="2" t="s">
        <v>990</v>
      </c>
      <c r="C282" s="2" t="s">
        <v>335</v>
      </c>
      <c r="D282" s="2" t="s">
        <v>336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333</v>
      </c>
      <c r="B283" s="2" t="s">
        <v>911</v>
      </c>
      <c r="C283" s="2" t="s">
        <v>3474</v>
      </c>
      <c r="D283" s="2" t="s">
        <v>5366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333</v>
      </c>
      <c r="B284" s="2" t="s">
        <v>911</v>
      </c>
      <c r="C284" s="2" t="s">
        <v>335</v>
      </c>
      <c r="D284" s="2" t="s">
        <v>336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333</v>
      </c>
      <c r="B285" s="2" t="s">
        <v>530</v>
      </c>
      <c r="C285" s="2" t="s">
        <v>487</v>
      </c>
      <c r="D285" s="2" t="s">
        <v>488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333</v>
      </c>
      <c r="B286" s="2" t="s">
        <v>530</v>
      </c>
      <c r="C286" s="2" t="s">
        <v>335</v>
      </c>
      <c r="D286" s="2" t="s">
        <v>336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333</v>
      </c>
      <c r="B287" s="2" t="s">
        <v>334</v>
      </c>
      <c r="C287" s="2" t="s">
        <v>335</v>
      </c>
      <c r="D287" s="2" t="s">
        <v>336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333</v>
      </c>
      <c r="B288" s="2" t="s">
        <v>1266</v>
      </c>
      <c r="C288" s="2" t="s">
        <v>335</v>
      </c>
      <c r="D288" s="2" t="s">
        <v>336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333</v>
      </c>
      <c r="B289" s="2" t="s">
        <v>642</v>
      </c>
      <c r="C289" s="2" t="s">
        <v>335</v>
      </c>
      <c r="D289" s="2" t="s">
        <v>336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333</v>
      </c>
      <c r="B290" s="2" t="s">
        <v>265</v>
      </c>
      <c r="C290" s="2" t="s">
        <v>487</v>
      </c>
      <c r="D290" s="2" t="s">
        <v>488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333</v>
      </c>
      <c r="B291" s="2" t="s">
        <v>265</v>
      </c>
      <c r="C291" s="2" t="s">
        <v>335</v>
      </c>
      <c r="D291" s="2" t="s">
        <v>336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333</v>
      </c>
      <c r="B292" s="2" t="s">
        <v>1050</v>
      </c>
      <c r="C292" s="2" t="s">
        <v>912</v>
      </c>
      <c r="D292" s="2" t="s">
        <v>1139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333</v>
      </c>
      <c r="B293" s="2" t="s">
        <v>1050</v>
      </c>
      <c r="C293" s="2" t="s">
        <v>335</v>
      </c>
      <c r="D293" s="2" t="s">
        <v>336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333</v>
      </c>
      <c r="B294" s="2" t="s">
        <v>1130</v>
      </c>
      <c r="C294" s="2" t="s">
        <v>335</v>
      </c>
      <c r="D294" s="2" t="s">
        <v>336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333</v>
      </c>
      <c r="B295" s="2" t="s">
        <v>1335</v>
      </c>
      <c r="C295" s="2" t="s">
        <v>335</v>
      </c>
      <c r="D295" s="2" t="s">
        <v>336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989</v>
      </c>
      <c r="B296" s="2" t="s">
        <v>1157</v>
      </c>
      <c r="C296" s="2" t="s">
        <v>991</v>
      </c>
      <c r="D296" s="2" t="s">
        <v>992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989</v>
      </c>
      <c r="B297" s="2" t="s">
        <v>701</v>
      </c>
      <c r="C297" s="2" t="s">
        <v>991</v>
      </c>
      <c r="D297" s="2" t="s">
        <v>992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989</v>
      </c>
      <c r="B298" s="2" t="s">
        <v>446</v>
      </c>
      <c r="C298" s="2" t="s">
        <v>991</v>
      </c>
      <c r="D298" s="2" t="s">
        <v>992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989</v>
      </c>
      <c r="B299" s="2" t="s">
        <v>990</v>
      </c>
      <c r="C299" s="2" t="s">
        <v>991</v>
      </c>
      <c r="D299" s="2" t="s">
        <v>992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989</v>
      </c>
      <c r="B300" s="2" t="s">
        <v>901</v>
      </c>
      <c r="C300" s="2" t="s">
        <v>991</v>
      </c>
      <c r="D300" s="2" t="s">
        <v>992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989</v>
      </c>
      <c r="B301" s="2" t="s">
        <v>530</v>
      </c>
      <c r="C301" s="2" t="s">
        <v>991</v>
      </c>
      <c r="D301" s="2" t="s">
        <v>992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989</v>
      </c>
      <c r="B302" s="2" t="s">
        <v>334</v>
      </c>
      <c r="C302" s="2" t="s">
        <v>991</v>
      </c>
      <c r="D302" s="2" t="s">
        <v>992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989</v>
      </c>
      <c r="B303" s="2" t="s">
        <v>1321</v>
      </c>
      <c r="C303" s="2" t="s">
        <v>991</v>
      </c>
      <c r="D303" s="2" t="s">
        <v>992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1174</v>
      </c>
      <c r="B304" s="2" t="s">
        <v>1157</v>
      </c>
      <c r="C304" s="2" t="s">
        <v>1175</v>
      </c>
      <c r="D304" s="2" t="s">
        <v>1206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1174</v>
      </c>
      <c r="B305" s="2" t="s">
        <v>1607</v>
      </c>
      <c r="C305" s="2" t="s">
        <v>1175</v>
      </c>
      <c r="D305" s="2" t="s">
        <v>1448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1174</v>
      </c>
      <c r="B306" s="2" t="s">
        <v>1986</v>
      </c>
      <c r="C306" s="2" t="s">
        <v>1175</v>
      </c>
      <c r="D306" s="2" t="s">
        <v>1448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1174</v>
      </c>
      <c r="B307" s="2" t="s">
        <v>3135</v>
      </c>
      <c r="C307" s="2" t="s">
        <v>1175</v>
      </c>
      <c r="D307" s="2" t="s">
        <v>1448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1174</v>
      </c>
      <c r="B308" s="2" t="s">
        <v>9503</v>
      </c>
      <c r="C308" s="2" t="s">
        <v>1175</v>
      </c>
      <c r="D308" s="2" t="s">
        <v>1448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1174</v>
      </c>
      <c r="B309" s="2" t="s">
        <v>901</v>
      </c>
      <c r="C309" s="2" t="s">
        <v>1175</v>
      </c>
      <c r="D309" s="2" t="s">
        <v>1448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1174</v>
      </c>
      <c r="B310" s="2" t="s">
        <v>911</v>
      </c>
      <c r="C310" s="2" t="s">
        <v>1175</v>
      </c>
      <c r="D310" s="2" t="s">
        <v>1206</v>
      </c>
      <c r="E310" s="4" t="s">
        <v>233</v>
      </c>
      <c r="F310" s="8" t="s">
        <v>233</v>
      </c>
      <c r="G310" s="4" t="s">
        <v>233</v>
      </c>
      <c r="H310" s="8" t="s">
        <v>233</v>
      </c>
      <c r="I310" s="7" t="s">
        <v>233</v>
      </c>
      <c r="J310" s="7" t="s">
        <v>233</v>
      </c>
      <c r="K310" s="4"/>
      <c r="L310" s="8"/>
      <c r="M310" s="4"/>
      <c r="N310" s="8"/>
      <c r="O310" s="7"/>
      <c r="P310" s="7"/>
    </row>
    <row r="311">
      <c r="A311" s="2" t="s">
        <v>1174</v>
      </c>
      <c r="B311" s="2" t="s">
        <v>911</v>
      </c>
      <c r="C311" s="2" t="s">
        <v>1175</v>
      </c>
      <c r="D311" s="2" t="s">
        <v>1448</v>
      </c>
      <c r="E311" s="4" t="s">
        <v>233</v>
      </c>
      <c r="F311" s="8" t="s">
        <v>233</v>
      </c>
      <c r="G311" s="4" t="s">
        <v>233</v>
      </c>
      <c r="H311" s="8" t="s">
        <v>233</v>
      </c>
      <c r="I311" s="7" t="s">
        <v>233</v>
      </c>
      <c r="J311" s="7" t="s">
        <v>233</v>
      </c>
      <c r="K311" s="4"/>
      <c r="L311" s="8"/>
      <c r="M311" s="4"/>
      <c r="N311" s="8"/>
      <c r="O311" s="7"/>
      <c r="P311" s="7"/>
    </row>
    <row r="312">
      <c r="A312" s="2" t="s">
        <v>1174</v>
      </c>
      <c r="B312" s="2" t="s">
        <v>530</v>
      </c>
      <c r="C312" s="2" t="s">
        <v>1194</v>
      </c>
      <c r="D312" s="2" t="s">
        <v>1195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1174</v>
      </c>
      <c r="B313" s="2" t="s">
        <v>530</v>
      </c>
      <c r="C313" s="2" t="s">
        <v>3304</v>
      </c>
      <c r="D313" s="2" t="s">
        <v>3305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1174</v>
      </c>
      <c r="B314" s="2" t="s">
        <v>530</v>
      </c>
      <c r="C314" s="2" t="s">
        <v>1175</v>
      </c>
      <c r="D314" s="2" t="s">
        <v>1206</v>
      </c>
      <c r="E314" s="4" t="s">
        <v>233</v>
      </c>
      <c r="F314" s="8" t="s">
        <v>233</v>
      </c>
      <c r="G314" s="4" t="s">
        <v>233</v>
      </c>
      <c r="H314" s="8" t="s">
        <v>233</v>
      </c>
      <c r="I314" s="7" t="s">
        <v>233</v>
      </c>
      <c r="J314" s="7" t="s">
        <v>233</v>
      </c>
      <c r="K314" s="4"/>
      <c r="L314" s="8"/>
      <c r="M314" s="4"/>
      <c r="N314" s="8"/>
      <c r="O314" s="7"/>
      <c r="P314" s="7"/>
    </row>
    <row r="315">
      <c r="A315" s="2" t="s">
        <v>1174</v>
      </c>
      <c r="B315" s="2" t="s">
        <v>530</v>
      </c>
      <c r="C315" s="2" t="s">
        <v>1175</v>
      </c>
      <c r="D315" s="2" t="s">
        <v>3661</v>
      </c>
      <c r="E315" s="4" t="s">
        <v>233</v>
      </c>
      <c r="F315" s="8" t="s">
        <v>233</v>
      </c>
      <c r="G315" s="4" t="s">
        <v>233</v>
      </c>
      <c r="H315" s="8" t="s">
        <v>233</v>
      </c>
      <c r="I315" s="7" t="s">
        <v>233</v>
      </c>
      <c r="J315" s="7" t="s">
        <v>233</v>
      </c>
      <c r="K315" s="4"/>
      <c r="L315" s="8"/>
      <c r="M315" s="4"/>
      <c r="N315" s="8"/>
      <c r="O315" s="7"/>
      <c r="P315" s="7"/>
    </row>
    <row r="316">
      <c r="A316" s="2" t="s">
        <v>1174</v>
      </c>
      <c r="B316" s="2" t="s">
        <v>530</v>
      </c>
      <c r="C316" s="2" t="s">
        <v>1175</v>
      </c>
      <c r="D316" s="2" t="s">
        <v>2069</v>
      </c>
      <c r="E316" s="4" t="s">
        <v>233</v>
      </c>
      <c r="F316" s="8" t="s">
        <v>233</v>
      </c>
      <c r="G316" s="4" t="s">
        <v>233</v>
      </c>
      <c r="H316" s="8" t="s">
        <v>233</v>
      </c>
      <c r="I316" s="7" t="s">
        <v>233</v>
      </c>
      <c r="J316" s="7" t="s">
        <v>233</v>
      </c>
      <c r="K316" s="4"/>
      <c r="L316" s="8"/>
      <c r="M316" s="4"/>
      <c r="N316" s="8"/>
      <c r="O316" s="7"/>
      <c r="P316" s="7"/>
    </row>
    <row r="317">
      <c r="A317" s="2" t="s">
        <v>1174</v>
      </c>
      <c r="B317" s="2" t="s">
        <v>530</v>
      </c>
      <c r="C317" s="2" t="s">
        <v>1175</v>
      </c>
      <c r="D317" s="2" t="s">
        <v>1176</v>
      </c>
      <c r="E317" s="4" t="s">
        <v>233</v>
      </c>
      <c r="F317" s="8" t="s">
        <v>233</v>
      </c>
      <c r="G317" s="4" t="s">
        <v>233</v>
      </c>
      <c r="H317" s="8" t="s">
        <v>233</v>
      </c>
      <c r="I317" s="7" t="s">
        <v>233</v>
      </c>
      <c r="J317" s="7" t="s">
        <v>233</v>
      </c>
      <c r="K317" s="4"/>
      <c r="L317" s="8"/>
      <c r="M317" s="4"/>
      <c r="N317" s="8"/>
      <c r="O317" s="7"/>
      <c r="P317" s="7"/>
    </row>
    <row r="318">
      <c r="A318" s="2" t="s">
        <v>1174</v>
      </c>
      <c r="B318" s="2" t="s">
        <v>530</v>
      </c>
      <c r="C318" s="2" t="s">
        <v>1175</v>
      </c>
      <c r="D318" s="2" t="s">
        <v>1448</v>
      </c>
      <c r="E318" s="4" t="s">
        <v>233</v>
      </c>
      <c r="F318" s="8" t="s">
        <v>233</v>
      </c>
      <c r="G318" s="4" t="s">
        <v>233</v>
      </c>
      <c r="H318" s="8" t="s">
        <v>233</v>
      </c>
      <c r="I318" s="7" t="s">
        <v>233</v>
      </c>
      <c r="J318" s="7" t="s">
        <v>233</v>
      </c>
      <c r="K318" s="4"/>
      <c r="L318" s="8"/>
      <c r="M318" s="4"/>
      <c r="N318" s="8"/>
      <c r="O318" s="7"/>
      <c r="P318" s="7"/>
    </row>
    <row r="319">
      <c r="A319" s="2" t="s">
        <v>1174</v>
      </c>
      <c r="B319" s="2" t="s">
        <v>530</v>
      </c>
      <c r="C319" s="2" t="s">
        <v>1175</v>
      </c>
      <c r="D319" s="2" t="s">
        <v>6601</v>
      </c>
      <c r="E319" s="4" t="s">
        <v>233</v>
      </c>
      <c r="F319" s="8" t="s">
        <v>233</v>
      </c>
      <c r="G319" s="4" t="s">
        <v>233</v>
      </c>
      <c r="H319" s="8" t="s">
        <v>233</v>
      </c>
      <c r="I319" s="7" t="s">
        <v>233</v>
      </c>
      <c r="J319" s="7" t="s">
        <v>233</v>
      </c>
      <c r="K319" s="4"/>
      <c r="L319" s="8"/>
      <c r="M319" s="4"/>
      <c r="N319" s="8"/>
      <c r="O319" s="7"/>
      <c r="P319" s="7"/>
    </row>
    <row r="320">
      <c r="A320" s="2" t="s">
        <v>1174</v>
      </c>
      <c r="B320" s="2" t="s">
        <v>1447</v>
      </c>
      <c r="C320" s="2" t="s">
        <v>3304</v>
      </c>
      <c r="D320" s="2" t="s">
        <v>3305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1174</v>
      </c>
      <c r="B321" s="2" t="s">
        <v>1447</v>
      </c>
      <c r="C321" s="2" t="s">
        <v>1175</v>
      </c>
      <c r="D321" s="2" t="s">
        <v>1206</v>
      </c>
      <c r="E321" s="4" t="s">
        <v>233</v>
      </c>
      <c r="F321" s="8" t="s">
        <v>233</v>
      </c>
      <c r="G321" s="4" t="s">
        <v>233</v>
      </c>
      <c r="H321" s="8" t="s">
        <v>233</v>
      </c>
      <c r="I321" s="7" t="s">
        <v>233</v>
      </c>
      <c r="J321" s="7" t="s">
        <v>233</v>
      </c>
      <c r="K321" s="4"/>
      <c r="L321" s="8"/>
      <c r="M321" s="4"/>
      <c r="N321" s="8"/>
      <c r="O321" s="7"/>
      <c r="P321" s="7"/>
    </row>
    <row r="322">
      <c r="A322" s="2" t="s">
        <v>1174</v>
      </c>
      <c r="B322" s="2" t="s">
        <v>1447</v>
      </c>
      <c r="C322" s="2" t="s">
        <v>1175</v>
      </c>
      <c r="D322" s="2" t="s">
        <v>1448</v>
      </c>
      <c r="E322" s="4" t="s">
        <v>233</v>
      </c>
      <c r="F322" s="8" t="s">
        <v>233</v>
      </c>
      <c r="G322" s="4" t="s">
        <v>233</v>
      </c>
      <c r="H322" s="8" t="s">
        <v>233</v>
      </c>
      <c r="I322" s="7" t="s">
        <v>233</v>
      </c>
      <c r="J322" s="7" t="s">
        <v>233</v>
      </c>
      <c r="K322" s="4"/>
      <c r="L322" s="8"/>
      <c r="M322" s="4"/>
      <c r="N322" s="8"/>
      <c r="O322" s="7"/>
      <c r="P322" s="7"/>
    </row>
    <row r="323">
      <c r="A323" s="2" t="s">
        <v>1174</v>
      </c>
      <c r="B323" s="2" t="s">
        <v>1130</v>
      </c>
      <c r="C323" s="2" t="s">
        <v>1194</v>
      </c>
      <c r="D323" s="2" t="s">
        <v>1195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910</v>
      </c>
      <c r="B324" s="2" t="s">
        <v>911</v>
      </c>
      <c r="C324" s="2" t="s">
        <v>969</v>
      </c>
      <c r="D324" s="2" t="s">
        <v>3334</v>
      </c>
      <c r="E324" s="4" t="s">
        <v>233</v>
      </c>
      <c r="F324" s="8" t="s">
        <v>233</v>
      </c>
      <c r="G324" s="4" t="s">
        <v>233</v>
      </c>
      <c r="H324" s="8" t="s">
        <v>233</v>
      </c>
      <c r="I324" s="7" t="s">
        <v>233</v>
      </c>
      <c r="J324" s="7" t="s">
        <v>233</v>
      </c>
      <c r="K324" s="4"/>
      <c r="L324" s="8"/>
      <c r="M324" s="4"/>
      <c r="N324" s="8"/>
      <c r="O324" s="7"/>
      <c r="P324" s="7"/>
    </row>
    <row r="325">
      <c r="A325" s="2" t="s">
        <v>910</v>
      </c>
      <c r="B325" s="2" t="s">
        <v>911</v>
      </c>
      <c r="C325" s="2" t="s">
        <v>969</v>
      </c>
      <c r="D325" s="2" t="s">
        <v>1078</v>
      </c>
      <c r="E325" s="4" t="s">
        <v>233</v>
      </c>
      <c r="F325" s="8" t="s">
        <v>233</v>
      </c>
      <c r="G325" s="4" t="s">
        <v>233</v>
      </c>
      <c r="H325" s="8" t="s">
        <v>233</v>
      </c>
      <c r="I325" s="7" t="s">
        <v>233</v>
      </c>
      <c r="J325" s="7" t="s">
        <v>233</v>
      </c>
      <c r="K325" s="4"/>
      <c r="L325" s="8"/>
      <c r="M325" s="4"/>
      <c r="N325" s="8"/>
      <c r="O325" s="7"/>
      <c r="P325" s="7"/>
    </row>
    <row r="326">
      <c r="A326" s="2" t="s">
        <v>910</v>
      </c>
      <c r="B326" s="2" t="s">
        <v>911</v>
      </c>
      <c r="C326" s="2" t="s">
        <v>969</v>
      </c>
      <c r="D326" s="2" t="s">
        <v>970</v>
      </c>
      <c r="E326" s="4" t="s">
        <v>233</v>
      </c>
      <c r="F326" s="8" t="s">
        <v>233</v>
      </c>
      <c r="G326" s="4" t="s">
        <v>233</v>
      </c>
      <c r="H326" s="8" t="s">
        <v>233</v>
      </c>
      <c r="I326" s="7" t="s">
        <v>233</v>
      </c>
      <c r="J326" s="7" t="s">
        <v>233</v>
      </c>
      <c r="K326" s="4"/>
      <c r="L326" s="8"/>
      <c r="M326" s="4"/>
      <c r="N326" s="8"/>
      <c r="O326" s="7"/>
      <c r="P326" s="7"/>
    </row>
    <row r="327">
      <c r="A327" s="2" t="s">
        <v>910</v>
      </c>
      <c r="B327" s="2" t="s">
        <v>911</v>
      </c>
      <c r="C327" s="2" t="s">
        <v>1862</v>
      </c>
      <c r="D327" s="2" t="s">
        <v>3734</v>
      </c>
      <c r="E327" s="4" t="s">
        <v>233</v>
      </c>
      <c r="F327" s="8" t="s">
        <v>233</v>
      </c>
      <c r="G327" s="4" t="s">
        <v>233</v>
      </c>
      <c r="H327" s="8" t="s">
        <v>233</v>
      </c>
      <c r="I327" s="7" t="s">
        <v>233</v>
      </c>
      <c r="J327" s="7" t="s">
        <v>233</v>
      </c>
      <c r="K327" s="4"/>
      <c r="L327" s="8"/>
      <c r="M327" s="4"/>
      <c r="N327" s="8"/>
      <c r="O327" s="7"/>
      <c r="P327" s="7"/>
    </row>
    <row r="328">
      <c r="A328" s="2" t="s">
        <v>910</v>
      </c>
      <c r="B328" s="2" t="s">
        <v>911</v>
      </c>
      <c r="C328" s="2" t="s">
        <v>1862</v>
      </c>
      <c r="D328" s="2" t="s">
        <v>1863</v>
      </c>
      <c r="E328" s="4" t="s">
        <v>233</v>
      </c>
      <c r="F328" s="8" t="s">
        <v>233</v>
      </c>
      <c r="G328" s="4" t="s">
        <v>233</v>
      </c>
      <c r="H328" s="8" t="s">
        <v>233</v>
      </c>
      <c r="I328" s="7" t="s">
        <v>233</v>
      </c>
      <c r="J328" s="7" t="s">
        <v>233</v>
      </c>
      <c r="K328" s="4"/>
      <c r="L328" s="8"/>
      <c r="M328" s="4"/>
      <c r="N328" s="8"/>
      <c r="O328" s="7"/>
      <c r="P328" s="7"/>
    </row>
    <row r="329">
      <c r="A329" s="2" t="s">
        <v>910</v>
      </c>
      <c r="B329" s="2" t="s">
        <v>911</v>
      </c>
      <c r="C329" s="2" t="s">
        <v>912</v>
      </c>
      <c r="D329" s="2" t="s">
        <v>1139</v>
      </c>
      <c r="E329" s="4" t="s">
        <v>233</v>
      </c>
      <c r="F329" s="8" t="s">
        <v>233</v>
      </c>
      <c r="G329" s="4" t="s">
        <v>233</v>
      </c>
      <c r="H329" s="8" t="s">
        <v>233</v>
      </c>
      <c r="I329" s="7" t="s">
        <v>233</v>
      </c>
      <c r="J329" s="7" t="s">
        <v>233</v>
      </c>
      <c r="K329" s="4"/>
      <c r="L329" s="8"/>
      <c r="M329" s="4"/>
      <c r="N329" s="8"/>
      <c r="O329" s="7"/>
      <c r="P329" s="7"/>
    </row>
    <row r="330">
      <c r="A330" s="2" t="s">
        <v>910</v>
      </c>
      <c r="B330" s="2" t="s">
        <v>911</v>
      </c>
      <c r="C330" s="2" t="s">
        <v>912</v>
      </c>
      <c r="D330" s="2" t="s">
        <v>913</v>
      </c>
      <c r="E330" s="4" t="s">
        <v>233</v>
      </c>
      <c r="F330" s="8" t="s">
        <v>233</v>
      </c>
      <c r="G330" s="4" t="s">
        <v>233</v>
      </c>
      <c r="H330" s="8" t="s">
        <v>233</v>
      </c>
      <c r="I330" s="7" t="s">
        <v>233</v>
      </c>
      <c r="J330" s="7" t="s">
        <v>233</v>
      </c>
      <c r="K330" s="4"/>
      <c r="L330" s="8"/>
      <c r="M330" s="4"/>
      <c r="N330" s="8"/>
      <c r="O330" s="7"/>
      <c r="P330" s="7"/>
    </row>
    <row r="331">
      <c r="A331" s="2" t="s">
        <v>910</v>
      </c>
      <c r="B331" s="2" t="s">
        <v>911</v>
      </c>
      <c r="C331" s="2" t="s">
        <v>1194</v>
      </c>
      <c r="D331" s="2" t="s">
        <v>1195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910</v>
      </c>
      <c r="B332" s="2" t="s">
        <v>1266</v>
      </c>
      <c r="C332" s="2" t="s">
        <v>969</v>
      </c>
      <c r="D332" s="2" t="s">
        <v>1078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910</v>
      </c>
      <c r="B333" s="2" t="s">
        <v>1266</v>
      </c>
      <c r="C333" s="2" t="s">
        <v>912</v>
      </c>
      <c r="D333" s="2" t="s">
        <v>1139</v>
      </c>
      <c r="E333" s="4" t="s">
        <v>233</v>
      </c>
      <c r="F333" s="8" t="s">
        <v>233</v>
      </c>
      <c r="G333" s="4" t="s">
        <v>233</v>
      </c>
      <c r="H333" s="8" t="s">
        <v>233</v>
      </c>
      <c r="I333" s="7" t="s">
        <v>233</v>
      </c>
      <c r="J333" s="7" t="s">
        <v>233</v>
      </c>
      <c r="K333" s="4"/>
      <c r="L333" s="8"/>
      <c r="M333" s="4"/>
      <c r="N333" s="8"/>
      <c r="O333" s="7"/>
      <c r="P333" s="7"/>
    </row>
    <row r="334">
      <c r="A334" s="2" t="s">
        <v>910</v>
      </c>
      <c r="B334" s="2" t="s">
        <v>1266</v>
      </c>
      <c r="C334" s="2" t="s">
        <v>912</v>
      </c>
      <c r="D334" s="2" t="s">
        <v>913</v>
      </c>
      <c r="E334" s="4" t="s">
        <v>233</v>
      </c>
      <c r="F334" s="8" t="s">
        <v>233</v>
      </c>
      <c r="G334" s="4" t="s">
        <v>233</v>
      </c>
      <c r="H334" s="8" t="s">
        <v>233</v>
      </c>
      <c r="I334" s="7" t="s">
        <v>233</v>
      </c>
      <c r="J334" s="7" t="s">
        <v>233</v>
      </c>
      <c r="K334" s="4"/>
      <c r="L334" s="8"/>
      <c r="M334" s="4"/>
      <c r="N334" s="8"/>
      <c r="O334" s="7"/>
      <c r="P334" s="7"/>
    </row>
    <row r="335">
      <c r="A335" s="2" t="s">
        <v>910</v>
      </c>
      <c r="B335" s="2" t="s">
        <v>3320</v>
      </c>
      <c r="C335" s="2" t="s">
        <v>969</v>
      </c>
      <c r="D335" s="2" t="s">
        <v>1078</v>
      </c>
      <c r="E335" s="4" t="s">
        <v>233</v>
      </c>
      <c r="F335" s="8" t="s">
        <v>233</v>
      </c>
      <c r="G335" s="4" t="s">
        <v>233</v>
      </c>
      <c r="H335" s="8" t="s">
        <v>233</v>
      </c>
      <c r="I335" s="7" t="s">
        <v>233</v>
      </c>
      <c r="J335" s="7" t="s">
        <v>233</v>
      </c>
      <c r="K335" s="4"/>
      <c r="L335" s="8"/>
      <c r="M335" s="4"/>
      <c r="N335" s="8"/>
      <c r="O335" s="7"/>
      <c r="P335" s="7"/>
    </row>
    <row r="336">
      <c r="A336" s="2" t="s">
        <v>910</v>
      </c>
      <c r="B336" s="2" t="s">
        <v>3320</v>
      </c>
      <c r="C336" s="2" t="s">
        <v>969</v>
      </c>
      <c r="D336" s="2" t="s">
        <v>970</v>
      </c>
      <c r="E336" s="4" t="s">
        <v>233</v>
      </c>
      <c r="F336" s="8" t="s">
        <v>233</v>
      </c>
      <c r="G336" s="4" t="s">
        <v>233</v>
      </c>
      <c r="H336" s="8" t="s">
        <v>233</v>
      </c>
      <c r="I336" s="7" t="s">
        <v>233</v>
      </c>
      <c r="J336" s="7" t="s">
        <v>233</v>
      </c>
      <c r="K336" s="4"/>
      <c r="L336" s="8"/>
      <c r="M336" s="4"/>
      <c r="N336" s="8"/>
      <c r="O336" s="7"/>
      <c r="P336" s="7"/>
    </row>
    <row r="337">
      <c r="A337" s="2" t="s">
        <v>910</v>
      </c>
      <c r="B337" s="2" t="s">
        <v>3320</v>
      </c>
      <c r="C337" s="2" t="s">
        <v>1862</v>
      </c>
      <c r="D337" s="2" t="s">
        <v>3734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910</v>
      </c>
      <c r="B338" s="2" t="s">
        <v>3320</v>
      </c>
      <c r="C338" s="2" t="s">
        <v>912</v>
      </c>
      <c r="D338" s="2" t="s">
        <v>1139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910</v>
      </c>
      <c r="B339" s="2" t="s">
        <v>1130</v>
      </c>
      <c r="C339" s="2" t="s">
        <v>969</v>
      </c>
      <c r="D339" s="2" t="s">
        <v>1078</v>
      </c>
      <c r="E339" s="4" t="s">
        <v>233</v>
      </c>
      <c r="F339" s="8" t="s">
        <v>233</v>
      </c>
      <c r="G339" s="4" t="s">
        <v>233</v>
      </c>
      <c r="H339" s="8" t="s">
        <v>233</v>
      </c>
      <c r="I339" s="7" t="s">
        <v>233</v>
      </c>
      <c r="J339" s="7" t="s">
        <v>233</v>
      </c>
      <c r="K339" s="4"/>
      <c r="L339" s="8"/>
      <c r="M339" s="4"/>
      <c r="N339" s="8"/>
      <c r="O339" s="7"/>
      <c r="P339" s="7"/>
    </row>
    <row r="340">
      <c r="A340" s="2" t="s">
        <v>910</v>
      </c>
      <c r="B340" s="2" t="s">
        <v>1130</v>
      </c>
      <c r="C340" s="2" t="s">
        <v>969</v>
      </c>
      <c r="D340" s="2" t="s">
        <v>970</v>
      </c>
      <c r="E340" s="4" t="s">
        <v>233</v>
      </c>
      <c r="F340" s="8" t="s">
        <v>233</v>
      </c>
      <c r="G340" s="4" t="s">
        <v>233</v>
      </c>
      <c r="H340" s="8" t="s">
        <v>233</v>
      </c>
      <c r="I340" s="7" t="s">
        <v>233</v>
      </c>
      <c r="J340" s="7" t="s">
        <v>233</v>
      </c>
      <c r="K340" s="4"/>
      <c r="L340" s="8"/>
      <c r="M340" s="4"/>
      <c r="N340" s="8"/>
      <c r="O340" s="7"/>
      <c r="P340" s="7"/>
    </row>
    <row r="341">
      <c r="A341" s="2" t="s">
        <v>910</v>
      </c>
      <c r="B341" s="2" t="s">
        <v>1130</v>
      </c>
      <c r="C341" s="2" t="s">
        <v>1862</v>
      </c>
      <c r="D341" s="2" t="s">
        <v>3734</v>
      </c>
      <c r="E341" s="4" t="s">
        <v>233</v>
      </c>
      <c r="F341" s="8" t="s">
        <v>233</v>
      </c>
      <c r="G341" s="4" t="s">
        <v>233</v>
      </c>
      <c r="H341" s="8" t="s">
        <v>233</v>
      </c>
      <c r="I341" s="7" t="s">
        <v>233</v>
      </c>
      <c r="J341" s="7" t="s">
        <v>233</v>
      </c>
      <c r="K341" s="4"/>
      <c r="L341" s="8"/>
      <c r="M341" s="4"/>
      <c r="N341" s="8"/>
      <c r="O341" s="7"/>
      <c r="P341" s="7"/>
    </row>
    <row r="342">
      <c r="A342" s="2" t="s">
        <v>910</v>
      </c>
      <c r="B342" s="2" t="s">
        <v>1130</v>
      </c>
      <c r="C342" s="2" t="s">
        <v>1862</v>
      </c>
      <c r="D342" s="2" t="s">
        <v>1863</v>
      </c>
      <c r="E342" s="4" t="s">
        <v>233</v>
      </c>
      <c r="F342" s="8" t="s">
        <v>233</v>
      </c>
      <c r="G342" s="4" t="s">
        <v>233</v>
      </c>
      <c r="H342" s="8" t="s">
        <v>233</v>
      </c>
      <c r="I342" s="7" t="s">
        <v>233</v>
      </c>
      <c r="J342" s="7" t="s">
        <v>233</v>
      </c>
      <c r="K342" s="4"/>
      <c r="L342" s="8"/>
      <c r="M342" s="4"/>
      <c r="N342" s="8"/>
      <c r="O342" s="7"/>
      <c r="P342" s="7"/>
    </row>
    <row r="343">
      <c r="A343" s="2" t="s">
        <v>910</v>
      </c>
      <c r="B343" s="2" t="s">
        <v>1130</v>
      </c>
      <c r="C343" s="2" t="s">
        <v>912</v>
      </c>
      <c r="D343" s="2" t="s">
        <v>1139</v>
      </c>
      <c r="E343" s="4" t="s">
        <v>233</v>
      </c>
      <c r="F343" s="8" t="s">
        <v>233</v>
      </c>
      <c r="G343" s="4" t="s">
        <v>233</v>
      </c>
      <c r="H343" s="8" t="s">
        <v>233</v>
      </c>
      <c r="I343" s="7" t="s">
        <v>233</v>
      </c>
      <c r="J343" s="7" t="s">
        <v>233</v>
      </c>
      <c r="K343" s="4"/>
      <c r="L343" s="8"/>
      <c r="M343" s="4"/>
      <c r="N343" s="8"/>
      <c r="O343" s="7"/>
      <c r="P343" s="7"/>
    </row>
    <row r="344">
      <c r="A344" s="2" t="s">
        <v>910</v>
      </c>
      <c r="B344" s="2" t="s">
        <v>1130</v>
      </c>
      <c r="C344" s="2" t="s">
        <v>912</v>
      </c>
      <c r="D344" s="2" t="s">
        <v>913</v>
      </c>
      <c r="E344" s="4" t="s">
        <v>233</v>
      </c>
      <c r="F344" s="8" t="s">
        <v>233</v>
      </c>
      <c r="G344" s="4" t="s">
        <v>233</v>
      </c>
      <c r="H344" s="8" t="s">
        <v>233</v>
      </c>
      <c r="I344" s="7" t="s">
        <v>233</v>
      </c>
      <c r="J344" s="7" t="s">
        <v>233</v>
      </c>
      <c r="K344" s="4"/>
      <c r="L344" s="8"/>
      <c r="M344" s="4"/>
      <c r="N344" s="8"/>
      <c r="O344" s="7"/>
      <c r="P344" s="7"/>
    </row>
    <row r="345">
      <c r="A345" s="2" t="s">
        <v>910</v>
      </c>
      <c r="B345" s="2" t="s">
        <v>5876</v>
      </c>
      <c r="C345" s="2" t="s">
        <v>969</v>
      </c>
      <c r="D345" s="2" t="s">
        <v>1078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910</v>
      </c>
      <c r="B346" s="2" t="s">
        <v>5876</v>
      </c>
      <c r="C346" s="2" t="s">
        <v>1862</v>
      </c>
      <c r="D346" s="2" t="s">
        <v>3734</v>
      </c>
      <c r="E346" s="4" t="s">
        <v>233</v>
      </c>
      <c r="F346" s="8" t="s">
        <v>233</v>
      </c>
      <c r="G346" s="4" t="s">
        <v>233</v>
      </c>
      <c r="H346" s="8" t="s">
        <v>233</v>
      </c>
      <c r="I346" s="7" t="s">
        <v>233</v>
      </c>
      <c r="J346" s="7" t="s">
        <v>233</v>
      </c>
      <c r="K346" s="4"/>
      <c r="L346" s="8"/>
      <c r="M346" s="4"/>
      <c r="N346" s="8"/>
      <c r="O346" s="7"/>
      <c r="P346" s="7"/>
    </row>
    <row r="347">
      <c r="A347" s="2" t="s">
        <v>910</v>
      </c>
      <c r="B347" s="2" t="s">
        <v>5876</v>
      </c>
      <c r="C347" s="2" t="s">
        <v>1862</v>
      </c>
      <c r="D347" s="2" t="s">
        <v>1863</v>
      </c>
      <c r="E347" s="4" t="s">
        <v>233</v>
      </c>
      <c r="F347" s="8" t="s">
        <v>233</v>
      </c>
      <c r="G347" s="4" t="s">
        <v>233</v>
      </c>
      <c r="H347" s="8" t="s">
        <v>233</v>
      </c>
      <c r="I347" s="7" t="s">
        <v>233</v>
      </c>
      <c r="J347" s="7" t="s">
        <v>233</v>
      </c>
      <c r="K347" s="4"/>
      <c r="L347" s="8"/>
      <c r="M347" s="4"/>
      <c r="N347" s="8"/>
      <c r="O347" s="7"/>
      <c r="P347" s="7"/>
    </row>
    <row r="348">
      <c r="A348" s="2" t="s">
        <v>910</v>
      </c>
      <c r="B348" s="2" t="s">
        <v>5876</v>
      </c>
      <c r="C348" s="2" t="s">
        <v>912</v>
      </c>
      <c r="D348" s="2" t="s">
        <v>1139</v>
      </c>
      <c r="E348" s="4" t="s">
        <v>233</v>
      </c>
      <c r="F348" s="8" t="s">
        <v>233</v>
      </c>
      <c r="G348" s="4" t="s">
        <v>233</v>
      </c>
      <c r="H348" s="8" t="s">
        <v>233</v>
      </c>
      <c r="I348" s="7" t="s">
        <v>233</v>
      </c>
      <c r="J348" s="7" t="s">
        <v>233</v>
      </c>
      <c r="K348" s="4"/>
      <c r="L348" s="8"/>
      <c r="M348" s="4"/>
      <c r="N348" s="8"/>
      <c r="O348" s="7"/>
      <c r="P348" s="7"/>
    </row>
    <row r="349">
      <c r="A349" s="2" t="s">
        <v>910</v>
      </c>
      <c r="B349" s="2" t="s">
        <v>5876</v>
      </c>
      <c r="C349" s="2" t="s">
        <v>912</v>
      </c>
      <c r="D349" s="2" t="s">
        <v>913</v>
      </c>
      <c r="E349" s="4" t="s">
        <v>233</v>
      </c>
      <c r="F349" s="8" t="s">
        <v>233</v>
      </c>
      <c r="G349" s="4" t="s">
        <v>233</v>
      </c>
      <c r="H349" s="8" t="s">
        <v>233</v>
      </c>
      <c r="I349" s="7" t="s">
        <v>233</v>
      </c>
      <c r="J349" s="7" t="s">
        <v>233</v>
      </c>
      <c r="K349" s="4"/>
      <c r="L349" s="8"/>
      <c r="M349" s="4"/>
      <c r="N349" s="8"/>
      <c r="O349" s="7"/>
      <c r="P34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9"/>
    <mergeCell ref="F7:F9"/>
    <mergeCell ref="G7:G9"/>
    <mergeCell ref="H7:H9"/>
    <mergeCell ref="I7:I9"/>
    <mergeCell ref="J7:J9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7:E39"/>
    <mergeCell ref="F37:F39"/>
    <mergeCell ref="G37:G39"/>
    <mergeCell ref="H37:H39"/>
    <mergeCell ref="I37:I39"/>
    <mergeCell ref="J37:J39"/>
    <mergeCell ref="E40:E43"/>
    <mergeCell ref="F40:F43"/>
    <mergeCell ref="G40:G43"/>
    <mergeCell ref="H40:H43"/>
    <mergeCell ref="I40:I43"/>
    <mergeCell ref="J40:J43"/>
    <mergeCell ref="E44:E45"/>
    <mergeCell ref="F44:F45"/>
    <mergeCell ref="G44:G45"/>
    <mergeCell ref="H44:H45"/>
    <mergeCell ref="I44:I45"/>
    <mergeCell ref="J44:J45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4:E55"/>
    <mergeCell ref="F54:F55"/>
    <mergeCell ref="G54:G55"/>
    <mergeCell ref="H54:H55"/>
    <mergeCell ref="I54:I55"/>
    <mergeCell ref="J54:J55"/>
    <mergeCell ref="E58:E60"/>
    <mergeCell ref="F58:F60"/>
    <mergeCell ref="G58:G60"/>
    <mergeCell ref="H58:H60"/>
    <mergeCell ref="I58:I60"/>
    <mergeCell ref="J58:J60"/>
    <mergeCell ref="E66:E67"/>
    <mergeCell ref="F66:F67"/>
    <mergeCell ref="G66:G67"/>
    <mergeCell ref="H66:H67"/>
    <mergeCell ref="I66:I67"/>
    <mergeCell ref="J66:J67"/>
    <mergeCell ref="E71:E73"/>
    <mergeCell ref="F71:F73"/>
    <mergeCell ref="G71:G73"/>
    <mergeCell ref="H71:H73"/>
    <mergeCell ref="I71:I73"/>
    <mergeCell ref="J71:J73"/>
    <mergeCell ref="E75:E77"/>
    <mergeCell ref="F75:F77"/>
    <mergeCell ref="G75:G77"/>
    <mergeCell ref="H75:H77"/>
    <mergeCell ref="I75:I77"/>
    <mergeCell ref="J75:J77"/>
    <mergeCell ref="E80:E81"/>
    <mergeCell ref="F80:F81"/>
    <mergeCell ref="G80:G81"/>
    <mergeCell ref="H80:H81"/>
    <mergeCell ref="I80:I81"/>
    <mergeCell ref="J80:J81"/>
    <mergeCell ref="E82:E83"/>
    <mergeCell ref="F82:F83"/>
    <mergeCell ref="G82:G83"/>
    <mergeCell ref="H82:H83"/>
    <mergeCell ref="I82:I83"/>
    <mergeCell ref="J82:J83"/>
    <mergeCell ref="E85:E86"/>
    <mergeCell ref="F85:F86"/>
    <mergeCell ref="G85:G86"/>
    <mergeCell ref="H85:H86"/>
    <mergeCell ref="I85:I86"/>
    <mergeCell ref="J85:J86"/>
    <mergeCell ref="E87:E88"/>
    <mergeCell ref="F87:F88"/>
    <mergeCell ref="G87:G88"/>
    <mergeCell ref="H87:H88"/>
    <mergeCell ref="I87:I88"/>
    <mergeCell ref="J87:J88"/>
    <mergeCell ref="E90:E91"/>
    <mergeCell ref="F90:F91"/>
    <mergeCell ref="G90:G91"/>
    <mergeCell ref="H90:H91"/>
    <mergeCell ref="I90:I91"/>
    <mergeCell ref="J90:J91"/>
    <mergeCell ref="E92:E93"/>
    <mergeCell ref="F92:F93"/>
    <mergeCell ref="G92:G93"/>
    <mergeCell ref="H92:H93"/>
    <mergeCell ref="I92:I93"/>
    <mergeCell ref="J92:J93"/>
    <mergeCell ref="E96:E97"/>
    <mergeCell ref="F96:F97"/>
    <mergeCell ref="G96:G97"/>
    <mergeCell ref="H96:H97"/>
    <mergeCell ref="I96:I97"/>
    <mergeCell ref="J96:J97"/>
    <mergeCell ref="E110:E112"/>
    <mergeCell ref="F110:F112"/>
    <mergeCell ref="G110:G112"/>
    <mergeCell ref="H110:H112"/>
    <mergeCell ref="I110:I112"/>
    <mergeCell ref="J110:J112"/>
    <mergeCell ref="E133:E136"/>
    <mergeCell ref="F133:F136"/>
    <mergeCell ref="G133:G136"/>
    <mergeCell ref="H133:H136"/>
    <mergeCell ref="I133:I136"/>
    <mergeCell ref="J133:J136"/>
    <mergeCell ref="E148:E149"/>
    <mergeCell ref="F148:F149"/>
    <mergeCell ref="G148:G149"/>
    <mergeCell ref="H148:H149"/>
    <mergeCell ref="I148:I149"/>
    <mergeCell ref="J148:J149"/>
    <mergeCell ref="E152:E153"/>
    <mergeCell ref="F152:F153"/>
    <mergeCell ref="G152:G153"/>
    <mergeCell ref="H152:H153"/>
    <mergeCell ref="I152:I153"/>
    <mergeCell ref="J152:J153"/>
    <mergeCell ref="E157:E158"/>
    <mergeCell ref="F157:F158"/>
    <mergeCell ref="G157:G158"/>
    <mergeCell ref="H157:H158"/>
    <mergeCell ref="I157:I158"/>
    <mergeCell ref="J157:J158"/>
    <mergeCell ref="E161:E162"/>
    <mergeCell ref="F161:F162"/>
    <mergeCell ref="G161:G162"/>
    <mergeCell ref="H161:H162"/>
    <mergeCell ref="I161:I162"/>
    <mergeCell ref="J161:J162"/>
    <mergeCell ref="E164:E165"/>
    <mergeCell ref="F164:F165"/>
    <mergeCell ref="G164:G165"/>
    <mergeCell ref="H164:H165"/>
    <mergeCell ref="I164:I165"/>
    <mergeCell ref="J164:J165"/>
    <mergeCell ref="E166:E167"/>
    <mergeCell ref="F166:F167"/>
    <mergeCell ref="G166:G167"/>
    <mergeCell ref="H166:H167"/>
    <mergeCell ref="I166:I167"/>
    <mergeCell ref="J166:J167"/>
    <mergeCell ref="E168:E169"/>
    <mergeCell ref="F168:F169"/>
    <mergeCell ref="G168:G169"/>
    <mergeCell ref="H168:H169"/>
    <mergeCell ref="I168:I169"/>
    <mergeCell ref="J168:J169"/>
    <mergeCell ref="E170:E171"/>
    <mergeCell ref="F170:F171"/>
    <mergeCell ref="G170:G171"/>
    <mergeCell ref="H170:H171"/>
    <mergeCell ref="I170:I171"/>
    <mergeCell ref="J170:J171"/>
    <mergeCell ref="E178:E179"/>
    <mergeCell ref="F178:F179"/>
    <mergeCell ref="G178:G179"/>
    <mergeCell ref="H178:H179"/>
    <mergeCell ref="I178:I179"/>
    <mergeCell ref="J178:J179"/>
    <mergeCell ref="E180:E182"/>
    <mergeCell ref="F180:F182"/>
    <mergeCell ref="G180:G182"/>
    <mergeCell ref="H180:H182"/>
    <mergeCell ref="I180:I182"/>
    <mergeCell ref="J180:J182"/>
    <mergeCell ref="E185:E187"/>
    <mergeCell ref="F185:F187"/>
    <mergeCell ref="G185:G187"/>
    <mergeCell ref="H185:H187"/>
    <mergeCell ref="I185:I187"/>
    <mergeCell ref="J185:J187"/>
    <mergeCell ref="E195:E198"/>
    <mergeCell ref="F195:F198"/>
    <mergeCell ref="G195:G198"/>
    <mergeCell ref="H195:H198"/>
    <mergeCell ref="I195:I198"/>
    <mergeCell ref="J195:J198"/>
    <mergeCell ref="E201:E205"/>
    <mergeCell ref="F201:F205"/>
    <mergeCell ref="G201:G205"/>
    <mergeCell ref="H201:H205"/>
    <mergeCell ref="I201:I205"/>
    <mergeCell ref="J201:J205"/>
    <mergeCell ref="E206:E207"/>
    <mergeCell ref="F206:F207"/>
    <mergeCell ref="G206:G207"/>
    <mergeCell ref="H206:H207"/>
    <mergeCell ref="I206:I207"/>
    <mergeCell ref="J206:J207"/>
    <mergeCell ref="E208:E210"/>
    <mergeCell ref="F208:F210"/>
    <mergeCell ref="G208:G210"/>
    <mergeCell ref="H208:H210"/>
    <mergeCell ref="I208:I210"/>
    <mergeCell ref="J208:J210"/>
    <mergeCell ref="E211:E214"/>
    <mergeCell ref="F211:F214"/>
    <mergeCell ref="G211:G214"/>
    <mergeCell ref="H211:H214"/>
    <mergeCell ref="I211:I214"/>
    <mergeCell ref="J211:J214"/>
    <mergeCell ref="E215:E216"/>
    <mergeCell ref="F215:F216"/>
    <mergeCell ref="G215:G216"/>
    <mergeCell ref="H215:H216"/>
    <mergeCell ref="I215:I216"/>
    <mergeCell ref="J215:J216"/>
    <mergeCell ref="E221:E222"/>
    <mergeCell ref="F221:F222"/>
    <mergeCell ref="G221:G222"/>
    <mergeCell ref="H221:H222"/>
    <mergeCell ref="I221:I222"/>
    <mergeCell ref="J221:J222"/>
    <mergeCell ref="E226:E228"/>
    <mergeCell ref="F226:F228"/>
    <mergeCell ref="G226:G228"/>
    <mergeCell ref="H226:H228"/>
    <mergeCell ref="I226:I228"/>
    <mergeCell ref="J226:J228"/>
    <mergeCell ref="E229:E231"/>
    <mergeCell ref="F229:F231"/>
    <mergeCell ref="G229:G231"/>
    <mergeCell ref="H229:H231"/>
    <mergeCell ref="I229:I231"/>
    <mergeCell ref="J229:J231"/>
    <mergeCell ref="E236:E237"/>
    <mergeCell ref="F236:F237"/>
    <mergeCell ref="G236:G237"/>
    <mergeCell ref="H236:H237"/>
    <mergeCell ref="I236:I237"/>
    <mergeCell ref="J236:J237"/>
    <mergeCell ref="E243:E246"/>
    <mergeCell ref="F243:F246"/>
    <mergeCell ref="G243:G246"/>
    <mergeCell ref="H243:H246"/>
    <mergeCell ref="I243:I246"/>
    <mergeCell ref="J243:J246"/>
    <mergeCell ref="E247:E248"/>
    <mergeCell ref="F247:F248"/>
    <mergeCell ref="G247:G248"/>
    <mergeCell ref="H247:H248"/>
    <mergeCell ref="I247:I248"/>
    <mergeCell ref="J247:J248"/>
    <mergeCell ref="E256:E258"/>
    <mergeCell ref="F256:F258"/>
    <mergeCell ref="G256:G258"/>
    <mergeCell ref="H256:H258"/>
    <mergeCell ref="I256:I258"/>
    <mergeCell ref="J256:J258"/>
    <mergeCell ref="E310:E311"/>
    <mergeCell ref="F310:F311"/>
    <mergeCell ref="G310:G311"/>
    <mergeCell ref="H310:H311"/>
    <mergeCell ref="I310:I311"/>
    <mergeCell ref="J310:J311"/>
    <mergeCell ref="E314:E319"/>
    <mergeCell ref="F314:F319"/>
    <mergeCell ref="G314:G319"/>
    <mergeCell ref="H314:H319"/>
    <mergeCell ref="I314:I319"/>
    <mergeCell ref="J314:J319"/>
    <mergeCell ref="E321:E322"/>
    <mergeCell ref="F321:F322"/>
    <mergeCell ref="G321:G322"/>
    <mergeCell ref="H321:H322"/>
    <mergeCell ref="I321:I322"/>
    <mergeCell ref="J321:J322"/>
    <mergeCell ref="E324:E326"/>
    <mergeCell ref="F324:F326"/>
    <mergeCell ref="G324:G326"/>
    <mergeCell ref="H324:H326"/>
    <mergeCell ref="I324:I326"/>
    <mergeCell ref="J324:J326"/>
    <mergeCell ref="E327:E328"/>
    <mergeCell ref="F327:F328"/>
    <mergeCell ref="G327:G328"/>
    <mergeCell ref="H327:H328"/>
    <mergeCell ref="I327:I328"/>
    <mergeCell ref="J327:J328"/>
    <mergeCell ref="E329:E330"/>
    <mergeCell ref="F329:F330"/>
    <mergeCell ref="G329:G330"/>
    <mergeCell ref="H329:H330"/>
    <mergeCell ref="I329:I330"/>
    <mergeCell ref="J329:J330"/>
    <mergeCell ref="E333:E334"/>
    <mergeCell ref="F333:F334"/>
    <mergeCell ref="G333:G334"/>
    <mergeCell ref="H333:H334"/>
    <mergeCell ref="I333:I334"/>
    <mergeCell ref="J333:J334"/>
    <mergeCell ref="E335:E336"/>
    <mergeCell ref="F335:F336"/>
    <mergeCell ref="G335:G336"/>
    <mergeCell ref="H335:H336"/>
    <mergeCell ref="I335:I336"/>
    <mergeCell ref="J335:J336"/>
    <mergeCell ref="E339:E340"/>
    <mergeCell ref="F339:F340"/>
    <mergeCell ref="G339:G340"/>
    <mergeCell ref="H339:H340"/>
    <mergeCell ref="I339:I340"/>
    <mergeCell ref="J339:J340"/>
    <mergeCell ref="E341:E342"/>
    <mergeCell ref="F341:F342"/>
    <mergeCell ref="G341:G342"/>
    <mergeCell ref="H341:H342"/>
    <mergeCell ref="I341:I342"/>
    <mergeCell ref="J341:J342"/>
    <mergeCell ref="E343:E344"/>
    <mergeCell ref="F343:F344"/>
    <mergeCell ref="G343:G344"/>
    <mergeCell ref="H343:H344"/>
    <mergeCell ref="I343:I344"/>
    <mergeCell ref="J343:J344"/>
    <mergeCell ref="E346:E347"/>
    <mergeCell ref="F346:F347"/>
    <mergeCell ref="G346:G347"/>
    <mergeCell ref="H346:H347"/>
    <mergeCell ref="I346:I347"/>
    <mergeCell ref="J346:J347"/>
    <mergeCell ref="E348:E349"/>
    <mergeCell ref="F348:F349"/>
    <mergeCell ref="G348:G349"/>
    <mergeCell ref="H348:H349"/>
    <mergeCell ref="I348:I349"/>
    <mergeCell ref="J348:J34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11489</v>
      </c>
      <c r="C2" s="0" t="s">
        <v>11490</v>
      </c>
      <c r="D2" s="0" t="s">
        <v>11491</v>
      </c>
      <c r="E2" s="0" t="s">
        <v>59</v>
      </c>
    </row>
    <row r="3">
      <c r="A3" s="1" t="s">
        <v>59</v>
      </c>
      <c r="B3" s="1" t="s">
        <v>61</v>
      </c>
      <c r="C3" s="1" t="s">
        <v>62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59</v>
      </c>
      <c r="B4" s="1" t="s">
        <v>61</v>
      </c>
      <c r="C4" s="1" t="s">
        <v>62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11492</v>
      </c>
      <c r="I4" s="1" t="s">
        <v>11493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11494</v>
      </c>
      <c r="O4" s="1" t="s">
        <v>11495</v>
      </c>
    </row>
    <row r="5">
      <c r="A5" s="1" t="s">
        <v>59</v>
      </c>
      <c r="B5" s="1" t="s">
        <v>61</v>
      </c>
      <c r="C5" s="1" t="s">
        <v>62</v>
      </c>
      <c r="D5" s="1" t="s">
        <v>11496</v>
      </c>
      <c r="E5" s="1" t="s">
        <v>11497</v>
      </c>
      <c r="F5" s="1" t="s">
        <v>11496</v>
      </c>
      <c r="G5" s="1" t="s">
        <v>11497</v>
      </c>
      <c r="H5" s="1" t="s">
        <v>11492</v>
      </c>
      <c r="I5" s="1" t="s">
        <v>11493</v>
      </c>
      <c r="J5" s="1" t="s">
        <v>11498</v>
      </c>
      <c r="K5" s="1" t="s">
        <v>11499</v>
      </c>
      <c r="L5" s="1" t="s">
        <v>11498</v>
      </c>
      <c r="M5" s="1" t="s">
        <v>11499</v>
      </c>
      <c r="N5" s="1" t="s">
        <v>11494</v>
      </c>
      <c r="O5" s="1" t="s">
        <v>11495</v>
      </c>
    </row>
    <row r="6">
      <c r="A6" s="2" t="s">
        <v>1242</v>
      </c>
      <c r="B6" s="2" t="s">
        <v>3474</v>
      </c>
      <c r="C6" s="2" t="s">
        <v>3475</v>
      </c>
      <c r="D6" s="4" t="s">
        <v>233</v>
      </c>
      <c r="E6" s="8" t="s">
        <v>233</v>
      </c>
      <c r="F6" s="4" t="s">
        <v>233</v>
      </c>
      <c r="G6" s="8" t="s">
        <v>233</v>
      </c>
      <c r="H6" s="7" t="s">
        <v>233</v>
      </c>
      <c r="I6" s="7" t="s">
        <v>233</v>
      </c>
      <c r="J6" s="4"/>
      <c r="K6" s="8"/>
      <c r="L6" s="4"/>
      <c r="M6" s="8"/>
      <c r="N6" s="7"/>
      <c r="O6" s="7"/>
    </row>
    <row r="7">
      <c r="A7" s="2" t="s">
        <v>1242</v>
      </c>
      <c r="B7" s="2" t="s">
        <v>3474</v>
      </c>
      <c r="C7" s="2" t="s">
        <v>6638</v>
      </c>
      <c r="D7" s="4" t="s">
        <v>233</v>
      </c>
      <c r="E7" s="8" t="s">
        <v>233</v>
      </c>
      <c r="F7" s="4" t="s">
        <v>233</v>
      </c>
      <c r="G7" s="8" t="s">
        <v>233</v>
      </c>
      <c r="H7" s="7" t="s">
        <v>233</v>
      </c>
      <c r="I7" s="7" t="s">
        <v>233</v>
      </c>
      <c r="J7" s="4"/>
      <c r="K7" s="8"/>
      <c r="L7" s="4"/>
      <c r="M7" s="8"/>
      <c r="N7" s="7"/>
      <c r="O7" s="7"/>
    </row>
    <row r="8">
      <c r="A8" s="2" t="s">
        <v>1242</v>
      </c>
      <c r="B8" s="2" t="s">
        <v>969</v>
      </c>
      <c r="C8" s="2" t="s">
        <v>3334</v>
      </c>
      <c r="D8" s="4" t="s">
        <v>233</v>
      </c>
      <c r="E8" s="8" t="s">
        <v>233</v>
      </c>
      <c r="F8" s="4" t="s">
        <v>233</v>
      </c>
      <c r="G8" s="8" t="s">
        <v>233</v>
      </c>
      <c r="H8" s="7" t="s">
        <v>233</v>
      </c>
      <c r="I8" s="7" t="s">
        <v>233</v>
      </c>
      <c r="J8" s="4"/>
      <c r="K8" s="8"/>
      <c r="L8" s="4"/>
      <c r="M8" s="8"/>
      <c r="N8" s="7"/>
      <c r="O8" s="7"/>
    </row>
    <row r="9">
      <c r="A9" s="2" t="s">
        <v>1242</v>
      </c>
      <c r="B9" s="2" t="s">
        <v>969</v>
      </c>
      <c r="C9" s="2" t="s">
        <v>1078</v>
      </c>
      <c r="D9" s="4" t="s">
        <v>233</v>
      </c>
      <c r="E9" s="8" t="s">
        <v>233</v>
      </c>
      <c r="F9" s="4" t="s">
        <v>233</v>
      </c>
      <c r="G9" s="8" t="s">
        <v>233</v>
      </c>
      <c r="H9" s="7" t="s">
        <v>233</v>
      </c>
      <c r="I9" s="7" t="s">
        <v>233</v>
      </c>
      <c r="J9" s="4"/>
      <c r="K9" s="8"/>
      <c r="L9" s="4"/>
      <c r="M9" s="8"/>
      <c r="N9" s="7"/>
      <c r="O9" s="7"/>
    </row>
    <row r="10">
      <c r="A10" s="2" t="s">
        <v>1242</v>
      </c>
      <c r="B10" s="2" t="s">
        <v>969</v>
      </c>
      <c r="C10" s="2" t="s">
        <v>970</v>
      </c>
      <c r="D10" s="4" t="s">
        <v>233</v>
      </c>
      <c r="E10" s="8" t="s">
        <v>233</v>
      </c>
      <c r="F10" s="4" t="s">
        <v>233</v>
      </c>
      <c r="G10" s="8" t="s">
        <v>233</v>
      </c>
      <c r="H10" s="7" t="s">
        <v>233</v>
      </c>
      <c r="I10" s="7" t="s">
        <v>233</v>
      </c>
      <c r="J10" s="4"/>
      <c r="K10" s="8"/>
      <c r="L10" s="4"/>
      <c r="M10" s="8"/>
      <c r="N10" s="7"/>
      <c r="O10" s="7"/>
    </row>
    <row r="11">
      <c r="A11" s="2" t="s">
        <v>1242</v>
      </c>
      <c r="B11" s="2" t="s">
        <v>1862</v>
      </c>
      <c r="C11" s="2" t="s">
        <v>1944</v>
      </c>
      <c r="D11" s="4" t="s">
        <v>233</v>
      </c>
      <c r="E11" s="8" t="s">
        <v>233</v>
      </c>
      <c r="F11" s="4" t="s">
        <v>233</v>
      </c>
      <c r="G11" s="8" t="s">
        <v>233</v>
      </c>
      <c r="H11" s="7" t="s">
        <v>233</v>
      </c>
      <c r="I11" s="7" t="s">
        <v>233</v>
      </c>
      <c r="J11" s="4"/>
      <c r="K11" s="8"/>
      <c r="L11" s="4"/>
      <c r="M11" s="8"/>
      <c r="N11" s="7"/>
      <c r="O11" s="7"/>
    </row>
    <row r="12">
      <c r="A12" s="2" t="s">
        <v>1242</v>
      </c>
      <c r="B12" s="2" t="s">
        <v>1862</v>
      </c>
      <c r="C12" s="2" t="s">
        <v>3334</v>
      </c>
      <c r="D12" s="4" t="s">
        <v>233</v>
      </c>
      <c r="E12" s="8" t="s">
        <v>233</v>
      </c>
      <c r="F12" s="4" t="s">
        <v>233</v>
      </c>
      <c r="G12" s="8" t="s">
        <v>233</v>
      </c>
      <c r="H12" s="7" t="s">
        <v>233</v>
      </c>
      <c r="I12" s="7" t="s">
        <v>233</v>
      </c>
      <c r="J12" s="4"/>
      <c r="K12" s="8"/>
      <c r="L12" s="4"/>
      <c r="M12" s="8"/>
      <c r="N12" s="7"/>
      <c r="O12" s="7"/>
    </row>
    <row r="13">
      <c r="A13" s="2" t="s">
        <v>1242</v>
      </c>
      <c r="B13" s="2" t="s">
        <v>1862</v>
      </c>
      <c r="C13" s="2" t="s">
        <v>7849</v>
      </c>
      <c r="D13" s="4" t="s">
        <v>233</v>
      </c>
      <c r="E13" s="8" t="s">
        <v>233</v>
      </c>
      <c r="F13" s="4" t="s">
        <v>233</v>
      </c>
      <c r="G13" s="8" t="s">
        <v>233</v>
      </c>
      <c r="H13" s="7" t="s">
        <v>233</v>
      </c>
      <c r="I13" s="7" t="s">
        <v>233</v>
      </c>
      <c r="J13" s="4"/>
      <c r="K13" s="8"/>
      <c r="L13" s="4"/>
      <c r="M13" s="8"/>
      <c r="N13" s="7"/>
      <c r="O13" s="7"/>
    </row>
    <row r="14">
      <c r="A14" s="2" t="s">
        <v>1242</v>
      </c>
      <c r="B14" s="2" t="s">
        <v>1862</v>
      </c>
      <c r="C14" s="2" t="s">
        <v>3734</v>
      </c>
      <c r="D14" s="4" t="s">
        <v>233</v>
      </c>
      <c r="E14" s="8" t="s">
        <v>233</v>
      </c>
      <c r="F14" s="4" t="s">
        <v>233</v>
      </c>
      <c r="G14" s="8" t="s">
        <v>233</v>
      </c>
      <c r="H14" s="7" t="s">
        <v>233</v>
      </c>
      <c r="I14" s="7" t="s">
        <v>233</v>
      </c>
      <c r="J14" s="4"/>
      <c r="K14" s="8"/>
      <c r="L14" s="4"/>
      <c r="M14" s="8"/>
      <c r="N14" s="7"/>
      <c r="O14" s="7"/>
    </row>
    <row r="15">
      <c r="A15" s="2" t="s">
        <v>1242</v>
      </c>
      <c r="B15" s="2" t="s">
        <v>1862</v>
      </c>
      <c r="C15" s="2" t="s">
        <v>1863</v>
      </c>
      <c r="D15" s="4" t="s">
        <v>233</v>
      </c>
      <c r="E15" s="8" t="s">
        <v>233</v>
      </c>
      <c r="F15" s="4" t="s">
        <v>233</v>
      </c>
      <c r="G15" s="8" t="s">
        <v>233</v>
      </c>
      <c r="H15" s="7" t="s">
        <v>233</v>
      </c>
      <c r="I15" s="7" t="s">
        <v>233</v>
      </c>
      <c r="J15" s="4"/>
      <c r="K15" s="8"/>
      <c r="L15" s="4"/>
      <c r="M15" s="8"/>
      <c r="N15" s="7"/>
      <c r="O15" s="7"/>
    </row>
    <row r="16">
      <c r="A16" s="2" t="s">
        <v>1242</v>
      </c>
      <c r="B16" s="2" t="s">
        <v>1862</v>
      </c>
      <c r="C16" s="2" t="s">
        <v>9859</v>
      </c>
      <c r="D16" s="4" t="s">
        <v>233</v>
      </c>
      <c r="E16" s="8" t="s">
        <v>233</v>
      </c>
      <c r="F16" s="4" t="s">
        <v>233</v>
      </c>
      <c r="G16" s="8" t="s">
        <v>233</v>
      </c>
      <c r="H16" s="7" t="s">
        <v>233</v>
      </c>
      <c r="I16" s="7" t="s">
        <v>233</v>
      </c>
      <c r="J16" s="4"/>
      <c r="K16" s="8"/>
      <c r="L16" s="4"/>
      <c r="M16" s="8"/>
      <c r="N16" s="7"/>
      <c r="O16" s="7"/>
    </row>
    <row r="17">
      <c r="A17" s="2" t="s">
        <v>1242</v>
      </c>
      <c r="B17" s="2" t="s">
        <v>1862</v>
      </c>
      <c r="C17" s="2" t="s">
        <v>6347</v>
      </c>
      <c r="D17" s="4" t="s">
        <v>233</v>
      </c>
      <c r="E17" s="8" t="s">
        <v>233</v>
      </c>
      <c r="F17" s="4" t="s">
        <v>233</v>
      </c>
      <c r="G17" s="8" t="s">
        <v>233</v>
      </c>
      <c r="H17" s="7" t="s">
        <v>233</v>
      </c>
      <c r="I17" s="7" t="s">
        <v>233</v>
      </c>
      <c r="J17" s="4"/>
      <c r="K17" s="8"/>
      <c r="L17" s="4"/>
      <c r="M17" s="8"/>
      <c r="N17" s="7"/>
      <c r="O17" s="7"/>
    </row>
    <row r="18">
      <c r="A18" s="2" t="s">
        <v>1242</v>
      </c>
      <c r="B18" s="2" t="s">
        <v>912</v>
      </c>
      <c r="C18" s="2" t="s">
        <v>1139</v>
      </c>
      <c r="D18" s="4" t="s">
        <v>233</v>
      </c>
      <c r="E18" s="8" t="s">
        <v>233</v>
      </c>
      <c r="F18" s="4" t="s">
        <v>233</v>
      </c>
      <c r="G18" s="8" t="s">
        <v>233</v>
      </c>
      <c r="H18" s="7" t="s">
        <v>233</v>
      </c>
      <c r="I18" s="7" t="s">
        <v>233</v>
      </c>
      <c r="J18" s="4"/>
      <c r="K18" s="8"/>
      <c r="L18" s="4"/>
      <c r="M18" s="8"/>
      <c r="N18" s="7"/>
      <c r="O18" s="7"/>
    </row>
    <row r="19">
      <c r="A19" s="2" t="s">
        <v>1242</v>
      </c>
      <c r="B19" s="2" t="s">
        <v>912</v>
      </c>
      <c r="C19" s="2" t="s">
        <v>913</v>
      </c>
      <c r="D19" s="4" t="s">
        <v>233</v>
      </c>
      <c r="E19" s="8" t="s">
        <v>233</v>
      </c>
      <c r="F19" s="4" t="s">
        <v>233</v>
      </c>
      <c r="G19" s="8" t="s">
        <v>233</v>
      </c>
      <c r="H19" s="7" t="s">
        <v>233</v>
      </c>
      <c r="I19" s="7" t="s">
        <v>233</v>
      </c>
      <c r="J19" s="4"/>
      <c r="K19" s="8"/>
      <c r="L19" s="4"/>
      <c r="M19" s="8"/>
      <c r="N19" s="7"/>
      <c r="O19" s="7"/>
    </row>
    <row r="20">
      <c r="A20" s="2" t="s">
        <v>1242</v>
      </c>
      <c r="B20" s="2" t="s">
        <v>1194</v>
      </c>
      <c r="C20" s="2" t="s">
        <v>1987</v>
      </c>
      <c r="D20" s="4" t="s">
        <v>233</v>
      </c>
      <c r="E20" s="8" t="s">
        <v>233</v>
      </c>
      <c r="F20" s="4" t="s">
        <v>233</v>
      </c>
      <c r="G20" s="8" t="s">
        <v>233</v>
      </c>
      <c r="H20" s="7" t="s">
        <v>233</v>
      </c>
      <c r="I20" s="7" t="s">
        <v>233</v>
      </c>
      <c r="J20" s="4"/>
      <c r="K20" s="8"/>
      <c r="L20" s="4"/>
      <c r="M20" s="8"/>
      <c r="N20" s="7"/>
      <c r="O20" s="7"/>
    </row>
    <row r="21">
      <c r="A21" s="2" t="s">
        <v>1242</v>
      </c>
      <c r="B21" s="2" t="s">
        <v>1194</v>
      </c>
      <c r="C21" s="2" t="s">
        <v>1195</v>
      </c>
      <c r="D21" s="4" t="s">
        <v>233</v>
      </c>
      <c r="E21" s="8" t="s">
        <v>233</v>
      </c>
      <c r="F21" s="4" t="s">
        <v>233</v>
      </c>
      <c r="G21" s="8" t="s">
        <v>233</v>
      </c>
      <c r="H21" s="7" t="s">
        <v>233</v>
      </c>
      <c r="I21" s="7" t="s">
        <v>233</v>
      </c>
      <c r="J21" s="4"/>
      <c r="K21" s="8"/>
      <c r="L21" s="4"/>
      <c r="M21" s="8"/>
      <c r="N21" s="7"/>
      <c r="O21" s="7"/>
    </row>
    <row r="22">
      <c r="A22" s="2" t="s">
        <v>1242</v>
      </c>
      <c r="B22" s="2" t="s">
        <v>1616</v>
      </c>
      <c r="C22" s="2" t="s">
        <v>1617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2691</v>
      </c>
      <c r="B23" s="2" t="s">
        <v>2692</v>
      </c>
      <c r="C23" s="2" t="s">
        <v>2693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928</v>
      </c>
      <c r="B24" s="2" t="s">
        <v>6647</v>
      </c>
      <c r="C24" s="2" t="s">
        <v>6648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928</v>
      </c>
      <c r="B25" s="2" t="s">
        <v>1757</v>
      </c>
      <c r="C25" s="2" t="s">
        <v>6648</v>
      </c>
      <c r="D25" s="4" t="s">
        <v>233</v>
      </c>
      <c r="E25" s="8" t="s">
        <v>233</v>
      </c>
      <c r="F25" s="4" t="s">
        <v>233</v>
      </c>
      <c r="G25" s="8" t="s">
        <v>233</v>
      </c>
      <c r="H25" s="7" t="s">
        <v>233</v>
      </c>
      <c r="I25" s="7" t="s">
        <v>233</v>
      </c>
      <c r="J25" s="4"/>
      <c r="K25" s="8"/>
      <c r="L25" s="4"/>
      <c r="M25" s="8"/>
      <c r="N25" s="7"/>
      <c r="O25" s="7"/>
    </row>
    <row r="26">
      <c r="A26" s="2" t="s">
        <v>928</v>
      </c>
      <c r="B26" s="2" t="s">
        <v>1757</v>
      </c>
      <c r="C26" s="2" t="s">
        <v>7319</v>
      </c>
      <c r="D26" s="4" t="s">
        <v>233</v>
      </c>
      <c r="E26" s="8" t="s">
        <v>233</v>
      </c>
      <c r="F26" s="4" t="s">
        <v>233</v>
      </c>
      <c r="G26" s="8" t="s">
        <v>233</v>
      </c>
      <c r="H26" s="7" t="s">
        <v>233</v>
      </c>
      <c r="I26" s="7" t="s">
        <v>233</v>
      </c>
      <c r="J26" s="4"/>
      <c r="K26" s="8"/>
      <c r="L26" s="4"/>
      <c r="M26" s="8"/>
      <c r="N26" s="7"/>
      <c r="O26" s="7"/>
    </row>
    <row r="27">
      <c r="A27" s="2" t="s">
        <v>928</v>
      </c>
      <c r="B27" s="2" t="s">
        <v>1757</v>
      </c>
      <c r="C27" s="2" t="s">
        <v>939</v>
      </c>
      <c r="D27" s="4" t="s">
        <v>233</v>
      </c>
      <c r="E27" s="8" t="s">
        <v>233</v>
      </c>
      <c r="F27" s="4" t="s">
        <v>233</v>
      </c>
      <c r="G27" s="8" t="s">
        <v>233</v>
      </c>
      <c r="H27" s="7" t="s">
        <v>233</v>
      </c>
      <c r="I27" s="7" t="s">
        <v>233</v>
      </c>
      <c r="J27" s="4"/>
      <c r="K27" s="8"/>
      <c r="L27" s="4"/>
      <c r="M27" s="8"/>
      <c r="N27" s="7"/>
      <c r="O27" s="7"/>
    </row>
    <row r="28">
      <c r="A28" s="2" t="s">
        <v>928</v>
      </c>
      <c r="B28" s="2" t="s">
        <v>1757</v>
      </c>
      <c r="C28" s="2" t="s">
        <v>930</v>
      </c>
      <c r="D28" s="4" t="s">
        <v>233</v>
      </c>
      <c r="E28" s="8" t="s">
        <v>233</v>
      </c>
      <c r="F28" s="4" t="s">
        <v>233</v>
      </c>
      <c r="G28" s="8" t="s">
        <v>233</v>
      </c>
      <c r="H28" s="7" t="s">
        <v>233</v>
      </c>
      <c r="I28" s="7" t="s">
        <v>233</v>
      </c>
      <c r="J28" s="4"/>
      <c r="K28" s="8"/>
      <c r="L28" s="4"/>
      <c r="M28" s="8"/>
      <c r="N28" s="7"/>
      <c r="O28" s="7"/>
    </row>
    <row r="29">
      <c r="A29" s="2" t="s">
        <v>928</v>
      </c>
      <c r="B29" s="2" t="s">
        <v>8593</v>
      </c>
      <c r="C29" s="2" t="s">
        <v>8594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928</v>
      </c>
      <c r="B30" s="2" t="s">
        <v>961</v>
      </c>
      <c r="C30" s="2" t="s">
        <v>2028</v>
      </c>
      <c r="D30" s="4" t="s">
        <v>233</v>
      </c>
      <c r="E30" s="8" t="s">
        <v>233</v>
      </c>
      <c r="F30" s="4" t="s">
        <v>233</v>
      </c>
      <c r="G30" s="8" t="s">
        <v>233</v>
      </c>
      <c r="H30" s="7" t="s">
        <v>233</v>
      </c>
      <c r="I30" s="7" t="s">
        <v>233</v>
      </c>
      <c r="J30" s="4"/>
      <c r="K30" s="8"/>
      <c r="L30" s="4"/>
      <c r="M30" s="8"/>
      <c r="N30" s="7"/>
      <c r="O30" s="7"/>
    </row>
    <row r="31">
      <c r="A31" s="2" t="s">
        <v>928</v>
      </c>
      <c r="B31" s="2" t="s">
        <v>961</v>
      </c>
      <c r="C31" s="2" t="s">
        <v>939</v>
      </c>
      <c r="D31" s="4" t="s">
        <v>233</v>
      </c>
      <c r="E31" s="8" t="s">
        <v>233</v>
      </c>
      <c r="F31" s="4" t="s">
        <v>233</v>
      </c>
      <c r="G31" s="8" t="s">
        <v>233</v>
      </c>
      <c r="H31" s="7" t="s">
        <v>233</v>
      </c>
      <c r="I31" s="7" t="s">
        <v>233</v>
      </c>
      <c r="J31" s="4"/>
      <c r="K31" s="8"/>
      <c r="L31" s="4"/>
      <c r="M31" s="8"/>
      <c r="N31" s="7"/>
      <c r="O31" s="7"/>
    </row>
    <row r="32">
      <c r="A32" s="2" t="s">
        <v>928</v>
      </c>
      <c r="B32" s="2" t="s">
        <v>961</v>
      </c>
      <c r="C32" s="2" t="s">
        <v>930</v>
      </c>
      <c r="D32" s="4" t="s">
        <v>233</v>
      </c>
      <c r="E32" s="8" t="s">
        <v>233</v>
      </c>
      <c r="F32" s="4" t="s">
        <v>233</v>
      </c>
      <c r="G32" s="8" t="s">
        <v>233</v>
      </c>
      <c r="H32" s="7" t="s">
        <v>233</v>
      </c>
      <c r="I32" s="7" t="s">
        <v>233</v>
      </c>
      <c r="J32" s="4"/>
      <c r="K32" s="8"/>
      <c r="L32" s="4"/>
      <c r="M32" s="8"/>
      <c r="N32" s="7"/>
      <c r="O32" s="7"/>
    </row>
    <row r="33">
      <c r="A33" s="2" t="s">
        <v>928</v>
      </c>
      <c r="B33" s="2" t="s">
        <v>1101</v>
      </c>
      <c r="C33" s="2" t="s">
        <v>1102</v>
      </c>
      <c r="D33" s="4" t="s">
        <v>233</v>
      </c>
      <c r="E33" s="8" t="s">
        <v>233</v>
      </c>
      <c r="F33" s="4" t="s">
        <v>233</v>
      </c>
      <c r="G33" s="8" t="s">
        <v>233</v>
      </c>
      <c r="H33" s="7" t="s">
        <v>233</v>
      </c>
      <c r="I33" s="7" t="s">
        <v>233</v>
      </c>
      <c r="J33" s="4"/>
      <c r="K33" s="8"/>
      <c r="L33" s="4"/>
      <c r="M33" s="8"/>
      <c r="N33" s="7"/>
      <c r="O33" s="7"/>
    </row>
    <row r="34">
      <c r="A34" s="2" t="s">
        <v>928</v>
      </c>
      <c r="B34" s="2" t="s">
        <v>1101</v>
      </c>
      <c r="C34" s="2" t="s">
        <v>5001</v>
      </c>
      <c r="D34" s="4" t="s">
        <v>233</v>
      </c>
      <c r="E34" s="8" t="s">
        <v>233</v>
      </c>
      <c r="F34" s="4" t="s">
        <v>233</v>
      </c>
      <c r="G34" s="8" t="s">
        <v>233</v>
      </c>
      <c r="H34" s="7" t="s">
        <v>233</v>
      </c>
      <c r="I34" s="7" t="s">
        <v>233</v>
      </c>
      <c r="J34" s="4"/>
      <c r="K34" s="8"/>
      <c r="L34" s="4"/>
      <c r="M34" s="8"/>
      <c r="N34" s="7"/>
      <c r="O34" s="7"/>
    </row>
    <row r="35">
      <c r="A35" s="2" t="s">
        <v>928</v>
      </c>
      <c r="B35" s="2" t="s">
        <v>9728</v>
      </c>
      <c r="C35" s="2" t="s">
        <v>9729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928</v>
      </c>
      <c r="B36" s="2" t="s">
        <v>929</v>
      </c>
      <c r="C36" s="2" t="s">
        <v>939</v>
      </c>
      <c r="D36" s="4" t="s">
        <v>233</v>
      </c>
      <c r="E36" s="8" t="s">
        <v>233</v>
      </c>
      <c r="F36" s="4" t="s">
        <v>233</v>
      </c>
      <c r="G36" s="8" t="s">
        <v>233</v>
      </c>
      <c r="H36" s="7" t="s">
        <v>233</v>
      </c>
      <c r="I36" s="7" t="s">
        <v>233</v>
      </c>
      <c r="J36" s="4"/>
      <c r="K36" s="8"/>
      <c r="L36" s="4"/>
      <c r="M36" s="8"/>
      <c r="N36" s="7"/>
      <c r="O36" s="7"/>
    </row>
    <row r="37">
      <c r="A37" s="2" t="s">
        <v>928</v>
      </c>
      <c r="B37" s="2" t="s">
        <v>929</v>
      </c>
      <c r="C37" s="2" t="s">
        <v>930</v>
      </c>
      <c r="D37" s="4" t="s">
        <v>233</v>
      </c>
      <c r="E37" s="8" t="s">
        <v>233</v>
      </c>
      <c r="F37" s="4" t="s">
        <v>233</v>
      </c>
      <c r="G37" s="8" t="s">
        <v>233</v>
      </c>
      <c r="H37" s="7" t="s">
        <v>233</v>
      </c>
      <c r="I37" s="7" t="s">
        <v>233</v>
      </c>
      <c r="J37" s="4"/>
      <c r="K37" s="8"/>
      <c r="L37" s="4"/>
      <c r="M37" s="8"/>
      <c r="N37" s="7"/>
      <c r="O37" s="7"/>
    </row>
    <row r="38">
      <c r="A38" s="2" t="s">
        <v>264</v>
      </c>
      <c r="B38" s="2" t="s">
        <v>230</v>
      </c>
      <c r="C38" s="2" t="s">
        <v>3058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264</v>
      </c>
      <c r="B39" s="2" t="s">
        <v>969</v>
      </c>
      <c r="C39" s="2" t="s">
        <v>1078</v>
      </c>
      <c r="D39" s="4" t="s">
        <v>233</v>
      </c>
      <c r="E39" s="8" t="s">
        <v>233</v>
      </c>
      <c r="F39" s="4" t="s">
        <v>233</v>
      </c>
      <c r="G39" s="8" t="s">
        <v>233</v>
      </c>
      <c r="H39" s="7" t="s">
        <v>233</v>
      </c>
      <c r="I39" s="7" t="s">
        <v>233</v>
      </c>
      <c r="J39" s="4"/>
      <c r="K39" s="8"/>
      <c r="L39" s="4"/>
      <c r="M39" s="8"/>
      <c r="N39" s="7"/>
      <c r="O39" s="7"/>
    </row>
    <row r="40">
      <c r="A40" s="2" t="s">
        <v>264</v>
      </c>
      <c r="B40" s="2" t="s">
        <v>969</v>
      </c>
      <c r="C40" s="2" t="s">
        <v>970</v>
      </c>
      <c r="D40" s="4" t="s">
        <v>233</v>
      </c>
      <c r="E40" s="8" t="s">
        <v>233</v>
      </c>
      <c r="F40" s="4" t="s">
        <v>233</v>
      </c>
      <c r="G40" s="8" t="s">
        <v>233</v>
      </c>
      <c r="H40" s="7" t="s">
        <v>233</v>
      </c>
      <c r="I40" s="7" t="s">
        <v>233</v>
      </c>
      <c r="J40" s="4"/>
      <c r="K40" s="8"/>
      <c r="L40" s="4"/>
      <c r="M40" s="8"/>
      <c r="N40" s="7"/>
      <c r="O40" s="7"/>
    </row>
    <row r="41">
      <c r="A41" s="2" t="s">
        <v>264</v>
      </c>
      <c r="B41" s="2" t="s">
        <v>969</v>
      </c>
      <c r="C41" s="2" t="s">
        <v>2383</v>
      </c>
      <c r="D41" s="4" t="s">
        <v>233</v>
      </c>
      <c r="E41" s="8" t="s">
        <v>233</v>
      </c>
      <c r="F41" s="4" t="s">
        <v>233</v>
      </c>
      <c r="G41" s="8" t="s">
        <v>233</v>
      </c>
      <c r="H41" s="7" t="s">
        <v>233</v>
      </c>
      <c r="I41" s="7" t="s">
        <v>233</v>
      </c>
      <c r="J41" s="4"/>
      <c r="K41" s="8"/>
      <c r="L41" s="4"/>
      <c r="M41" s="8"/>
      <c r="N41" s="7"/>
      <c r="O41" s="7"/>
    </row>
    <row r="42">
      <c r="A42" s="2" t="s">
        <v>264</v>
      </c>
      <c r="B42" s="2" t="s">
        <v>969</v>
      </c>
      <c r="C42" s="2" t="s">
        <v>1231</v>
      </c>
      <c r="D42" s="4" t="s">
        <v>233</v>
      </c>
      <c r="E42" s="8" t="s">
        <v>233</v>
      </c>
      <c r="F42" s="4" t="s">
        <v>233</v>
      </c>
      <c r="G42" s="8" t="s">
        <v>233</v>
      </c>
      <c r="H42" s="7" t="s">
        <v>233</v>
      </c>
      <c r="I42" s="7" t="s">
        <v>233</v>
      </c>
      <c r="J42" s="4"/>
      <c r="K42" s="8"/>
      <c r="L42" s="4"/>
      <c r="M42" s="8"/>
      <c r="N42" s="7"/>
      <c r="O42" s="7"/>
    </row>
    <row r="43">
      <c r="A43" s="2" t="s">
        <v>264</v>
      </c>
      <c r="B43" s="2" t="s">
        <v>266</v>
      </c>
      <c r="C43" s="2" t="s">
        <v>390</v>
      </c>
      <c r="D43" s="4" t="s">
        <v>233</v>
      </c>
      <c r="E43" s="8" t="s">
        <v>233</v>
      </c>
      <c r="F43" s="4" t="s">
        <v>233</v>
      </c>
      <c r="G43" s="8" t="s">
        <v>233</v>
      </c>
      <c r="H43" s="7" t="s">
        <v>233</v>
      </c>
      <c r="I43" s="7" t="s">
        <v>233</v>
      </c>
      <c r="J43" s="4"/>
      <c r="K43" s="8"/>
      <c r="L43" s="4"/>
      <c r="M43" s="8"/>
      <c r="N43" s="7"/>
      <c r="O43" s="7"/>
    </row>
    <row r="44">
      <c r="A44" s="2" t="s">
        <v>264</v>
      </c>
      <c r="B44" s="2" t="s">
        <v>266</v>
      </c>
      <c r="C44" s="2" t="s">
        <v>2295</v>
      </c>
      <c r="D44" s="4" t="s">
        <v>233</v>
      </c>
      <c r="E44" s="8" t="s">
        <v>233</v>
      </c>
      <c r="F44" s="4" t="s">
        <v>233</v>
      </c>
      <c r="G44" s="8" t="s">
        <v>233</v>
      </c>
      <c r="H44" s="7" t="s">
        <v>233</v>
      </c>
      <c r="I44" s="7" t="s">
        <v>233</v>
      </c>
      <c r="J44" s="4"/>
      <c r="K44" s="8"/>
      <c r="L44" s="4"/>
      <c r="M44" s="8"/>
      <c r="N44" s="7"/>
      <c r="O44" s="7"/>
    </row>
    <row r="45">
      <c r="A45" s="2" t="s">
        <v>264</v>
      </c>
      <c r="B45" s="2" t="s">
        <v>266</v>
      </c>
      <c r="C45" s="2" t="s">
        <v>267</v>
      </c>
      <c r="D45" s="4" t="s">
        <v>233</v>
      </c>
      <c r="E45" s="8" t="s">
        <v>233</v>
      </c>
      <c r="F45" s="4" t="s">
        <v>233</v>
      </c>
      <c r="G45" s="8" t="s">
        <v>233</v>
      </c>
      <c r="H45" s="7" t="s">
        <v>233</v>
      </c>
      <c r="I45" s="7" t="s">
        <v>233</v>
      </c>
      <c r="J45" s="4"/>
      <c r="K45" s="8"/>
      <c r="L45" s="4"/>
      <c r="M45" s="8"/>
      <c r="N45" s="7"/>
      <c r="O45" s="7"/>
    </row>
    <row r="46">
      <c r="A46" s="2" t="s">
        <v>264</v>
      </c>
      <c r="B46" s="2" t="s">
        <v>1194</v>
      </c>
      <c r="C46" s="2" t="s">
        <v>9776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264</v>
      </c>
      <c r="B47" s="2" t="s">
        <v>487</v>
      </c>
      <c r="C47" s="2" t="s">
        <v>9776</v>
      </c>
      <c r="D47" s="4" t="s">
        <v>233</v>
      </c>
      <c r="E47" s="8" t="s">
        <v>233</v>
      </c>
      <c r="F47" s="4" t="s">
        <v>233</v>
      </c>
      <c r="G47" s="8" t="s">
        <v>233</v>
      </c>
      <c r="H47" s="7" t="s">
        <v>233</v>
      </c>
      <c r="I47" s="7" t="s">
        <v>233</v>
      </c>
      <c r="J47" s="4"/>
      <c r="K47" s="8"/>
      <c r="L47" s="4"/>
      <c r="M47" s="8"/>
      <c r="N47" s="7"/>
      <c r="O47" s="7"/>
    </row>
    <row r="48">
      <c r="A48" s="2" t="s">
        <v>264</v>
      </c>
      <c r="B48" s="2" t="s">
        <v>487</v>
      </c>
      <c r="C48" s="2" t="s">
        <v>488</v>
      </c>
      <c r="D48" s="4" t="s">
        <v>233</v>
      </c>
      <c r="E48" s="8" t="s">
        <v>233</v>
      </c>
      <c r="F48" s="4" t="s">
        <v>233</v>
      </c>
      <c r="G48" s="8" t="s">
        <v>233</v>
      </c>
      <c r="H48" s="7" t="s">
        <v>233</v>
      </c>
      <c r="I48" s="7" t="s">
        <v>233</v>
      </c>
      <c r="J48" s="4"/>
      <c r="K48" s="8"/>
      <c r="L48" s="4"/>
      <c r="M48" s="8"/>
      <c r="N48" s="7"/>
      <c r="O48" s="7"/>
    </row>
    <row r="49">
      <c r="A49" s="2" t="s">
        <v>264</v>
      </c>
      <c r="B49" s="2" t="s">
        <v>1616</v>
      </c>
      <c r="C49" s="2" t="s">
        <v>3058</v>
      </c>
      <c r="D49" s="4" t="s">
        <v>233</v>
      </c>
      <c r="E49" s="8" t="s">
        <v>233</v>
      </c>
      <c r="F49" s="4" t="s">
        <v>233</v>
      </c>
      <c r="G49" s="8" t="s">
        <v>233</v>
      </c>
      <c r="H49" s="7" t="s">
        <v>233</v>
      </c>
      <c r="I49" s="7" t="s">
        <v>233</v>
      </c>
      <c r="J49" s="4"/>
      <c r="K49" s="8"/>
      <c r="L49" s="4"/>
      <c r="M49" s="8"/>
      <c r="N49" s="7"/>
      <c r="O49" s="7"/>
    </row>
    <row r="50">
      <c r="A50" s="2" t="s">
        <v>264</v>
      </c>
      <c r="B50" s="2" t="s">
        <v>1616</v>
      </c>
      <c r="C50" s="2" t="s">
        <v>1617</v>
      </c>
      <c r="D50" s="4" t="s">
        <v>233</v>
      </c>
      <c r="E50" s="8" t="s">
        <v>233</v>
      </c>
      <c r="F50" s="4" t="s">
        <v>233</v>
      </c>
      <c r="G50" s="8" t="s">
        <v>233</v>
      </c>
      <c r="H50" s="7" t="s">
        <v>233</v>
      </c>
      <c r="I50" s="7" t="s">
        <v>233</v>
      </c>
      <c r="J50" s="4"/>
      <c r="K50" s="8"/>
      <c r="L50" s="4"/>
      <c r="M50" s="8"/>
      <c r="N50" s="7"/>
      <c r="O50" s="7"/>
    </row>
    <row r="51">
      <c r="A51" s="2" t="s">
        <v>1017</v>
      </c>
      <c r="B51" s="2" t="s">
        <v>3887</v>
      </c>
      <c r="C51" s="2" t="s">
        <v>3888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1017</v>
      </c>
      <c r="B52" s="2" t="s">
        <v>1018</v>
      </c>
      <c r="C52" s="2" t="s">
        <v>1019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1017</v>
      </c>
      <c r="B53" s="2" t="s">
        <v>7419</v>
      </c>
      <c r="C53" s="2" t="s">
        <v>992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1017</v>
      </c>
      <c r="B54" s="2" t="s">
        <v>1565</v>
      </c>
      <c r="C54" s="2" t="s">
        <v>1566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228</v>
      </c>
      <c r="B55" s="2" t="s">
        <v>230</v>
      </c>
      <c r="C55" s="2" t="s">
        <v>231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228</v>
      </c>
      <c r="B56" s="2" t="s">
        <v>969</v>
      </c>
      <c r="C56" s="2" t="s">
        <v>1078</v>
      </c>
      <c r="D56" s="4" t="s">
        <v>233</v>
      </c>
      <c r="E56" s="8" t="s">
        <v>233</v>
      </c>
      <c r="F56" s="4" t="s">
        <v>233</v>
      </c>
      <c r="G56" s="8" t="s">
        <v>233</v>
      </c>
      <c r="H56" s="7" t="s">
        <v>233</v>
      </c>
      <c r="I56" s="7" t="s">
        <v>233</v>
      </c>
      <c r="J56" s="4"/>
      <c r="K56" s="8"/>
      <c r="L56" s="4"/>
      <c r="M56" s="8"/>
      <c r="N56" s="7"/>
      <c r="O56" s="7"/>
    </row>
    <row r="57">
      <c r="A57" s="2" t="s">
        <v>228</v>
      </c>
      <c r="B57" s="2" t="s">
        <v>969</v>
      </c>
      <c r="C57" s="2" t="s">
        <v>970</v>
      </c>
      <c r="D57" s="4" t="s">
        <v>233</v>
      </c>
      <c r="E57" s="8" t="s">
        <v>233</v>
      </c>
      <c r="F57" s="4" t="s">
        <v>233</v>
      </c>
      <c r="G57" s="8" t="s">
        <v>233</v>
      </c>
      <c r="H57" s="7" t="s">
        <v>233</v>
      </c>
      <c r="I57" s="7" t="s">
        <v>233</v>
      </c>
      <c r="J57" s="4"/>
      <c r="K57" s="8"/>
      <c r="L57" s="4"/>
      <c r="M57" s="8"/>
      <c r="N57" s="7"/>
      <c r="O57" s="7"/>
    </row>
    <row r="58">
      <c r="A58" s="2" t="s">
        <v>228</v>
      </c>
      <c r="B58" s="2" t="s">
        <v>1862</v>
      </c>
      <c r="C58" s="2" t="s">
        <v>1863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228</v>
      </c>
      <c r="B59" s="2" t="s">
        <v>3775</v>
      </c>
      <c r="C59" s="2" t="s">
        <v>3776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228</v>
      </c>
      <c r="B60" s="2" t="s">
        <v>3847</v>
      </c>
      <c r="C60" s="2" t="s">
        <v>6161</v>
      </c>
      <c r="D60" s="4" t="s">
        <v>233</v>
      </c>
      <c r="E60" s="8" t="s">
        <v>233</v>
      </c>
      <c r="F60" s="4" t="s">
        <v>233</v>
      </c>
      <c r="G60" s="8" t="s">
        <v>233</v>
      </c>
      <c r="H60" s="7" t="s">
        <v>233</v>
      </c>
      <c r="I60" s="7" t="s">
        <v>233</v>
      </c>
      <c r="J60" s="4"/>
      <c r="K60" s="8"/>
      <c r="L60" s="4"/>
      <c r="M60" s="8"/>
      <c r="N60" s="7"/>
      <c r="O60" s="7"/>
    </row>
    <row r="61">
      <c r="A61" s="2" t="s">
        <v>228</v>
      </c>
      <c r="B61" s="2" t="s">
        <v>3847</v>
      </c>
      <c r="C61" s="2" t="s">
        <v>3848</v>
      </c>
      <c r="D61" s="4" t="s">
        <v>233</v>
      </c>
      <c r="E61" s="8" t="s">
        <v>233</v>
      </c>
      <c r="F61" s="4" t="s">
        <v>233</v>
      </c>
      <c r="G61" s="8" t="s">
        <v>233</v>
      </c>
      <c r="H61" s="7" t="s">
        <v>233</v>
      </c>
      <c r="I61" s="7" t="s">
        <v>233</v>
      </c>
      <c r="J61" s="4"/>
      <c r="K61" s="8"/>
      <c r="L61" s="4"/>
      <c r="M61" s="8"/>
      <c r="N61" s="7"/>
      <c r="O61" s="7"/>
    </row>
    <row r="62">
      <c r="A62" s="2" t="s">
        <v>228</v>
      </c>
      <c r="B62" s="2" t="s">
        <v>3847</v>
      </c>
      <c r="C62" s="2" t="s">
        <v>6221</v>
      </c>
      <c r="D62" s="4" t="s">
        <v>233</v>
      </c>
      <c r="E62" s="8" t="s">
        <v>233</v>
      </c>
      <c r="F62" s="4" t="s">
        <v>233</v>
      </c>
      <c r="G62" s="8" t="s">
        <v>233</v>
      </c>
      <c r="H62" s="7" t="s">
        <v>233</v>
      </c>
      <c r="I62" s="7" t="s">
        <v>233</v>
      </c>
      <c r="J62" s="4"/>
      <c r="K62" s="8"/>
      <c r="L62" s="4"/>
      <c r="M62" s="8"/>
      <c r="N62" s="7"/>
      <c r="O62" s="7"/>
    </row>
    <row r="63">
      <c r="A63" s="2" t="s">
        <v>228</v>
      </c>
      <c r="B63" s="2" t="s">
        <v>3847</v>
      </c>
      <c r="C63" s="2" t="s">
        <v>11440</v>
      </c>
      <c r="D63" s="4" t="s">
        <v>233</v>
      </c>
      <c r="E63" s="8" t="s">
        <v>233</v>
      </c>
      <c r="F63" s="4" t="s">
        <v>233</v>
      </c>
      <c r="G63" s="8" t="s">
        <v>233</v>
      </c>
      <c r="H63" s="7" t="s">
        <v>233</v>
      </c>
      <c r="I63" s="7" t="s">
        <v>233</v>
      </c>
      <c r="J63" s="4"/>
      <c r="K63" s="8"/>
      <c r="L63" s="4"/>
      <c r="M63" s="8"/>
      <c r="N63" s="7"/>
      <c r="O63" s="7"/>
    </row>
    <row r="64">
      <c r="A64" s="2" t="s">
        <v>228</v>
      </c>
      <c r="B64" s="2" t="s">
        <v>9690</v>
      </c>
      <c r="C64" s="2" t="s">
        <v>9691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228</v>
      </c>
      <c r="B65" s="2" t="s">
        <v>1194</v>
      </c>
      <c r="C65" s="2" t="s">
        <v>1987</v>
      </c>
      <c r="D65" s="4" t="s">
        <v>233</v>
      </c>
      <c r="E65" s="8" t="s">
        <v>233</v>
      </c>
      <c r="F65" s="4" t="s">
        <v>233</v>
      </c>
      <c r="G65" s="8" t="s">
        <v>233</v>
      </c>
      <c r="H65" s="7" t="s">
        <v>233</v>
      </c>
      <c r="I65" s="7" t="s">
        <v>233</v>
      </c>
      <c r="J65" s="4"/>
      <c r="K65" s="8"/>
      <c r="L65" s="4"/>
      <c r="M65" s="8"/>
      <c r="N65" s="7"/>
      <c r="O65" s="7"/>
    </row>
    <row r="66">
      <c r="A66" s="2" t="s">
        <v>228</v>
      </c>
      <c r="B66" s="2" t="s">
        <v>1194</v>
      </c>
      <c r="C66" s="2" t="s">
        <v>1195</v>
      </c>
      <c r="D66" s="4" t="s">
        <v>233</v>
      </c>
      <c r="E66" s="8" t="s">
        <v>233</v>
      </c>
      <c r="F66" s="4" t="s">
        <v>233</v>
      </c>
      <c r="G66" s="8" t="s">
        <v>233</v>
      </c>
      <c r="H66" s="7" t="s">
        <v>233</v>
      </c>
      <c r="I66" s="7" t="s">
        <v>233</v>
      </c>
      <c r="J66" s="4"/>
      <c r="K66" s="8"/>
      <c r="L66" s="4"/>
      <c r="M66" s="8"/>
      <c r="N66" s="7"/>
      <c r="O66" s="7"/>
    </row>
    <row r="67">
      <c r="A67" s="2" t="s">
        <v>228</v>
      </c>
      <c r="B67" s="2" t="s">
        <v>487</v>
      </c>
      <c r="C67" s="2" t="s">
        <v>488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228</v>
      </c>
      <c r="B68" s="2" t="s">
        <v>1616</v>
      </c>
      <c r="C68" s="2" t="s">
        <v>1617</v>
      </c>
      <c r="D68" s="4" t="s">
        <v>233</v>
      </c>
      <c r="E68" s="8" t="s">
        <v>233</v>
      </c>
      <c r="F68" s="4" t="s">
        <v>233</v>
      </c>
      <c r="G68" s="8" t="s">
        <v>233</v>
      </c>
      <c r="H68" s="7" t="s">
        <v>233</v>
      </c>
      <c r="I68" s="7" t="s">
        <v>233</v>
      </c>
      <c r="J68" s="4"/>
      <c r="K68" s="8"/>
      <c r="L68" s="4"/>
      <c r="M68" s="8"/>
      <c r="N68" s="7"/>
      <c r="O68" s="7"/>
    </row>
    <row r="69">
      <c r="A69" s="2" t="s">
        <v>228</v>
      </c>
      <c r="B69" s="2" t="s">
        <v>1616</v>
      </c>
      <c r="C69" s="2" t="s">
        <v>2599</v>
      </c>
      <c r="D69" s="4" t="s">
        <v>233</v>
      </c>
      <c r="E69" s="8" t="s">
        <v>233</v>
      </c>
      <c r="F69" s="4" t="s">
        <v>233</v>
      </c>
      <c r="G69" s="8" t="s">
        <v>233</v>
      </c>
      <c r="H69" s="7" t="s">
        <v>233</v>
      </c>
      <c r="I69" s="7" t="s">
        <v>233</v>
      </c>
      <c r="J69" s="4"/>
      <c r="K69" s="8"/>
      <c r="L69" s="4"/>
      <c r="M69" s="8"/>
      <c r="N69" s="7"/>
      <c r="O69" s="7"/>
    </row>
    <row r="70">
      <c r="A70" s="2" t="s">
        <v>1066</v>
      </c>
      <c r="B70" s="2" t="s">
        <v>1713</v>
      </c>
      <c r="C70" s="2" t="s">
        <v>1714</v>
      </c>
      <c r="D70" s="4" t="s">
        <v>233</v>
      </c>
      <c r="E70" s="8" t="s">
        <v>233</v>
      </c>
      <c r="F70" s="4" t="s">
        <v>233</v>
      </c>
      <c r="G70" s="8" t="s">
        <v>233</v>
      </c>
      <c r="H70" s="7" t="s">
        <v>233</v>
      </c>
      <c r="I70" s="7" t="s">
        <v>233</v>
      </c>
      <c r="J70" s="4"/>
      <c r="K70" s="8"/>
      <c r="L70" s="4"/>
      <c r="M70" s="8"/>
      <c r="N70" s="7"/>
      <c r="O70" s="7"/>
    </row>
    <row r="71">
      <c r="A71" s="2" t="s">
        <v>1066</v>
      </c>
      <c r="B71" s="2" t="s">
        <v>1713</v>
      </c>
      <c r="C71" s="2" t="s">
        <v>1913</v>
      </c>
      <c r="D71" s="4" t="s">
        <v>233</v>
      </c>
      <c r="E71" s="8" t="s">
        <v>233</v>
      </c>
      <c r="F71" s="4" t="s">
        <v>233</v>
      </c>
      <c r="G71" s="8" t="s">
        <v>233</v>
      </c>
      <c r="H71" s="7" t="s">
        <v>233</v>
      </c>
      <c r="I71" s="7" t="s">
        <v>233</v>
      </c>
      <c r="J71" s="4"/>
      <c r="K71" s="8"/>
      <c r="L71" s="4"/>
      <c r="M71" s="8"/>
      <c r="N71" s="7"/>
      <c r="O71" s="7"/>
    </row>
    <row r="72">
      <c r="A72" s="2" t="s">
        <v>1066</v>
      </c>
      <c r="B72" s="2" t="s">
        <v>1067</v>
      </c>
      <c r="C72" s="2" t="s">
        <v>2650</v>
      </c>
      <c r="D72" s="4" t="s">
        <v>233</v>
      </c>
      <c r="E72" s="8" t="s">
        <v>233</v>
      </c>
      <c r="F72" s="4" t="s">
        <v>233</v>
      </c>
      <c r="G72" s="8" t="s">
        <v>233</v>
      </c>
      <c r="H72" s="7" t="s">
        <v>233</v>
      </c>
      <c r="I72" s="7" t="s">
        <v>233</v>
      </c>
      <c r="J72" s="4"/>
      <c r="K72" s="8"/>
      <c r="L72" s="4"/>
      <c r="M72" s="8"/>
      <c r="N72" s="7"/>
      <c r="O72" s="7"/>
    </row>
    <row r="73">
      <c r="A73" s="2" t="s">
        <v>1066</v>
      </c>
      <c r="B73" s="2" t="s">
        <v>1067</v>
      </c>
      <c r="C73" s="2" t="s">
        <v>2543</v>
      </c>
      <c r="D73" s="4" t="s">
        <v>233</v>
      </c>
      <c r="E73" s="8" t="s">
        <v>233</v>
      </c>
      <c r="F73" s="4" t="s">
        <v>233</v>
      </c>
      <c r="G73" s="8" t="s">
        <v>233</v>
      </c>
      <c r="H73" s="7" t="s">
        <v>233</v>
      </c>
      <c r="I73" s="7" t="s">
        <v>233</v>
      </c>
      <c r="J73" s="4"/>
      <c r="K73" s="8"/>
      <c r="L73" s="4"/>
      <c r="M73" s="8"/>
      <c r="N73" s="7"/>
      <c r="O73" s="7"/>
    </row>
    <row r="74">
      <c r="A74" s="2" t="s">
        <v>1066</v>
      </c>
      <c r="B74" s="2" t="s">
        <v>1067</v>
      </c>
      <c r="C74" s="2" t="s">
        <v>7323</v>
      </c>
      <c r="D74" s="4" t="s">
        <v>233</v>
      </c>
      <c r="E74" s="8" t="s">
        <v>233</v>
      </c>
      <c r="F74" s="4" t="s">
        <v>233</v>
      </c>
      <c r="G74" s="8" t="s">
        <v>233</v>
      </c>
      <c r="H74" s="7" t="s">
        <v>233</v>
      </c>
      <c r="I74" s="7" t="s">
        <v>233</v>
      </c>
      <c r="J74" s="4"/>
      <c r="K74" s="8"/>
      <c r="L74" s="4"/>
      <c r="M74" s="8"/>
      <c r="N74" s="7"/>
      <c r="O74" s="7"/>
    </row>
    <row r="75">
      <c r="A75" s="2" t="s">
        <v>1066</v>
      </c>
      <c r="B75" s="2" t="s">
        <v>1067</v>
      </c>
      <c r="C75" s="2" t="s">
        <v>1068</v>
      </c>
      <c r="D75" s="4" t="s">
        <v>233</v>
      </c>
      <c r="E75" s="8" t="s">
        <v>233</v>
      </c>
      <c r="F75" s="4" t="s">
        <v>233</v>
      </c>
      <c r="G75" s="8" t="s">
        <v>233</v>
      </c>
      <c r="H75" s="7" t="s">
        <v>233</v>
      </c>
      <c r="I75" s="7" t="s">
        <v>233</v>
      </c>
      <c r="J75" s="4"/>
      <c r="K75" s="8"/>
      <c r="L75" s="4"/>
      <c r="M75" s="8"/>
      <c r="N75" s="7"/>
      <c r="O75" s="7"/>
    </row>
    <row r="76">
      <c r="A76" s="2" t="s">
        <v>1066</v>
      </c>
      <c r="B76" s="2" t="s">
        <v>1067</v>
      </c>
      <c r="C76" s="2" t="s">
        <v>243</v>
      </c>
      <c r="D76" s="4" t="s">
        <v>233</v>
      </c>
      <c r="E76" s="8" t="s">
        <v>233</v>
      </c>
      <c r="F76" s="4" t="s">
        <v>233</v>
      </c>
      <c r="G76" s="8" t="s">
        <v>233</v>
      </c>
      <c r="H76" s="7" t="s">
        <v>233</v>
      </c>
      <c r="I76" s="7" t="s">
        <v>233</v>
      </c>
      <c r="J76" s="4"/>
      <c r="K76" s="8"/>
      <c r="L76" s="4"/>
      <c r="M76" s="8"/>
      <c r="N76" s="7"/>
      <c r="O76" s="7"/>
    </row>
    <row r="77">
      <c r="A77" s="2" t="s">
        <v>1066</v>
      </c>
      <c r="B77" s="2" t="s">
        <v>2140</v>
      </c>
      <c r="C77" s="2" t="s">
        <v>4141</v>
      </c>
      <c r="D77" s="4" t="s">
        <v>233</v>
      </c>
      <c r="E77" s="8" t="s">
        <v>233</v>
      </c>
      <c r="F77" s="4" t="s">
        <v>233</v>
      </c>
      <c r="G77" s="8" t="s">
        <v>233</v>
      </c>
      <c r="H77" s="7" t="s">
        <v>233</v>
      </c>
      <c r="I77" s="7" t="s">
        <v>233</v>
      </c>
      <c r="J77" s="4"/>
      <c r="K77" s="8"/>
      <c r="L77" s="4"/>
      <c r="M77" s="8"/>
      <c r="N77" s="7"/>
      <c r="O77" s="7"/>
    </row>
    <row r="78">
      <c r="A78" s="2" t="s">
        <v>1066</v>
      </c>
      <c r="B78" s="2" t="s">
        <v>2140</v>
      </c>
      <c r="C78" s="2" t="s">
        <v>3232</v>
      </c>
      <c r="D78" s="4" t="s">
        <v>233</v>
      </c>
      <c r="E78" s="8" t="s">
        <v>233</v>
      </c>
      <c r="F78" s="4" t="s">
        <v>233</v>
      </c>
      <c r="G78" s="8" t="s">
        <v>233</v>
      </c>
      <c r="H78" s="7" t="s">
        <v>233</v>
      </c>
      <c r="I78" s="7" t="s">
        <v>233</v>
      </c>
      <c r="J78" s="4"/>
      <c r="K78" s="8"/>
      <c r="L78" s="4"/>
      <c r="M78" s="8"/>
      <c r="N78" s="7"/>
      <c r="O78" s="7"/>
    </row>
    <row r="79">
      <c r="A79" s="2" t="s">
        <v>1066</v>
      </c>
      <c r="B79" s="2" t="s">
        <v>2140</v>
      </c>
      <c r="C79" s="2" t="s">
        <v>2141</v>
      </c>
      <c r="D79" s="4" t="s">
        <v>233</v>
      </c>
      <c r="E79" s="8" t="s">
        <v>233</v>
      </c>
      <c r="F79" s="4" t="s">
        <v>233</v>
      </c>
      <c r="G79" s="8" t="s">
        <v>233</v>
      </c>
      <c r="H79" s="7" t="s">
        <v>233</v>
      </c>
      <c r="I79" s="7" t="s">
        <v>233</v>
      </c>
      <c r="J79" s="4"/>
      <c r="K79" s="8"/>
      <c r="L79" s="4"/>
      <c r="M79" s="8"/>
      <c r="N79" s="7"/>
      <c r="O79" s="7"/>
    </row>
    <row r="80">
      <c r="A80" s="2" t="s">
        <v>1066</v>
      </c>
      <c r="B80" s="2" t="s">
        <v>2140</v>
      </c>
      <c r="C80" s="2" t="s">
        <v>243</v>
      </c>
      <c r="D80" s="4" t="s">
        <v>233</v>
      </c>
      <c r="E80" s="8" t="s">
        <v>233</v>
      </c>
      <c r="F80" s="4" t="s">
        <v>233</v>
      </c>
      <c r="G80" s="8" t="s">
        <v>233</v>
      </c>
      <c r="H80" s="7" t="s">
        <v>233</v>
      </c>
      <c r="I80" s="7" t="s">
        <v>233</v>
      </c>
      <c r="J80" s="4"/>
      <c r="K80" s="8"/>
      <c r="L80" s="4"/>
      <c r="M80" s="8"/>
      <c r="N80" s="7"/>
      <c r="O80" s="7"/>
    </row>
    <row r="81">
      <c r="A81" s="2" t="s">
        <v>1066</v>
      </c>
      <c r="B81" s="2" t="s">
        <v>10723</v>
      </c>
      <c r="C81" s="2" t="s">
        <v>8524</v>
      </c>
      <c r="D81" s="4"/>
      <c r="E81" s="8"/>
      <c r="F81" s="4"/>
      <c r="G81" s="8"/>
      <c r="H81" s="7"/>
      <c r="I81" s="7"/>
      <c r="J81" s="4"/>
      <c r="K81" s="8"/>
      <c r="L81" s="4"/>
      <c r="M81" s="8"/>
      <c r="N81" s="7"/>
      <c r="O81" s="7"/>
    </row>
    <row r="82">
      <c r="A82" s="2" t="s">
        <v>1066</v>
      </c>
      <c r="B82" s="2" t="s">
        <v>1919</v>
      </c>
      <c r="C82" s="2" t="s">
        <v>3467</v>
      </c>
      <c r="D82" s="4" t="s">
        <v>233</v>
      </c>
      <c r="E82" s="8" t="s">
        <v>233</v>
      </c>
      <c r="F82" s="4" t="s">
        <v>233</v>
      </c>
      <c r="G82" s="8" t="s">
        <v>233</v>
      </c>
      <c r="H82" s="7" t="s">
        <v>233</v>
      </c>
      <c r="I82" s="7" t="s">
        <v>233</v>
      </c>
      <c r="J82" s="4"/>
      <c r="K82" s="8"/>
      <c r="L82" s="4"/>
      <c r="M82" s="8"/>
      <c r="N82" s="7"/>
      <c r="O82" s="7"/>
    </row>
    <row r="83">
      <c r="A83" s="2" t="s">
        <v>1066</v>
      </c>
      <c r="B83" s="2" t="s">
        <v>1919</v>
      </c>
      <c r="C83" s="2" t="s">
        <v>1920</v>
      </c>
      <c r="D83" s="4" t="s">
        <v>233</v>
      </c>
      <c r="E83" s="8" t="s">
        <v>233</v>
      </c>
      <c r="F83" s="4" t="s">
        <v>233</v>
      </c>
      <c r="G83" s="8" t="s">
        <v>233</v>
      </c>
      <c r="H83" s="7" t="s">
        <v>233</v>
      </c>
      <c r="I83" s="7" t="s">
        <v>233</v>
      </c>
      <c r="J83" s="4"/>
      <c r="K83" s="8"/>
      <c r="L83" s="4"/>
      <c r="M83" s="8"/>
      <c r="N83" s="7"/>
      <c r="O83" s="7"/>
    </row>
    <row r="84">
      <c r="A84" s="2" t="s">
        <v>1066</v>
      </c>
      <c r="B84" s="2" t="s">
        <v>1919</v>
      </c>
      <c r="C84" s="2" t="s">
        <v>1112</v>
      </c>
      <c r="D84" s="4" t="s">
        <v>233</v>
      </c>
      <c r="E84" s="8" t="s">
        <v>233</v>
      </c>
      <c r="F84" s="4" t="s">
        <v>233</v>
      </c>
      <c r="G84" s="8" t="s">
        <v>233</v>
      </c>
      <c r="H84" s="7" t="s">
        <v>233</v>
      </c>
      <c r="I84" s="7" t="s">
        <v>233</v>
      </c>
      <c r="J84" s="4"/>
      <c r="K84" s="8"/>
      <c r="L84" s="4"/>
      <c r="M84" s="8"/>
      <c r="N84" s="7"/>
      <c r="O84" s="7"/>
    </row>
    <row r="85">
      <c r="A85" s="2" t="s">
        <v>1066</v>
      </c>
      <c r="B85" s="2" t="s">
        <v>1322</v>
      </c>
      <c r="C85" s="2" t="s">
        <v>2279</v>
      </c>
      <c r="D85" s="4" t="s">
        <v>233</v>
      </c>
      <c r="E85" s="8" t="s">
        <v>233</v>
      </c>
      <c r="F85" s="4" t="s">
        <v>233</v>
      </c>
      <c r="G85" s="8" t="s">
        <v>233</v>
      </c>
      <c r="H85" s="7" t="s">
        <v>233</v>
      </c>
      <c r="I85" s="7" t="s">
        <v>233</v>
      </c>
      <c r="J85" s="4"/>
      <c r="K85" s="8"/>
      <c r="L85" s="4"/>
      <c r="M85" s="8"/>
      <c r="N85" s="7"/>
      <c r="O85" s="7"/>
    </row>
    <row r="86">
      <c r="A86" s="2" t="s">
        <v>1066</v>
      </c>
      <c r="B86" s="2" t="s">
        <v>1322</v>
      </c>
      <c r="C86" s="2" t="s">
        <v>243</v>
      </c>
      <c r="D86" s="4" t="s">
        <v>233</v>
      </c>
      <c r="E86" s="8" t="s">
        <v>233</v>
      </c>
      <c r="F86" s="4" t="s">
        <v>233</v>
      </c>
      <c r="G86" s="8" t="s">
        <v>233</v>
      </c>
      <c r="H86" s="7" t="s">
        <v>233</v>
      </c>
      <c r="I86" s="7" t="s">
        <v>233</v>
      </c>
      <c r="J86" s="4"/>
      <c r="K86" s="8"/>
      <c r="L86" s="4"/>
      <c r="M86" s="8"/>
      <c r="N86" s="7"/>
      <c r="O86" s="7"/>
    </row>
    <row r="87">
      <c r="A87" s="2" t="s">
        <v>1066</v>
      </c>
      <c r="B87" s="2" t="s">
        <v>4806</v>
      </c>
      <c r="C87" s="2" t="s">
        <v>4807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1066</v>
      </c>
      <c r="B88" s="2" t="s">
        <v>5551</v>
      </c>
      <c r="C88" s="2" t="s">
        <v>5552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1066</v>
      </c>
      <c r="B89" s="2" t="s">
        <v>11063</v>
      </c>
      <c r="C89" s="2" t="s">
        <v>11064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1066</v>
      </c>
      <c r="B90" s="2" t="s">
        <v>1090</v>
      </c>
      <c r="C90" s="2" t="s">
        <v>1091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1066</v>
      </c>
      <c r="B91" s="2" t="s">
        <v>1923</v>
      </c>
      <c r="C91" s="2" t="s">
        <v>2543</v>
      </c>
      <c r="D91" s="4" t="s">
        <v>233</v>
      </c>
      <c r="E91" s="8" t="s">
        <v>233</v>
      </c>
      <c r="F91" s="4" t="s">
        <v>233</v>
      </c>
      <c r="G91" s="8" t="s">
        <v>233</v>
      </c>
      <c r="H91" s="7" t="s">
        <v>233</v>
      </c>
      <c r="I91" s="7" t="s">
        <v>233</v>
      </c>
      <c r="J91" s="4"/>
      <c r="K91" s="8"/>
      <c r="L91" s="4"/>
      <c r="M91" s="8"/>
      <c r="N91" s="7"/>
      <c r="O91" s="7"/>
    </row>
    <row r="92">
      <c r="A92" s="2" t="s">
        <v>1066</v>
      </c>
      <c r="B92" s="2" t="s">
        <v>1923</v>
      </c>
      <c r="C92" s="2" t="s">
        <v>1924</v>
      </c>
      <c r="D92" s="4" t="s">
        <v>233</v>
      </c>
      <c r="E92" s="8" t="s">
        <v>233</v>
      </c>
      <c r="F92" s="4" t="s">
        <v>233</v>
      </c>
      <c r="G92" s="8" t="s">
        <v>233</v>
      </c>
      <c r="H92" s="7" t="s">
        <v>233</v>
      </c>
      <c r="I92" s="7" t="s">
        <v>233</v>
      </c>
      <c r="J92" s="4"/>
      <c r="K92" s="8"/>
      <c r="L92" s="4"/>
      <c r="M92" s="8"/>
      <c r="N92" s="7"/>
      <c r="O92" s="7"/>
    </row>
    <row r="93">
      <c r="A93" s="2" t="s">
        <v>1066</v>
      </c>
      <c r="B93" s="2" t="s">
        <v>2333</v>
      </c>
      <c r="C93" s="2" t="s">
        <v>2334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1066</v>
      </c>
      <c r="B94" s="2" t="s">
        <v>1464</v>
      </c>
      <c r="C94" s="2" t="s">
        <v>1465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1066</v>
      </c>
      <c r="B95" s="2" t="s">
        <v>2037</v>
      </c>
      <c r="C95" s="2" t="s">
        <v>2038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1066</v>
      </c>
      <c r="B96" s="2" t="s">
        <v>1111</v>
      </c>
      <c r="C96" s="2" t="s">
        <v>1723</v>
      </c>
      <c r="D96" s="4" t="s">
        <v>233</v>
      </c>
      <c r="E96" s="8" t="s">
        <v>233</v>
      </c>
      <c r="F96" s="4" t="s">
        <v>233</v>
      </c>
      <c r="G96" s="8" t="s">
        <v>233</v>
      </c>
      <c r="H96" s="7" t="s">
        <v>233</v>
      </c>
      <c r="I96" s="7" t="s">
        <v>233</v>
      </c>
      <c r="J96" s="4"/>
      <c r="K96" s="8"/>
      <c r="L96" s="4"/>
      <c r="M96" s="8"/>
      <c r="N96" s="7"/>
      <c r="O96" s="7"/>
    </row>
    <row r="97">
      <c r="A97" s="2" t="s">
        <v>1066</v>
      </c>
      <c r="B97" s="2" t="s">
        <v>1111</v>
      </c>
      <c r="C97" s="2" t="s">
        <v>1112</v>
      </c>
      <c r="D97" s="4" t="s">
        <v>233</v>
      </c>
      <c r="E97" s="8" t="s">
        <v>233</v>
      </c>
      <c r="F97" s="4" t="s">
        <v>233</v>
      </c>
      <c r="G97" s="8" t="s">
        <v>233</v>
      </c>
      <c r="H97" s="7" t="s">
        <v>233</v>
      </c>
      <c r="I97" s="7" t="s">
        <v>233</v>
      </c>
      <c r="J97" s="4"/>
      <c r="K97" s="8"/>
      <c r="L97" s="4"/>
      <c r="M97" s="8"/>
      <c r="N97" s="7"/>
      <c r="O97" s="7"/>
    </row>
    <row r="98">
      <c r="A98" s="2" t="s">
        <v>1066</v>
      </c>
      <c r="B98" s="2" t="s">
        <v>1111</v>
      </c>
      <c r="C98" s="2" t="s">
        <v>1974</v>
      </c>
      <c r="D98" s="4" t="s">
        <v>233</v>
      </c>
      <c r="E98" s="8" t="s">
        <v>233</v>
      </c>
      <c r="F98" s="4" t="s">
        <v>233</v>
      </c>
      <c r="G98" s="8" t="s">
        <v>233</v>
      </c>
      <c r="H98" s="7" t="s">
        <v>233</v>
      </c>
      <c r="I98" s="7" t="s">
        <v>233</v>
      </c>
      <c r="J98" s="4"/>
      <c r="K98" s="8"/>
      <c r="L98" s="4"/>
      <c r="M98" s="8"/>
      <c r="N98" s="7"/>
      <c r="O98" s="7"/>
    </row>
    <row r="99">
      <c r="A99" s="2" t="s">
        <v>1066</v>
      </c>
      <c r="B99" s="2" t="s">
        <v>2285</v>
      </c>
      <c r="C99" s="2" t="s">
        <v>2286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1066</v>
      </c>
      <c r="B100" s="2" t="s">
        <v>1782</v>
      </c>
      <c r="C100" s="2" t="s">
        <v>2131</v>
      </c>
      <c r="D100" s="4" t="s">
        <v>233</v>
      </c>
      <c r="E100" s="8" t="s">
        <v>233</v>
      </c>
      <c r="F100" s="4" t="s">
        <v>233</v>
      </c>
      <c r="G100" s="8" t="s">
        <v>233</v>
      </c>
      <c r="H100" s="7" t="s">
        <v>233</v>
      </c>
      <c r="I100" s="7" t="s">
        <v>233</v>
      </c>
      <c r="J100" s="4"/>
      <c r="K100" s="8"/>
      <c r="L100" s="4"/>
      <c r="M100" s="8"/>
      <c r="N100" s="7"/>
      <c r="O100" s="7"/>
    </row>
    <row r="101">
      <c r="A101" s="2" t="s">
        <v>1066</v>
      </c>
      <c r="B101" s="2" t="s">
        <v>1782</v>
      </c>
      <c r="C101" s="2" t="s">
        <v>7233</v>
      </c>
      <c r="D101" s="4" t="s">
        <v>233</v>
      </c>
      <c r="E101" s="8" t="s">
        <v>233</v>
      </c>
      <c r="F101" s="4" t="s">
        <v>233</v>
      </c>
      <c r="G101" s="8" t="s">
        <v>233</v>
      </c>
      <c r="H101" s="7" t="s">
        <v>233</v>
      </c>
      <c r="I101" s="7" t="s">
        <v>233</v>
      </c>
      <c r="J101" s="4"/>
      <c r="K101" s="8"/>
      <c r="L101" s="4"/>
      <c r="M101" s="8"/>
      <c r="N101" s="7"/>
      <c r="O101" s="7"/>
    </row>
    <row r="102">
      <c r="A102" s="2" t="s">
        <v>1066</v>
      </c>
      <c r="B102" s="2" t="s">
        <v>1782</v>
      </c>
      <c r="C102" s="2" t="s">
        <v>1783</v>
      </c>
      <c r="D102" s="4" t="s">
        <v>233</v>
      </c>
      <c r="E102" s="8" t="s">
        <v>233</v>
      </c>
      <c r="F102" s="4" t="s">
        <v>233</v>
      </c>
      <c r="G102" s="8" t="s">
        <v>233</v>
      </c>
      <c r="H102" s="7" t="s">
        <v>233</v>
      </c>
      <c r="I102" s="7" t="s">
        <v>233</v>
      </c>
      <c r="J102" s="4"/>
      <c r="K102" s="8"/>
      <c r="L102" s="4"/>
      <c r="M102" s="8"/>
      <c r="N102" s="7"/>
      <c r="O102" s="7"/>
    </row>
    <row r="103">
      <c r="A103" s="2" t="s">
        <v>1066</v>
      </c>
      <c r="B103" s="2" t="s">
        <v>1782</v>
      </c>
      <c r="C103" s="2" t="s">
        <v>2309</v>
      </c>
      <c r="D103" s="4" t="s">
        <v>233</v>
      </c>
      <c r="E103" s="8" t="s">
        <v>233</v>
      </c>
      <c r="F103" s="4" t="s">
        <v>233</v>
      </c>
      <c r="G103" s="8" t="s">
        <v>233</v>
      </c>
      <c r="H103" s="7" t="s">
        <v>233</v>
      </c>
      <c r="I103" s="7" t="s">
        <v>233</v>
      </c>
      <c r="J103" s="4"/>
      <c r="K103" s="8"/>
      <c r="L103" s="4"/>
      <c r="M103" s="8"/>
      <c r="N103" s="7"/>
      <c r="O103" s="7"/>
    </row>
    <row r="104">
      <c r="A104" s="2" t="s">
        <v>1066</v>
      </c>
      <c r="B104" s="2" t="s">
        <v>1969</v>
      </c>
      <c r="C104" s="2" t="s">
        <v>1970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1066</v>
      </c>
      <c r="B105" s="2" t="s">
        <v>1851</v>
      </c>
      <c r="C105" s="2" t="s">
        <v>1852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1066</v>
      </c>
      <c r="B106" s="2" t="s">
        <v>5853</v>
      </c>
      <c r="C106" s="2" t="s">
        <v>2650</v>
      </c>
      <c r="D106" s="4" t="s">
        <v>233</v>
      </c>
      <c r="E106" s="8" t="s">
        <v>233</v>
      </c>
      <c r="F106" s="4" t="s">
        <v>233</v>
      </c>
      <c r="G106" s="8" t="s">
        <v>233</v>
      </c>
      <c r="H106" s="7" t="s">
        <v>233</v>
      </c>
      <c r="I106" s="7" t="s">
        <v>233</v>
      </c>
      <c r="J106" s="4"/>
      <c r="K106" s="8"/>
      <c r="L106" s="4"/>
      <c r="M106" s="8"/>
      <c r="N106" s="7"/>
      <c r="O106" s="7"/>
    </row>
    <row r="107">
      <c r="A107" s="2" t="s">
        <v>1066</v>
      </c>
      <c r="B107" s="2" t="s">
        <v>5853</v>
      </c>
      <c r="C107" s="2" t="s">
        <v>8553</v>
      </c>
      <c r="D107" s="4" t="s">
        <v>233</v>
      </c>
      <c r="E107" s="8" t="s">
        <v>233</v>
      </c>
      <c r="F107" s="4" t="s">
        <v>233</v>
      </c>
      <c r="G107" s="8" t="s">
        <v>233</v>
      </c>
      <c r="H107" s="7" t="s">
        <v>233</v>
      </c>
      <c r="I107" s="7" t="s">
        <v>233</v>
      </c>
      <c r="J107" s="4"/>
      <c r="K107" s="8"/>
      <c r="L107" s="4"/>
      <c r="M107" s="8"/>
      <c r="N107" s="7"/>
      <c r="O107" s="7"/>
    </row>
    <row r="108">
      <c r="A108" s="2" t="s">
        <v>1066</v>
      </c>
      <c r="B108" s="2" t="s">
        <v>5853</v>
      </c>
      <c r="C108" s="2" t="s">
        <v>8524</v>
      </c>
      <c r="D108" s="4" t="s">
        <v>233</v>
      </c>
      <c r="E108" s="8" t="s">
        <v>233</v>
      </c>
      <c r="F108" s="4" t="s">
        <v>233</v>
      </c>
      <c r="G108" s="8" t="s">
        <v>233</v>
      </c>
      <c r="H108" s="7" t="s">
        <v>233</v>
      </c>
      <c r="I108" s="7" t="s">
        <v>233</v>
      </c>
      <c r="J108" s="4"/>
      <c r="K108" s="8"/>
      <c r="L108" s="4"/>
      <c r="M108" s="8"/>
      <c r="N108" s="7"/>
      <c r="O108" s="7"/>
    </row>
    <row r="109">
      <c r="A109" s="2" t="s">
        <v>1066</v>
      </c>
      <c r="B109" s="2" t="s">
        <v>5853</v>
      </c>
      <c r="C109" s="2" t="s">
        <v>2543</v>
      </c>
      <c r="D109" s="4" t="s">
        <v>233</v>
      </c>
      <c r="E109" s="8" t="s">
        <v>233</v>
      </c>
      <c r="F109" s="4" t="s">
        <v>233</v>
      </c>
      <c r="G109" s="8" t="s">
        <v>233</v>
      </c>
      <c r="H109" s="7" t="s">
        <v>233</v>
      </c>
      <c r="I109" s="7" t="s">
        <v>233</v>
      </c>
      <c r="J109" s="4"/>
      <c r="K109" s="8"/>
      <c r="L109" s="4"/>
      <c r="M109" s="8"/>
      <c r="N109" s="7"/>
      <c r="O109" s="7"/>
    </row>
    <row r="110">
      <c r="A110" s="2" t="s">
        <v>1066</v>
      </c>
      <c r="B110" s="2" t="s">
        <v>5853</v>
      </c>
      <c r="C110" s="2" t="s">
        <v>1852</v>
      </c>
      <c r="D110" s="4" t="s">
        <v>233</v>
      </c>
      <c r="E110" s="8" t="s">
        <v>233</v>
      </c>
      <c r="F110" s="4" t="s">
        <v>233</v>
      </c>
      <c r="G110" s="8" t="s">
        <v>233</v>
      </c>
      <c r="H110" s="7" t="s">
        <v>233</v>
      </c>
      <c r="I110" s="7" t="s">
        <v>233</v>
      </c>
      <c r="J110" s="4"/>
      <c r="K110" s="8"/>
      <c r="L110" s="4"/>
      <c r="M110" s="8"/>
      <c r="N110" s="7"/>
      <c r="O110" s="7"/>
    </row>
    <row r="111">
      <c r="A111" s="2" t="s">
        <v>1066</v>
      </c>
      <c r="B111" s="2" t="s">
        <v>5853</v>
      </c>
      <c r="C111" s="2" t="s">
        <v>5854</v>
      </c>
      <c r="D111" s="4" t="s">
        <v>233</v>
      </c>
      <c r="E111" s="8" t="s">
        <v>233</v>
      </c>
      <c r="F111" s="4" t="s">
        <v>233</v>
      </c>
      <c r="G111" s="8" t="s">
        <v>233</v>
      </c>
      <c r="H111" s="7" t="s">
        <v>233</v>
      </c>
      <c r="I111" s="7" t="s">
        <v>233</v>
      </c>
      <c r="J111" s="4"/>
      <c r="K111" s="8"/>
      <c r="L111" s="4"/>
      <c r="M111" s="8"/>
      <c r="N111" s="7"/>
      <c r="O111" s="7"/>
    </row>
    <row r="112">
      <c r="A112" s="2" t="s">
        <v>886</v>
      </c>
      <c r="B112" s="2" t="s">
        <v>888</v>
      </c>
      <c r="C112" s="2" t="s">
        <v>889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886</v>
      </c>
      <c r="B113" s="2" t="s">
        <v>1326</v>
      </c>
      <c r="C113" s="2" t="s">
        <v>1327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886</v>
      </c>
      <c r="B114" s="2" t="s">
        <v>1122</v>
      </c>
      <c r="C114" s="2" t="s">
        <v>1123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886</v>
      </c>
      <c r="B115" s="2" t="s">
        <v>3762</v>
      </c>
      <c r="C115" s="2" t="s">
        <v>3763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886</v>
      </c>
      <c r="B116" s="2" t="s">
        <v>1167</v>
      </c>
      <c r="C116" s="2" t="s">
        <v>1168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2965</v>
      </c>
      <c r="B117" s="2" t="s">
        <v>2966</v>
      </c>
      <c r="C117" s="2" t="s">
        <v>2967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1276</v>
      </c>
      <c r="B118" s="2" t="s">
        <v>1278</v>
      </c>
      <c r="C118" s="2" t="s">
        <v>1279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1414</v>
      </c>
      <c r="B119" s="2" t="s">
        <v>1414</v>
      </c>
      <c r="C119" s="2" t="s">
        <v>1414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333</v>
      </c>
      <c r="B120" s="2" t="s">
        <v>3474</v>
      </c>
      <c r="C120" s="2" t="s">
        <v>5366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333</v>
      </c>
      <c r="B121" s="2" t="s">
        <v>912</v>
      </c>
      <c r="C121" s="2" t="s">
        <v>1139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333</v>
      </c>
      <c r="B122" s="2" t="s">
        <v>487</v>
      </c>
      <c r="C122" s="2" t="s">
        <v>488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333</v>
      </c>
      <c r="B123" s="2" t="s">
        <v>335</v>
      </c>
      <c r="C123" s="2" t="s">
        <v>336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989</v>
      </c>
      <c r="B124" s="2" t="s">
        <v>991</v>
      </c>
      <c r="C124" s="2" t="s">
        <v>992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1174</v>
      </c>
      <c r="B125" s="2" t="s">
        <v>1194</v>
      </c>
      <c r="C125" s="2" t="s">
        <v>1195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1174</v>
      </c>
      <c r="B126" s="2" t="s">
        <v>3304</v>
      </c>
      <c r="C126" s="2" t="s">
        <v>3305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1174</v>
      </c>
      <c r="B127" s="2" t="s">
        <v>1175</v>
      </c>
      <c r="C127" s="2" t="s">
        <v>1206</v>
      </c>
      <c r="D127" s="4" t="s">
        <v>233</v>
      </c>
      <c r="E127" s="8" t="s">
        <v>233</v>
      </c>
      <c r="F127" s="4" t="s">
        <v>233</v>
      </c>
      <c r="G127" s="8" t="s">
        <v>233</v>
      </c>
      <c r="H127" s="7" t="s">
        <v>233</v>
      </c>
      <c r="I127" s="7" t="s">
        <v>233</v>
      </c>
      <c r="J127" s="4"/>
      <c r="K127" s="8"/>
      <c r="L127" s="4"/>
      <c r="M127" s="8"/>
      <c r="N127" s="7"/>
      <c r="O127" s="7"/>
    </row>
    <row r="128">
      <c r="A128" s="2" t="s">
        <v>1174</v>
      </c>
      <c r="B128" s="2" t="s">
        <v>1175</v>
      </c>
      <c r="C128" s="2" t="s">
        <v>3661</v>
      </c>
      <c r="D128" s="4" t="s">
        <v>233</v>
      </c>
      <c r="E128" s="8" t="s">
        <v>233</v>
      </c>
      <c r="F128" s="4" t="s">
        <v>233</v>
      </c>
      <c r="G128" s="8" t="s">
        <v>233</v>
      </c>
      <c r="H128" s="7" t="s">
        <v>233</v>
      </c>
      <c r="I128" s="7" t="s">
        <v>233</v>
      </c>
      <c r="J128" s="4"/>
      <c r="K128" s="8"/>
      <c r="L128" s="4"/>
      <c r="M128" s="8"/>
      <c r="N128" s="7"/>
      <c r="O128" s="7"/>
    </row>
    <row r="129">
      <c r="A129" s="2" t="s">
        <v>1174</v>
      </c>
      <c r="B129" s="2" t="s">
        <v>1175</v>
      </c>
      <c r="C129" s="2" t="s">
        <v>2069</v>
      </c>
      <c r="D129" s="4" t="s">
        <v>233</v>
      </c>
      <c r="E129" s="8" t="s">
        <v>233</v>
      </c>
      <c r="F129" s="4" t="s">
        <v>233</v>
      </c>
      <c r="G129" s="8" t="s">
        <v>233</v>
      </c>
      <c r="H129" s="7" t="s">
        <v>233</v>
      </c>
      <c r="I129" s="7" t="s">
        <v>233</v>
      </c>
      <c r="J129" s="4"/>
      <c r="K129" s="8"/>
      <c r="L129" s="4"/>
      <c r="M129" s="8"/>
      <c r="N129" s="7"/>
      <c r="O129" s="7"/>
    </row>
    <row r="130">
      <c r="A130" s="2" t="s">
        <v>1174</v>
      </c>
      <c r="B130" s="2" t="s">
        <v>1175</v>
      </c>
      <c r="C130" s="2" t="s">
        <v>1176</v>
      </c>
      <c r="D130" s="4" t="s">
        <v>233</v>
      </c>
      <c r="E130" s="8" t="s">
        <v>233</v>
      </c>
      <c r="F130" s="4" t="s">
        <v>233</v>
      </c>
      <c r="G130" s="8" t="s">
        <v>233</v>
      </c>
      <c r="H130" s="7" t="s">
        <v>233</v>
      </c>
      <c r="I130" s="7" t="s">
        <v>233</v>
      </c>
      <c r="J130" s="4"/>
      <c r="K130" s="8"/>
      <c r="L130" s="4"/>
      <c r="M130" s="8"/>
      <c r="N130" s="7"/>
      <c r="O130" s="7"/>
    </row>
    <row r="131">
      <c r="A131" s="2" t="s">
        <v>1174</v>
      </c>
      <c r="B131" s="2" t="s">
        <v>1175</v>
      </c>
      <c r="C131" s="2" t="s">
        <v>1448</v>
      </c>
      <c r="D131" s="4" t="s">
        <v>233</v>
      </c>
      <c r="E131" s="8" t="s">
        <v>233</v>
      </c>
      <c r="F131" s="4" t="s">
        <v>233</v>
      </c>
      <c r="G131" s="8" t="s">
        <v>233</v>
      </c>
      <c r="H131" s="7" t="s">
        <v>233</v>
      </c>
      <c r="I131" s="7" t="s">
        <v>233</v>
      </c>
      <c r="J131" s="4"/>
      <c r="K131" s="8"/>
      <c r="L131" s="4"/>
      <c r="M131" s="8"/>
      <c r="N131" s="7"/>
      <c r="O131" s="7"/>
    </row>
    <row r="132">
      <c r="A132" s="2" t="s">
        <v>1174</v>
      </c>
      <c r="B132" s="2" t="s">
        <v>1175</v>
      </c>
      <c r="C132" s="2" t="s">
        <v>6601</v>
      </c>
      <c r="D132" s="4" t="s">
        <v>233</v>
      </c>
      <c r="E132" s="8" t="s">
        <v>233</v>
      </c>
      <c r="F132" s="4" t="s">
        <v>233</v>
      </c>
      <c r="G132" s="8" t="s">
        <v>233</v>
      </c>
      <c r="H132" s="7" t="s">
        <v>233</v>
      </c>
      <c r="I132" s="7" t="s">
        <v>233</v>
      </c>
      <c r="J132" s="4"/>
      <c r="K132" s="8"/>
      <c r="L132" s="4"/>
      <c r="M132" s="8"/>
      <c r="N132" s="7"/>
      <c r="O132" s="7"/>
    </row>
    <row r="133">
      <c r="A133" s="2" t="s">
        <v>910</v>
      </c>
      <c r="B133" s="2" t="s">
        <v>969</v>
      </c>
      <c r="C133" s="2" t="s">
        <v>3334</v>
      </c>
      <c r="D133" s="4" t="s">
        <v>233</v>
      </c>
      <c r="E133" s="8" t="s">
        <v>233</v>
      </c>
      <c r="F133" s="4" t="s">
        <v>233</v>
      </c>
      <c r="G133" s="8" t="s">
        <v>233</v>
      </c>
      <c r="H133" s="7" t="s">
        <v>233</v>
      </c>
      <c r="I133" s="7" t="s">
        <v>233</v>
      </c>
      <c r="J133" s="4"/>
      <c r="K133" s="8"/>
      <c r="L133" s="4"/>
      <c r="M133" s="8"/>
      <c r="N133" s="7"/>
      <c r="O133" s="7"/>
    </row>
    <row r="134">
      <c r="A134" s="2" t="s">
        <v>910</v>
      </c>
      <c r="B134" s="2" t="s">
        <v>969</v>
      </c>
      <c r="C134" s="2" t="s">
        <v>1078</v>
      </c>
      <c r="D134" s="4" t="s">
        <v>233</v>
      </c>
      <c r="E134" s="8" t="s">
        <v>233</v>
      </c>
      <c r="F134" s="4" t="s">
        <v>233</v>
      </c>
      <c r="G134" s="8" t="s">
        <v>233</v>
      </c>
      <c r="H134" s="7" t="s">
        <v>233</v>
      </c>
      <c r="I134" s="7" t="s">
        <v>233</v>
      </c>
      <c r="J134" s="4"/>
      <c r="K134" s="8"/>
      <c r="L134" s="4"/>
      <c r="M134" s="8"/>
      <c r="N134" s="7"/>
      <c r="O134" s="7"/>
    </row>
    <row r="135">
      <c r="A135" s="2" t="s">
        <v>910</v>
      </c>
      <c r="B135" s="2" t="s">
        <v>969</v>
      </c>
      <c r="C135" s="2" t="s">
        <v>970</v>
      </c>
      <c r="D135" s="4" t="s">
        <v>233</v>
      </c>
      <c r="E135" s="8" t="s">
        <v>233</v>
      </c>
      <c r="F135" s="4" t="s">
        <v>233</v>
      </c>
      <c r="G135" s="8" t="s">
        <v>233</v>
      </c>
      <c r="H135" s="7" t="s">
        <v>233</v>
      </c>
      <c r="I135" s="7" t="s">
        <v>233</v>
      </c>
      <c r="J135" s="4"/>
      <c r="K135" s="8"/>
      <c r="L135" s="4"/>
      <c r="M135" s="8"/>
      <c r="N135" s="7"/>
      <c r="O135" s="7"/>
    </row>
    <row r="136">
      <c r="A136" s="2" t="s">
        <v>910</v>
      </c>
      <c r="B136" s="2" t="s">
        <v>1862</v>
      </c>
      <c r="C136" s="2" t="s">
        <v>3734</v>
      </c>
      <c r="D136" s="4" t="s">
        <v>233</v>
      </c>
      <c r="E136" s="8" t="s">
        <v>233</v>
      </c>
      <c r="F136" s="4" t="s">
        <v>233</v>
      </c>
      <c r="G136" s="8" t="s">
        <v>233</v>
      </c>
      <c r="H136" s="7" t="s">
        <v>233</v>
      </c>
      <c r="I136" s="7" t="s">
        <v>233</v>
      </c>
      <c r="J136" s="4"/>
      <c r="K136" s="8"/>
      <c r="L136" s="4"/>
      <c r="M136" s="8"/>
      <c r="N136" s="7"/>
      <c r="O136" s="7"/>
    </row>
    <row r="137">
      <c r="A137" s="2" t="s">
        <v>910</v>
      </c>
      <c r="B137" s="2" t="s">
        <v>1862</v>
      </c>
      <c r="C137" s="2" t="s">
        <v>1863</v>
      </c>
      <c r="D137" s="4" t="s">
        <v>233</v>
      </c>
      <c r="E137" s="8" t="s">
        <v>233</v>
      </c>
      <c r="F137" s="4" t="s">
        <v>233</v>
      </c>
      <c r="G137" s="8" t="s">
        <v>233</v>
      </c>
      <c r="H137" s="7" t="s">
        <v>233</v>
      </c>
      <c r="I137" s="7" t="s">
        <v>233</v>
      </c>
      <c r="J137" s="4"/>
      <c r="K137" s="8"/>
      <c r="L137" s="4"/>
      <c r="M137" s="8"/>
      <c r="N137" s="7"/>
      <c r="O137" s="7"/>
    </row>
    <row r="138">
      <c r="A138" s="2" t="s">
        <v>910</v>
      </c>
      <c r="B138" s="2" t="s">
        <v>912</v>
      </c>
      <c r="C138" s="2" t="s">
        <v>1139</v>
      </c>
      <c r="D138" s="4" t="s">
        <v>233</v>
      </c>
      <c r="E138" s="8" t="s">
        <v>233</v>
      </c>
      <c r="F138" s="4" t="s">
        <v>233</v>
      </c>
      <c r="G138" s="8" t="s">
        <v>233</v>
      </c>
      <c r="H138" s="7" t="s">
        <v>233</v>
      </c>
      <c r="I138" s="7" t="s">
        <v>233</v>
      </c>
      <c r="J138" s="4"/>
      <c r="K138" s="8"/>
      <c r="L138" s="4"/>
      <c r="M138" s="8"/>
      <c r="N138" s="7"/>
      <c r="O138" s="7"/>
    </row>
    <row r="139">
      <c r="A139" s="2" t="s">
        <v>910</v>
      </c>
      <c r="B139" s="2" t="s">
        <v>912</v>
      </c>
      <c r="C139" s="2" t="s">
        <v>913</v>
      </c>
      <c r="D139" s="4" t="s">
        <v>233</v>
      </c>
      <c r="E139" s="8" t="s">
        <v>233</v>
      </c>
      <c r="F139" s="4" t="s">
        <v>233</v>
      </c>
      <c r="G139" s="8" t="s">
        <v>233</v>
      </c>
      <c r="H139" s="7" t="s">
        <v>233</v>
      </c>
      <c r="I139" s="7" t="s">
        <v>233</v>
      </c>
      <c r="J139" s="4"/>
      <c r="K139" s="8"/>
      <c r="L139" s="4"/>
      <c r="M139" s="8"/>
      <c r="N139" s="7"/>
      <c r="O139" s="7"/>
    </row>
    <row r="140">
      <c r="A140" s="2" t="s">
        <v>910</v>
      </c>
      <c r="B140" s="2" t="s">
        <v>1194</v>
      </c>
      <c r="C140" s="2" t="s">
        <v>1195</v>
      </c>
      <c r="D140" s="4"/>
      <c r="E140" s="8"/>
      <c r="F140" s="4"/>
      <c r="G140" s="8"/>
      <c r="H140" s="7"/>
      <c r="I140" s="7"/>
      <c r="J140" s="4"/>
      <c r="K140" s="8"/>
      <c r="L140" s="4"/>
      <c r="M140" s="8"/>
      <c r="N140" s="7"/>
      <c r="O14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10"/>
    <mergeCell ref="E8:E10"/>
    <mergeCell ref="F8:F10"/>
    <mergeCell ref="G8:G10"/>
    <mergeCell ref="H8:H10"/>
    <mergeCell ref="I8:I10"/>
    <mergeCell ref="D11:D17"/>
    <mergeCell ref="E11:E17"/>
    <mergeCell ref="F11:F17"/>
    <mergeCell ref="G11:G17"/>
    <mergeCell ref="H11:H17"/>
    <mergeCell ref="I11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  <mergeCell ref="D25:D28"/>
    <mergeCell ref="E25:E28"/>
    <mergeCell ref="F25:F28"/>
    <mergeCell ref="G25:G28"/>
    <mergeCell ref="H25:H28"/>
    <mergeCell ref="I25:I28"/>
    <mergeCell ref="D30:D32"/>
    <mergeCell ref="E30:E32"/>
    <mergeCell ref="F30:F32"/>
    <mergeCell ref="G30:G32"/>
    <mergeCell ref="H30:H32"/>
    <mergeCell ref="I30:I32"/>
    <mergeCell ref="D33:D34"/>
    <mergeCell ref="E33:E34"/>
    <mergeCell ref="F33:F34"/>
    <mergeCell ref="G33:G34"/>
    <mergeCell ref="H33:H34"/>
    <mergeCell ref="I33:I34"/>
    <mergeCell ref="D36:D37"/>
    <mergeCell ref="E36:E37"/>
    <mergeCell ref="F36:F37"/>
    <mergeCell ref="G36:G37"/>
    <mergeCell ref="H36:H37"/>
    <mergeCell ref="I36:I37"/>
    <mergeCell ref="D39:D42"/>
    <mergeCell ref="E39:E42"/>
    <mergeCell ref="F39:F42"/>
    <mergeCell ref="G39:G42"/>
    <mergeCell ref="H39:H42"/>
    <mergeCell ref="I39:I42"/>
    <mergeCell ref="D43:D45"/>
    <mergeCell ref="E43:E45"/>
    <mergeCell ref="F43:F45"/>
    <mergeCell ref="G43:G45"/>
    <mergeCell ref="H43:H45"/>
    <mergeCell ref="I43:I45"/>
    <mergeCell ref="D47:D48"/>
    <mergeCell ref="E47:E48"/>
    <mergeCell ref="F47:F48"/>
    <mergeCell ref="G47:G48"/>
    <mergeCell ref="H47:H48"/>
    <mergeCell ref="I47:I48"/>
    <mergeCell ref="D49:D50"/>
    <mergeCell ref="E49:E50"/>
    <mergeCell ref="F49:F50"/>
    <mergeCell ref="G49:G50"/>
    <mergeCell ref="H49:H50"/>
    <mergeCell ref="I49:I50"/>
    <mergeCell ref="D56:D57"/>
    <mergeCell ref="E56:E57"/>
    <mergeCell ref="F56:F57"/>
    <mergeCell ref="G56:G57"/>
    <mergeCell ref="H56:H57"/>
    <mergeCell ref="I56:I57"/>
    <mergeCell ref="D60:D63"/>
    <mergeCell ref="E60:E63"/>
    <mergeCell ref="F60:F63"/>
    <mergeCell ref="G60:G63"/>
    <mergeCell ref="H60:H63"/>
    <mergeCell ref="I60:I63"/>
    <mergeCell ref="D65:D66"/>
    <mergeCell ref="E65:E66"/>
    <mergeCell ref="F65:F66"/>
    <mergeCell ref="G65:G66"/>
    <mergeCell ref="H65:H66"/>
    <mergeCell ref="I65:I66"/>
    <mergeCell ref="D68:D69"/>
    <mergeCell ref="E68:E69"/>
    <mergeCell ref="F68:F69"/>
    <mergeCell ref="G68:G69"/>
    <mergeCell ref="H68:H69"/>
    <mergeCell ref="I68:I69"/>
    <mergeCell ref="D70:D71"/>
    <mergeCell ref="E70:E71"/>
    <mergeCell ref="F70:F71"/>
    <mergeCell ref="G70:G71"/>
    <mergeCell ref="H70:H71"/>
    <mergeCell ref="I70:I71"/>
    <mergeCell ref="D72:D76"/>
    <mergeCell ref="E72:E76"/>
    <mergeCell ref="F72:F76"/>
    <mergeCell ref="G72:G76"/>
    <mergeCell ref="H72:H76"/>
    <mergeCell ref="I72:I76"/>
    <mergeCell ref="D77:D80"/>
    <mergeCell ref="E77:E80"/>
    <mergeCell ref="F77:F80"/>
    <mergeCell ref="G77:G80"/>
    <mergeCell ref="H77:H80"/>
    <mergeCell ref="I77:I80"/>
    <mergeCell ref="D82:D84"/>
    <mergeCell ref="E82:E84"/>
    <mergeCell ref="F82:F84"/>
    <mergeCell ref="G82:G84"/>
    <mergeCell ref="H82:H84"/>
    <mergeCell ref="I82:I84"/>
    <mergeCell ref="D85:D86"/>
    <mergeCell ref="E85:E86"/>
    <mergeCell ref="F85:F86"/>
    <mergeCell ref="G85:G86"/>
    <mergeCell ref="H85:H86"/>
    <mergeCell ref="I85:I86"/>
    <mergeCell ref="D91:D92"/>
    <mergeCell ref="E91:E92"/>
    <mergeCell ref="F91:F92"/>
    <mergeCell ref="G91:G92"/>
    <mergeCell ref="H91:H92"/>
    <mergeCell ref="I91:I92"/>
    <mergeCell ref="D96:D98"/>
    <mergeCell ref="E96:E98"/>
    <mergeCell ref="F96:F98"/>
    <mergeCell ref="G96:G98"/>
    <mergeCell ref="H96:H98"/>
    <mergeCell ref="I96:I98"/>
    <mergeCell ref="D100:D103"/>
    <mergeCell ref="E100:E103"/>
    <mergeCell ref="F100:F103"/>
    <mergeCell ref="G100:G103"/>
    <mergeCell ref="H100:H103"/>
    <mergeCell ref="I100:I103"/>
    <mergeCell ref="D106:D111"/>
    <mergeCell ref="E106:E111"/>
    <mergeCell ref="F106:F111"/>
    <mergeCell ref="G106:G111"/>
    <mergeCell ref="H106:H111"/>
    <mergeCell ref="I106:I111"/>
    <mergeCell ref="D127:D132"/>
    <mergeCell ref="E127:E132"/>
    <mergeCell ref="F127:F132"/>
    <mergeCell ref="G127:G132"/>
    <mergeCell ref="H127:H132"/>
    <mergeCell ref="I127:I132"/>
    <mergeCell ref="D133:D135"/>
    <mergeCell ref="E133:E135"/>
    <mergeCell ref="F133:F135"/>
    <mergeCell ref="G133:G135"/>
    <mergeCell ref="H133:H135"/>
    <mergeCell ref="I133:I135"/>
    <mergeCell ref="D136:D137"/>
    <mergeCell ref="E136:E137"/>
    <mergeCell ref="F136:F137"/>
    <mergeCell ref="G136:G137"/>
    <mergeCell ref="H136:H137"/>
    <mergeCell ref="I136:I137"/>
    <mergeCell ref="D138:D139"/>
    <mergeCell ref="E138:E139"/>
    <mergeCell ref="F138:F139"/>
    <mergeCell ref="G138:G139"/>
    <mergeCell ref="H138:H139"/>
    <mergeCell ref="I138:I139"/>
  </mergeCells>
  <headerFooter/>
</worksheet>
</file>